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Library" sheetId="2" state="visible" r:id="rId2"/>
    <sheet xmlns:r="http://schemas.openxmlformats.org/officeDocument/2006/relationships" name="Queue" sheetId="3" state="visible" r:id="rId3"/>
    <sheet xmlns:r="http://schemas.openxmlformats.org/officeDocument/2006/relationships" name="Calendar" sheetId="4" state="visible" r:id="rId4"/>
    <sheet xmlns:r="http://schemas.openxmlformats.org/officeDocument/2006/relationships" name="History" sheetId="5" state="visible" r:id="rId5"/>
    <sheet xmlns:r="http://schemas.openxmlformats.org/officeDocument/2006/relationships" name="Stats" sheetId="6" state="visible" r:id="rId6"/>
    <sheet xmlns:r="http://schemas.openxmlformats.org/officeDocument/2006/relationships" name="Channels" sheetId="7" state="visible" r:id="rId7"/>
    <sheet xmlns:r="http://schemas.openxmlformats.org/officeDocument/2006/relationships" name="Carry Over" sheetId="8" state="visible" r:id="rId8"/>
    <sheet xmlns:r="http://schemas.openxmlformats.org/officeDocument/2006/relationships" name="Settings" sheetId="9" state="visible" r:id="rId9"/>
    <sheet xmlns:r="http://schemas.openxmlformats.org/officeDocument/2006/relationships" name="Lists" sheetId="10" state="hidden" r:id="rId10"/>
  </sheets>
  <definedNames>
    <definedName name="YearList">Lists!$A$1:$A$15</definedName>
    <definedName name="MonthList">Lists!$C$1:$C$12</definedName>
    <definedName name="ChannelList">OFFSET(Lists!$E$1,0,0,COUNTIF(Lists!$E$1:$E$40,"?*"),1)</definedName>
    <definedName name="_xlnm.Print_Titles" localSheetId="1">'Library'!$5:$5</definedName>
  </definedNames>
  <calcPr calcId="124519" fullCalcOnLoad="1"/>
</workbook>
</file>

<file path=xl/styles.xml><?xml version="1.0" encoding="utf-8"?>
<styleSheet xmlns="http://schemas.openxmlformats.org/spreadsheetml/2006/main">
  <numFmts count="17">
    <numFmt numFmtId="164" formatCode="yyyy-mm-dd"/>
    <numFmt numFmtId="165" formatCode="yyyy-mm-dd h:mm:ss"/>
    <numFmt numFmtId="166" formatCode="yyyy-mm-dd hh:mm"/>
    <numFmt numFmtId="167" formatCode="yyyy-mm-dd  h:mm AM/PM"/>
    <numFmt numFmtId="168" formatCode="yyyy-mm-dd hh:mm:ss"/>
    <numFmt numFmtId="169" formatCode="yyyy-mm-dd h:mm AM/PM"/>
    <numFmt numFmtId="170" formatCode="#,##0;-#,##0;&quot;·&quot;"/>
    <numFmt numFmtId="171" formatCode="[h]&quot; h &quot;mm&quot; m&quot;;;&quot;·&quot;"/>
    <numFmt numFmtId="172" formatCode="[h]&quot; h &quot;mm&quot; m&quot;"/>
    <numFmt numFmtId="173" formatCode="mmm yyyy"/>
    <numFmt numFmtId="174" formatCode="0.0%"/>
    <numFmt numFmtId="175" formatCode="0.0"/>
    <numFmt numFmtId="176" formatCode="+#,##0;-#,##0;0"/>
    <numFmt numFmtId="177" formatCode="+#,##0&quot; h&quot;;-#,##0&quot; h&quot;;0&quot; h&quot;"/>
    <numFmt numFmtId="178" formatCode="#,##0&quot; h&quot;"/>
    <numFmt numFmtId="179" formatCode="d mmm yyyy"/>
    <numFmt numFmtId="180" formatCode="ddd d mmm yyyy"/>
  </numFmts>
  <fonts count="27">
    <font>
      <name val="Calibri"/>
      <family val="2"/>
      <color theme="1"/>
      <sz val="11"/>
      <scheme val="minor"/>
    </font>
    <font>
      <name val="Arial"/>
      <b val="1"/>
      <color rgb="001F2A44"/>
      <sz val="20"/>
    </font>
    <font>
      <name val="Arial"/>
      <i val="1"/>
      <color rgb="006B7385"/>
      <sz val="9"/>
    </font>
    <font>
      <name val="Arial"/>
      <b val="1"/>
      <color rgb="000F7B8A"/>
      <sz val="9"/>
      <u val="single"/>
    </font>
    <font>
      <name val="Arial"/>
      <b val="1"/>
      <color rgb="00FFFFFF"/>
      <sz val="9"/>
    </font>
    <font>
      <name val="Arial"/>
      <b val="1"/>
      <color rgb="00000000"/>
      <sz val="10"/>
    </font>
    <font>
      <name val="Arial"/>
      <color rgb="006B7385"/>
      <sz val="9"/>
    </font>
    <font>
      <name val="Arial"/>
      <b val="1"/>
      <color rgb="001F2A44"/>
      <sz val="10"/>
    </font>
    <font>
      <name val="Arial"/>
      <color rgb="00444444"/>
      <sz val="10"/>
    </font>
    <font>
      <name val="Arial"/>
      <b val="1"/>
      <color rgb="001F2A44"/>
      <sz val="18"/>
    </font>
    <font>
      <name val="Arial"/>
      <b val="1"/>
      <color rgb="001155CC"/>
      <sz val="10"/>
    </font>
    <font>
      <name val="Arial"/>
      <color rgb="00333333"/>
      <sz val="10"/>
    </font>
    <font>
      <name val="Arial"/>
      <b val="1"/>
      <color rgb="006B7385"/>
      <sz val="9"/>
    </font>
    <font>
      <name val="Arial"/>
      <b val="1"/>
      <color rgb="001F2A44"/>
      <sz val="11"/>
    </font>
    <font>
      <name val="Arial"/>
      <b val="1"/>
      <color rgb="00FFFFFF"/>
      <sz val="11"/>
    </font>
    <font>
      <name val="Arial"/>
      <color rgb="00000000"/>
      <sz val="10"/>
    </font>
    <font>
      <name val="Arial"/>
      <i val="1"/>
      <color rgb="006B7385"/>
      <sz val="8"/>
    </font>
    <font>
      <name val="Arial"/>
      <color rgb="00000000"/>
      <sz val="9"/>
    </font>
    <font>
      <name val="Arial"/>
      <b val="1"/>
      <color rgb="001F2A44"/>
      <sz val="22"/>
    </font>
    <font>
      <name val="Arial"/>
      <b val="1"/>
      <color rgb="00FFFFFF"/>
      <sz val="10"/>
    </font>
    <font>
      <name val="Arial"/>
      <b val="1"/>
      <color rgb="006B7385"/>
      <sz val="8"/>
    </font>
    <font>
      <name val="Arial"/>
      <b val="1"/>
      <color rgb="000F7B8A"/>
      <sz val="22"/>
    </font>
    <font>
      <name val="Arial"/>
      <color rgb="006B7385"/>
      <sz val="8"/>
    </font>
    <font>
      <name val="Arial"/>
      <b val="1"/>
      <color rgb="002E9E6B"/>
      <sz val="22"/>
    </font>
    <font>
      <name val="Arial"/>
      <color rgb="001155CC"/>
      <sz val="10"/>
    </font>
    <font>
      <name val="Arial"/>
      <b val="1"/>
      <color rgb="00333333"/>
      <sz val="9"/>
    </font>
    <font>
      <name val="Arial"/>
      <b val="1"/>
      <color rgb="000F7B8A"/>
      <sz val="12"/>
    </font>
  </fonts>
  <fills count="22">
    <fill>
      <patternFill/>
    </fill>
    <fill>
      <patternFill patternType="gray125"/>
    </fill>
    <fill>
      <patternFill patternType="solid">
        <fgColor rgb="003B4A63"/>
        <bgColor rgb="003B4A63"/>
      </patternFill>
    </fill>
    <fill>
      <patternFill patternType="solid">
        <fgColor rgb="003B6FB6"/>
        <bgColor rgb="003B6FB6"/>
      </patternFill>
    </fill>
    <fill>
      <patternFill patternType="solid">
        <fgColor rgb="00FFF8E1"/>
        <bgColor rgb="00FFF8E1"/>
      </patternFill>
    </fill>
    <fill>
      <patternFill patternType="solid">
        <fgColor rgb="002E9E6B"/>
        <bgColor rgb="002E9E6B"/>
      </patternFill>
    </fill>
    <fill>
      <patternFill patternType="solid">
        <fgColor rgb="00E08A1E"/>
        <bgColor rgb="00E08A1E"/>
      </patternFill>
    </fill>
    <fill>
      <patternFill patternType="solid">
        <fgColor rgb="008E5BB5"/>
        <bgColor rgb="008E5BB5"/>
      </patternFill>
    </fill>
    <fill>
      <patternFill patternType="solid">
        <fgColor rgb="00D1495B"/>
        <bgColor rgb="00D1495B"/>
      </patternFill>
    </fill>
    <fill>
      <patternFill patternType="solid">
        <fgColor rgb="001F9EA8"/>
        <bgColor rgb="001F9EA8"/>
      </patternFill>
    </fill>
    <fill>
      <patternFill patternType="solid">
        <fgColor rgb="000F7B8A"/>
        <bgColor rgb="000F7B8A"/>
      </patternFill>
    </fill>
    <fill>
      <patternFill patternType="solid">
        <fgColor rgb="00B7791F"/>
        <bgColor rgb="00B7791F"/>
      </patternFill>
    </fill>
    <fill>
      <patternFill patternType="solid">
        <fgColor rgb="00F5DADE"/>
        <bgColor rgb="00F5DADE"/>
      </patternFill>
    </fill>
    <fill>
      <patternFill patternType="solid">
        <fgColor rgb="00D7E2F0"/>
        <bgColor rgb="00D7E2F0"/>
      </patternFill>
    </fill>
    <fill>
      <patternFill patternType="solid">
        <fgColor rgb="00E8DEF0"/>
        <bgColor rgb="00E8DEF0"/>
      </patternFill>
    </fill>
    <fill>
      <patternFill patternType="solid">
        <fgColor rgb="00D5EBE1"/>
        <bgColor rgb="00D5EBE1"/>
      </patternFill>
    </fill>
    <fill>
      <patternFill patternType="solid">
        <fgColor rgb="00F8E7D2"/>
        <bgColor rgb="00F8E7D2"/>
      </patternFill>
    </fill>
    <fill>
      <patternFill patternType="solid">
        <fgColor rgb="00D2EBED"/>
        <bgColor rgb="00D2EBED"/>
      </patternFill>
    </fill>
    <fill>
      <patternFill patternType="solid">
        <fgColor rgb="001F2A44"/>
        <bgColor rgb="001F2A44"/>
      </patternFill>
    </fill>
    <fill>
      <patternFill patternType="solid">
        <fgColor rgb="00EEF0F5"/>
        <bgColor rgb="00EEF0F5"/>
      </patternFill>
    </fill>
    <fill>
      <patternFill patternType="solid">
        <fgColor rgb="00F3F5F9"/>
        <bgColor rgb="00F3F5F9"/>
      </patternFill>
    </fill>
    <fill>
      <patternFill patternType="solid">
        <fgColor rgb="00E9ECF3"/>
        <bgColor rgb="00E9ECF3"/>
      </patternFill>
    </fill>
  </fills>
  <borders count="6">
    <border>
      <left/>
      <right/>
      <top/>
      <bottom/>
      <diagonal/>
    </border>
    <border>
      <left style="thin">
        <color rgb="00D5D9E2"/>
      </left>
      <right style="thin">
        <color rgb="00D5D9E2"/>
      </right>
      <top style="thin">
        <color rgb="00D5D9E2"/>
      </top>
      <bottom style="thin">
        <color rgb="00D5D9E2"/>
      </bottom>
    </border>
    <border>
      <left/>
      <right/>
      <top style="thin">
        <color rgb="00D5D9E2"/>
      </top>
      <bottom/>
      <diagonal/>
    </border>
    <border>
      <left/>
      <right style="thin">
        <color rgb="00D5D9E2"/>
      </right>
      <top style="thin">
        <color rgb="00D5D9E2"/>
      </top>
      <bottom/>
      <diagonal/>
    </border>
    <border>
      <left/>
      <right/>
      <top style="thin">
        <color rgb="00D5D9E2"/>
      </top>
      <bottom style="thin">
        <color rgb="00D5D9E2"/>
      </bottom>
      <diagonal/>
    </border>
    <border>
      <left/>
      <right style="thin">
        <color rgb="00D5D9E2"/>
      </right>
      <top style="thin">
        <color rgb="00D5D9E2"/>
      </top>
      <bottom style="thin">
        <color rgb="00D5D9E2"/>
      </bottom>
      <diagonal/>
    </border>
  </borders>
  <cellStyleXfs count="1">
    <xf numFmtId="0" fontId="0" fillId="0" borderId="0"/>
  </cellStyleXfs>
  <cellXfs count="120">
    <xf numFmtId="0" fontId="0" fillId="0" borderId="0" pivotButton="0" quotePrefix="0" xfId="0"/>
    <xf numFmtId="0" fontId="18" fillId="0" borderId="0" pivotButton="0" quotePrefix="0" xfId="0"/>
    <xf numFmtId="0" fontId="2" fillId="0" borderId="0" pivotButton="0" quotePrefix="0" xfId="0"/>
    <xf numFmtId="0" fontId="19" fillId="10" borderId="0" applyAlignment="1" pivotButton="0" quotePrefix="0" xfId="0">
      <alignment horizontal="center" vertical="center" wrapText="1"/>
    </xf>
    <xf numFmtId="0" fontId="20" fillId="20" borderId="0" applyAlignment="1" pivotButton="0" quotePrefix="0" xfId="0">
      <alignment horizontal="center" vertical="center" wrapText="1"/>
    </xf>
    <xf numFmtId="0" fontId="0" fillId="20" borderId="0" pivotButton="0" quotePrefix="0" xfId="0"/>
    <xf numFmtId="3" fontId="21" fillId="20" borderId="0" applyAlignment="1" pivotButton="0" quotePrefix="0" xfId="0">
      <alignment horizontal="center" vertical="center" wrapText="1"/>
    </xf>
    <xf numFmtId="174" fontId="23" fillId="20" borderId="0" applyAlignment="1" pivotButton="0" quotePrefix="0" xfId="0">
      <alignment horizontal="center" vertical="center" wrapText="1"/>
    </xf>
    <xf numFmtId="178" fontId="21" fillId="20" borderId="0" applyAlignment="1" pivotButton="0" quotePrefix="0" xfId="0">
      <alignment horizontal="center" vertical="center" wrapText="1"/>
    </xf>
    <xf numFmtId="0" fontId="22" fillId="20" borderId="0" applyAlignment="1" pivotButton="0" quotePrefix="0" xfId="0">
      <alignment horizontal="center" vertical="center" wrapText="1"/>
    </xf>
    <xf numFmtId="0" fontId="14" fillId="18" borderId="0" applyAlignment="1" pivotButton="0" quotePrefix="0" xfId="0">
      <alignment horizontal="left" vertical="center"/>
    </xf>
    <xf numFmtId="0" fontId="0" fillId="18" borderId="0" pivotButton="0" quotePrefix="0" xfId="0"/>
    <xf numFmtId="0" fontId="4"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5" fillId="13" borderId="1" pivotButton="0" quotePrefix="0" xfId="0"/>
    <xf numFmtId="3" fontId="0" fillId="0" borderId="1" applyAlignment="1" pivotButton="0" quotePrefix="0" xfId="0">
      <alignment horizontal="center" vertical="center" wrapText="1"/>
    </xf>
    <xf numFmtId="174" fontId="0" fillId="0" borderId="1" applyAlignment="1" pivotButton="0" quotePrefix="0" xfId="0">
      <alignment horizontal="center" vertical="center" wrapText="1"/>
    </xf>
    <xf numFmtId="172" fontId="0" fillId="0" borderId="1" applyAlignment="1" pivotButton="0" quotePrefix="0" xfId="0">
      <alignment horizontal="center" vertical="center" wrapText="1"/>
    </xf>
    <xf numFmtId="179" fontId="0" fillId="0" borderId="1" applyAlignment="1" pivotButton="0" quotePrefix="0" xfId="0">
      <alignment horizontal="center" vertical="center" wrapText="1"/>
    </xf>
    <xf numFmtId="0" fontId="5" fillId="15" borderId="1" pivotButton="0" quotePrefix="0" xfId="0"/>
    <xf numFmtId="0" fontId="5" fillId="16" borderId="1" pivotButton="0" quotePrefix="0" xfId="0"/>
    <xf numFmtId="0" fontId="5" fillId="14" borderId="1" pivotButton="0" quotePrefix="0" xfId="0"/>
    <xf numFmtId="0" fontId="5" fillId="12" borderId="1" pivotButton="0" quotePrefix="0" xfId="0"/>
    <xf numFmtId="0" fontId="5" fillId="17" borderId="1" pivotButton="0" quotePrefix="0" xfId="0"/>
    <xf numFmtId="0" fontId="5" fillId="19" borderId="1" pivotButton="0" quotePrefix="0" xfId="0"/>
    <xf numFmtId="3" fontId="5" fillId="19" borderId="1" applyAlignment="1" pivotButton="0" quotePrefix="0" xfId="0">
      <alignment horizontal="center" vertical="center" wrapText="1"/>
    </xf>
    <xf numFmtId="174" fontId="5" fillId="19" borderId="1" applyAlignment="1" pivotButton="0" quotePrefix="0" xfId="0">
      <alignment horizontal="center" vertical="center" wrapText="1"/>
    </xf>
    <xf numFmtId="172" fontId="5" fillId="19" borderId="1" applyAlignment="1" pivotButton="0" quotePrefix="0" xfId="0">
      <alignment horizontal="center" vertical="center" wrapText="1"/>
    </xf>
    <xf numFmtId="0" fontId="24" fillId="0" borderId="1" pivotButton="0" quotePrefix="0" xfId="0"/>
    <xf numFmtId="46" fontId="0" fillId="0" borderId="1" applyAlignment="1" pivotButton="0" quotePrefix="0" xfId="0">
      <alignment horizontal="center" vertical="center" wrapText="1"/>
    </xf>
    <xf numFmtId="180" fontId="0" fillId="0"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wrapText="1"/>
    </xf>
    <xf numFmtId="0" fontId="9" fillId="0" borderId="0" pivotButton="0" quotePrefix="0" xfId="0"/>
    <xf numFmtId="0" fontId="3" fillId="0" borderId="0" pivotButton="0" quotePrefix="0" xfId="0"/>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10"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4" borderId="0" applyAlignment="1" applyProtection="1" pivotButton="0" quotePrefix="0" xfId="0">
      <alignment horizontal="center" vertical="center" wrapText="1"/>
      <protection locked="0" hidden="0"/>
    </xf>
    <xf numFmtId="164" fontId="0" fillId="4" borderId="0" applyAlignment="1" applyProtection="1" pivotButton="0" quotePrefix="0" xfId="0">
      <alignment horizontal="center" vertical="center" wrapText="1"/>
      <protection locked="0" hidden="0"/>
    </xf>
    <xf numFmtId="167" fontId="0" fillId="0" borderId="0" applyAlignment="1" pivotButton="0" quotePrefix="0" xfId="0">
      <alignment horizontal="center" vertical="center" wrapText="1"/>
    </xf>
    <xf numFmtId="0" fontId="0" fillId="12" borderId="0" pivotButton="0" quotePrefix="0" xfId="0"/>
    <xf numFmtId="46" fontId="0" fillId="0" borderId="0" applyAlignment="1" pivotButton="0" quotePrefix="0" xfId="0">
      <alignment horizontal="center" vertical="center" wrapText="1"/>
    </xf>
    <xf numFmtId="3" fontId="0" fillId="0" borderId="0" pivotButton="0" quotePrefix="0" xfId="0"/>
    <xf numFmtId="0" fontId="0" fillId="4" borderId="0" applyProtection="1" pivotButton="0" quotePrefix="0" xfId="0">
      <protection locked="0" hidden="0"/>
    </xf>
    <xf numFmtId="0" fontId="6" fillId="0" borderId="0" pivotButton="0" quotePrefix="0" xfId="0"/>
    <xf numFmtId="168" fontId="6" fillId="0" borderId="0" pivotButton="0" quotePrefix="0" xfId="0"/>
    <xf numFmtId="164" fontId="6" fillId="0"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1" fillId="0" borderId="0" pivotButton="0" quotePrefix="0" xfId="0"/>
    <xf numFmtId="0" fontId="12" fillId="0" borderId="0" pivotButton="0" quotePrefix="0" xfId="0"/>
    <xf numFmtId="0" fontId="13" fillId="4" borderId="1" applyAlignment="1" applyProtection="1" pivotButton="0" quotePrefix="0" xfId="0">
      <alignment horizontal="center" vertical="center" wrapText="1"/>
      <protection locked="0" hidden="0"/>
    </xf>
    <xf numFmtId="0" fontId="6" fillId="0" borderId="1" applyAlignment="1" pivotButton="0" quotePrefix="0" xfId="0">
      <alignment horizontal="center" vertical="center" wrapText="1"/>
    </xf>
    <xf numFmtId="164" fontId="0" fillId="0" borderId="0" pivotButton="0" quotePrefix="0" xfId="0"/>
    <xf numFmtId="0" fontId="3" fillId="0" borderId="0" applyAlignment="1" pivotButton="0" quotePrefix="0" xfId="0">
      <alignment horizontal="left" vertical="center"/>
    </xf>
    <xf numFmtId="0" fontId="13" fillId="0" borderId="0" pivotButton="0" quotePrefix="0" xfId="0"/>
    <xf numFmtId="0" fontId="25" fillId="13" borderId="1" applyAlignment="1" pivotButton="0" quotePrefix="0" xfId="0">
      <alignment horizontal="center" vertical="center" wrapText="1"/>
    </xf>
    <xf numFmtId="0" fontId="25" fillId="15" borderId="1" applyAlignment="1" pivotButton="0" quotePrefix="0" xfId="0">
      <alignment horizontal="center" vertical="center" wrapText="1"/>
    </xf>
    <xf numFmtId="0" fontId="25" fillId="16" borderId="1" applyAlignment="1" pivotButton="0" quotePrefix="0" xfId="0">
      <alignment horizontal="center" vertical="center" wrapText="1"/>
    </xf>
    <xf numFmtId="0" fontId="25" fillId="14" borderId="1" applyAlignment="1" pivotButton="0" quotePrefix="0" xfId="0">
      <alignment horizontal="center" vertical="center" wrapText="1"/>
    </xf>
    <xf numFmtId="0" fontId="25" fillId="12" borderId="1" applyAlignment="1" pivotButton="0" quotePrefix="0" xfId="0">
      <alignment horizontal="center" vertical="center" wrapText="1"/>
    </xf>
    <xf numFmtId="0" fontId="25" fillId="17" borderId="1" applyAlignment="1" pivotButton="0" quotePrefix="0" xfId="0">
      <alignment horizontal="center" vertical="center" wrapText="1"/>
    </xf>
    <xf numFmtId="0" fontId="19" fillId="18" borderId="0" applyAlignment="1" pivotButton="0" quotePrefix="0" xfId="0">
      <alignment horizontal="center" vertical="center" wrapText="1"/>
    </xf>
    <xf numFmtId="0" fontId="7" fillId="21" borderId="1" applyAlignment="1" pivotButton="0" quotePrefix="0" xfId="0">
      <alignment horizontal="left" vertical="center"/>
    </xf>
    <xf numFmtId="0" fontId="17" fillId="0" borderId="1" applyAlignment="1" pivotButton="0" quotePrefix="0" xfId="0">
      <alignment horizontal="left" vertical="center"/>
    </xf>
    <xf numFmtId="0" fontId="5" fillId="0" borderId="1" applyAlignment="1" pivotButton="0" quotePrefix="0" xfId="0">
      <alignment horizontal="center" vertical="center" wrapText="1"/>
    </xf>
    <xf numFmtId="170" fontId="0" fillId="0" borderId="1" applyAlignment="1" pivotButton="0" quotePrefix="0" xfId="0">
      <alignment horizontal="center" vertical="center" wrapText="1"/>
    </xf>
    <xf numFmtId="0" fontId="5" fillId="19"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5" fillId="0" borderId="1" pivotButton="0" quotePrefix="0" xfId="0"/>
    <xf numFmtId="170" fontId="5" fillId="19" borderId="1" applyAlignment="1" pivotButton="0" quotePrefix="0" xfId="0">
      <alignment horizontal="center" vertical="center" wrapText="1"/>
    </xf>
    <xf numFmtId="171" fontId="0" fillId="0" borderId="1" applyAlignment="1" pivotButton="0" quotePrefix="0" xfId="0">
      <alignment horizontal="center" vertical="center" wrapText="1"/>
    </xf>
    <xf numFmtId="173" fontId="5" fillId="0" borderId="1" applyAlignment="1" pivotButton="0" quotePrefix="0" xfId="0">
      <alignment horizontal="center" vertical="center" wrapText="1"/>
    </xf>
    <xf numFmtId="0" fontId="12" fillId="0" borderId="1" applyAlignment="1" pivotButton="0" quotePrefix="0" xfId="0">
      <alignment horizontal="center" vertical="center" wrapText="1"/>
    </xf>
    <xf numFmtId="46" fontId="15" fillId="0" borderId="1" applyAlignment="1" pivotButton="0" quotePrefix="0" xfId="0">
      <alignment horizontal="center" vertical="center" wrapText="1"/>
    </xf>
    <xf numFmtId="46" fontId="5" fillId="19" borderId="1" applyAlignment="1" pivotButton="0" quotePrefix="0" xfId="0">
      <alignment horizontal="center" vertical="center" wrapText="1"/>
    </xf>
    <xf numFmtId="0" fontId="16" fillId="0" borderId="0" pivotButton="0" quotePrefix="0" xfId="0"/>
    <xf numFmtId="164" fontId="0" fillId="0" borderId="1" applyAlignment="1" pivotButton="0" quotePrefix="0" xfId="0">
      <alignment horizontal="center" vertical="center" wrapText="1"/>
    </xf>
    <xf numFmtId="175" fontId="0" fillId="0" borderId="1" applyAlignment="1" pivotButton="0" quotePrefix="0" xfId="0">
      <alignment horizontal="center" vertical="center" wrapText="1"/>
    </xf>
    <xf numFmtId="1" fontId="0" fillId="0" borderId="1" applyAlignment="1" pivotButton="0" quotePrefix="0" xfId="0">
      <alignment horizontal="center" vertical="center" wrapText="1"/>
    </xf>
    <xf numFmtId="0" fontId="17" fillId="0" borderId="1" pivotButton="0" quotePrefix="0" xfId="0"/>
    <xf numFmtId="164" fontId="0" fillId="19" borderId="1" applyAlignment="1" pivotButton="0" quotePrefix="0" xfId="0">
      <alignment horizontal="center" vertical="center" wrapText="1"/>
    </xf>
    <xf numFmtId="175" fontId="0" fillId="19" borderId="1" applyAlignment="1" pivotButton="0" quotePrefix="0" xfId="0">
      <alignment horizontal="center" vertical="center" wrapText="1"/>
    </xf>
    <xf numFmtId="1" fontId="0" fillId="19" borderId="1" applyAlignment="1" pivotButton="0" quotePrefix="0" xfId="0">
      <alignment horizontal="center" vertical="center" wrapText="1"/>
    </xf>
    <xf numFmtId="3" fontId="0" fillId="19" borderId="1" applyAlignment="1" pivotButton="0" quotePrefix="0" xfId="0">
      <alignment horizontal="center" vertical="center" wrapText="1"/>
    </xf>
    <xf numFmtId="46" fontId="0" fillId="19" borderId="1" applyAlignment="1" pivotButton="0" quotePrefix="0" xfId="0">
      <alignment horizontal="center" vertical="center" wrapText="1"/>
    </xf>
    <xf numFmtId="0" fontId="17" fillId="19" borderId="1" pivotButton="0" quotePrefix="0" xfId="0"/>
    <xf numFmtId="176" fontId="0" fillId="0" borderId="1" applyAlignment="1" pivotButton="0" quotePrefix="0" xfId="0">
      <alignment horizontal="center" vertical="center" wrapText="1"/>
    </xf>
    <xf numFmtId="177" fontId="0" fillId="0" borderId="1" applyAlignment="1" pivotButton="0" quotePrefix="0" xfId="0">
      <alignment horizontal="center" vertical="center" wrapText="1"/>
    </xf>
    <xf numFmtId="0" fontId="17" fillId="0" borderId="0" pivotButton="0" quotePrefix="0" xfId="0"/>
    <xf numFmtId="0" fontId="0" fillId="3" borderId="1" pivotButton="0" quotePrefix="0" xfId="0"/>
    <xf numFmtId="0" fontId="0" fillId="0" borderId="1" applyAlignment="1" applyProtection="1" pivotButton="0" quotePrefix="0" xfId="0">
      <alignment horizontal="center" vertical="center" wrapText="1"/>
      <protection locked="0" hidden="0"/>
    </xf>
    <xf numFmtId="0" fontId="6" fillId="0" borderId="1" pivotButton="0" quotePrefix="0" xfId="0"/>
    <xf numFmtId="164" fontId="0" fillId="4" borderId="1" applyAlignment="1" pivotButton="0" quotePrefix="0" xfId="0">
      <alignment horizontal="center" vertical="center" wrapText="1"/>
    </xf>
    <xf numFmtId="166" fontId="6" fillId="0" borderId="1" applyAlignment="1" pivotButton="0" quotePrefix="0" xfId="0">
      <alignment horizontal="center" vertical="center" wrapText="1"/>
    </xf>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0" fillId="9" borderId="1" pivotButton="0" quotePrefix="0" xfId="0"/>
    <xf numFmtId="0" fontId="7" fillId="0" borderId="0" pivotButton="0" quotePrefix="0" xfId="0"/>
    <xf numFmtId="0" fontId="8" fillId="0" borderId="0" pivotButton="0" quotePrefix="0" xfId="0"/>
    <xf numFmtId="0" fontId="26" fillId="0" borderId="0" pivotButton="0" quotePrefix="0" xfId="0"/>
    <xf numFmtId="0" fontId="5" fillId="0" borderId="0" pivotButton="0" quotePrefix="0" xfId="0"/>
    <xf numFmtId="0" fontId="0" fillId="4" borderId="1" applyProtection="1" pivotButton="0" quotePrefix="0" xfId="0">
      <protection locked="0" hidden="0"/>
    </xf>
    <xf numFmtId="169" fontId="0" fillId="0" borderId="1" applyAlignment="1" pivotButton="0" quotePrefix="0" xfId="0">
      <alignment horizontal="left" vertical="center"/>
    </xf>
    <xf numFmtId="3" fontId="0" fillId="0" borderId="1" applyAlignment="1" pivotButton="0" quotePrefix="0" xfId="0">
      <alignment horizontal="left" vertical="center"/>
    </xf>
    <xf numFmtId="0" fontId="0" fillId="0" borderId="1" applyAlignment="1" pivotButton="0" quotePrefix="0" xfId="0">
      <alignment horizontal="left" vertical="center"/>
    </xf>
    <xf numFmtId="0" fontId="11" fillId="0" borderId="0" pivotButton="0" quotePrefix="0" xfId="0"/>
  </cellXfs>
  <cellStyles count="1">
    <cellStyle name="Normal" xfId="0" builtinId="0" hidden="0"/>
  </cellStyles>
  <dxfs count="24">
    <dxf>
      <font>
        <b val="1"/>
        <i val="1"/>
        <color rgb="00C0392B"/>
      </font>
    </dxf>
    <dxf>
      <fill>
        <patternFill patternType="solid">
          <fgColor rgb="00DDF2E2"/>
          <bgColor rgb="00DDF2E2"/>
        </patternFill>
      </fill>
    </dxf>
    <dxf>
      <font>
        <color rgb="001E6B34"/>
      </font>
      <fill>
        <patternFill patternType="solid">
          <fgColor rgb="00DDF2E2"/>
          <bgColor rgb="00DDF2E2"/>
        </patternFill>
      </fill>
    </dxf>
    <dxf>
      <font>
        <color rgb="008A5A00"/>
      </font>
      <fill>
        <patternFill patternType="solid">
          <fgColor rgb="00FFEFC2"/>
          <bgColor rgb="00FFEFC2"/>
        </patternFill>
      </fill>
    </dxf>
    <dxf>
      <font>
        <color rgb="007A8294"/>
      </font>
      <fill>
        <patternFill patternType="solid">
          <fgColor rgb="00E6E8EC"/>
          <bgColor rgb="00E6E8EC"/>
        </patternFill>
      </fill>
    </dxf>
    <dxf>
      <font>
        <color rgb="007A8294"/>
      </font>
    </dxf>
    <dxf>
      <font>
        <b val="1"/>
        <color rgb="00C0392B"/>
      </font>
    </dxf>
    <dxf>
      <fill>
        <patternFill patternType="solid">
          <fgColor rgb="00D7E2F0"/>
          <bgColor rgb="00D7E2F0"/>
        </patternFill>
      </fill>
    </dxf>
    <dxf>
      <fill>
        <patternFill patternType="solid">
          <fgColor rgb="00D5EBE1"/>
          <bgColor rgb="00D5EBE1"/>
        </patternFill>
      </fill>
    </dxf>
    <dxf>
      <fill>
        <patternFill patternType="solid">
          <fgColor rgb="00F8E7D2"/>
          <bgColor rgb="00F8E7D2"/>
        </patternFill>
      </fill>
    </dxf>
    <dxf>
      <fill>
        <patternFill patternType="solid">
          <fgColor rgb="00E8DEF0"/>
          <bgColor rgb="00E8DEF0"/>
        </patternFill>
      </fill>
    </dxf>
    <dxf>
      <fill>
        <patternFill patternType="solid">
          <fgColor rgb="00F5DADE"/>
          <bgColor rgb="00F5DADE"/>
        </patternFill>
      </fill>
    </dxf>
    <dxf>
      <fill>
        <patternFill patternType="solid">
          <fgColor rgb="00D2EBED"/>
          <bgColor rgb="00D2EBED"/>
        </patternFill>
      </fill>
    </dxf>
    <dxf>
      <fill>
        <patternFill patternType="solid">
          <fgColor rgb="00D5D9E2"/>
          <bgColor rgb="00D5D9E2"/>
        </patternFill>
      </fill>
    </dxf>
    <dxf>
      <fill>
        <patternFill patternType="solid">
          <fgColor rgb="00C8D6EA"/>
          <bgColor rgb="00C8D6EA"/>
        </patternFill>
      </fill>
    </dxf>
    <dxf>
      <fill>
        <patternFill patternType="solid">
          <fgColor rgb="00C4E3D5"/>
          <bgColor rgb="00C4E3D5"/>
        </patternFill>
      </fill>
    </dxf>
    <dxf>
      <fill>
        <patternFill patternType="solid">
          <fgColor rgb="00F6DEC0"/>
          <bgColor rgb="00F6DEC0"/>
        </patternFill>
      </fill>
    </dxf>
    <dxf>
      <fill>
        <patternFill patternType="solid">
          <fgColor rgb="00DFD1EA"/>
          <bgColor rgb="00DFD1EA"/>
        </patternFill>
      </fill>
    </dxf>
    <dxf>
      <fill>
        <patternFill patternType="solid">
          <fgColor rgb="00F2CCD1"/>
          <bgColor rgb="00F2CCD1"/>
        </patternFill>
      </fill>
    </dxf>
    <dxf>
      <fill>
        <patternFill patternType="solid">
          <fgColor rgb="00C0E3E6"/>
          <bgColor rgb="00C0E3E6"/>
        </patternFill>
      </fill>
    </dxf>
    <dxf>
      <font>
        <color rgb="008A93A6"/>
      </font>
    </dxf>
    <dxf>
      <fill>
        <patternFill patternType="solid">
          <fgColor rgb="00FFD9C2"/>
          <bgColor rgb="00FFD9C2"/>
        </patternFill>
      </fill>
    </dxf>
    <dxf>
      <fill>
        <patternFill patternType="solid">
          <fgColor rgb="00E6E8EC"/>
          <bgColor rgb="00E6E8EC"/>
        </patternFill>
      </fill>
    </dxf>
    <dxf>
      <font>
        <b val="1"/>
        <color rgb="001E6B34"/>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Watched vs. backlog (videos)</a:t>
            </a:r>
          </a:p>
        </rich>
      </tx>
      <overlay val="0"/>
    </title>
    <plotArea>
      <barChart>
        <barDir val="bar"/>
        <grouping val="stacked"/>
        <ser>
          <idx val="0"/>
          <order val="0"/>
          <tx>
            <strRef>
              <f>'Stats'!D7</f>
            </strRef>
          </tx>
          <spPr>
            <a:solidFill xmlns:a="http://schemas.openxmlformats.org/drawingml/2006/main">
              <a:srgbClr val="2E9E6B"/>
            </a:solidFill>
            <a:ln xmlns:a="http://schemas.openxmlformats.org/drawingml/2006/main">
              <a:solidFill>
                <a:srgbClr val="2E9E6B"/>
              </a:solidFill>
              <a:prstDash val="solid"/>
            </a:ln>
          </spPr>
          <cat>
            <numRef>
              <f>'Stats'!$B$8:$B$13</f>
            </numRef>
          </cat>
          <val>
            <numRef>
              <f>'Stats'!$D$8:$D$13</f>
            </numRef>
          </val>
        </ser>
        <ser>
          <idx val="1"/>
          <order val="1"/>
          <tx>
            <strRef>
              <f>'Stats'!E7</f>
            </strRef>
          </tx>
          <spPr>
            <a:solidFill xmlns:a="http://schemas.openxmlformats.org/drawingml/2006/main">
              <a:srgbClr val="E0B33A"/>
            </a:solidFill>
            <a:ln xmlns:a="http://schemas.openxmlformats.org/drawingml/2006/main">
              <a:solidFill>
                <a:srgbClr val="E0B33A"/>
              </a:solidFill>
              <a:prstDash val="solid"/>
            </a:ln>
          </spPr>
          <cat>
            <numRef>
              <f>'Stats'!$B$8:$B$13</f>
            </numRef>
          </cat>
          <val>
            <numRef>
              <f>'Stats'!$E$8:$E$13</f>
            </numRef>
          </val>
        </ser>
        <ser>
          <idx val="2"/>
          <order val="2"/>
          <tx>
            <strRef>
              <f>'Stats'!F7</f>
            </strRef>
          </tx>
          <spPr>
            <a:solidFill xmlns:a="http://schemas.openxmlformats.org/drawingml/2006/main">
              <a:srgbClr val="C5CAD6"/>
            </a:solidFill>
            <a:ln xmlns:a="http://schemas.openxmlformats.org/drawingml/2006/main">
              <a:solidFill>
                <a:srgbClr val="C5CAD6"/>
              </a:solidFill>
              <a:prstDash val="solid"/>
            </a:ln>
          </spPr>
          <cat>
            <numRef>
              <f>'Stats'!$B$8:$B$13</f>
            </numRef>
          </cat>
          <val>
            <numRef>
              <f>'Stats'!$F$8:$F$13</f>
            </numRef>
          </val>
        </ser>
        <gapWidth val="50"/>
        <overlap val="10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majorTickMark val="none"/>
        <minorTickMark val="none"/>
        <crossAx val="10"/>
        <crosses val="max"/>
      </valAx>
    </plotArea>
    <legend>
      <legendPos val="b"/>
      <layout>
        <manualLayout>
          <xMode val="edge"/>
          <yMode val="edge"/>
          <wMode val="factor"/>
          <hMode val="factor"/>
          <x val="0.03"/>
          <y val="0.87"/>
          <w val="0.9399999999999999"/>
          <h val="0.11"/>
        </manualLayout>
      </layout>
      <overlay val="0"/>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Videos uploaded per year</a:t>
            </a:r>
          </a:p>
        </rich>
      </tx>
      <overlay val="0"/>
    </title>
    <plotArea>
      <barChart>
        <barDir val="col"/>
        <grouping val="clustered"/>
        <ser>
          <idx val="0"/>
          <order val="0"/>
          <tx>
            <strRef>
              <f>'History'!I63</f>
            </strRef>
          </tx>
          <spPr>
            <a:solidFill xmlns:a="http://schemas.openxmlformats.org/drawingml/2006/main">
              <a:srgbClr val="0F7B8A"/>
            </a:solidFill>
            <a:ln xmlns:a="http://schemas.openxmlformats.org/drawingml/2006/main">
              <a:prstDash val="solid"/>
            </a:ln>
          </spPr>
          <cat>
            <numRef>
              <f>'History'!$B$64:$B$78</f>
            </numRef>
          </cat>
          <val>
            <numRef>
              <f>'History'!$I$64:$I$78</f>
            </numRef>
          </val>
        </ser>
        <gapWidth val="4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Uploads by month (selected year)</a:t>
            </a:r>
          </a:p>
        </rich>
      </tx>
      <overlay val="0"/>
    </title>
    <plotArea>
      <barChart>
        <barDir val="col"/>
        <grouping val="stacked"/>
        <ser>
          <idx val="0"/>
          <order val="0"/>
          <tx>
            <strRef>
              <f>'History'!C27</f>
            </strRef>
          </tx>
          <spPr>
            <a:solidFill xmlns:a="http://schemas.openxmlformats.org/drawingml/2006/main">
              <a:srgbClr val="3B6FB6"/>
            </a:solidFill>
            <a:ln xmlns:a="http://schemas.openxmlformats.org/drawingml/2006/main">
              <a:solidFill>
                <a:srgbClr val="3B6FB6"/>
              </a:solidFill>
              <a:prstDash val="solid"/>
            </a:ln>
          </spPr>
          <cat>
            <numRef>
              <f>'History'!$B$28:$B$39</f>
            </numRef>
          </cat>
          <val>
            <numRef>
              <f>'History'!$C$28:$C$39</f>
            </numRef>
          </val>
        </ser>
        <ser>
          <idx val="1"/>
          <order val="1"/>
          <tx>
            <strRef>
              <f>'History'!D27</f>
            </strRef>
          </tx>
          <spPr>
            <a:solidFill xmlns:a="http://schemas.openxmlformats.org/drawingml/2006/main">
              <a:srgbClr val="2E9E6B"/>
            </a:solidFill>
            <a:ln xmlns:a="http://schemas.openxmlformats.org/drawingml/2006/main">
              <a:solidFill>
                <a:srgbClr val="2E9E6B"/>
              </a:solidFill>
              <a:prstDash val="solid"/>
            </a:ln>
          </spPr>
          <cat>
            <numRef>
              <f>'History'!$B$28:$B$39</f>
            </numRef>
          </cat>
          <val>
            <numRef>
              <f>'History'!$D$28:$D$39</f>
            </numRef>
          </val>
        </ser>
        <ser>
          <idx val="2"/>
          <order val="2"/>
          <tx>
            <strRef>
              <f>'History'!E27</f>
            </strRef>
          </tx>
          <spPr>
            <a:solidFill xmlns:a="http://schemas.openxmlformats.org/drawingml/2006/main">
              <a:srgbClr val="E08A1E"/>
            </a:solidFill>
            <a:ln xmlns:a="http://schemas.openxmlformats.org/drawingml/2006/main">
              <a:solidFill>
                <a:srgbClr val="E08A1E"/>
              </a:solidFill>
              <a:prstDash val="solid"/>
            </a:ln>
          </spPr>
          <cat>
            <numRef>
              <f>'History'!$B$28:$B$39</f>
            </numRef>
          </cat>
          <val>
            <numRef>
              <f>'History'!$E$28:$E$39</f>
            </numRef>
          </val>
        </ser>
        <ser>
          <idx val="3"/>
          <order val="3"/>
          <tx>
            <strRef>
              <f>'History'!F27</f>
            </strRef>
          </tx>
          <spPr>
            <a:solidFill xmlns:a="http://schemas.openxmlformats.org/drawingml/2006/main">
              <a:srgbClr val="8E5BB5"/>
            </a:solidFill>
            <a:ln xmlns:a="http://schemas.openxmlformats.org/drawingml/2006/main">
              <a:solidFill>
                <a:srgbClr val="8E5BB5"/>
              </a:solidFill>
              <a:prstDash val="solid"/>
            </a:ln>
          </spPr>
          <cat>
            <numRef>
              <f>'History'!$B$28:$B$39</f>
            </numRef>
          </cat>
          <val>
            <numRef>
              <f>'History'!$F$28:$F$39</f>
            </numRef>
          </val>
        </ser>
        <ser>
          <idx val="4"/>
          <order val="4"/>
          <tx>
            <strRef>
              <f>'History'!G27</f>
            </strRef>
          </tx>
          <spPr>
            <a:solidFill xmlns:a="http://schemas.openxmlformats.org/drawingml/2006/main">
              <a:srgbClr val="D1495B"/>
            </a:solidFill>
            <a:ln xmlns:a="http://schemas.openxmlformats.org/drawingml/2006/main">
              <a:solidFill>
                <a:srgbClr val="D1495B"/>
              </a:solidFill>
              <a:prstDash val="solid"/>
            </a:ln>
          </spPr>
          <cat>
            <numRef>
              <f>'History'!$B$28:$B$39</f>
            </numRef>
          </cat>
          <val>
            <numRef>
              <f>'History'!$G$28:$G$39</f>
            </numRef>
          </val>
        </ser>
        <ser>
          <idx val="5"/>
          <order val="5"/>
          <tx>
            <strRef>
              <f>'History'!H27</f>
            </strRef>
          </tx>
          <spPr>
            <a:solidFill xmlns:a="http://schemas.openxmlformats.org/drawingml/2006/main">
              <a:srgbClr val="1F9EA8"/>
            </a:solidFill>
            <a:ln xmlns:a="http://schemas.openxmlformats.org/drawingml/2006/main">
              <a:solidFill>
                <a:srgbClr val="1F9EA8"/>
              </a:solidFill>
              <a:prstDash val="solid"/>
            </a:ln>
          </spPr>
          <cat>
            <numRef>
              <f>'History'!$B$28:$B$39</f>
            </numRef>
          </cat>
          <val>
            <numRef>
              <f>'History'!$H$28:$H$39</f>
            </numRef>
          </val>
        </ser>
        <gapWidth val="4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ayout>
        <manualLayout>
          <xMode val="edge"/>
          <yMode val="edge"/>
          <wMode val="factor"/>
          <hMode val="factor"/>
          <x val="0.03"/>
          <y val="0.87"/>
          <w val="0.9399999999999999"/>
          <h val="0.11"/>
        </manualLayout>
      </layout>
      <overlay val="0"/>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Videos uploaded per year</a:t>
            </a:r>
          </a:p>
        </rich>
      </tx>
      <overlay val="0"/>
    </title>
    <plotArea>
      <barChart>
        <barDir val="col"/>
        <grouping val="stacked"/>
        <ser>
          <idx val="0"/>
          <order val="0"/>
          <tx>
            <strRef>
              <f>'History'!C63</f>
            </strRef>
          </tx>
          <spPr>
            <a:solidFill xmlns:a="http://schemas.openxmlformats.org/drawingml/2006/main">
              <a:srgbClr val="3B6FB6"/>
            </a:solidFill>
            <a:ln xmlns:a="http://schemas.openxmlformats.org/drawingml/2006/main">
              <a:solidFill>
                <a:srgbClr val="3B6FB6"/>
              </a:solidFill>
              <a:prstDash val="solid"/>
            </a:ln>
          </spPr>
          <cat>
            <numRef>
              <f>'History'!$B$64:$B$78</f>
            </numRef>
          </cat>
          <val>
            <numRef>
              <f>'History'!$C$64:$C$78</f>
            </numRef>
          </val>
        </ser>
        <ser>
          <idx val="1"/>
          <order val="1"/>
          <tx>
            <strRef>
              <f>'History'!D63</f>
            </strRef>
          </tx>
          <spPr>
            <a:solidFill xmlns:a="http://schemas.openxmlformats.org/drawingml/2006/main">
              <a:srgbClr val="2E9E6B"/>
            </a:solidFill>
            <a:ln xmlns:a="http://schemas.openxmlformats.org/drawingml/2006/main">
              <a:solidFill>
                <a:srgbClr val="2E9E6B"/>
              </a:solidFill>
              <a:prstDash val="solid"/>
            </a:ln>
          </spPr>
          <cat>
            <numRef>
              <f>'History'!$B$64:$B$78</f>
            </numRef>
          </cat>
          <val>
            <numRef>
              <f>'History'!$D$64:$D$78</f>
            </numRef>
          </val>
        </ser>
        <ser>
          <idx val="2"/>
          <order val="2"/>
          <tx>
            <strRef>
              <f>'History'!E63</f>
            </strRef>
          </tx>
          <spPr>
            <a:solidFill xmlns:a="http://schemas.openxmlformats.org/drawingml/2006/main">
              <a:srgbClr val="E08A1E"/>
            </a:solidFill>
            <a:ln xmlns:a="http://schemas.openxmlformats.org/drawingml/2006/main">
              <a:solidFill>
                <a:srgbClr val="E08A1E"/>
              </a:solidFill>
              <a:prstDash val="solid"/>
            </a:ln>
          </spPr>
          <cat>
            <numRef>
              <f>'History'!$B$64:$B$78</f>
            </numRef>
          </cat>
          <val>
            <numRef>
              <f>'History'!$E$64:$E$78</f>
            </numRef>
          </val>
        </ser>
        <ser>
          <idx val="3"/>
          <order val="3"/>
          <tx>
            <strRef>
              <f>'History'!F63</f>
            </strRef>
          </tx>
          <spPr>
            <a:solidFill xmlns:a="http://schemas.openxmlformats.org/drawingml/2006/main">
              <a:srgbClr val="8E5BB5"/>
            </a:solidFill>
            <a:ln xmlns:a="http://schemas.openxmlformats.org/drawingml/2006/main">
              <a:solidFill>
                <a:srgbClr val="8E5BB5"/>
              </a:solidFill>
              <a:prstDash val="solid"/>
            </a:ln>
          </spPr>
          <cat>
            <numRef>
              <f>'History'!$B$64:$B$78</f>
            </numRef>
          </cat>
          <val>
            <numRef>
              <f>'History'!$F$64:$F$78</f>
            </numRef>
          </val>
        </ser>
        <ser>
          <idx val="4"/>
          <order val="4"/>
          <tx>
            <strRef>
              <f>'History'!G63</f>
            </strRef>
          </tx>
          <spPr>
            <a:solidFill xmlns:a="http://schemas.openxmlformats.org/drawingml/2006/main">
              <a:srgbClr val="D1495B"/>
            </a:solidFill>
            <a:ln xmlns:a="http://schemas.openxmlformats.org/drawingml/2006/main">
              <a:solidFill>
                <a:srgbClr val="D1495B"/>
              </a:solidFill>
              <a:prstDash val="solid"/>
            </a:ln>
          </spPr>
          <cat>
            <numRef>
              <f>'History'!$B$64:$B$78</f>
            </numRef>
          </cat>
          <val>
            <numRef>
              <f>'History'!$G$64:$G$78</f>
            </numRef>
          </val>
        </ser>
        <ser>
          <idx val="5"/>
          <order val="5"/>
          <tx>
            <strRef>
              <f>'History'!H63</f>
            </strRef>
          </tx>
          <spPr>
            <a:solidFill xmlns:a="http://schemas.openxmlformats.org/drawingml/2006/main">
              <a:srgbClr val="1F9EA8"/>
            </a:solidFill>
            <a:ln xmlns:a="http://schemas.openxmlformats.org/drawingml/2006/main">
              <a:solidFill>
                <a:srgbClr val="1F9EA8"/>
              </a:solidFill>
              <a:prstDash val="solid"/>
            </a:ln>
          </spPr>
          <cat>
            <numRef>
              <f>'History'!$B$64:$B$78</f>
            </numRef>
          </cat>
          <val>
            <numRef>
              <f>'History'!$H$64:$H$78</f>
            </numRef>
          </val>
        </ser>
        <gapWidth val="4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ayout>
        <manualLayout>
          <xMode val="edge"/>
          <yMode val="edge"/>
          <wMode val="factor"/>
          <hMode val="factor"/>
          <x val="0.03"/>
          <y val="0.87"/>
          <w val="0.9399999999999999"/>
          <h val="0.11"/>
        </manualLayout>
      </layout>
      <overlay val="0"/>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Videos uploaded per month, by channel</a:t>
            </a:r>
          </a:p>
        </rich>
      </tx>
      <overlay val="0"/>
    </title>
    <plotArea>
      <barChart>
        <barDir val="col"/>
        <grouping val="stacked"/>
        <ser>
          <idx val="0"/>
          <order val="0"/>
          <tx>
            <strRef>
              <f>'History'!C143</f>
            </strRef>
          </tx>
          <spPr>
            <a:solidFill xmlns:a="http://schemas.openxmlformats.org/drawingml/2006/main">
              <a:srgbClr val="3B6FB6"/>
            </a:solidFill>
            <a:ln xmlns:a="http://schemas.openxmlformats.org/drawingml/2006/main">
              <a:solidFill>
                <a:srgbClr val="3B6FB6"/>
              </a:solidFill>
              <a:prstDash val="solid"/>
            </a:ln>
          </spPr>
          <cat>
            <numRef>
              <f>'History'!$B$144:$B$317</f>
            </numRef>
          </cat>
          <val>
            <numRef>
              <f>'History'!$C$144:$C$317</f>
            </numRef>
          </val>
        </ser>
        <ser>
          <idx val="1"/>
          <order val="1"/>
          <tx>
            <strRef>
              <f>'History'!D143</f>
            </strRef>
          </tx>
          <spPr>
            <a:solidFill xmlns:a="http://schemas.openxmlformats.org/drawingml/2006/main">
              <a:srgbClr val="2E9E6B"/>
            </a:solidFill>
            <a:ln xmlns:a="http://schemas.openxmlformats.org/drawingml/2006/main">
              <a:solidFill>
                <a:srgbClr val="2E9E6B"/>
              </a:solidFill>
              <a:prstDash val="solid"/>
            </a:ln>
          </spPr>
          <cat>
            <numRef>
              <f>'History'!$B$144:$B$317</f>
            </numRef>
          </cat>
          <val>
            <numRef>
              <f>'History'!$D$144:$D$317</f>
            </numRef>
          </val>
        </ser>
        <ser>
          <idx val="2"/>
          <order val="2"/>
          <tx>
            <strRef>
              <f>'History'!E143</f>
            </strRef>
          </tx>
          <spPr>
            <a:solidFill xmlns:a="http://schemas.openxmlformats.org/drawingml/2006/main">
              <a:srgbClr val="E08A1E"/>
            </a:solidFill>
            <a:ln xmlns:a="http://schemas.openxmlformats.org/drawingml/2006/main">
              <a:solidFill>
                <a:srgbClr val="E08A1E"/>
              </a:solidFill>
              <a:prstDash val="solid"/>
            </a:ln>
          </spPr>
          <cat>
            <numRef>
              <f>'History'!$B$144:$B$317</f>
            </numRef>
          </cat>
          <val>
            <numRef>
              <f>'History'!$E$144:$E$317</f>
            </numRef>
          </val>
        </ser>
        <ser>
          <idx val="3"/>
          <order val="3"/>
          <tx>
            <strRef>
              <f>'History'!F143</f>
            </strRef>
          </tx>
          <spPr>
            <a:solidFill xmlns:a="http://schemas.openxmlformats.org/drawingml/2006/main">
              <a:srgbClr val="8E5BB5"/>
            </a:solidFill>
            <a:ln xmlns:a="http://schemas.openxmlformats.org/drawingml/2006/main">
              <a:solidFill>
                <a:srgbClr val="8E5BB5"/>
              </a:solidFill>
              <a:prstDash val="solid"/>
            </a:ln>
          </spPr>
          <cat>
            <numRef>
              <f>'History'!$B$144:$B$317</f>
            </numRef>
          </cat>
          <val>
            <numRef>
              <f>'History'!$F$144:$F$317</f>
            </numRef>
          </val>
        </ser>
        <ser>
          <idx val="4"/>
          <order val="4"/>
          <tx>
            <strRef>
              <f>'History'!G143</f>
            </strRef>
          </tx>
          <spPr>
            <a:solidFill xmlns:a="http://schemas.openxmlformats.org/drawingml/2006/main">
              <a:srgbClr val="D1495B"/>
            </a:solidFill>
            <a:ln xmlns:a="http://schemas.openxmlformats.org/drawingml/2006/main">
              <a:solidFill>
                <a:srgbClr val="D1495B"/>
              </a:solidFill>
              <a:prstDash val="solid"/>
            </a:ln>
          </spPr>
          <cat>
            <numRef>
              <f>'History'!$B$144:$B$317</f>
            </numRef>
          </cat>
          <val>
            <numRef>
              <f>'History'!$G$144:$G$317</f>
            </numRef>
          </val>
        </ser>
        <ser>
          <idx val="5"/>
          <order val="5"/>
          <tx>
            <strRef>
              <f>'History'!H143</f>
            </strRef>
          </tx>
          <spPr>
            <a:solidFill xmlns:a="http://schemas.openxmlformats.org/drawingml/2006/main">
              <a:srgbClr val="1F9EA8"/>
            </a:solidFill>
            <a:ln xmlns:a="http://schemas.openxmlformats.org/drawingml/2006/main">
              <a:solidFill>
                <a:srgbClr val="1F9EA8"/>
              </a:solidFill>
              <a:prstDash val="solid"/>
            </a:ln>
          </spPr>
          <cat>
            <numRef>
              <f>'History'!$B$144:$B$317</f>
            </numRef>
          </cat>
          <val>
            <numRef>
              <f>'History'!$H$144:$H$317</f>
            </numRef>
          </val>
        </ser>
        <gapWidth val="10"/>
        <overlap val="100"/>
        <axId val="10"/>
        <axId val="100"/>
      </barChart>
      <catAx>
        <axId val="10"/>
        <scaling>
          <orientation val="minMax"/>
        </scaling>
        <delete val="0"/>
        <axPos val="l"/>
        <numFmt formatCode="mmm yyyy" sourceLinked="0"/>
        <majorTickMark val="none"/>
        <minorTickMark val="none"/>
        <crossAx val="100"/>
        <lblOffset val="100"/>
      </catAx>
      <valAx>
        <axId val="100"/>
        <scaling>
          <orientation val="minMax"/>
        </scaling>
        <delete val="0"/>
        <axPos val="l"/>
        <majorGridlines/>
        <majorTickMark val="none"/>
        <minorTickMark val="none"/>
        <crossAx val="10"/>
      </valAx>
    </plotArea>
    <legend>
      <legendPos val="b"/>
      <layout>
        <manualLayout>
          <xMode val="edge"/>
          <yMode val="edge"/>
          <wMode val="factor"/>
          <hMode val="factor"/>
          <x val="0.03"/>
          <y val="0.87"/>
          <w val="0.9399999999999999"/>
          <h val="0.11"/>
        </manualLayout>
      </layout>
      <overlay val="0"/>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Videos watched per month (only those with a Watched On date)</a:t>
            </a:r>
          </a:p>
        </rich>
      </tx>
      <overlay val="0"/>
    </title>
    <plotArea>
      <barChart>
        <barDir val="col"/>
        <grouping val="clustered"/>
        <ser>
          <idx val="0"/>
          <order val="0"/>
          <tx>
            <strRef>
              <f>'History'!K143</f>
            </strRef>
          </tx>
          <spPr>
            <a:solidFill xmlns:a="http://schemas.openxmlformats.org/drawingml/2006/main">
              <a:srgbClr val="2E9E6B"/>
            </a:solidFill>
            <a:ln xmlns:a="http://schemas.openxmlformats.org/drawingml/2006/main">
              <a:prstDash val="solid"/>
            </a:ln>
          </spPr>
          <cat>
            <numRef>
              <f>'History'!$B$144:$B$317</f>
            </numRef>
          </cat>
          <val>
            <numRef>
              <f>'History'!$K$144:$K$317</f>
            </numRef>
          </val>
        </ser>
        <gapWidth val="10"/>
        <axId val="10"/>
        <axId val="100"/>
      </barChart>
      <catAx>
        <axId val="10"/>
        <scaling>
          <orientation val="minMax"/>
        </scaling>
        <delete val="0"/>
        <axPos val="l"/>
        <numFmt formatCode="mmm yyyy" sourceLinked="0"/>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chart" Target="/xl/charts/chart6.xml" Id="rId4"/></Relationships>
</file>

<file path=xl/drawings/drawing1.xml><?xml version="1.0" encoding="utf-8"?>
<wsDr xmlns="http://schemas.openxmlformats.org/drawingml/2006/spreadsheetDrawing">
  <oneCellAnchor>
    <from>
      <col>1</col>
      <colOff>0</colOff>
      <row>19</row>
      <rowOff>0</rowOff>
    </from>
    <ext cx="4896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19</row>
      <rowOff>0</rowOff>
    </from>
    <ext cx="4896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1</col>
      <colOff>0</colOff>
      <row>41</row>
      <rowOff>0</rowOff>
    </from>
    <ext cx="936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79</row>
      <rowOff>0</rowOff>
    </from>
    <ext cx="936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100</row>
      <rowOff>0</rowOff>
    </from>
    <ext cx="1188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0</colOff>
      <row>121</row>
      <rowOff>0</rowOff>
    </from>
    <ext cx="1188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ables/table1.xml><?xml version="1.0" encoding="utf-8"?>
<table xmlns="http://schemas.openxmlformats.org/spreadsheetml/2006/main" id="1" name="tblVideos" displayName="tblVideos" ref="A5:W3267" headerRowCount="1">
  <autoFilter ref="A5:W3267"/>
  <tableColumns count="23">
    <tableColumn id="1" name="Open"/>
    <tableColumn id="2" name="Status"/>
    <tableColumn id="3" name="Mark"/>
    <tableColumn id="4" name="Watched On"/>
    <tableColumn id="5" name="Published"/>
    <tableColumn id="6" name="Channel"/>
    <tableColumn id="7" name="Title"/>
    <tableColumn id="8" name="Length"/>
    <tableColumn id="9" name="Views"/>
    <tableColumn id="10" name="Likes"/>
    <tableColumn id="11" name="Comments"/>
    <tableColumn id="12" name="Notes"/>
    <tableColumn id="13" name="Video ID"/>
    <tableColumn id="14" name="Channel ID"/>
    <tableColumn id="15" name="Published UTC"/>
    <tableColumn id="16" name="Day"/>
    <tableColumn id="17" name="Seq"/>
    <tableColumn id="18" name="Availability"/>
    <tableColumn id="19" name="First Seen"/>
    <tableColumn id="20" name="Last Seen"/>
    <tableColumn id="21" name="Description"/>
    <tableColumn id="22" name="Cal Key"/>
    <tableColumn id="23" name="Queue Key"/>
  </tableColumns>
  <tableStyleInfo name="TableStyleLight1" showRowStripes="1"/>
</table>
</file>

<file path=xl/tables/table2.xml><?xml version="1.0" encoding="utf-8"?>
<table xmlns="http://schemas.openxmlformats.org/spreadsheetml/2006/main" id="2" name="tblChannels" displayName="tblChannels" ref="A5:L11" headerRowCount="1">
  <autoFilter ref="A5:L11"/>
  <tableColumns count="12">
    <tableColumn id="1" name="Color"/>
    <tableColumn id="2" name="Enabled"/>
    <tableColumn id="3" name="Display Name"/>
    <tableColumn id="4" name="Handle or URL"/>
    <tableColumn id="5" name="Channel ID"/>
    <tableColumn id="6" name="Watched Through"/>
    <tableColumn id="7" name="YouTube Title"/>
    <tableColumn id="8" name="Videos"/>
    <tableColumn id="9" name="Watched"/>
    <tableColumn id="10" name="Backlog"/>
    <tableColumn id="11" name="Latest Upload"/>
    <tableColumn id="12" name="Last Refresh"/>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001F2A44"/>
    <outlinePr summaryBelow="1" summaryRight="1"/>
    <pageSetUpPr fitToPage="1"/>
  </sheetPr>
  <dimension ref="B1:O60"/>
  <sheetViews>
    <sheetView showGridLines="0" workbookViewId="0">
      <selection activeCell="A1" sqref="A1"/>
    </sheetView>
  </sheetViews>
  <sheetFormatPr baseColWidth="8" defaultRowHeight="15"/>
  <cols>
    <col width="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hidden="1" outlineLevel="1" width="13" customWidth="1" min="15" max="15"/>
  </cols>
  <sheetData>
    <row r="1"/>
    <row r="2" ht="32" customHeight="1">
      <c r="B2" s="1" t="inlineStr">
        <is>
          <t>SCB Video Library</t>
        </is>
      </c>
    </row>
    <row r="3">
      <c r="B3" s="2">
        <f>IF(Settings!$C$5="","","Last updated "&amp;TEXT(Settings!$C$5,"d mmm yyyy h:mm AM/PM")&amp;"   ·   "&amp;TODAY()-INT(Settings!$C$5)&amp;" day(s) ago")</f>
        <v/>
      </c>
    </row>
    <row r="4" ht="22" customHeight="1">
      <c r="B4" s="3">
        <f>HYPERLINK("#Library!A1","Library")</f>
        <v/>
      </c>
      <c r="C4" s="3">
        <f>HYPERLINK("#Queue!A1","Queue")</f>
        <v/>
      </c>
      <c r="D4" s="3">
        <f>HYPERLINK("#Calendar!A1","Calendar")</f>
        <v/>
      </c>
      <c r="E4" s="3">
        <f>HYPERLINK("#History!A1","History")</f>
        <v/>
      </c>
      <c r="F4" s="3">
        <f>HYPERLINK("#Stats!A1","Stats")</f>
        <v/>
      </c>
      <c r="G4" s="3">
        <f>HYPERLINK("#Channels!A1","Channels")</f>
        <v/>
      </c>
      <c r="H4" s="3">
        <f>HYPERLINK("#Settings!A1","Settings")</f>
        <v/>
      </c>
    </row>
    <row r="6">
      <c r="B6" s="4" t="inlineStr">
        <is>
          <t>TOTAL VIDEOS</t>
        </is>
      </c>
      <c r="C6" s="5" t="n"/>
      <c r="D6" s="4" t="inlineStr">
        <is>
          <t>WATCHED</t>
        </is>
      </c>
      <c r="E6" s="5" t="n"/>
      <c r="F6" s="4" t="inlineStr">
        <is>
          <t>BACKLOG</t>
        </is>
      </c>
      <c r="G6" s="5" t="n"/>
      <c r="H6" s="4" t="inlineStr">
        <is>
          <t>% WATCHED</t>
        </is>
      </c>
      <c r="I6" s="5" t="n"/>
      <c r="J6" s="4" t="inlineStr">
        <is>
          <t>HOURS WATCHED</t>
        </is>
      </c>
      <c r="K6" s="5" t="n"/>
      <c r="L6" s="4" t="inlineStr">
        <is>
          <t>HOURS REMAINING</t>
        </is>
      </c>
      <c r="M6" s="5" t="n"/>
    </row>
    <row r="7" ht="34" customHeight="1">
      <c r="B7" s="6">
        <f>Stats!C14</f>
        <v/>
      </c>
      <c r="C7" s="5" t="n"/>
      <c r="D7" s="6">
        <f>Stats!D14</f>
        <v/>
      </c>
      <c r="E7" s="5" t="n"/>
      <c r="F7" s="6">
        <f>Stats!E14+Stats!F14</f>
        <v/>
      </c>
      <c r="G7" s="5" t="n"/>
      <c r="H7" s="7">
        <f>Stats!H14</f>
        <v/>
      </c>
      <c r="I7" s="5" t="n"/>
      <c r="J7" s="8">
        <f>Stats!J14*24</f>
        <v/>
      </c>
      <c r="K7" s="5" t="n"/>
      <c r="L7" s="8">
        <f>Stats!K14*24</f>
        <v/>
      </c>
      <c r="M7" s="5" t="n"/>
    </row>
    <row r="8">
      <c r="B8" s="9">
        <f>"across "&amp;6&amp;" channels"</f>
        <v/>
      </c>
      <c r="C8" s="5" t="n"/>
      <c r="D8" s="9">
        <f>"of "&amp;TEXT(Stats!C14-Stats!G14,"#,##0")&amp;" tracked"</f>
        <v/>
      </c>
      <c r="E8" s="5" t="n"/>
      <c r="F8" s="9">
        <f>TEXT(Stats!E14,"#,##0")&amp;" watch-later"</f>
        <v/>
      </c>
      <c r="G8" s="5" t="n"/>
      <c r="H8" s="9">
        <f>TEXT(Stats!L14,"0.0%")&amp;" of runtime"</f>
        <v/>
      </c>
      <c r="I8" s="5" t="n"/>
      <c r="J8" s="9">
        <f>"of "&amp;TEXT(Stats!I14*24,"#,##0")&amp;" h total"</f>
        <v/>
      </c>
      <c r="K8" s="5" t="n"/>
      <c r="L8" s="9">
        <f>"≈ "&amp;TEXT(Stats!K14,"#,##0")&amp;" days of video"</f>
        <v/>
      </c>
      <c r="M8" s="5" t="n"/>
    </row>
    <row r="10" ht="20" customHeight="1">
      <c r="B10" s="10" t="inlineStr">
        <is>
          <t>By channel</t>
        </is>
      </c>
      <c r="C10" s="11" t="n"/>
      <c r="D10" s="11" t="n"/>
      <c r="E10" s="11" t="n"/>
      <c r="F10" s="11" t="n"/>
      <c r="G10" s="11" t="n"/>
      <c r="H10" s="11" t="n"/>
      <c r="I10" s="11" t="n"/>
      <c r="J10" s="11" t="n"/>
      <c r="K10" s="11" t="n"/>
      <c r="L10" s="11" t="n"/>
      <c r="M10" s="11" t="n"/>
    </row>
    <row r="11" ht="22" customHeight="1">
      <c r="B11" s="12" t="inlineStr">
        <is>
          <t>Channel</t>
        </is>
      </c>
      <c r="C11" s="13" t="n"/>
      <c r="D11" s="14" t="n"/>
      <c r="E11" s="12" t="inlineStr">
        <is>
          <t>Videos</t>
        </is>
      </c>
      <c r="F11" s="12" t="inlineStr">
        <is>
          <t>Watched</t>
        </is>
      </c>
      <c r="G11" s="12" t="inlineStr">
        <is>
          <t>Backlog</t>
        </is>
      </c>
      <c r="H11" s="12" t="inlineStr">
        <is>
          <t>% Watched</t>
        </is>
      </c>
      <c r="I11" s="12" t="inlineStr">
        <is>
          <t>Time left</t>
        </is>
      </c>
      <c r="J11" s="12" t="inlineStr">
        <is>
          <t>Latest upload</t>
        </is>
      </c>
      <c r="K11" s="14" t="n"/>
      <c r="L11" s="12" t="inlineStr">
        <is>
          <t>Days since</t>
        </is>
      </c>
      <c r="M11" s="14" t="n"/>
    </row>
    <row r="12">
      <c r="B12" s="15">
        <f>Stats!B8</f>
        <v/>
      </c>
      <c r="E12" s="16">
        <f>Stats!C8</f>
        <v/>
      </c>
      <c r="F12" s="16">
        <f>Stats!D8</f>
        <v/>
      </c>
      <c r="G12" s="16">
        <f>Stats!E8+Stats!F8</f>
        <v/>
      </c>
      <c r="H12" s="17">
        <f>Stats!H8</f>
        <v/>
      </c>
      <c r="I12" s="18">
        <f>Stats!K8</f>
        <v/>
      </c>
      <c r="J12" s="19">
        <f>Stats!D20</f>
        <v/>
      </c>
      <c r="L12" s="16">
        <f>IF(J12="","",TODAY()-J12)</f>
        <v/>
      </c>
    </row>
    <row r="13">
      <c r="B13" s="20">
        <f>Stats!B9</f>
        <v/>
      </c>
      <c r="E13" s="16">
        <f>Stats!C9</f>
        <v/>
      </c>
      <c r="F13" s="16">
        <f>Stats!D9</f>
        <v/>
      </c>
      <c r="G13" s="16">
        <f>Stats!E9+Stats!F9</f>
        <v/>
      </c>
      <c r="H13" s="17">
        <f>Stats!H9</f>
        <v/>
      </c>
      <c r="I13" s="18">
        <f>Stats!K9</f>
        <v/>
      </c>
      <c r="J13" s="19">
        <f>Stats!D21</f>
        <v/>
      </c>
      <c r="L13" s="16">
        <f>IF(J13="","",TODAY()-J13)</f>
        <v/>
      </c>
    </row>
    <row r="14">
      <c r="B14" s="21">
        <f>Stats!B10</f>
        <v/>
      </c>
      <c r="E14" s="16">
        <f>Stats!C10</f>
        <v/>
      </c>
      <c r="F14" s="16">
        <f>Stats!D10</f>
        <v/>
      </c>
      <c r="G14" s="16">
        <f>Stats!E10+Stats!F10</f>
        <v/>
      </c>
      <c r="H14" s="17">
        <f>Stats!H10</f>
        <v/>
      </c>
      <c r="I14" s="18">
        <f>Stats!K10</f>
        <v/>
      </c>
      <c r="J14" s="19">
        <f>Stats!D22</f>
        <v/>
      </c>
      <c r="L14" s="16">
        <f>IF(J14="","",TODAY()-J14)</f>
        <v/>
      </c>
    </row>
    <row r="15">
      <c r="B15" s="22">
        <f>Stats!B11</f>
        <v/>
      </c>
      <c r="E15" s="16">
        <f>Stats!C11</f>
        <v/>
      </c>
      <c r="F15" s="16">
        <f>Stats!D11</f>
        <v/>
      </c>
      <c r="G15" s="16">
        <f>Stats!E11+Stats!F11</f>
        <v/>
      </c>
      <c r="H15" s="17">
        <f>Stats!H11</f>
        <v/>
      </c>
      <c r="I15" s="18">
        <f>Stats!K11</f>
        <v/>
      </c>
      <c r="J15" s="19">
        <f>Stats!D23</f>
        <v/>
      </c>
      <c r="L15" s="16">
        <f>IF(J15="","",TODAY()-J15)</f>
        <v/>
      </c>
    </row>
    <row r="16">
      <c r="B16" s="23">
        <f>Stats!B12</f>
        <v/>
      </c>
      <c r="E16" s="16">
        <f>Stats!C12</f>
        <v/>
      </c>
      <c r="F16" s="16">
        <f>Stats!D12</f>
        <v/>
      </c>
      <c r="G16" s="16">
        <f>Stats!E12+Stats!F12</f>
        <v/>
      </c>
      <c r="H16" s="17">
        <f>Stats!H12</f>
        <v/>
      </c>
      <c r="I16" s="18">
        <f>Stats!K12</f>
        <v/>
      </c>
      <c r="J16" s="19">
        <f>Stats!D24</f>
        <v/>
      </c>
      <c r="L16" s="16">
        <f>IF(J16="","",TODAY()-J16)</f>
        <v/>
      </c>
    </row>
    <row r="17">
      <c r="B17" s="24">
        <f>Stats!B13</f>
        <v/>
      </c>
      <c r="E17" s="16">
        <f>Stats!C13</f>
        <v/>
      </c>
      <c r="F17" s="16">
        <f>Stats!D13</f>
        <v/>
      </c>
      <c r="G17" s="16">
        <f>Stats!E13+Stats!F13</f>
        <v/>
      </c>
      <c r="H17" s="17">
        <f>Stats!H13</f>
        <v/>
      </c>
      <c r="I17" s="18">
        <f>Stats!K13</f>
        <v/>
      </c>
      <c r="J17" s="19">
        <f>Stats!D25</f>
        <v/>
      </c>
      <c r="L17" s="16">
        <f>IF(J17="","",TODAY()-J17)</f>
        <v/>
      </c>
    </row>
    <row r="18">
      <c r="B18" s="25" t="inlineStr">
        <is>
          <t>All channels</t>
        </is>
      </c>
      <c r="E18" s="26">
        <f>Stats!C14</f>
        <v/>
      </c>
      <c r="F18" s="26">
        <f>Stats!D14</f>
        <v/>
      </c>
      <c r="G18" s="26">
        <f>Stats!E14+Stats!F14</f>
        <v/>
      </c>
      <c r="H18" s="27">
        <f>Stats!H14</f>
        <v/>
      </c>
      <c r="I18" s="28">
        <f>Stats!K14</f>
        <v/>
      </c>
    </row>
    <row r="39" ht="20" customHeight="1">
      <c r="B39" s="10" t="inlineStr">
        <is>
          <t>Up next  -  oldest unwatched video in each channel</t>
        </is>
      </c>
      <c r="C39" s="11" t="n"/>
      <c r="D39" s="11" t="n"/>
      <c r="E39" s="11" t="n"/>
      <c r="F39" s="11" t="n"/>
      <c r="G39" s="11" t="n"/>
      <c r="H39" s="11" t="n"/>
      <c r="I39" s="11" t="n"/>
      <c r="J39" s="11" t="n"/>
      <c r="K39" s="11" t="n"/>
      <c r="L39" s="11" t="n"/>
      <c r="M39" s="11" t="n"/>
    </row>
    <row r="40" ht="20" customHeight="1">
      <c r="B40" s="12" t="inlineStr">
        <is>
          <t>Channel</t>
        </is>
      </c>
      <c r="C40" s="13" t="n"/>
      <c r="D40" s="14" t="n"/>
      <c r="E40" s="12" t="inlineStr">
        <is>
          <t>Video</t>
        </is>
      </c>
      <c r="F40" s="13" t="n"/>
      <c r="G40" s="13" t="n"/>
      <c r="H40" s="13" t="n"/>
      <c r="I40" s="13" t="n"/>
      <c r="J40" s="13" t="n"/>
      <c r="K40" s="14" t="n"/>
      <c r="L40" s="12" t="inlineStr">
        <is>
          <t>Length</t>
        </is>
      </c>
      <c r="M40" s="12" t="inlineStr">
        <is>
          <t>Published</t>
        </is>
      </c>
    </row>
    <row r="41">
      <c r="B41" s="15">
        <f>Channels!$C$6</f>
        <v/>
      </c>
      <c r="E41" s="29">
        <f>IF($O41="","All caught up ✓",IF(INDEX(tblVideos[Video ID],$O41)="",INDEX(tblVideos[Title],$O41),HYPERLINK("https://www.youtube.com/watch?v="&amp;INDEX(tblVideos[Video ID],$O41),INDEX(tblVideos[Title],$O41))))</f>
        <v/>
      </c>
      <c r="L41" s="30">
        <f>IF($O41="","",INDEX(tblVideos[Length],$O41))</f>
        <v/>
      </c>
      <c r="M41" s="19">
        <f>IF($O41="","",INDEX(tblVideos[Day],$O41))</f>
        <v/>
      </c>
      <c r="O41">
        <f>IF(_xlfn.MINIFS(tblVideos[Seq],tblVideos[Channel ID],Channels!$E$6,tblVideos[Status],"Unwatched")=0,"",MATCH(_xlfn.MINIFS(tblVideos[Seq],tblVideos[Channel ID],Channels!$E$6,tblVideos[Status],"Unwatched"),tblVideos[Seq],0))</f>
        <v/>
      </c>
    </row>
    <row r="42">
      <c r="B42" s="20">
        <f>Channels!$C$7</f>
        <v/>
      </c>
      <c r="E42" s="29">
        <f>IF($O42="","All caught up ✓",IF(INDEX(tblVideos[Video ID],$O42)="",INDEX(tblVideos[Title],$O42),HYPERLINK("https://www.youtube.com/watch?v="&amp;INDEX(tblVideos[Video ID],$O42),INDEX(tblVideos[Title],$O42))))</f>
        <v/>
      </c>
      <c r="L42" s="30">
        <f>IF($O42="","",INDEX(tblVideos[Length],$O42))</f>
        <v/>
      </c>
      <c r="M42" s="19">
        <f>IF($O42="","",INDEX(tblVideos[Day],$O42))</f>
        <v/>
      </c>
      <c r="O42">
        <f>IF(_xlfn.MINIFS(tblVideos[Seq],tblVideos[Channel ID],Channels!$E$7,tblVideos[Status],"Unwatched")=0,"",MATCH(_xlfn.MINIFS(tblVideos[Seq],tblVideos[Channel ID],Channels!$E$7,tblVideos[Status],"Unwatched"),tblVideos[Seq],0))</f>
        <v/>
      </c>
    </row>
    <row r="43">
      <c r="B43" s="21">
        <f>Channels!$C$8</f>
        <v/>
      </c>
      <c r="E43" s="29">
        <f>IF($O43="","All caught up ✓",IF(INDEX(tblVideos[Video ID],$O43)="",INDEX(tblVideos[Title],$O43),HYPERLINK("https://www.youtube.com/watch?v="&amp;INDEX(tblVideos[Video ID],$O43),INDEX(tblVideos[Title],$O43))))</f>
        <v/>
      </c>
      <c r="L43" s="30">
        <f>IF($O43="","",INDEX(tblVideos[Length],$O43))</f>
        <v/>
      </c>
      <c r="M43" s="19">
        <f>IF($O43="","",INDEX(tblVideos[Day],$O43))</f>
        <v/>
      </c>
      <c r="O43">
        <f>IF(_xlfn.MINIFS(tblVideos[Seq],tblVideos[Channel ID],Channels!$E$8,tblVideos[Status],"Unwatched")=0,"",MATCH(_xlfn.MINIFS(tblVideos[Seq],tblVideos[Channel ID],Channels!$E$8,tblVideos[Status],"Unwatched"),tblVideos[Seq],0))</f>
        <v/>
      </c>
    </row>
    <row r="44">
      <c r="B44" s="22">
        <f>Channels!$C$9</f>
        <v/>
      </c>
      <c r="E44" s="29">
        <f>IF($O44="","All caught up ✓",IF(INDEX(tblVideos[Video ID],$O44)="",INDEX(tblVideos[Title],$O44),HYPERLINK("https://www.youtube.com/watch?v="&amp;INDEX(tblVideos[Video ID],$O44),INDEX(tblVideos[Title],$O44))))</f>
        <v/>
      </c>
      <c r="L44" s="30">
        <f>IF($O44="","",INDEX(tblVideos[Length],$O44))</f>
        <v/>
      </c>
      <c r="M44" s="19">
        <f>IF($O44="","",INDEX(tblVideos[Day],$O44))</f>
        <v/>
      </c>
      <c r="O44">
        <f>IF(_xlfn.MINIFS(tblVideos[Seq],tblVideos[Channel ID],Channels!$E$9,tblVideos[Status],"Unwatched")=0,"",MATCH(_xlfn.MINIFS(tblVideos[Seq],tblVideos[Channel ID],Channels!$E$9,tblVideos[Status],"Unwatched"),tblVideos[Seq],0))</f>
        <v/>
      </c>
    </row>
    <row r="45">
      <c r="B45" s="23">
        <f>Channels!$C$10</f>
        <v/>
      </c>
      <c r="E45" s="29">
        <f>IF($O45="","All caught up ✓",IF(INDEX(tblVideos[Video ID],$O45)="",INDEX(tblVideos[Title],$O45),HYPERLINK("https://www.youtube.com/watch?v="&amp;INDEX(tblVideos[Video ID],$O45),INDEX(tblVideos[Title],$O45))))</f>
        <v/>
      </c>
      <c r="L45" s="30">
        <f>IF($O45="","",INDEX(tblVideos[Length],$O45))</f>
        <v/>
      </c>
      <c r="M45" s="19">
        <f>IF($O45="","",INDEX(tblVideos[Day],$O45))</f>
        <v/>
      </c>
      <c r="O45">
        <f>IF(_xlfn.MINIFS(tblVideos[Seq],tblVideos[Channel ID],Channels!$E$10,tblVideos[Status],"Unwatched")=0,"",MATCH(_xlfn.MINIFS(tblVideos[Seq],tblVideos[Channel ID],Channels!$E$10,tblVideos[Status],"Unwatched"),tblVideos[Seq],0))</f>
        <v/>
      </c>
    </row>
    <row r="46">
      <c r="B46" s="24">
        <f>Channels!$C$11</f>
        <v/>
      </c>
      <c r="E46" s="29">
        <f>IF($O46="","All caught up ✓",IF(INDEX(tblVideos[Video ID],$O46)="",INDEX(tblVideos[Title],$O46),HYPERLINK("https://www.youtube.com/watch?v="&amp;INDEX(tblVideos[Video ID],$O46),INDEX(tblVideos[Title],$O46))))</f>
        <v/>
      </c>
      <c r="L46" s="30">
        <f>IF($O46="","",INDEX(tblVideos[Length],$O46))</f>
        <v/>
      </c>
      <c r="M46" s="19">
        <f>IF($O46="","",INDEX(tblVideos[Day],$O46))</f>
        <v/>
      </c>
      <c r="O46">
        <f>IF(_xlfn.MINIFS(tblVideos[Seq],tblVideos[Channel ID],Channels!$E$11,tblVideos[Status],"Unwatched")=0,"",MATCH(_xlfn.MINIFS(tblVideos[Seq],tblVideos[Channel ID],Channels!$E$11,tblVideos[Status],"Unwatched"),tblVideos[Seq],0))</f>
        <v/>
      </c>
    </row>
    <row r="49" ht="20" customHeight="1">
      <c r="B49" s="10" t="inlineStr">
        <is>
          <t>Newest uploads</t>
        </is>
      </c>
      <c r="C49" s="11" t="n"/>
      <c r="D49" s="11" t="n"/>
      <c r="E49" s="11" t="n"/>
      <c r="F49" s="11" t="n"/>
      <c r="G49" s="11" t="n"/>
      <c r="H49" s="11" t="n"/>
      <c r="I49" s="11" t="n"/>
      <c r="J49" s="11" t="n"/>
      <c r="K49" s="11" t="n"/>
      <c r="L49" s="11" t="n"/>
      <c r="M49" s="11" t="n"/>
    </row>
    <row r="50" ht="20" customHeight="1">
      <c r="B50" s="12" t="inlineStr">
        <is>
          <t>Published</t>
        </is>
      </c>
      <c r="C50" s="14" t="n"/>
      <c r="D50" s="12" t="inlineStr">
        <is>
          <t>Channel</t>
        </is>
      </c>
      <c r="E50" s="14" t="n"/>
      <c r="F50" s="12" t="inlineStr">
        <is>
          <t>Title</t>
        </is>
      </c>
      <c r="G50" s="13" t="n"/>
      <c r="H50" s="13" t="n"/>
      <c r="I50" s="13" t="n"/>
      <c r="J50" s="13" t="n"/>
      <c r="K50" s="14" t="n"/>
      <c r="L50" s="12" t="inlineStr">
        <is>
          <t>Length</t>
        </is>
      </c>
      <c r="M50" s="12" t="inlineStr">
        <is>
          <t>Status</t>
        </is>
      </c>
    </row>
    <row r="51">
      <c r="B51" s="31">
        <f>IF($O51="","",INDEX(tblVideos[Day],$O51))</f>
        <v/>
      </c>
      <c r="D51" s="32">
        <f>IF($O51="","",INDEX(tblVideos[Channel],$O51))</f>
        <v/>
      </c>
      <c r="F51" s="29">
        <f>IF($O51="","",IF(INDEX(tblVideos[Video ID],$O51)="",INDEX(tblVideos[Title],$O51),HYPERLINK("https://www.youtube.com/watch?v="&amp;INDEX(tblVideos[Video ID],$O51),INDEX(tblVideos[Title],$O51))))</f>
        <v/>
      </c>
      <c r="L51" s="30">
        <f>IF($O51="","",INDEX(tblVideos[Length],$O51))</f>
        <v/>
      </c>
      <c r="M51" s="33">
        <f>IF($O51="","",INDEX(tblVideos[Status],$O51))</f>
        <v/>
      </c>
      <c r="O51">
        <f>IFERROR(MATCH(MAX(tblVideos[Seq])-0,tblVideos[Seq],0),"")</f>
        <v/>
      </c>
    </row>
    <row r="52">
      <c r="B52" s="31">
        <f>IF($O52="","",INDEX(tblVideos[Day],$O52))</f>
        <v/>
      </c>
      <c r="D52" s="32">
        <f>IF($O52="","",INDEX(tblVideos[Channel],$O52))</f>
        <v/>
      </c>
      <c r="F52" s="29">
        <f>IF($O52="","",IF(INDEX(tblVideos[Video ID],$O52)="",INDEX(tblVideos[Title],$O52),HYPERLINK("https://www.youtube.com/watch?v="&amp;INDEX(tblVideos[Video ID],$O52),INDEX(tblVideos[Title],$O52))))</f>
        <v/>
      </c>
      <c r="L52" s="30">
        <f>IF($O52="","",INDEX(tblVideos[Length],$O52))</f>
        <v/>
      </c>
      <c r="M52" s="33">
        <f>IF($O52="","",INDEX(tblVideos[Status],$O52))</f>
        <v/>
      </c>
      <c r="O52">
        <f>IFERROR(MATCH(MAX(tblVideos[Seq])-1,tblVideos[Seq],0),"")</f>
        <v/>
      </c>
    </row>
    <row r="53">
      <c r="B53" s="31">
        <f>IF($O53="","",INDEX(tblVideos[Day],$O53))</f>
        <v/>
      </c>
      <c r="D53" s="32">
        <f>IF($O53="","",INDEX(tblVideos[Channel],$O53))</f>
        <v/>
      </c>
      <c r="F53" s="29">
        <f>IF($O53="","",IF(INDEX(tblVideos[Video ID],$O53)="",INDEX(tblVideos[Title],$O53),HYPERLINK("https://www.youtube.com/watch?v="&amp;INDEX(tblVideos[Video ID],$O53),INDEX(tblVideos[Title],$O53))))</f>
        <v/>
      </c>
      <c r="L53" s="30">
        <f>IF($O53="","",INDEX(tblVideos[Length],$O53))</f>
        <v/>
      </c>
      <c r="M53" s="33">
        <f>IF($O53="","",INDEX(tblVideos[Status],$O53))</f>
        <v/>
      </c>
      <c r="O53">
        <f>IFERROR(MATCH(MAX(tblVideos[Seq])-2,tblVideos[Seq],0),"")</f>
        <v/>
      </c>
    </row>
    <row r="54">
      <c r="B54" s="31">
        <f>IF($O54="","",INDEX(tblVideos[Day],$O54))</f>
        <v/>
      </c>
      <c r="D54" s="32">
        <f>IF($O54="","",INDEX(tblVideos[Channel],$O54))</f>
        <v/>
      </c>
      <c r="F54" s="29">
        <f>IF($O54="","",IF(INDEX(tblVideos[Video ID],$O54)="",INDEX(tblVideos[Title],$O54),HYPERLINK("https://www.youtube.com/watch?v="&amp;INDEX(tblVideos[Video ID],$O54),INDEX(tblVideos[Title],$O54))))</f>
        <v/>
      </c>
      <c r="L54" s="30">
        <f>IF($O54="","",INDEX(tblVideos[Length],$O54))</f>
        <v/>
      </c>
      <c r="M54" s="33">
        <f>IF($O54="","",INDEX(tblVideos[Status],$O54))</f>
        <v/>
      </c>
      <c r="O54">
        <f>IFERROR(MATCH(MAX(tblVideos[Seq])-3,tblVideos[Seq],0),"")</f>
        <v/>
      </c>
    </row>
    <row r="55">
      <c r="B55" s="31">
        <f>IF($O55="","",INDEX(tblVideos[Day],$O55))</f>
        <v/>
      </c>
      <c r="D55" s="32">
        <f>IF($O55="","",INDEX(tblVideos[Channel],$O55))</f>
        <v/>
      </c>
      <c r="F55" s="29">
        <f>IF($O55="","",IF(INDEX(tblVideos[Video ID],$O55)="",INDEX(tblVideos[Title],$O55),HYPERLINK("https://www.youtube.com/watch?v="&amp;INDEX(tblVideos[Video ID],$O55),INDEX(tblVideos[Title],$O55))))</f>
        <v/>
      </c>
      <c r="L55" s="30">
        <f>IF($O55="","",INDEX(tblVideos[Length],$O55))</f>
        <v/>
      </c>
      <c r="M55" s="33">
        <f>IF($O55="","",INDEX(tblVideos[Status],$O55))</f>
        <v/>
      </c>
      <c r="O55">
        <f>IFERROR(MATCH(MAX(tblVideos[Seq])-4,tblVideos[Seq],0),"")</f>
        <v/>
      </c>
    </row>
    <row r="56">
      <c r="B56" s="31">
        <f>IF($O56="","",INDEX(tblVideos[Day],$O56))</f>
        <v/>
      </c>
      <c r="D56" s="32">
        <f>IF($O56="","",INDEX(tblVideos[Channel],$O56))</f>
        <v/>
      </c>
      <c r="F56" s="29">
        <f>IF($O56="","",IF(INDEX(tblVideos[Video ID],$O56)="",INDEX(tblVideos[Title],$O56),HYPERLINK("https://www.youtube.com/watch?v="&amp;INDEX(tblVideos[Video ID],$O56),INDEX(tblVideos[Title],$O56))))</f>
        <v/>
      </c>
      <c r="L56" s="30">
        <f>IF($O56="","",INDEX(tblVideos[Length],$O56))</f>
        <v/>
      </c>
      <c r="M56" s="33">
        <f>IF($O56="","",INDEX(tblVideos[Status],$O56))</f>
        <v/>
      </c>
      <c r="O56">
        <f>IFERROR(MATCH(MAX(tblVideos[Seq])-5,tblVideos[Seq],0),"")</f>
        <v/>
      </c>
    </row>
    <row r="57">
      <c r="B57" s="31">
        <f>IF($O57="","",INDEX(tblVideos[Day],$O57))</f>
        <v/>
      </c>
      <c r="D57" s="32">
        <f>IF($O57="","",INDEX(tblVideos[Channel],$O57))</f>
        <v/>
      </c>
      <c r="F57" s="29">
        <f>IF($O57="","",IF(INDEX(tblVideos[Video ID],$O57)="",INDEX(tblVideos[Title],$O57),HYPERLINK("https://www.youtube.com/watch?v="&amp;INDEX(tblVideos[Video ID],$O57),INDEX(tblVideos[Title],$O57))))</f>
        <v/>
      </c>
      <c r="L57" s="30">
        <f>IF($O57="","",INDEX(tblVideos[Length],$O57))</f>
        <v/>
      </c>
      <c r="M57" s="33">
        <f>IF($O57="","",INDEX(tblVideos[Status],$O57))</f>
        <v/>
      </c>
      <c r="O57">
        <f>IFERROR(MATCH(MAX(tblVideos[Seq])-6,tblVideos[Seq],0),"")</f>
        <v/>
      </c>
    </row>
    <row r="58">
      <c r="B58" s="31">
        <f>IF($O58="","",INDEX(tblVideos[Day],$O58))</f>
        <v/>
      </c>
      <c r="D58" s="32">
        <f>IF($O58="","",INDEX(tblVideos[Channel],$O58))</f>
        <v/>
      </c>
      <c r="F58" s="29">
        <f>IF($O58="","",IF(INDEX(tblVideos[Video ID],$O58)="",INDEX(tblVideos[Title],$O58),HYPERLINK("https://www.youtube.com/watch?v="&amp;INDEX(tblVideos[Video ID],$O58),INDEX(tblVideos[Title],$O58))))</f>
        <v/>
      </c>
      <c r="L58" s="30">
        <f>IF($O58="","",INDEX(tblVideos[Length],$O58))</f>
        <v/>
      </c>
      <c r="M58" s="33">
        <f>IF($O58="","",INDEX(tblVideos[Status],$O58))</f>
        <v/>
      </c>
      <c r="O58">
        <f>IFERROR(MATCH(MAX(tblVideos[Seq])-7,tblVideos[Seq],0),"")</f>
        <v/>
      </c>
    </row>
    <row r="59">
      <c r="B59" s="31">
        <f>IF($O59="","",INDEX(tblVideos[Day],$O59))</f>
        <v/>
      </c>
      <c r="D59" s="32">
        <f>IF($O59="","",INDEX(tblVideos[Channel],$O59))</f>
        <v/>
      </c>
      <c r="F59" s="29">
        <f>IF($O59="","",IF(INDEX(tblVideos[Video ID],$O59)="",INDEX(tblVideos[Title],$O59),HYPERLINK("https://www.youtube.com/watch?v="&amp;INDEX(tblVideos[Video ID],$O59),INDEX(tblVideos[Title],$O59))))</f>
        <v/>
      </c>
      <c r="L59" s="30">
        <f>IF($O59="","",INDEX(tblVideos[Length],$O59))</f>
        <v/>
      </c>
      <c r="M59" s="33">
        <f>IF($O59="","",INDEX(tblVideos[Status],$O59))</f>
        <v/>
      </c>
      <c r="O59">
        <f>IFERROR(MATCH(MAX(tblVideos[Seq])-8,tblVideos[Seq],0),"")</f>
        <v/>
      </c>
    </row>
    <row r="60">
      <c r="B60" s="31">
        <f>IF($O60="","",INDEX(tblVideos[Day],$O60))</f>
        <v/>
      </c>
      <c r="D60" s="32">
        <f>IF($O60="","",INDEX(tblVideos[Channel],$O60))</f>
        <v/>
      </c>
      <c r="F60" s="29">
        <f>IF($O60="","",IF(INDEX(tblVideos[Video ID],$O60)="",INDEX(tblVideos[Title],$O60),HYPERLINK("https://www.youtube.com/watch?v="&amp;INDEX(tblVideos[Video ID],$O60),INDEX(tblVideos[Title],$O60))))</f>
        <v/>
      </c>
      <c r="L60" s="30">
        <f>IF($O60="","",INDEX(tblVideos[Length],$O60))</f>
        <v/>
      </c>
      <c r="M60" s="33">
        <f>IF($O60="","",INDEX(tblVideos[Status],$O60))</f>
        <v/>
      </c>
      <c r="O60">
        <f>IFERROR(MATCH(MAX(tblVideos[Seq])-9,tblVideos[Seq],0),"")</f>
        <v/>
      </c>
    </row>
  </sheetData>
  <sheetProtection selectLockedCells="0" selectUnlockedCells="0" sheet="1" objects="0" insertRows="1" insertHyperlinks="1" autoFilter="1" scenarios="0" formatColumns="1" deleteColumns="1" insertColumns="1" pivotTables="1" deleteRows="1" formatCells="1" formatRows="1" sort="1"/>
  <mergeCells count="87">
    <mergeCell ref="B11:D11"/>
    <mergeCell ref="L17:M17"/>
    <mergeCell ref="B42:D42"/>
    <mergeCell ref="F51:K51"/>
    <mergeCell ref="D60:E60"/>
    <mergeCell ref="F50:K50"/>
    <mergeCell ref="B44:D44"/>
    <mergeCell ref="D6:E6"/>
    <mergeCell ref="L12:M12"/>
    <mergeCell ref="L14:M14"/>
    <mergeCell ref="D7:E7"/>
    <mergeCell ref="F53:K53"/>
    <mergeCell ref="D56:E56"/>
    <mergeCell ref="B55:C55"/>
    <mergeCell ref="E40:K40"/>
    <mergeCell ref="B51:C51"/>
    <mergeCell ref="D51:E51"/>
    <mergeCell ref="B43:D43"/>
    <mergeCell ref="F59:K59"/>
    <mergeCell ref="F55:K55"/>
    <mergeCell ref="L7:M7"/>
    <mergeCell ref="L16:M16"/>
    <mergeCell ref="B17:D17"/>
    <mergeCell ref="F6:G6"/>
    <mergeCell ref="F56:K56"/>
    <mergeCell ref="F58:K58"/>
    <mergeCell ref="E42:K42"/>
    <mergeCell ref="F52:K52"/>
    <mergeCell ref="B53:C53"/>
    <mergeCell ref="D53:E53"/>
    <mergeCell ref="J11:K11"/>
    <mergeCell ref="B45:D45"/>
    <mergeCell ref="F60:K60"/>
    <mergeCell ref="E44:K44"/>
    <mergeCell ref="F57:K57"/>
    <mergeCell ref="B6:C6"/>
    <mergeCell ref="J12:K12"/>
    <mergeCell ref="L6:M6"/>
    <mergeCell ref="B46:D46"/>
    <mergeCell ref="E46:K46"/>
    <mergeCell ref="B54:C54"/>
    <mergeCell ref="B14:D14"/>
    <mergeCell ref="B7:C7"/>
    <mergeCell ref="B13:D13"/>
    <mergeCell ref="B56:C56"/>
    <mergeCell ref="E41:K41"/>
    <mergeCell ref="F7:G7"/>
    <mergeCell ref="B58:C58"/>
    <mergeCell ref="B52:C52"/>
    <mergeCell ref="D52:E52"/>
    <mergeCell ref="E43:K43"/>
    <mergeCell ref="B60:C60"/>
    <mergeCell ref="L8:M8"/>
    <mergeCell ref="B57:C57"/>
    <mergeCell ref="F8:G8"/>
    <mergeCell ref="B41:D41"/>
    <mergeCell ref="J16:K16"/>
    <mergeCell ref="D55:E55"/>
    <mergeCell ref="F54:K54"/>
    <mergeCell ref="L11:M11"/>
    <mergeCell ref="D54:E54"/>
    <mergeCell ref="B12:D12"/>
    <mergeCell ref="E45:K45"/>
    <mergeCell ref="B59:C59"/>
    <mergeCell ref="J14:K14"/>
    <mergeCell ref="J13:K13"/>
    <mergeCell ref="L13:M13"/>
    <mergeCell ref="H6:I6"/>
    <mergeCell ref="J6:K6"/>
    <mergeCell ref="D57:E57"/>
    <mergeCell ref="J15:K15"/>
    <mergeCell ref="L15:M15"/>
    <mergeCell ref="B40:D40"/>
    <mergeCell ref="B15:D15"/>
    <mergeCell ref="B8:C8"/>
    <mergeCell ref="H7:I7"/>
    <mergeCell ref="J7:K7"/>
    <mergeCell ref="D58:E58"/>
    <mergeCell ref="B16:D16"/>
    <mergeCell ref="D8:E8"/>
    <mergeCell ref="B18:D18"/>
    <mergeCell ref="B50:C50"/>
    <mergeCell ref="H8:I8"/>
    <mergeCell ref="D50:E50"/>
    <mergeCell ref="J8:K8"/>
    <mergeCell ref="D59:E59"/>
    <mergeCell ref="J17:K17"/>
  </mergeCells>
  <conditionalFormatting sqref="B3">
    <cfRule type="expression" priority="1" dxfId="0">
      <formula>TODAY()-INT(Settings!$C$5)&gt;7</formula>
    </cfRule>
  </conditionalFormatting>
  <conditionalFormatting sqref="H12:H17">
    <cfRule type="dataBar" priority="2">
      <dataBar>
        <cfvo type="num" val="0"/>
        <cfvo type="num" val="1"/>
        <color rgb="002E9E6B"/>
      </dataBar>
    </cfRule>
  </conditionalFormatting>
  <conditionalFormatting sqref="M51:M60">
    <cfRule type="cellIs" priority="3" operator="equal" dxfId="1">
      <formula>"Watched"</formula>
    </cfRule>
  </conditionalFormatting>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tabColor rgb="000F7B8A"/>
    <outlinePr summaryBelow="1" summaryRight="1"/>
    <pageSetUpPr fitToPage="1"/>
  </sheetPr>
  <dimension ref="A1:W3267"/>
  <sheetViews>
    <sheetView showGridLines="0" workbookViewId="0">
      <pane ySplit="5" topLeftCell="A6" activePane="bottomLeft" state="frozen"/>
      <selection pane="bottomLeft" activeCell="A1" sqref="A1"/>
    </sheetView>
  </sheetViews>
  <sheetFormatPr baseColWidth="8" defaultRowHeight="15"/>
  <cols>
    <col width="7" customWidth="1" min="1" max="1"/>
    <col width="12" customWidth="1" min="2" max="2"/>
    <col width="13" customWidth="1" min="3" max="3"/>
    <col width="13" customWidth="1" min="4" max="4"/>
    <col width="21" customWidth="1" min="5" max="5"/>
    <col width="24" customWidth="1" min="6" max="6"/>
    <col width="70" customWidth="1" min="7" max="7"/>
    <col width="10" customWidth="1" min="8" max="8"/>
    <col width="11" customWidth="1" min="9" max="9"/>
    <col width="9" customWidth="1" min="10" max="10"/>
    <col width="10" customWidth="1" min="11" max="11"/>
    <col width="32" customWidth="1" min="12" max="12"/>
    <col hidden="1" outlineLevel="1" width="13" customWidth="1" min="13" max="20"/>
    <col width="60" customWidth="1" min="21" max="21"/>
    <col hidden="1" outlineLevel="1" width="10" customWidth="1" min="22" max="23"/>
  </cols>
  <sheetData>
    <row r="1" ht="28" customHeight="1">
      <c r="A1" s="34" t="inlineStr">
        <is>
          <t>Video Library</t>
        </is>
      </c>
    </row>
    <row r="2">
      <c r="A2" s="2" t="inlineStr">
        <is>
          <t>Slate columns come from YouTube and are refreshed by the updater.  Teal columns are calculated.  Gold columns (Mark, Watched On, Notes) are YOURS and are never overwritten.</t>
        </is>
      </c>
    </row>
    <row r="3">
      <c r="A3" s="35">
        <f>HYPERLINK("#Dashboard!A1","◄ Dashboard")</f>
        <v/>
      </c>
    </row>
    <row r="5" ht="24" customHeight="1">
      <c r="A5" s="36" t="inlineStr">
        <is>
          <t>Open</t>
        </is>
      </c>
      <c r="B5" s="36" t="inlineStr">
        <is>
          <t>Status</t>
        </is>
      </c>
      <c r="C5" s="37" t="inlineStr">
        <is>
          <t>Mark</t>
        </is>
      </c>
      <c r="D5" s="37" t="inlineStr">
        <is>
          <t>Watched On</t>
        </is>
      </c>
      <c r="E5" s="12" t="inlineStr">
        <is>
          <t>Published</t>
        </is>
      </c>
      <c r="F5" s="12" t="inlineStr">
        <is>
          <t>Channel</t>
        </is>
      </c>
      <c r="G5" s="12" t="inlineStr">
        <is>
          <t>Title</t>
        </is>
      </c>
      <c r="H5" s="12" t="inlineStr">
        <is>
          <t>Length</t>
        </is>
      </c>
      <c r="I5" s="12" t="inlineStr">
        <is>
          <t>Views</t>
        </is>
      </c>
      <c r="J5" s="12" t="inlineStr">
        <is>
          <t>Likes</t>
        </is>
      </c>
      <c r="K5" s="12" t="inlineStr">
        <is>
          <t>Comments</t>
        </is>
      </c>
      <c r="L5" s="37" t="inlineStr">
        <is>
          <t>Notes</t>
        </is>
      </c>
      <c r="M5" s="12" t="inlineStr">
        <is>
          <t>Video ID</t>
        </is>
      </c>
      <c r="N5" s="12" t="inlineStr">
        <is>
          <t>Channel ID</t>
        </is>
      </c>
      <c r="O5" s="12" t="inlineStr">
        <is>
          <t>Published UTC</t>
        </is>
      </c>
      <c r="P5" s="12" t="inlineStr">
        <is>
          <t>Day</t>
        </is>
      </c>
      <c r="Q5" s="12" t="inlineStr">
        <is>
          <t>Seq</t>
        </is>
      </c>
      <c r="R5" s="12" t="inlineStr">
        <is>
          <t>Availability</t>
        </is>
      </c>
      <c r="S5" s="12" t="inlineStr">
        <is>
          <t>First Seen</t>
        </is>
      </c>
      <c r="T5" s="12" t="inlineStr">
        <is>
          <t>Last Seen</t>
        </is>
      </c>
      <c r="U5" s="12" t="inlineStr">
        <is>
          <t>Description</t>
        </is>
      </c>
      <c r="V5" s="36" t="inlineStr">
        <is>
          <t>Cal Key</t>
        </is>
      </c>
      <c r="W5" s="36" t="inlineStr">
        <is>
          <t>Queue Key</t>
        </is>
      </c>
    </row>
    <row r="6">
      <c r="A6" s="38">
        <f>IF(M6="","",HYPERLINK("https://www.youtube.com/watch?v="&amp;M6,"▶"))</f>
        <v/>
      </c>
      <c r="B6" s="39">
        <f>IF(C6&lt;&gt;"",C6,IF(P6&lt;=IFERROR(INDEX(tblChannels[Watched Through],MATCH(N6,tblChannels[Channel ID],0)),0),"Watched","Unwatched"))</f>
        <v/>
      </c>
      <c r="C6" s="40" t="n"/>
      <c r="D6" s="41" t="n"/>
      <c r="E6" s="42" t="n">
        <v>46297.41666666666</v>
      </c>
      <c r="F6" s="43" t="inlineStr">
        <is>
          <t>Popcorn Culture</t>
        </is>
      </c>
      <c r="G6" t="inlineStr">
        <is>
          <t>Top 100 TV Shows! | Popcorn Culture</t>
        </is>
      </c>
      <c r="H6" s="44" t="n">
        <v>0.07789351851851851</v>
      </c>
      <c r="I6" s="45" t="n">
        <v>209</v>
      </c>
      <c r="J6" s="45" t="n">
        <v>16</v>
      </c>
      <c r="K6" s="45" t="n">
        <v>7</v>
      </c>
      <c r="L6" s="46" t="n"/>
      <c r="M6" s="47" t="n"/>
      <c r="N6" s="47" t="inlineStr">
        <is>
          <t>UCHfIbq9thHPC8yrKjAdJgDA</t>
        </is>
      </c>
      <c r="O6" s="48" t="n">
        <v>46297.58333333334</v>
      </c>
      <c r="P6" s="49" t="n">
        <v>46297</v>
      </c>
      <c r="Q6" s="47" t="n">
        <v>3262</v>
      </c>
      <c r="R6" s="47" t="inlineStr">
        <is>
          <t>No Video ID yet</t>
        </is>
      </c>
      <c r="S6" s="49" t="n"/>
      <c r="T6" s="49" t="n"/>
      <c r="U6" s="47" t="inlineStr">
        <is>
          <t>In the 356th episode of the Pop, Ben and J discuss victorious sports, nervous tics, evolution of technology, and the NYT 100 Best TV Shows of the 21st Century. NYT 100 Top Shows List -</t>
        </is>
      </c>
      <c r="V6" s="47">
        <f>IF(AND(P6&gt;=Calendar!$K$2,P6&lt;EDATE(Calendar!$K$2,1),OR(Calendar!$K$4="*",N6=Calendar!$K$4)),P6*100+COUNTIFS($P$6:$P$3267,P6,$Q$6:$Q$3267,"&lt;="&amp;Q6,$N$6:$N$3267,Calendar!$K$4),"")</f>
        <v/>
      </c>
      <c r="W6" s="47">
        <f>IF(AND(B6=Queue!$C$4,OR(Queue!$K$4="*",N6=Queue!$K$4)),Q6,"")</f>
        <v/>
      </c>
    </row>
    <row r="7">
      <c r="A7" s="38">
        <f>IF(M7="","",HYPERLINK("https://www.youtube.com/watch?v="&amp;M7,"▶"))</f>
        <v/>
      </c>
      <c r="B7" s="39">
        <f>IF(C7&lt;&gt;"",C7,IF(P7&lt;=IFERROR(INDEX(tblChannels[Watched Through],MATCH(N7,tblChannels[Channel ID],0)),0),"Watched","Unwatched"))</f>
        <v/>
      </c>
      <c r="C7" s="40" t="n"/>
      <c r="D7" s="41" t="n"/>
      <c r="E7" s="42" t="n">
        <v>46295.64861111111</v>
      </c>
      <c r="F7" s="50" t="inlineStr">
        <is>
          <t>Super Carlin Brothers</t>
        </is>
      </c>
      <c r="G7" t="inlineStr">
        <is>
          <t>Slughorn’s SECRET Son Revealed</t>
        </is>
      </c>
      <c r="H7" s="44" t="n">
        <v>0.01108796296296296</v>
      </c>
      <c r="I7" s="45" t="n">
        <v>62777</v>
      </c>
      <c r="J7" s="45" t="n">
        <v>1573</v>
      </c>
      <c r="K7" s="45" t="n">
        <v>250</v>
      </c>
      <c r="L7" s="46" t="n"/>
      <c r="M7" s="47" t="n"/>
      <c r="N7" s="47" t="inlineStr">
        <is>
          <t>UCKZo4N0lVPccBkSiuyVh4yg</t>
        </is>
      </c>
      <c r="O7" s="48" t="n">
        <v>46295.81527777778</v>
      </c>
      <c r="P7" s="49" t="n">
        <v>46295</v>
      </c>
      <c r="Q7" s="47" t="n">
        <v>3261</v>
      </c>
      <c r="R7" s="47" t="inlineStr">
        <is>
          <t>No Video ID yet</t>
        </is>
      </c>
      <c r="S7" s="49" t="n"/>
      <c r="T7" s="49" t="n"/>
      <c r="U7" s="47" t="inlineStr">
        <is>
          <t>This episode is sponsored by Factor – Head to and use code super50off to get 50% off and 1 free breakfast item per box for 1 year. This episode is sponsored by Raycon – Go to to get 20% off. Today J dives into Horace Slughorn’s memory to find out if he had a secret son hiding in plain sight this whole time. Who was the obsessive love he warns about in potions class? What does it have to do with the Crouch family and was Barty Crouch screaming the truth at us this whole time?! #HarryPotter #supercarlinbrothers</t>
        </is>
      </c>
      <c r="V7" s="47">
        <f>IF(AND(P7&gt;=Calendar!$K$2,P7&lt;EDATE(Calendar!$K$2,1),OR(Calendar!$K$4="*",N7=Calendar!$K$4)),P7*100+COUNTIFS($P$6:$P$3267,P7,$Q$6:$Q$3267,"&lt;="&amp;Q7,$N$6:$N$3267,Calendar!$K$4),"")</f>
        <v/>
      </c>
      <c r="W7" s="47">
        <f>IF(AND(B7=Queue!$C$4,OR(Queue!$K$4="*",N7=Queue!$K$4)),Q7,"")</f>
        <v/>
      </c>
    </row>
    <row r="8">
      <c r="A8" s="38">
        <f>IF(M8="","",HYPERLINK("https://www.youtube.com/watch?v="&amp;M8,"▶"))</f>
        <v/>
      </c>
      <c r="B8" s="39">
        <f>IF(C8&lt;&gt;"",C8,IF(P8&lt;=IFERROR(INDEX(tblChannels[Watched Through],MATCH(N8,tblChannels[Channel ID],0)),0),"Watched","Unwatched"))</f>
        <v/>
      </c>
      <c r="C8" s="40" t="n"/>
      <c r="D8" s="41" t="n"/>
      <c r="E8" s="42" t="n">
        <v>46292.41666666666</v>
      </c>
      <c r="F8" s="51" t="inlineStr">
        <is>
          <t>Through The Griffin Door</t>
        </is>
      </c>
      <c r="G8" t="inlineStr">
        <is>
          <t>Chapter 15: The Unbreakable Vow | Half-Blood Prince</t>
        </is>
      </c>
      <c r="H8" s="44" t="n">
        <v>0.07679398148148148</v>
      </c>
      <c r="I8" s="45" t="n">
        <v>41173</v>
      </c>
      <c r="J8" s="45" t="n">
        <v>692</v>
      </c>
      <c r="K8" s="45" t="n">
        <v>303</v>
      </c>
      <c r="L8" s="46" t="n"/>
      <c r="M8" s="47" t="n"/>
      <c r="N8" s="47" t="inlineStr">
        <is>
          <t>UCEscP6ETYXWSSvsNrDHekMQ</t>
        </is>
      </c>
      <c r="O8" s="48" t="n">
        <v>46292.58333333334</v>
      </c>
      <c r="P8" s="49" t="n">
        <v>46292</v>
      </c>
      <c r="Q8" s="47" t="n">
        <v>3260</v>
      </c>
      <c r="R8" s="47" t="inlineStr">
        <is>
          <t>No Video ID yet</t>
        </is>
      </c>
      <c r="S8" s="49" t="n"/>
      <c r="T8" s="49" t="n"/>
      <c r="U8" s="47" t="inlineStr">
        <is>
          <t>This episode is sponsored by Shopify – Go to shopify.com/griffin to start your free trial! Taking care of your health just got easier – start here with Zocdoc: Join J and Ben as they dive into Chapter 15 of the Half Blood Prince and discuss mistletoe and snogging, finding the name of Charms, everlasting elixirs, a ridiculous Madame Pince moment, cute Harmione moments, Harry going to the party with Luna, Draco getting caught, strawfangs, and Snape and Malfoy’s secret discussion. 05:45 - Chapter Breakdown 59:48 - Ad Break (Shopify &amp; ZocDoc) 1:02:57 - More Chapter Breakdown 1:43:16 - Closing Thoughts and Review</t>
        </is>
      </c>
      <c r="V8" s="47">
        <f>IF(AND(P8&gt;=Calendar!$K$2,P8&lt;EDATE(Calendar!$K$2,1),OR(Calendar!$K$4="*",N8=Calendar!$K$4)),P8*100+COUNTIFS($P$6:$P$3267,P8,$Q$6:$Q$3267,"&lt;="&amp;Q8,$N$6:$N$3267,Calendar!$K$4),"")</f>
        <v/>
      </c>
      <c r="W8" s="47">
        <f>IF(AND(B8=Queue!$C$4,OR(Queue!$K$4="*",N8=Queue!$K$4)),Q8,"")</f>
        <v/>
      </c>
    </row>
    <row r="9">
      <c r="A9" s="38">
        <f>IF(M9="","",HYPERLINK("https://www.youtube.com/watch?v="&amp;M9,"▶"))</f>
        <v/>
      </c>
      <c r="B9" s="39">
        <f>IF(C9&lt;&gt;"",C9,IF(P9&lt;=IFERROR(INDEX(tblChannels[Watched Through],MATCH(N9,tblChannels[Channel ID],0)),0),"Watched","Unwatched"))</f>
        <v/>
      </c>
      <c r="C9" s="40" t="n"/>
      <c r="D9" s="41" t="n"/>
      <c r="E9" s="42" t="n">
        <v>46290.68194444444</v>
      </c>
      <c r="F9" s="50" t="inlineStr">
        <is>
          <t>Super Carlin Brothers</t>
        </is>
      </c>
      <c r="G9" t="inlineStr">
        <is>
          <t>J vs Ben: How Well Do We Know The Boy Who Lived (MAX DIFFICULTY)</t>
        </is>
      </c>
      <c r="H9" s="44" t="n">
        <v>0.03479166666666667</v>
      </c>
      <c r="I9" s="45" t="n">
        <v>102063</v>
      </c>
      <c r="J9" s="45" t="n">
        <v>1791</v>
      </c>
      <c r="K9" s="45" t="n">
        <v>297</v>
      </c>
      <c r="L9" s="46" t="n"/>
      <c r="M9" s="47" t="n"/>
      <c r="N9" s="47" t="inlineStr">
        <is>
          <t>UCKZo4N0lVPccBkSiuyVh4yg</t>
        </is>
      </c>
      <c r="O9" s="48" t="n">
        <v>46290.84861111111</v>
      </c>
      <c r="P9" s="49" t="n">
        <v>46290</v>
      </c>
      <c r="Q9" s="47" t="n">
        <v>3259</v>
      </c>
      <c r="R9" s="47" t="inlineStr">
        <is>
          <t>No Video ID yet</t>
        </is>
      </c>
      <c r="S9" s="49" t="n"/>
      <c r="T9" s="49" t="n"/>
      <c r="U9" s="47" t="inlineStr">
        <is>
          <t>This video is sponsored by Proton VPN – go to to get 70% off a two year plan. This video is also sponsored by Faire – Sign up today and get 50% off your first wholesale order, up to $100 at Today J and Ben face off once more to find out who knows more about The Boy Who Lived, The Chosen One: Harry Potter. As the main character, questions about Harry could come from ANYWHERE and span all 7 books - Have our Quiz Masters managed to stump the guys? Special Thanks to these Quiz Masters: Fate3841, Firemon6000, Hermione Baggins, Mercedes, MrTeacher, Kellbell, Peyton Taylor, Elizabeth Potter, Tina's Hotdog Sophie, TrexDog, Julie Sherwood, LifeIsLavely, Crafty Lizard, Teghan Denlinger, Denise, Bradferd, Elfish Princess Hosted by: Kat Stine</t>
        </is>
      </c>
      <c r="V9" s="47">
        <f>IF(AND(P9&gt;=Calendar!$K$2,P9&lt;EDATE(Calendar!$K$2,1),OR(Calendar!$K$4="*",N9=Calendar!$K$4)),P9*100+COUNTIFS($P$6:$P$3267,P9,$Q$6:$Q$3267,"&lt;="&amp;Q9,$N$6:$N$3267,Calendar!$K$4),"")</f>
        <v/>
      </c>
      <c r="W9" s="47">
        <f>IF(AND(B9=Queue!$C$4,OR(Queue!$K$4="*",N9=Queue!$K$4)),Q9,"")</f>
        <v/>
      </c>
    </row>
    <row r="10">
      <c r="A10" s="38">
        <f>IF(M10="","",HYPERLINK("https://www.youtube.com/watch?v="&amp;M10,"▶"))</f>
        <v/>
      </c>
      <c r="B10" s="39">
        <f>IF(C10&lt;&gt;"",C10,IF(P10&lt;=IFERROR(INDEX(tblChannels[Watched Through],MATCH(N10,tblChannels[Channel ID],0)),0),"Watched","Unwatched"))</f>
        <v/>
      </c>
      <c r="C10" s="40" t="n"/>
      <c r="D10" s="41" t="n"/>
      <c r="E10" s="42" t="n">
        <v>46290.41666666666</v>
      </c>
      <c r="F10" s="43" t="inlineStr">
        <is>
          <t>Popcorn Culture</t>
        </is>
      </c>
      <c r="G10" t="inlineStr">
        <is>
          <t>Tour in a Podshell | Popcorn Culture</t>
        </is>
      </c>
      <c r="H10" s="44" t="n">
        <v>0.04733796296296296</v>
      </c>
      <c r="I10" s="45" t="n">
        <v>3615</v>
      </c>
      <c r="J10" s="45" t="n">
        <v>90</v>
      </c>
      <c r="K10" s="45" t="n">
        <v>18</v>
      </c>
      <c r="L10" s="46" t="n"/>
      <c r="M10" s="47" t="n"/>
      <c r="N10" s="47" t="inlineStr">
        <is>
          <t>UCHfIbq9thHPC8yrKjAdJgDA</t>
        </is>
      </c>
      <c r="O10" s="48" t="n">
        <v>46290.58333333334</v>
      </c>
      <c r="P10" s="49" t="n">
        <v>46290</v>
      </c>
      <c r="Q10" s="47" t="n">
        <v>3258</v>
      </c>
      <c r="R10" s="47" t="inlineStr">
        <is>
          <t>No Video ID yet</t>
        </is>
      </c>
      <c r="S10" s="49" t="n"/>
      <c r="T10" s="49" t="n"/>
      <c r="U10" s="47" t="inlineStr">
        <is>
          <t>In the 355th episode of the Pod, Ben and J discuss all things TOUR: getting locked out of the van, an amazing Boston show, Hartford being AN place, the magic of New York, the race to the finish line and many special moments in between. Lolita -</t>
        </is>
      </c>
      <c r="V10" s="47">
        <f>IF(AND(P10&gt;=Calendar!$K$2,P10&lt;EDATE(Calendar!$K$2,1),OR(Calendar!$K$4="*",N10=Calendar!$K$4)),P10*100+COUNTIFS($P$6:$P$3267,P10,$Q$6:$Q$3267,"&lt;="&amp;Q10,$N$6:$N$3267,Calendar!$K$4),"")</f>
        <v/>
      </c>
      <c r="W10" s="47">
        <f>IF(AND(B10=Queue!$C$4,OR(Queue!$K$4="*",N10=Queue!$K$4)),Q10,"")</f>
        <v/>
      </c>
    </row>
    <row r="11">
      <c r="A11" s="38">
        <f>IF(M11="","",HYPERLINK("https://www.youtube.com/watch?v="&amp;M11,"▶"))</f>
        <v/>
      </c>
      <c r="B11" s="39">
        <f>IF(C11&lt;&gt;"",C11,IF(P11&lt;=IFERROR(INDEX(tblChannels[Watched Through],MATCH(N11,tblChannels[Channel ID],0)),0),"Watched","Unwatched"))</f>
        <v/>
      </c>
      <c r="C11" s="40" t="n"/>
      <c r="D11" s="41" t="n"/>
      <c r="E11" s="42" t="n">
        <v>46289.65347222222</v>
      </c>
      <c r="F11" s="43" t="inlineStr">
        <is>
          <t>Popcorn Culture</t>
        </is>
      </c>
      <c r="G11" t="inlineStr">
        <is>
          <t>Mr. Ben's Worst Day Ever | Popcorn Culture</t>
        </is>
      </c>
      <c r="H11" s="44" t="n">
        <v>0.002627314814814815</v>
      </c>
      <c r="I11" s="45" t="n">
        <v>2235</v>
      </c>
      <c r="J11" s="45" t="n">
        <v>118</v>
      </c>
      <c r="K11" s="45" t="n">
        <v>27</v>
      </c>
      <c r="L11" s="46" t="n"/>
      <c r="M11" s="47" t="n"/>
      <c r="N11" s="47" t="inlineStr">
        <is>
          <t>UCHfIbq9thHPC8yrKjAdJgDA</t>
        </is>
      </c>
      <c r="O11" s="48" t="n">
        <v>46289.82013888889</v>
      </c>
      <c r="P11" s="49" t="n">
        <v>46289</v>
      </c>
      <c r="Q11" s="47" t="n">
        <v>3257</v>
      </c>
      <c r="R11" s="47" t="inlineStr">
        <is>
          <t>No Video ID yet</t>
        </is>
      </c>
      <c r="S11" s="49" t="n"/>
      <c r="T11" s="49" t="n"/>
      <c r="U11" s="47" t="inlineStr">
        <is>
          <t>You know that feeling when the universe is determined to make your own life hard for you? Yeah! That. Watch the full episode: Animated by: Isybelle Christley</t>
        </is>
      </c>
      <c r="V11" s="47">
        <f>IF(AND(P11&gt;=Calendar!$K$2,P11&lt;EDATE(Calendar!$K$2,1),OR(Calendar!$K$4="*",N11=Calendar!$K$4)),P11*100+COUNTIFS($P$6:$P$3267,P11,$Q$6:$Q$3267,"&lt;="&amp;Q11,$N$6:$N$3267,Calendar!$K$4),"")</f>
        <v/>
      </c>
      <c r="W11" s="47">
        <f>IF(AND(B11=Queue!$C$4,OR(Queue!$K$4="*",N11=Queue!$K$4)),Q11,"")</f>
        <v/>
      </c>
    </row>
    <row r="12">
      <c r="A12" s="38">
        <f>IF(M12="","",HYPERLINK("https://www.youtube.com/watch?v="&amp;M12,"▶"))</f>
        <v/>
      </c>
      <c r="B12" s="39">
        <f>IF(C12&lt;&gt;"",C12,IF(P12&lt;=IFERROR(INDEX(tblChannels[Watched Through],MATCH(N12,tblChannels[Channel ID],0)),0),"Watched","Unwatched"))</f>
        <v/>
      </c>
      <c r="C12" s="40" t="n"/>
      <c r="D12" s="41" t="n"/>
      <c r="E12" s="42" t="n">
        <v>46288.67430555556</v>
      </c>
      <c r="F12" s="50" t="inlineStr">
        <is>
          <t>Super Carlin Brothers</t>
        </is>
      </c>
      <c r="G12" t="inlineStr">
        <is>
          <t>Slughorn’s SECRET Role In Creating Voldemort</t>
        </is>
      </c>
      <c r="H12" s="44" t="n">
        <v>0.01101851851851852</v>
      </c>
      <c r="I12" s="45" t="n">
        <v>188618</v>
      </c>
      <c r="J12" s="45" t="n">
        <v>3039</v>
      </c>
      <c r="K12" s="45" t="n">
        <v>280</v>
      </c>
      <c r="L12" s="46" t="n"/>
      <c r="M12" s="47" t="n"/>
      <c r="N12" s="47" t="inlineStr">
        <is>
          <t>UCKZo4N0lVPccBkSiuyVh4yg</t>
        </is>
      </c>
      <c r="O12" s="48" t="n">
        <v>46288.84097222222</v>
      </c>
      <c r="P12" s="49" t="n">
        <v>46288</v>
      </c>
      <c r="Q12" s="47" t="n">
        <v>3256</v>
      </c>
      <c r="R12" s="47" t="inlineStr">
        <is>
          <t>No Video ID yet</t>
        </is>
      </c>
      <c r="S12" s="49" t="n"/>
      <c r="T12" s="49" t="n"/>
      <c r="U12" s="47" t="inlineStr">
        <is>
          <t>This show is sponsored by BetterHelp. Go to to get 10% off your first month. Head to and use code super50off to get 50% off and 1 free breakfast item per box for 1 year. What if Slughorn’s role in Voldemort’s story began long before he explained Horcruxes to Tom Riddle? Today Ben dives into the Wizarding World of Harry Potter and Voldemort’s past. From Merope Gaunt and the Slug Club to Tom’s first connections at Hogwarts, we’re tracing a theory that puts Horace Slughorn at nearly every turning point in Voldemort’s rise. Then there’s a strange run of luck involving Harry, the Half-Blood Prince’s potion book, and Felix Felicis that may have helped bring Voldemort down. Did Slughorn accidentally help create the Dark Lord and give Harry the means to defeat him? Let’s dive on in!</t>
        </is>
      </c>
      <c r="V12" s="47">
        <f>IF(AND(P12&gt;=Calendar!$K$2,P12&lt;EDATE(Calendar!$K$2,1),OR(Calendar!$K$4="*",N12=Calendar!$K$4)),P12*100+COUNTIFS($P$6:$P$3267,P12,$Q$6:$Q$3267,"&lt;="&amp;Q12,$N$6:$N$3267,Calendar!$K$4),"")</f>
        <v/>
      </c>
      <c r="W12" s="47">
        <f>IF(AND(B12=Queue!$C$4,OR(Queue!$K$4="*",N12=Queue!$K$4)),Q12,"")</f>
        <v/>
      </c>
    </row>
    <row r="13">
      <c r="A13" s="38">
        <f>IF(M13="","",HYPERLINK("https://www.youtube.com/watch?v="&amp;M13,"▶"))</f>
        <v/>
      </c>
      <c r="B13" s="39">
        <f>IF(C13&lt;&gt;"",C13,IF(P13&lt;=IFERROR(INDEX(tblChannels[Watched Through],MATCH(N13,tblChannels[Channel ID],0)),0),"Watched","Unwatched"))</f>
        <v/>
      </c>
      <c r="C13" s="40" t="n"/>
      <c r="D13" s="41" t="n"/>
      <c r="E13" s="42" t="n">
        <v>46285.41666666666</v>
      </c>
      <c r="F13" s="51" t="inlineStr">
        <is>
          <t>Through The Griffin Door</t>
        </is>
      </c>
      <c r="G13" t="inlineStr">
        <is>
          <t>The Owlery Special Part 5!</t>
        </is>
      </c>
      <c r="H13" s="44" t="n">
        <v>0.05418981481481482</v>
      </c>
      <c r="I13" s="45" t="n">
        <v>25554</v>
      </c>
      <c r="J13" s="45" t="n">
        <v>452</v>
      </c>
      <c r="K13" s="45" t="n">
        <v>122</v>
      </c>
      <c r="L13" s="46" t="n"/>
      <c r="M13" s="47" t="n"/>
      <c r="N13" s="47" t="inlineStr">
        <is>
          <t>UCEscP6ETYXWSSvsNrDHekMQ</t>
        </is>
      </c>
      <c r="O13" s="48" t="n">
        <v>46285.58333333334</v>
      </c>
      <c r="P13" s="49" t="n">
        <v>46285</v>
      </c>
      <c r="Q13" s="47" t="n">
        <v>3255</v>
      </c>
      <c r="R13" s="47" t="inlineStr">
        <is>
          <t>No Video ID yet</t>
        </is>
      </c>
      <c r="S13" s="49" t="n"/>
      <c r="T13" s="49" t="n"/>
      <c r="U13" s="47" t="inlineStr">
        <is>
          <t>Join J and Ben as they dive into YOUR QUESTIONS and answer the questions: How EXACTLY does the Unbreakable Vow work? What would have changed if Sirius just picked up Voldy's wand in the Godric's Hollow wreckage? Is Peter Pettigrew actually INCREDIBLY powerful? Do you want to have your questions answered on a future episode of The Owlery? Support us on Patreon: 02:12 - Question 1 27:08 - Question 2 53:40 - Question 3 Edited by :: Ethan Edghill and Isybelle Christley</t>
        </is>
      </c>
      <c r="V13" s="47">
        <f>IF(AND(P13&gt;=Calendar!$K$2,P13&lt;EDATE(Calendar!$K$2,1),OR(Calendar!$K$4="*",N13=Calendar!$K$4)),P13*100+COUNTIFS($P$6:$P$3267,P13,$Q$6:$Q$3267,"&lt;="&amp;Q13,$N$6:$N$3267,Calendar!$K$4),"")</f>
        <v/>
      </c>
      <c r="W13" s="47">
        <f>IF(AND(B13=Queue!$C$4,OR(Queue!$K$4="*",N13=Queue!$K$4)),Q13,"")</f>
        <v/>
      </c>
    </row>
    <row r="14">
      <c r="A14" s="38">
        <f>IF(M14="","",HYPERLINK("https://www.youtube.com/watch?v="&amp;M14,"▶"))</f>
        <v/>
      </c>
      <c r="B14" s="39">
        <f>IF(C14&lt;&gt;"",C14,IF(P14&lt;=IFERROR(INDEX(tblChannels[Watched Through],MATCH(N14,tblChannels[Channel ID],0)),0),"Watched","Unwatched"))</f>
        <v/>
      </c>
      <c r="C14" s="40" t="n"/>
      <c r="D14" s="41" t="n"/>
      <c r="E14" s="42" t="n">
        <v>46283.625</v>
      </c>
      <c r="F14" s="50" t="inlineStr">
        <is>
          <t>Super Carlin Brothers</t>
        </is>
      </c>
      <c r="G14" t="inlineStr">
        <is>
          <t>J &amp; Ben VS AI - Harry Potter Trivia</t>
        </is>
      </c>
      <c r="H14" s="44" t="n">
        <v>0.03126157407407407</v>
      </c>
      <c r="I14" s="45" t="n">
        <v>115261</v>
      </c>
      <c r="J14" s="45" t="n">
        <v>2389</v>
      </c>
      <c r="K14" s="45" t="n">
        <v>450</v>
      </c>
      <c r="L14" s="46" t="n"/>
      <c r="M14" s="47" t="n"/>
      <c r="N14" s="47" t="inlineStr">
        <is>
          <t>UCKZo4N0lVPccBkSiuyVh4yg</t>
        </is>
      </c>
      <c r="O14" s="48" t="n">
        <v>46283.79166666666</v>
      </c>
      <c r="P14" s="49" t="n">
        <v>46283</v>
      </c>
      <c r="Q14" s="47" t="n">
        <v>3254</v>
      </c>
      <c r="R14" s="47" t="inlineStr">
        <is>
          <t>No Video ID yet</t>
        </is>
      </c>
      <c r="S14" s="49" t="n"/>
      <c r="T14" s="49" t="n"/>
      <c r="U14" s="47" t="inlineStr">
        <is>
          <t>Today J and Ben join forces to take down Artificial Intelligence as they compete with ChatGPT in Harry Potter Trivia. AI might be able to read all 7 books in 3 seconds… but can it remember which kids Voldemort brought to the cave? Which Weasley went through platform 9 ¾ first? Play Along With Us ::</t>
        </is>
      </c>
      <c r="V14" s="47">
        <f>IF(AND(P14&gt;=Calendar!$K$2,P14&lt;EDATE(Calendar!$K$2,1),OR(Calendar!$K$4="*",N14=Calendar!$K$4)),P14*100+COUNTIFS($P$6:$P$3267,P14,$Q$6:$Q$3267,"&lt;="&amp;Q14,$N$6:$N$3267,Calendar!$K$4),"")</f>
        <v/>
      </c>
      <c r="W14" s="47">
        <f>IF(AND(B14=Queue!$C$4,OR(Queue!$K$4="*",N14=Queue!$K$4)),Q14,"")</f>
        <v/>
      </c>
    </row>
    <row r="15">
      <c r="A15" s="38">
        <f>IF(M15="","",HYPERLINK("https://www.youtube.com/watch?v="&amp;M15,"▶"))</f>
        <v/>
      </c>
      <c r="B15" s="39">
        <f>IF(C15&lt;&gt;"",C15,IF(P15&lt;=IFERROR(INDEX(tblChannels[Watched Through],MATCH(N15,tblChannels[Channel ID],0)),0),"Watched","Unwatched"))</f>
        <v/>
      </c>
      <c r="C15" s="40" t="n"/>
      <c r="D15" s="41" t="n"/>
      <c r="E15" s="42" t="n">
        <v>46283.41666666666</v>
      </c>
      <c r="F15" s="43" t="inlineStr">
        <is>
          <t>Popcorn Culture</t>
        </is>
      </c>
      <c r="G15" t="inlineStr">
        <is>
          <t>The Roanoke Bracket | Popcorn Culture</t>
        </is>
      </c>
      <c r="H15" s="44" t="n">
        <v>0.05040509259259259</v>
      </c>
      <c r="I15" s="45" t="n">
        <v>3167</v>
      </c>
      <c r="J15" s="45" t="n">
        <v>96</v>
      </c>
      <c r="K15" s="45" t="n">
        <v>22</v>
      </c>
      <c r="L15" s="46" t="n"/>
      <c r="M15" s="47" t="n"/>
      <c r="N15" s="47" t="inlineStr">
        <is>
          <t>UCHfIbq9thHPC8yrKjAdJgDA</t>
        </is>
      </c>
      <c r="O15" s="48" t="n">
        <v>46283.58333333334</v>
      </c>
      <c r="P15" s="49" t="n">
        <v>46283</v>
      </c>
      <c r="Q15" s="47" t="n">
        <v>3253</v>
      </c>
      <c r="R15" s="47" t="inlineStr">
        <is>
          <t>No Video ID yet</t>
        </is>
      </c>
      <c r="S15" s="49" t="n"/>
      <c r="T15" s="49" t="n"/>
      <c r="U15" s="47" t="inlineStr">
        <is>
          <t>In the 354th episode of the PopBen and J discuss tour prep, a Roanoke this or that, camaraderie of sports, buying a movie theater, classic Hollywood stories, and CGI Bluey. CGI Bluey Trailer - 2D vs CGI 00:00 - Intro, Tour Prep 01:37 - Improving Roanoke 46:57 - Bringing Back the Oldies 56:40 - CGI Bluey</t>
        </is>
      </c>
      <c r="V15" s="47">
        <f>IF(AND(P15&gt;=Calendar!$K$2,P15&lt;EDATE(Calendar!$K$2,1),OR(Calendar!$K$4="*",N15=Calendar!$K$4)),P15*100+COUNTIFS($P$6:$P$3267,P15,$Q$6:$Q$3267,"&lt;="&amp;Q15,$N$6:$N$3267,Calendar!$K$4),"")</f>
        <v/>
      </c>
      <c r="W15" s="47">
        <f>IF(AND(B15=Queue!$C$4,OR(Queue!$K$4="*",N15=Queue!$K$4)),Q15,"")</f>
        <v/>
      </c>
    </row>
    <row r="16">
      <c r="A16" s="38">
        <f>IF(M16="","",HYPERLINK("https://www.youtube.com/watch?v="&amp;M16,"▶"))</f>
        <v/>
      </c>
      <c r="B16" s="39">
        <f>IF(C16&lt;&gt;"",C16,IF(P16&lt;=IFERROR(INDEX(tblChannels[Watched Through],MATCH(N16,tblChannels[Channel ID],0)),0),"Watched","Unwatched"))</f>
        <v/>
      </c>
      <c r="C16" s="40" t="n"/>
      <c r="D16" s="41" t="n"/>
      <c r="E16" s="42" t="n">
        <v>46281.625</v>
      </c>
      <c r="F16" s="50" t="inlineStr">
        <is>
          <t>Super Carlin Brothers</t>
        </is>
      </c>
      <c r="G16" t="inlineStr">
        <is>
          <t>Theories From A Hat: Defending MORE Wild Harry Potter Theories</t>
        </is>
      </c>
      <c r="H16" s="44" t="n">
        <v>0.0271875</v>
      </c>
      <c r="I16" s="45" t="n">
        <v>104475</v>
      </c>
      <c r="J16" s="45" t="n">
        <v>1972</v>
      </c>
      <c r="K16" s="45" t="n">
        <v>409</v>
      </c>
      <c r="L16" s="46" t="n"/>
      <c r="M16" s="47" t="n"/>
      <c r="N16" s="47" t="inlineStr">
        <is>
          <t>UCKZo4N0lVPccBkSiuyVh4yg</t>
        </is>
      </c>
      <c r="O16" s="48" t="n">
        <v>46281.79166666666</v>
      </c>
      <c r="P16" s="49" t="n">
        <v>46281</v>
      </c>
      <c r="Q16" s="47" t="n">
        <v>3252</v>
      </c>
      <c r="R16" s="47" t="inlineStr">
        <is>
          <t>No Video ID yet</t>
        </is>
      </c>
      <c r="S16" s="49" t="n"/>
      <c r="T16" s="49" t="n"/>
      <c r="U16" s="47" t="inlineStr">
        <is>
          <t>This show is sponsored by BetterHelp – Go to Today J and Ben are diving into the magical Theory Hat once more to draw and defend your craziest, worst and funniest Harry Potter theories on the fly! Was Snape ACTUALLY in love with James? Did Moody create a Horcrux? Is Felix Felicis just bourbon? Was Hermione secretly in love with Harry?? #HarryPotter #supercarlinbrothers</t>
        </is>
      </c>
      <c r="V16" s="47">
        <f>IF(AND(P16&gt;=Calendar!$K$2,P16&lt;EDATE(Calendar!$K$2,1),OR(Calendar!$K$4="*",N16=Calendar!$K$4)),P16*100+COUNTIFS($P$6:$P$3267,P16,$Q$6:$Q$3267,"&lt;="&amp;Q16,$N$6:$N$3267,Calendar!$K$4),"")</f>
        <v/>
      </c>
      <c r="W16" s="47">
        <f>IF(AND(B16=Queue!$C$4,OR(Queue!$K$4="*",N16=Queue!$K$4)),Q16,"")</f>
        <v/>
      </c>
    </row>
    <row r="17">
      <c r="A17" s="38">
        <f>IF(M17="","",HYPERLINK("https://www.youtube.com/watch?v="&amp;M17,"▶"))</f>
        <v/>
      </c>
      <c r="B17" s="39">
        <f>IF(C17&lt;&gt;"",C17,IF(P17&lt;=IFERROR(INDEX(tblChannels[Watched Through],MATCH(N17,tblChannels[Channel ID],0)),0),"Watched","Unwatched"))</f>
        <v/>
      </c>
      <c r="C17" s="40" t="n"/>
      <c r="D17" s="41" t="n"/>
      <c r="E17" s="42" t="n">
        <v>46278.47569444445</v>
      </c>
      <c r="F17" s="51" t="inlineStr">
        <is>
          <t>Through The Griffin Door</t>
        </is>
      </c>
      <c r="G17" t="inlineStr">
        <is>
          <t>Chapter 14: Felix Felicis | Half-Blood Prince</t>
        </is>
      </c>
      <c r="H17" s="44" t="n">
        <v>0.07971064814814814</v>
      </c>
      <c r="I17" s="45" t="n">
        <v>38643</v>
      </c>
      <c r="J17" s="45" t="n">
        <v>813</v>
      </c>
      <c r="K17" s="45" t="n">
        <v>243</v>
      </c>
      <c r="L17" s="46" t="n"/>
      <c r="M17" s="47" t="n"/>
      <c r="N17" s="47" t="inlineStr">
        <is>
          <t>UCEscP6ETYXWSSvsNrDHekMQ</t>
        </is>
      </c>
      <c r="O17" s="48" t="n">
        <v>46278.64236111111</v>
      </c>
      <c r="P17" s="49" t="n">
        <v>46278</v>
      </c>
      <c r="Q17" s="47" t="n">
        <v>3251</v>
      </c>
      <c r="R17" s="47" t="inlineStr">
        <is>
          <t>No Video ID yet</t>
        </is>
      </c>
      <c r="S17" s="49" t="n"/>
      <c r="T17" s="49" t="n"/>
      <c r="U17" s="47" t="inlineStr">
        <is>
          <t>This episode is sponsored by Shopify – Go to shopify.com/griffin to start your free trial! Join J and Ben as they dive into Chapter 14 of the Half Blood Prince and discuss “weird mist”, new Voldemort “lore”, Neville crushing herbology, gross plants, the snogging conflict with Ginny, Harry’s placebo plan, Hermione’s fumble, and the beginning of WonWon and LavLav. 5:53- Chapter Breakdown 52:52 - Ad Break (Shopify) 54:33 - More Chapter Breakdown 1:41:11- Closing Thoughts and Review</t>
        </is>
      </c>
      <c r="V17" s="47">
        <f>IF(AND(P17&gt;=Calendar!$K$2,P17&lt;EDATE(Calendar!$K$2,1),OR(Calendar!$K$4="*",N17=Calendar!$K$4)),P17*100+COUNTIFS($P$6:$P$3267,P17,$Q$6:$Q$3267,"&lt;="&amp;Q17,$N$6:$N$3267,Calendar!$K$4),"")</f>
        <v/>
      </c>
      <c r="W17" s="47">
        <f>IF(AND(B17=Queue!$C$4,OR(Queue!$K$4="*",N17=Queue!$K$4)),Q17,"")</f>
        <v/>
      </c>
    </row>
    <row r="18">
      <c r="A18" s="38">
        <f>IF(M18="","",HYPERLINK("https://www.youtube.com/watch?v="&amp;M18,"▶"))</f>
        <v/>
      </c>
      <c r="B18" s="39">
        <f>IF(C18&lt;&gt;"",C18,IF(P18&lt;=IFERROR(INDEX(tblChannels[Watched Through],MATCH(N18,tblChannels[Channel ID],0)),0),"Watched","Unwatched"))</f>
        <v/>
      </c>
      <c r="C18" s="40" t="n"/>
      <c r="D18" s="41" t="n"/>
      <c r="E18" s="42" t="n">
        <v>46276.625</v>
      </c>
      <c r="F18" s="50" t="inlineStr">
        <is>
          <t>Super Carlin Brothers</t>
        </is>
      </c>
      <c r="G18" t="inlineStr">
        <is>
          <t>J vs Ben: MAX Difficulty Muggle Born Harry Potter Quiz</t>
        </is>
      </c>
      <c r="H18" s="44" t="n">
        <v>0.03378472222222222</v>
      </c>
      <c r="I18" s="45" t="n">
        <v>103882</v>
      </c>
      <c r="J18" s="45" t="n">
        <v>1907</v>
      </c>
      <c r="K18" s="45" t="n">
        <v>369</v>
      </c>
      <c r="L18" s="46" t="n"/>
      <c r="M18" s="47" t="n"/>
      <c r="N18" s="47" t="inlineStr">
        <is>
          <t>UCKZo4N0lVPccBkSiuyVh4yg</t>
        </is>
      </c>
      <c r="O18" s="48" t="n">
        <v>46276.79166666666</v>
      </c>
      <c r="P18" s="49" t="n">
        <v>46276</v>
      </c>
      <c r="Q18" s="47" t="n">
        <v>3250</v>
      </c>
      <c r="R18" s="47" t="inlineStr">
        <is>
          <t>No Video ID yet</t>
        </is>
      </c>
      <c r="S18" s="49" t="n"/>
      <c r="T18" s="49" t="n"/>
      <c r="U18" s="47" t="inlineStr">
        <is>
          <t>This episode is sponsored by Proton VPN - For 70% off a two year plan go to This episode is sponsored by Factor - Head to and use code jvsb50off to get 50 percent off and 1 free breakfast item per box for 1 year Today J and Ben face off once more to find out who knows more about the Wizarding World of Harry Potter as they take on a MAX Difficulty Muggle Born Quiz submitted by our dastardly Quiz Masters! (jk we love you all) Play Along With Us :: Special thanks to these Quiz Masters: Dola, KellBell, Penguin - Taylor, Fis, Drawing Xaos, GooeyChewie, Jessica Theriault, SweaterBrothers, Crafty Lizard, Elijah, Katrina(aaah!), LawNinja, prastarkeepers, Braferd, GenKenobi, Mustard Beaver, BoullionCube, Tara Walker Edited by: Riley Murtagh</t>
        </is>
      </c>
      <c r="V18" s="47">
        <f>IF(AND(P18&gt;=Calendar!$K$2,P18&lt;EDATE(Calendar!$K$2,1),OR(Calendar!$K$4="*",N18=Calendar!$K$4)),P18*100+COUNTIFS($P$6:$P$3267,P18,$Q$6:$Q$3267,"&lt;="&amp;Q18,$N$6:$N$3267,Calendar!$K$4),"")</f>
        <v/>
      </c>
      <c r="W18" s="47">
        <f>IF(AND(B18=Queue!$C$4,OR(Queue!$K$4="*",N18=Queue!$K$4)),Q18,"")</f>
        <v/>
      </c>
    </row>
    <row r="19">
      <c r="A19" s="38">
        <f>IF(M19="","",HYPERLINK("https://www.youtube.com/watch?v="&amp;M19,"▶"))</f>
        <v/>
      </c>
      <c r="B19" s="39">
        <f>IF(C19&lt;&gt;"",C19,IF(P19&lt;=IFERROR(INDEX(tblChannels[Watched Through],MATCH(N19,tblChannels[Channel ID],0)),0),"Watched","Unwatched"))</f>
        <v/>
      </c>
      <c r="C19" s="40" t="n"/>
      <c r="D19" s="41" t="n"/>
      <c r="E19" s="42" t="n">
        <v>46276.41666666666</v>
      </c>
      <c r="F19" s="43" t="inlineStr">
        <is>
          <t>Popcorn Culture</t>
        </is>
      </c>
      <c r="G19" t="inlineStr">
        <is>
          <t>Betty and the Chair | Popcorn Culture</t>
        </is>
      </c>
      <c r="H19" s="44" t="n">
        <v>0.04520833333333334</v>
      </c>
      <c r="I19" s="45" t="n">
        <v>2979</v>
      </c>
      <c r="J19" s="45" t="n">
        <v>98</v>
      </c>
      <c r="K19" s="45" t="n">
        <v>29</v>
      </c>
      <c r="L19" s="46" t="n"/>
      <c r="M19" s="47" t="n"/>
      <c r="N19" s="47" t="inlineStr">
        <is>
          <t>UCHfIbq9thHPC8yrKjAdJgDA</t>
        </is>
      </c>
      <c r="O19" s="48" t="n">
        <v>46276.58333333334</v>
      </c>
      <c r="P19" s="49" t="n">
        <v>46276</v>
      </c>
      <c r="Q19" s="47" t="n">
        <v>3249</v>
      </c>
      <c r="R19" s="47" t="inlineStr">
        <is>
          <t>No Video ID yet</t>
        </is>
      </c>
      <c r="S19" s="49" t="n"/>
      <c r="T19" s="49" t="n"/>
      <c r="U19" s="47" t="inlineStr">
        <is>
          <t>In the 353rd episode of the Pop, Ben and J discuss trolling on Facebook, a book idea, and sports strategy. SecretLabs Link - Pluribus - Project Hail Mary - The Martian - 00:00 - Intro, Facebook Marketplace 22:46 - Human Generated AI 42:24 - A Blue Bulls Update</t>
        </is>
      </c>
      <c r="V19" s="47">
        <f>IF(AND(P19&gt;=Calendar!$K$2,P19&lt;EDATE(Calendar!$K$2,1),OR(Calendar!$K$4="*",N19=Calendar!$K$4)),P19*100+COUNTIFS($P$6:$P$3267,P19,$Q$6:$Q$3267,"&lt;="&amp;Q19,$N$6:$N$3267,Calendar!$K$4),"")</f>
        <v/>
      </c>
      <c r="W19" s="47">
        <f>IF(AND(B19=Queue!$C$4,OR(Queue!$K$4="*",N19=Queue!$K$4)),Q19,"")</f>
        <v/>
      </c>
    </row>
    <row r="20">
      <c r="A20" s="38">
        <f>IF(M20="","",HYPERLINK("https://www.youtube.com/watch?v="&amp;M20,"▶"))</f>
        <v/>
      </c>
      <c r="B20" s="39">
        <f>IF(C20&lt;&gt;"",C20,IF(P20&lt;=IFERROR(INDEX(tblChannels[Watched Through],MATCH(N20,tblChannels[Channel ID],0)),0),"Watched","Unwatched"))</f>
        <v/>
      </c>
      <c r="C20" s="40" t="n"/>
      <c r="D20" s="41" t="n"/>
      <c r="E20" s="42" t="n">
        <v>46274.625</v>
      </c>
      <c r="F20" s="50" t="inlineStr">
        <is>
          <t>Super Carlin Brothers</t>
        </is>
      </c>
      <c r="G20" t="inlineStr">
        <is>
          <t>Hedwig Was an Animagus… And I Can Prove It</t>
        </is>
      </c>
      <c r="H20" s="44" t="n">
        <v>0.01186342592592593</v>
      </c>
      <c r="I20" s="45" t="n">
        <v>384535</v>
      </c>
      <c r="J20" s="45" t="n">
        <v>5502</v>
      </c>
      <c r="K20" s="45" t="n">
        <v>783</v>
      </c>
      <c r="L20" s="46" t="n"/>
      <c r="M20" s="47" t="n"/>
      <c r="N20" s="47" t="inlineStr">
        <is>
          <t>UCKZo4N0lVPccBkSiuyVh4yg</t>
        </is>
      </c>
      <c r="O20" s="48" t="n">
        <v>46274.79166666666</v>
      </c>
      <c r="P20" s="49" t="n">
        <v>46274</v>
      </c>
      <c r="Q20" s="47" t="n">
        <v>3248</v>
      </c>
      <c r="R20" s="47" t="inlineStr">
        <is>
          <t>No Video ID yet</t>
        </is>
      </c>
      <c r="S20" s="49" t="n"/>
      <c r="T20" s="49" t="n"/>
      <c r="U20" s="47" t="inlineStr">
        <is>
          <t>This show is sponsored by BetterHelp – Go to This show is sponsored by Shopify – Start your free trial at Harry Potter’s snowy owl has always been unusually intelligent — but there may be a reason for that. Today we're diving into one of our wildest Harry Potter theories yet: that Hedwig was actually an Animagus secretly tasked with watching over Harry. And once you start looking at the evidence — her strange behavior, her connection to Dumbledore, the Animagus registry, Nicolas and Perenelle Flamel, and the exact timing of Hedwig's death — this theory gets WAY more convincing than it has any right to be. #HarryPotter #WizardingWorld #SuperCarlinBrothers</t>
        </is>
      </c>
      <c r="V20" s="47">
        <f>IF(AND(P20&gt;=Calendar!$K$2,P20&lt;EDATE(Calendar!$K$2,1),OR(Calendar!$K$4="*",N20=Calendar!$K$4)),P20*100+COUNTIFS($P$6:$P$3267,P20,$Q$6:$Q$3267,"&lt;="&amp;Q20,$N$6:$N$3267,Calendar!$K$4),"")</f>
        <v/>
      </c>
      <c r="W20" s="47">
        <f>IF(AND(B20=Queue!$C$4,OR(Queue!$K$4="*",N20=Queue!$K$4)),Q20,"")</f>
        <v/>
      </c>
    </row>
    <row r="21">
      <c r="A21" s="38">
        <f>IF(M21="","",HYPERLINK("https://www.youtube.com/watch?v="&amp;M21,"▶"))</f>
        <v/>
      </c>
      <c r="B21" s="39">
        <f>IF(C21&lt;&gt;"",C21,IF(P21&lt;=IFERROR(INDEX(tblChannels[Watched Through],MATCH(N21,tblChannels[Channel ID],0)),0),"Watched","Unwatched"))</f>
        <v/>
      </c>
      <c r="C21" s="40" t="n"/>
      <c r="D21" s="41" t="n"/>
      <c r="E21" s="42" t="n">
        <v>46271.41666666666</v>
      </c>
      <c r="F21" s="51" t="inlineStr">
        <is>
          <t>Through The Griffin Door</t>
        </is>
      </c>
      <c r="G21" t="inlineStr">
        <is>
          <t>Chapter 13: The Secret Riddle | Half-Blood Prince</t>
        </is>
      </c>
      <c r="H21" s="44" t="n">
        <v>0.06916666666666667</v>
      </c>
      <c r="I21" s="45" t="n">
        <v>38028</v>
      </c>
      <c r="J21" s="45" t="n">
        <v>823</v>
      </c>
      <c r="K21" s="45" t="n">
        <v>303</v>
      </c>
      <c r="L21" s="46" t="n"/>
      <c r="M21" s="47" t="n"/>
      <c r="N21" s="47" t="inlineStr">
        <is>
          <t>UCEscP6ETYXWSSvsNrDHekMQ</t>
        </is>
      </c>
      <c r="O21" s="48" t="n">
        <v>46271.58333333334</v>
      </c>
      <c r="P21" s="49" t="n">
        <v>46271</v>
      </c>
      <c r="Q21" s="47" t="n">
        <v>3247</v>
      </c>
      <c r="R21" s="47" t="inlineStr">
        <is>
          <t>No Video ID yet</t>
        </is>
      </c>
      <c r="S21" s="49" t="n"/>
      <c r="T21" s="49" t="n"/>
      <c r="U21" s="47" t="inlineStr">
        <is>
          <t>Join J and Ben as they dive into Chapter 13 of the Half Blood Prince and discuss the debrief with Dumbledore, obscurus magic, getting Mrs. Cole drunk, and Tom as a child. Thanos - The Pensieve’s Dark Twin - 0:04:11 - Chapter Breakdown 1:33:11 - Closing Thoughts and Review</t>
        </is>
      </c>
      <c r="V21" s="47">
        <f>IF(AND(P21&gt;=Calendar!$K$2,P21&lt;EDATE(Calendar!$K$2,1),OR(Calendar!$K$4="*",N21=Calendar!$K$4)),P21*100+COUNTIFS($P$6:$P$3267,P21,$Q$6:$Q$3267,"&lt;="&amp;Q21,$N$6:$N$3267,Calendar!$K$4),"")</f>
        <v/>
      </c>
      <c r="W21" s="47">
        <f>IF(AND(B21=Queue!$C$4,OR(Queue!$K$4="*",N21=Queue!$K$4)),Q21,"")</f>
        <v/>
      </c>
    </row>
    <row r="22">
      <c r="A22" s="38">
        <f>IF(M22="","",HYPERLINK("https://www.youtube.com/watch?v="&amp;M22,"▶"))</f>
        <v/>
      </c>
      <c r="B22" s="39">
        <f>IF(C22&lt;&gt;"",C22,IF(P22&lt;=IFERROR(INDEX(tblChannels[Watched Through],MATCH(N22,tblChannels[Channel ID],0)),0),"Watched","Unwatched"))</f>
        <v/>
      </c>
      <c r="C22" s="40" t="n"/>
      <c r="D22" s="41" t="n"/>
      <c r="E22" s="42" t="n">
        <v>46269.41666666666</v>
      </c>
      <c r="F22" s="43" t="inlineStr">
        <is>
          <t>Popcorn Culture</t>
        </is>
      </c>
      <c r="G22" t="inlineStr">
        <is>
          <t>The Birth of Burbles (WITH ALYCE!) | Popcorn Culture</t>
        </is>
      </c>
      <c r="H22" s="44" t="n">
        <v>0.04740740740740741</v>
      </c>
      <c r="I22" s="45" t="n">
        <v>7115</v>
      </c>
      <c r="J22" s="45" t="n">
        <v>142</v>
      </c>
      <c r="K22" s="45" t="n">
        <v>26</v>
      </c>
      <c r="L22" s="46" t="n"/>
      <c r="M22" s="47" t="n"/>
      <c r="N22" s="47" t="inlineStr">
        <is>
          <t>UCHfIbq9thHPC8yrKjAdJgDA</t>
        </is>
      </c>
      <c r="O22" s="48" t="n">
        <v>46269.58333333334</v>
      </c>
      <c r="P22" s="49" t="n">
        <v>46269</v>
      </c>
      <c r="Q22" s="47" t="n">
        <v>3246</v>
      </c>
      <c r="R22" s="47" t="inlineStr">
        <is>
          <t>No Video ID yet</t>
        </is>
      </c>
      <c r="S22" s="49" t="n"/>
      <c r="T22" s="49" t="n"/>
      <c r="U22" s="47" t="inlineStr">
        <is>
          <t>In the 352nd episode of the Pop, Ben and ALYCE discuss their dreams for New’d, their hopeful England itinerary, F1, Ben’s sleep talking red flags, degree of difficulty of their jobs, favorite movies, Tiana’s Bayou, Addy’s confidence, name spellings, cemeteries, F1 - Clarkson’s Farm - Downton Abbey - Trek Trendy - Christopher Robin - One Piece - Dungeons and Dragons - Lord of the Rings Movies - Pitch Perfect - 00:00 - Intro, Cliff Jumping 04:07 - Dreamin’ 26:58 - Switching Jobs 31:56 - Favorite Movies 41:08 - Disney Parks with Addy 50:09 - Season Tickets 54:55 - Name Spelling</t>
        </is>
      </c>
      <c r="V22" s="47">
        <f>IF(AND(P22&gt;=Calendar!$K$2,P22&lt;EDATE(Calendar!$K$2,1),OR(Calendar!$K$4="*",N22=Calendar!$K$4)),P22*100+COUNTIFS($P$6:$P$3267,P22,$Q$6:$Q$3267,"&lt;="&amp;Q22,$N$6:$N$3267,Calendar!$K$4),"")</f>
        <v/>
      </c>
      <c r="W22" s="47">
        <f>IF(AND(B22=Queue!$C$4,OR(Queue!$K$4="*",N22=Queue!$K$4)),Q22,"")</f>
        <v/>
      </c>
    </row>
    <row r="23">
      <c r="A23" s="38">
        <f>IF(M23="","",HYPERLINK("https://www.youtube.com/watch?v="&amp;M23,"▶"))</f>
        <v/>
      </c>
      <c r="B23" s="39">
        <f>IF(C23&lt;&gt;"",C23,IF(P23&lt;=IFERROR(INDEX(tblChannels[Watched Through],MATCH(N23,tblChannels[Channel ID],0)),0),"Watched","Unwatched"))</f>
        <v/>
      </c>
      <c r="C23" s="40" t="n"/>
      <c r="D23" s="41" t="n"/>
      <c r="E23" s="42" t="n">
        <v>46268.70833333334</v>
      </c>
      <c r="F23" s="50" t="inlineStr">
        <is>
          <t>Super Carlin Brothers</t>
        </is>
      </c>
      <c r="G23" t="inlineStr">
        <is>
          <t>Harry Potter HBO Trailer 2: Everything You Missed!</t>
        </is>
      </c>
      <c r="H23" s="44" t="n">
        <v>0.01802083333333333</v>
      </c>
      <c r="I23" s="45" t="n">
        <v>565277</v>
      </c>
      <c r="J23" s="45" t="n">
        <v>7688</v>
      </c>
      <c r="K23" s="45" t="n">
        <v>1412</v>
      </c>
      <c r="L23" s="46" t="n"/>
      <c r="M23" s="47" t="n"/>
      <c r="N23" s="47" t="inlineStr">
        <is>
          <t>UCKZo4N0lVPccBkSiuyVh4yg</t>
        </is>
      </c>
      <c r="O23" s="48" t="n">
        <v>46268.875</v>
      </c>
      <c r="P23" s="49" t="n">
        <v>46268</v>
      </c>
      <c r="Q23" s="47" t="n">
        <v>3245</v>
      </c>
      <c r="R23" s="47" t="inlineStr">
        <is>
          <t>No Video ID yet</t>
        </is>
      </c>
      <c r="S23" s="49" t="n"/>
      <c r="T23" s="49" t="n"/>
      <c r="U23" s="47" t="inlineStr">
        <is>
          <t>Y’all the second Harry Potter and the Philosopher's Stone HBO trailer is HERE, and it gave us our biggest look yet at the new series! From Hogwarts and the Sorting Ceremony to the BURROW, Quidditch, classes, the Mirror of Erised and even the Philosopher's Stone, there is a TON to break down. Today we're going frame-by-frame through the new Harry Potter trailer to breakdown everything you missed, all the hidden details, book references, character reveals and BIG changes from the original Harry Potter movies! #HarryPotter #supercarlinbrothers Watch the full trailer here ::</t>
        </is>
      </c>
      <c r="V23" s="47">
        <f>IF(AND(P23&gt;=Calendar!$K$2,P23&lt;EDATE(Calendar!$K$2,1),OR(Calendar!$K$4="*",N23=Calendar!$K$4)),P23*100+COUNTIFS($P$6:$P$3267,P23,$Q$6:$Q$3267,"&lt;="&amp;Q23,$N$6:$N$3267,Calendar!$K$4),"")</f>
        <v/>
      </c>
      <c r="W23" s="47">
        <f>IF(AND(B23=Queue!$C$4,OR(Queue!$K$4="*",N23=Queue!$K$4)),Q23,"")</f>
        <v/>
      </c>
    </row>
    <row r="24">
      <c r="A24" s="38">
        <f>IF(M24="","",HYPERLINK("https://www.youtube.com/watch?v="&amp;M24,"▶"))</f>
        <v/>
      </c>
      <c r="B24" s="39">
        <f>IF(C24&lt;&gt;"",C24,IF(P24&lt;=IFERROR(INDEX(tblChannels[Watched Through],MATCH(N24,tblChannels[Channel ID],0)),0),"Watched","Unwatched"))</f>
        <v/>
      </c>
      <c r="C24" s="40" t="n"/>
      <c r="D24" s="41" t="n"/>
      <c r="E24" s="42" t="n">
        <v>46267.70208333333</v>
      </c>
      <c r="F24" s="50" t="inlineStr">
        <is>
          <t>Super Carlin Brothers</t>
        </is>
      </c>
      <c r="G24" t="inlineStr">
        <is>
          <t>The WORST Chapter In Every Harry Potter Book</t>
        </is>
      </c>
      <c r="H24" s="44" t="n">
        <v>0.01741898148148148</v>
      </c>
      <c r="I24" s="45" t="n">
        <v>239580</v>
      </c>
      <c r="J24" s="45" t="n">
        <v>3546</v>
      </c>
      <c r="K24" s="45" t="n">
        <v>431</v>
      </c>
      <c r="L24" s="46" t="n"/>
      <c r="M24" s="47" t="n"/>
      <c r="N24" s="47" t="inlineStr">
        <is>
          <t>UCKZo4N0lVPccBkSiuyVh4yg</t>
        </is>
      </c>
      <c r="O24" s="48" t="n">
        <v>46267.86875</v>
      </c>
      <c r="P24" s="49" t="n">
        <v>46267</v>
      </c>
      <c r="Q24" s="47" t="n">
        <v>3244</v>
      </c>
      <c r="R24" s="47" t="inlineStr">
        <is>
          <t>No Video ID yet</t>
        </is>
      </c>
      <c r="S24" s="49" t="n"/>
      <c r="T24" s="49" t="n"/>
      <c r="U24" s="47" t="inlineStr">
        <is>
          <t>This show is sponsored by BetterHelp – Go to We've read the Harry Potter series more times than we can count—and dissected basically every sentence along the way. But even in a series we love, something has to come in last. Today we're picking our least favorite chapter from EACH Harry Potter book, from Philosopher's Stone all the way through Deathly Hallows. Prepare for some Hot takes yall because YES we included “The Marauders Map” and “The Hungarian Horntail” - You have been warned!</t>
        </is>
      </c>
      <c r="V24" s="47">
        <f>IF(AND(P24&gt;=Calendar!$K$2,P24&lt;EDATE(Calendar!$K$2,1),OR(Calendar!$K$4="*",N24=Calendar!$K$4)),P24*100+COUNTIFS($P$6:$P$3267,P24,$Q$6:$Q$3267,"&lt;="&amp;Q24,$N$6:$N$3267,Calendar!$K$4),"")</f>
        <v/>
      </c>
      <c r="W24" s="47">
        <f>IF(AND(B24=Queue!$C$4,OR(Queue!$K$4="*",N24=Queue!$K$4)),Q24,"")</f>
        <v/>
      </c>
    </row>
    <row r="25">
      <c r="A25" s="38">
        <f>IF(M25="","",HYPERLINK("https://www.youtube.com/watch?v="&amp;M25,"▶"))</f>
        <v/>
      </c>
      <c r="B25" s="39">
        <f>IF(C25&lt;&gt;"",C25,IF(P25&lt;=IFERROR(INDEX(tblChannels[Watched Through],MATCH(N25,tblChannels[Channel ID],0)),0),"Watched","Unwatched"))</f>
        <v/>
      </c>
      <c r="C25" s="40" t="n"/>
      <c r="D25" s="41" t="n"/>
      <c r="E25" s="42" t="n">
        <v>46264.41666666666</v>
      </c>
      <c r="F25" s="51" t="inlineStr">
        <is>
          <t>Through The Griffin Door</t>
        </is>
      </c>
      <c r="G25" t="inlineStr">
        <is>
          <t>Chapter 12: Silver and Opals | Half-Blood Prince</t>
        </is>
      </c>
      <c r="H25" s="44" t="n">
        <v>0.06476851851851852</v>
      </c>
      <c r="I25" s="45" t="n">
        <v>37050</v>
      </c>
      <c r="J25" s="45" t="n">
        <v>794</v>
      </c>
      <c r="K25" s="45" t="n">
        <v>265</v>
      </c>
      <c r="L25" s="46" t="n"/>
      <c r="M25" s="47" t="n"/>
      <c r="N25" s="47" t="inlineStr">
        <is>
          <t>UCEscP6ETYXWSSvsNrDHekMQ</t>
        </is>
      </c>
      <c r="O25" s="48" t="n">
        <v>46264.58333333334</v>
      </c>
      <c r="P25" s="49" t="n">
        <v>46264</v>
      </c>
      <c r="Q25" s="47" t="n">
        <v>3243</v>
      </c>
      <c r="R25" s="47" t="inlineStr">
        <is>
          <t>No Video ID yet</t>
        </is>
      </c>
      <c r="S25" s="49" t="n"/>
      <c r="T25" s="49" t="n"/>
      <c r="U25" s="47" t="inlineStr">
        <is>
          <t>Join J and Ben as they dive into Chapter 12 of the Half Blood Prince and discuss Dumbledore being gone, learning Levicorpus, the Sacred 28, the sad/cold trip to Hogsmeade, Katie being cursed, and Harry’s suspicions. 08:32 - Chapter Breakdown 1:22:23 - Closing Thoughts and Review</t>
        </is>
      </c>
      <c r="V25" s="47">
        <f>IF(AND(P25&gt;=Calendar!$K$2,P25&lt;EDATE(Calendar!$K$2,1),OR(Calendar!$K$4="*",N25=Calendar!$K$4)),P25*100+COUNTIFS($P$6:$P$3267,P25,$Q$6:$Q$3267,"&lt;="&amp;Q25,$N$6:$N$3267,Calendar!$K$4),"")</f>
        <v/>
      </c>
      <c r="W25" s="47">
        <f>IF(AND(B25=Queue!$C$4,OR(Queue!$K$4="*",N25=Queue!$K$4)),Q25,"")</f>
        <v/>
      </c>
    </row>
    <row r="26">
      <c r="A26" s="38">
        <f>IF(M26="","",HYPERLINK("https://www.youtube.com/watch?v="&amp;M26,"▶"))</f>
        <v/>
      </c>
      <c r="B26" s="39">
        <f>IF(C26&lt;&gt;"",C26,IF(P26&lt;=IFERROR(INDEX(tblChannels[Watched Through],MATCH(N26,tblChannels[Channel ID],0)),0),"Watched","Unwatched"))</f>
        <v/>
      </c>
      <c r="C26" s="40" t="n"/>
      <c r="D26" s="41" t="n"/>
      <c r="E26" s="42" t="n">
        <v>46262.7</v>
      </c>
      <c r="F26" s="50" t="inlineStr">
        <is>
          <t>Super Carlin Brothers</t>
        </is>
      </c>
      <c r="G26" t="inlineStr">
        <is>
          <t>The SECRET Pattern Hidden in Harry Potter</t>
        </is>
      </c>
      <c r="H26" s="44" t="n">
        <v>0.01267361111111111</v>
      </c>
      <c r="I26" s="45" t="n">
        <v>262533</v>
      </c>
      <c r="J26" s="45" t="n">
        <v>4579</v>
      </c>
      <c r="K26" s="45" t="n">
        <v>501</v>
      </c>
      <c r="L26" s="46" t="n"/>
      <c r="M26" s="47" t="n"/>
      <c r="N26" s="47" t="inlineStr">
        <is>
          <t>UCKZo4N0lVPccBkSiuyVh4yg</t>
        </is>
      </c>
      <c r="O26" s="48" t="n">
        <v>46262.86666666667</v>
      </c>
      <c r="P26" s="49" t="n">
        <v>46262</v>
      </c>
      <c r="Q26" s="47" t="n">
        <v>3242</v>
      </c>
      <c r="R26" s="47" t="inlineStr">
        <is>
          <t>No Video ID yet</t>
        </is>
      </c>
      <c r="S26" s="49" t="n"/>
      <c r="T26" s="49" t="n"/>
      <c r="U26" s="47" t="inlineStr">
        <is>
          <t>Raycon's Everyday Earbuds Classics are the perfect back-to-school companion. Go to to get 20% off. Thanks to Raycon for sponsoring! Head to and use code 'super50off' to get 50% off and 1 free breakfast item per box for 1 year, while supplies last until 10/31/2026. See website for more details Today J is diving into the Wizarding World to uncover Harry Potter’s secret storytelling structure known as Ring Composition. Where the second half of a story mirrors the first half in reverse. And once you know what to look for, it starts showing up EVERYWHERE. From Harry's encounters with Voldemort and his parents, to Sirius, Aragog, the Malfoys, prophecies, Patronuses, potions and even dragons, today we're breaking down the SECRET PATTERN hidden throughout the Harry Potter series! #HarryPotter #WizardingWorld #supercarlinbrothers</t>
        </is>
      </c>
      <c r="V26" s="47">
        <f>IF(AND(P26&gt;=Calendar!$K$2,P26&lt;EDATE(Calendar!$K$2,1),OR(Calendar!$K$4="*",N26=Calendar!$K$4)),P26*100+COUNTIFS($P$6:$P$3267,P26,$Q$6:$Q$3267,"&lt;="&amp;Q26,$N$6:$N$3267,Calendar!$K$4),"")</f>
        <v/>
      </c>
      <c r="W26" s="47">
        <f>IF(AND(B26=Queue!$C$4,OR(Queue!$K$4="*",N26=Queue!$K$4)),Q26,"")</f>
        <v/>
      </c>
    </row>
    <row r="27">
      <c r="A27" s="38">
        <f>IF(M27="","",HYPERLINK("https://www.youtube.com/watch?v="&amp;M27,"▶"))</f>
        <v/>
      </c>
      <c r="B27" s="39">
        <f>IF(C27&lt;&gt;"",C27,IF(P27&lt;=IFERROR(INDEX(tblChannels[Watched Through],MATCH(N27,tblChannels[Channel ID],0)),0),"Watched","Unwatched"))</f>
        <v/>
      </c>
      <c r="C27" s="40" t="n"/>
      <c r="D27" s="41" t="n"/>
      <c r="E27" s="42" t="n">
        <v>46262.41666666666</v>
      </c>
      <c r="F27" s="43" t="inlineStr">
        <is>
          <t>Popcorn Culture</t>
        </is>
      </c>
      <c r="G27" t="inlineStr">
        <is>
          <t>Stop BEING Your Opinions | Popcorn Culture</t>
        </is>
      </c>
      <c r="H27" s="44" t="n">
        <v>0.05579861111111111</v>
      </c>
      <c r="I27" s="45" t="n">
        <v>3488</v>
      </c>
      <c r="J27" s="45" t="n">
        <v>98</v>
      </c>
      <c r="K27" s="45" t="n">
        <v>25</v>
      </c>
      <c r="L27" s="46" t="n"/>
      <c r="M27" s="47" t="n"/>
      <c r="N27" s="47" t="inlineStr">
        <is>
          <t>UCHfIbq9thHPC8yrKjAdJgDA</t>
        </is>
      </c>
      <c r="O27" s="48" t="n">
        <v>46262.58333333334</v>
      </c>
      <c r="P27" s="49" t="n">
        <v>46262</v>
      </c>
      <c r="Q27" s="47" t="n">
        <v>3241</v>
      </c>
      <c r="R27" s="47" t="inlineStr">
        <is>
          <t>No Video ID yet</t>
        </is>
      </c>
      <c r="S27" s="49" t="n"/>
      <c r="T27" s="49" t="n"/>
      <c r="U27" s="47" t="inlineStr">
        <is>
          <t>In the 351st episode of the Pop, Ben and J discuss a strong opinion about a STRONG thing, coaching the first game, voice mails, a potential apocalypse situation, and finally give a D23 debrief. Alternative Titles: #ZoomOut The Blue Bulls 00:00 - Intro, #zoomout 12:15 - Coaching and Email 34:56 - Transformers and the Apocalypse 44:39 - D23</t>
        </is>
      </c>
      <c r="V27" s="47">
        <f>IF(AND(P27&gt;=Calendar!$K$2,P27&lt;EDATE(Calendar!$K$2,1),OR(Calendar!$K$4="*",N27=Calendar!$K$4)),P27*100+COUNTIFS($P$6:$P$3267,P27,$Q$6:$Q$3267,"&lt;="&amp;Q27,$N$6:$N$3267,Calendar!$K$4),"")</f>
        <v/>
      </c>
      <c r="W27" s="47">
        <f>IF(AND(B27=Queue!$C$4,OR(Queue!$K$4="*",N27=Queue!$K$4)),Q27,"")</f>
        <v/>
      </c>
    </row>
    <row r="28">
      <c r="A28" s="38">
        <f>IF(M28="","",HYPERLINK("https://www.youtube.com/watch?v="&amp;M28,"▶"))</f>
        <v/>
      </c>
      <c r="B28" s="39">
        <f>IF(C28&lt;&gt;"",C28,IF(P28&lt;=IFERROR(INDEX(tblChannels[Watched Through],MATCH(N28,tblChannels[Channel ID],0)),0),"Watched","Unwatched"))</f>
        <v/>
      </c>
      <c r="C28" s="40" t="n"/>
      <c r="D28" s="41" t="n"/>
      <c r="E28" s="42" t="n">
        <v>46260.71875</v>
      </c>
      <c r="F28" s="50" t="inlineStr">
        <is>
          <t>Super Carlin Brothers</t>
        </is>
      </c>
      <c r="G28" t="inlineStr">
        <is>
          <t>J vs Ben: INSANE Harry Potter Muggle Quiz</t>
        </is>
      </c>
      <c r="H28" s="44" t="n">
        <v>0.03006944444444444</v>
      </c>
      <c r="I28" s="45" t="n">
        <v>106086</v>
      </c>
      <c r="J28" s="45" t="n">
        <v>2207</v>
      </c>
      <c r="K28" s="45" t="n">
        <v>258</v>
      </c>
      <c r="L28" s="46" t="n"/>
      <c r="M28" s="47" t="n"/>
      <c r="N28" s="47" t="inlineStr">
        <is>
          <t>UCKZo4N0lVPccBkSiuyVh4yg</t>
        </is>
      </c>
      <c r="O28" s="48" t="n">
        <v>46260.88541666666</v>
      </c>
      <c r="P28" s="49" t="n">
        <v>46260</v>
      </c>
      <c r="Q28" s="47" t="n">
        <v>3240</v>
      </c>
      <c r="R28" s="47" t="inlineStr">
        <is>
          <t>No Video ID yet</t>
        </is>
      </c>
      <c r="S28" s="49" t="n"/>
      <c r="T28" s="49" t="n"/>
      <c r="U28" s="47" t="inlineStr">
        <is>
          <t>This episode is sponsored by Whatnot – Get $15 off your first purchase on Whatnot using this link 👉🏼 J and Ben face off once more in this INSANE Harry Potter Muggle quiz to find out who knows more about the Wizarding World! #harrypotter #jvsben #supercarlinbrothers</t>
        </is>
      </c>
      <c r="V28" s="47">
        <f>IF(AND(P28&gt;=Calendar!$K$2,P28&lt;EDATE(Calendar!$K$2,1),OR(Calendar!$K$4="*",N28=Calendar!$K$4)),P28*100+COUNTIFS($P$6:$P$3267,P28,$Q$6:$Q$3267,"&lt;="&amp;Q28,$N$6:$N$3267,Calendar!$K$4),"")</f>
        <v/>
      </c>
      <c r="W28" s="47">
        <f>IF(AND(B28=Queue!$C$4,OR(Queue!$K$4="*",N28=Queue!$K$4)),Q28,"")</f>
        <v/>
      </c>
    </row>
    <row r="29">
      <c r="A29" s="38">
        <f>IF(M29="","",HYPERLINK("https://www.youtube.com/watch?v="&amp;M29,"▶"))</f>
        <v/>
      </c>
      <c r="B29" s="39">
        <f>IF(C29&lt;&gt;"",C29,IF(P29&lt;=IFERROR(INDEX(tblChannels[Watched Through],MATCH(N29,tblChannels[Channel ID],0)),0),"Watched","Unwatched"))</f>
        <v/>
      </c>
      <c r="C29" s="40" t="n"/>
      <c r="D29" s="41" t="n"/>
      <c r="E29" s="42" t="n">
        <v>46257.41666666666</v>
      </c>
      <c r="F29" s="51" t="inlineStr">
        <is>
          <t>Through The Griffin Door</t>
        </is>
      </c>
      <c r="G29" t="inlineStr">
        <is>
          <t>Chapter 11: Hermione’s Helping Hand | Half-Blood Prince</t>
        </is>
      </c>
      <c r="H29" s="44" t="n">
        <v>0.07094907407407407</v>
      </c>
      <c r="I29" s="45" t="n">
        <v>32211</v>
      </c>
      <c r="J29" s="45" t="n">
        <v>824</v>
      </c>
      <c r="K29" s="45" t="n">
        <v>307</v>
      </c>
      <c r="L29" s="46" t="n"/>
      <c r="M29" s="47" t="n"/>
      <c r="N29" s="47" t="inlineStr">
        <is>
          <t>UCEscP6ETYXWSSvsNrDHekMQ</t>
        </is>
      </c>
      <c r="O29" s="48" t="n">
        <v>46257.58333333334</v>
      </c>
      <c r="P29" s="49" t="n">
        <v>46257</v>
      </c>
      <c r="Q29" s="47" t="n">
        <v>3239</v>
      </c>
      <c r="R29" s="47" t="inlineStr">
        <is>
          <t>No Video ID yet</t>
        </is>
      </c>
      <c r="S29" s="49" t="n"/>
      <c r="T29" s="49" t="n"/>
      <c r="U29" s="47" t="inlineStr">
        <is>
          <t>This episode is sponsored by Shopify – Go to shopify.com/griffin to start your free trial! Join J and Ben as they dive into Chapter 11 of the Half Blood Prince and discuss the trio’s “busy” class schedule, pranks, flirting, Stan’s arrest, Quidditch tryouts, finally seeing Hagrid, Cormac being confunded, the article with Arthur, and Demelza’s message. Fred &amp; George POISONED Cormac McClaggen?! - 05:37 - Chapter Breakdown 50:54 - Ad Break (Shopify) 52:12 - More Chapter Breakdown 1:35:07 - Closing Thoughts and Review</t>
        </is>
      </c>
      <c r="V29" s="47">
        <f>IF(AND(P29&gt;=Calendar!$K$2,P29&lt;EDATE(Calendar!$K$2,1),OR(Calendar!$K$4="*",N29=Calendar!$K$4)),P29*100+COUNTIFS($P$6:$P$3267,P29,$Q$6:$Q$3267,"&lt;="&amp;Q29,$N$6:$N$3267,Calendar!$K$4),"")</f>
        <v/>
      </c>
      <c r="W29" s="47">
        <f>IF(AND(B29=Queue!$C$4,OR(Queue!$K$4="*",N29=Queue!$K$4)),Q29,"")</f>
        <v/>
      </c>
    </row>
    <row r="30">
      <c r="A30" s="38">
        <f>IF(M30="","",HYPERLINK("https://www.youtube.com/watch?v="&amp;M30,"▶"))</f>
        <v/>
      </c>
      <c r="B30" s="39">
        <f>IF(C30&lt;&gt;"",C30,IF(P30&lt;=IFERROR(INDEX(tblChannels[Watched Through],MATCH(N30,tblChannels[Channel ID],0)),0),"Watched","Unwatched"))</f>
        <v/>
      </c>
      <c r="C30" s="40" t="n"/>
      <c r="D30" s="41" t="n"/>
      <c r="E30" s="42" t="n">
        <v>46255.82222222222</v>
      </c>
      <c r="F30" s="50" t="inlineStr">
        <is>
          <t>Super Carlin Brothers</t>
        </is>
      </c>
      <c r="G30" t="inlineStr">
        <is>
          <t>We Sorted Every Disney Princess Into Hogwarts Houses</t>
        </is>
      </c>
      <c r="H30" s="44" t="n">
        <v>0.01609953703703704</v>
      </c>
      <c r="I30" s="45" t="n">
        <v>102380</v>
      </c>
      <c r="J30" s="45" t="n">
        <v>3701</v>
      </c>
      <c r="K30" s="45" t="n">
        <v>635</v>
      </c>
      <c r="L30" s="46" t="n"/>
      <c r="M30" s="47" t="n"/>
      <c r="N30" s="47" t="inlineStr">
        <is>
          <t>UCKZo4N0lVPccBkSiuyVh4yg</t>
        </is>
      </c>
      <c r="O30" s="48" t="n">
        <v>46255.98888888889</v>
      </c>
      <c r="P30" s="49" t="n">
        <v>46255</v>
      </c>
      <c r="Q30" s="47" t="n">
        <v>3238</v>
      </c>
      <c r="R30" s="47" t="inlineStr">
        <is>
          <t>No Video ID yet</t>
        </is>
      </c>
      <c r="S30" s="49" t="n"/>
      <c r="T30" s="49" t="n"/>
      <c r="U30" s="47" t="inlineStr">
        <is>
          <t>This show is sponsored by BetterHelp – Go to This show is sponsored by Raycon – Go to to get 20% off the Everyday Earbuds Classics! What Hogwarts House would every Disney Princess be sorted into? Today we're putting Disney's princesses under the Sorting Hat and deciding who belongs in Gryffindor, Hufflepuff, Ravenclaw, and Slytherin! Some are easy. Belle? Come on. Others are WAY more complicated. Is Jasmine actually a Slytherin? Is Merida the most Gryffindor princess ever? And then there's Mulan… who somehow has a legitimate case for ALL FOUR HOUSES. #Disney #HarryPotter #DisneyPrincesses</t>
        </is>
      </c>
      <c r="V30" s="47">
        <f>IF(AND(P30&gt;=Calendar!$K$2,P30&lt;EDATE(Calendar!$K$2,1),OR(Calendar!$K$4="*",N30=Calendar!$K$4)),P30*100+COUNTIFS($P$6:$P$3267,P30,$Q$6:$Q$3267,"&lt;="&amp;Q30,$N$6:$N$3267,Calendar!$K$4),"")</f>
        <v/>
      </c>
      <c r="W30" s="47">
        <f>IF(AND(B30=Queue!$C$4,OR(Queue!$K$4="*",N30=Queue!$K$4)),Q30,"")</f>
        <v/>
      </c>
    </row>
    <row r="31">
      <c r="A31" s="38">
        <f>IF(M31="","",HYPERLINK("https://www.youtube.com/watch?v="&amp;M31,"▶"))</f>
        <v/>
      </c>
      <c r="B31" s="39">
        <f>IF(C31&lt;&gt;"",C31,IF(P31&lt;=IFERROR(INDEX(tblChannels[Watched Through],MATCH(N31,tblChannels[Channel ID],0)),0),"Watched","Unwatched"))</f>
        <v/>
      </c>
      <c r="C31" s="40" t="n"/>
      <c r="D31" s="41" t="n"/>
      <c r="E31" s="42" t="n">
        <v>46255.41666666666</v>
      </c>
      <c r="F31" s="43" t="inlineStr">
        <is>
          <t>Popcorn Culture</t>
        </is>
      </c>
      <c r="G31" t="inlineStr">
        <is>
          <t>BEN GOT ROBBED?! | Popcorn Culture</t>
        </is>
      </c>
      <c r="H31" s="44" t="n">
        <v>0.04834490740740741</v>
      </c>
      <c r="I31" s="45" t="n">
        <v>1800</v>
      </c>
      <c r="J31" s="45" t="n">
        <v>86</v>
      </c>
      <c r="K31" s="45" t="n">
        <v>8</v>
      </c>
      <c r="L31" s="46" t="n"/>
      <c r="M31" s="47" t="n"/>
      <c r="N31" s="47" t="inlineStr">
        <is>
          <t>UCHfIbq9thHPC8yrKjAdJgDA</t>
        </is>
      </c>
      <c r="O31" s="48" t="n">
        <v>46255.58333333334</v>
      </c>
      <c r="P31" s="49" t="n">
        <v>46255</v>
      </c>
      <c r="Q31" s="47" t="n">
        <v>3237</v>
      </c>
      <c r="R31" s="47" t="inlineStr">
        <is>
          <t>No Video ID yet</t>
        </is>
      </c>
      <c r="S31" s="49" t="n"/>
      <c r="T31" s="49" t="n"/>
      <c r="U31" s="47" t="inlineStr">
        <is>
          <t>In the 350th(!!) episode of the Pop, Ben and J discuss Ben’s truck robbery, Ding Dong Ditching, convenience store bathrooms, J going full Lasso, science fair projects, and MORE Ding Dong Ditching. Relevant Links Scott Pilgrim - Snow Day - Ted Lasso - Without Limits - Alternative Titles: iRock The Art of The Ding Dong Ditch Is That A Person?? Free Trench! Chapters (SCB Version): 00:00 - Intro and Another Intro 01:28 - Ben Got Robbed 15:35 - Ding Dong Ditch 43:15 - Urinal Cakes 45:07 - Coaching Update 1:05:20 - Science Fair</t>
        </is>
      </c>
      <c r="V31" s="47">
        <f>IF(AND(P31&gt;=Calendar!$K$2,P31&lt;EDATE(Calendar!$K$2,1),OR(Calendar!$K$4="*",N31=Calendar!$K$4)),P31*100+COUNTIFS($P$6:$P$3267,P31,$Q$6:$Q$3267,"&lt;="&amp;Q31,$N$6:$N$3267,Calendar!$K$4),"")</f>
        <v/>
      </c>
      <c r="W31" s="47">
        <f>IF(AND(B31=Queue!$C$4,OR(Queue!$K$4="*",N31=Queue!$K$4)),Q31,"")</f>
        <v/>
      </c>
    </row>
    <row r="32">
      <c r="A32" s="38">
        <f>IF(M32="","",HYPERLINK("https://www.youtube.com/watch?v="&amp;M32,"▶"))</f>
        <v/>
      </c>
      <c r="B32" s="39">
        <f>IF(C32&lt;&gt;"",C32,IF(P32&lt;=IFERROR(INDEX(tblChannels[Watched Through],MATCH(N32,tblChannels[Channel ID],0)),0),"Watched","Unwatched"))</f>
        <v/>
      </c>
      <c r="C32" s="40" t="n"/>
      <c r="D32" s="41" t="n"/>
      <c r="E32" s="42" t="n">
        <v>46254.71111111111</v>
      </c>
      <c r="F32" s="50" t="inlineStr">
        <is>
          <t>Super Carlin Brothers</t>
        </is>
      </c>
      <c r="G32" t="inlineStr">
        <is>
          <t>A VERY Important Video About Disney Trash Cans</t>
        </is>
      </c>
      <c r="H32" s="44" t="n">
        <v>0.01306712962962963</v>
      </c>
      <c r="I32" s="45" t="n">
        <v>27324</v>
      </c>
      <c r="J32" s="45" t="n">
        <v>1244</v>
      </c>
      <c r="K32" s="45" t="n">
        <v>210</v>
      </c>
      <c r="L32" s="46" t="n"/>
      <c r="M32" s="47" t="n"/>
      <c r="N32" s="47" t="inlineStr">
        <is>
          <t>UCKZo4N0lVPccBkSiuyVh4yg</t>
        </is>
      </c>
      <c r="O32" s="48" t="n">
        <v>46254.87777777778</v>
      </c>
      <c r="P32" s="49" t="n">
        <v>46254</v>
      </c>
      <c r="Q32" s="47" t="n">
        <v>3236</v>
      </c>
      <c r="R32" s="47" t="inlineStr">
        <is>
          <t>No Video ID yet</t>
        </is>
      </c>
      <c r="S32" s="49" t="n"/>
      <c r="T32" s="49" t="n"/>
      <c r="U32" s="47" t="inlineStr">
        <is>
          <t>This episode is sponsored by Better Help – Go to and see if Better Help is right for you. Disney Trash Cans have LORE. After watching two actual Disney trash cans sell for more than $10,000 EACH, we had questions. Why are Disney's trash cans so iconic? What's the deal with the legendary "30-step rule?" Is there really a secret network of tubes sucking trash underneath the parks? And what happened to beloved cans like PUSH and Binny? Today we're dumpster diving into the surprisingly fascinating history of Disney Trash Cans. From Walt Disney's obsession with keeping Disneyland clean, to talking robotic trash cans, pneumatic waste systems, trash can merchandise, and the CONTROVERSIAL new solar-powered cans taking over Walt Disney World. Yes. This is an entire video about trash cans. And yes. It's VERY important. Let us know: Have you ever used a Disney trash can as a table? And do you own any Disney trash can merch?</t>
        </is>
      </c>
      <c r="V32" s="47">
        <f>IF(AND(P32&gt;=Calendar!$K$2,P32&lt;EDATE(Calendar!$K$2,1),OR(Calendar!$K$4="*",N32=Calendar!$K$4)),P32*100+COUNTIFS($P$6:$P$3267,P32,$Q$6:$Q$3267,"&lt;="&amp;Q32,$N$6:$N$3267,Calendar!$K$4),"")</f>
        <v/>
      </c>
      <c r="W32" s="47">
        <f>IF(AND(B32=Queue!$C$4,OR(Queue!$K$4="*",N32=Queue!$K$4)),Q32,"")</f>
        <v/>
      </c>
    </row>
    <row r="33">
      <c r="A33" s="38">
        <f>IF(M33="","",HYPERLINK("https://www.youtube.com/watch?v="&amp;M33,"▶"))</f>
        <v/>
      </c>
      <c r="B33" s="39">
        <f>IF(C33&lt;&gt;"",C33,IF(P33&lt;=IFERROR(INDEX(tblChannels[Watched Through],MATCH(N33,tblChannels[Channel ID],0)),0),"Watched","Unwatched"))</f>
        <v/>
      </c>
      <c r="C33" s="40" t="n"/>
      <c r="D33" s="41" t="n"/>
      <c r="E33" s="42" t="n">
        <v>46253.65</v>
      </c>
      <c r="F33" s="50" t="inlineStr">
        <is>
          <t>Super Carlin Brothers</t>
        </is>
      </c>
      <c r="G33" t="inlineStr">
        <is>
          <t>Ben Got Robbed...</t>
        </is>
      </c>
      <c r="H33" s="44" t="n">
        <v>0.04917824074074074</v>
      </c>
      <c r="I33" s="45" t="n">
        <v>44963</v>
      </c>
      <c r="J33" s="45" t="n">
        <v>1230</v>
      </c>
      <c r="K33" s="45" t="n">
        <v>175</v>
      </c>
      <c r="L33" s="46" t="n"/>
      <c r="M33" s="47" t="n"/>
      <c r="N33" s="47" t="inlineStr">
        <is>
          <t>UCKZo4N0lVPccBkSiuyVh4yg</t>
        </is>
      </c>
      <c r="O33" s="48" t="n">
        <v>46253.81666666667</v>
      </c>
      <c r="P33" s="49" t="n">
        <v>46253</v>
      </c>
      <c r="Q33" s="47" t="n">
        <v>3235</v>
      </c>
      <c r="R33" s="47" t="inlineStr">
        <is>
          <t>No Video ID yet</t>
        </is>
      </c>
      <c r="S33" s="49" t="n"/>
      <c r="T33" s="49" t="n"/>
      <c r="U33" s="47" t="inlineStr">
        <is>
          <t>Ben's car was recently broken into and he managed to catch the guy trying to rob him on camera - enjoy this early look at an upcoming episode of Popcorn Culture! In this episode, Ben and J discuss Ben’s truck robbery, Ding Dong Ditching, convenience store bathrooms, J going full Ted Lasso, science fair projects, and MORE Ding Dong Ditching. Relevant Links Scott Pilgrim - Snow Day - Ted Lasso - Without Limits - Alternative Titles: iRock The Art of The Ding Dong Ditch Is That A Person?? Free Trench! 00:00 - Intro and Another Intro 01:28 - Ben Got Robbed 15:35 - Ding Dong Ditch 43:15 - Urinal Cakes 45:07 - Coaching Update 1:05:20 - Science Fair</t>
        </is>
      </c>
      <c r="V33" s="47">
        <f>IF(AND(P33&gt;=Calendar!$K$2,P33&lt;EDATE(Calendar!$K$2,1),OR(Calendar!$K$4="*",N33=Calendar!$K$4)),P33*100+COUNTIFS($P$6:$P$3267,P33,$Q$6:$Q$3267,"&lt;="&amp;Q33,$N$6:$N$3267,Calendar!$K$4),"")</f>
        <v/>
      </c>
      <c r="W33" s="47">
        <f>IF(AND(B33=Queue!$C$4,OR(Queue!$K$4="*",N33=Queue!$K$4)),Q33,"")</f>
        <v/>
      </c>
    </row>
    <row r="34">
      <c r="A34" s="38">
        <f>IF(M34="","",HYPERLINK("https://www.youtube.com/watch?v="&amp;M34,"▶"))</f>
        <v/>
      </c>
      <c r="B34" s="39">
        <f>IF(C34&lt;&gt;"",C34,IF(P34&lt;=IFERROR(INDEX(tblChannels[Watched Through],MATCH(N34,tblChannels[Channel ID],0)),0),"Watched","Unwatched"))</f>
        <v/>
      </c>
      <c r="C34" s="40" t="n"/>
      <c r="D34" s="41" t="n"/>
      <c r="E34" s="42" t="n">
        <v>46250.41666666666</v>
      </c>
      <c r="F34" s="51" t="inlineStr">
        <is>
          <t>Through The Griffin Door</t>
        </is>
      </c>
      <c r="G34" t="inlineStr">
        <is>
          <t>Chapter 10: The House of Gaunt | Half-Blood Prince</t>
        </is>
      </c>
      <c r="H34" s="44" t="n">
        <v>0.07670138888888889</v>
      </c>
      <c r="I34" s="45" t="n">
        <v>34883</v>
      </c>
      <c r="J34" s="45" t="n">
        <v>872</v>
      </c>
      <c r="K34" s="45" t="n">
        <v>483</v>
      </c>
      <c r="L34" s="46" t="n"/>
      <c r="M34" s="47" t="n"/>
      <c r="N34" s="47" t="inlineStr">
        <is>
          <t>UCEscP6ETYXWSSvsNrDHekMQ</t>
        </is>
      </c>
      <c r="O34" s="48" t="n">
        <v>46250.58333333334</v>
      </c>
      <c r="P34" s="49" t="n">
        <v>46250</v>
      </c>
      <c r="Q34" s="47" t="n">
        <v>3234</v>
      </c>
      <c r="R34" s="47" t="inlineStr">
        <is>
          <t>No Video ID yet</t>
        </is>
      </c>
      <c r="S34" s="49" t="n"/>
      <c r="T34" s="49" t="n"/>
      <c r="U34" s="47" t="inlineStr">
        <is>
          <t>Taking care of your health just got easier – start here with Zocdoc: Join J and Ben as they dive into Chapter 10 of the Half Blood Prince and discuss Harry’s fixation with the Prince, Trelawney reading cards, the Art of War, Bob Ogden’s memory, how horrible Marvolo is, Tom Riddle passing by and Dumbledore’s debrief after the memory. Slughorn's Darkest Secret - 04:32 - Chapter Breakdown 58:33 - Ad Break (ZocDoc) 59:48 - More Chapter Breakdown 1:40:27 - Closing Thoughts and Review</t>
        </is>
      </c>
      <c r="V34" s="47">
        <f>IF(AND(P34&gt;=Calendar!$K$2,P34&lt;EDATE(Calendar!$K$2,1),OR(Calendar!$K$4="*",N34=Calendar!$K$4)),P34*100+COUNTIFS($P$6:$P$3267,P34,$Q$6:$Q$3267,"&lt;="&amp;Q34,$N$6:$N$3267,Calendar!$K$4),"")</f>
        <v/>
      </c>
      <c r="W34" s="47">
        <f>IF(AND(B34=Queue!$C$4,OR(Queue!$K$4="*",N34=Queue!$K$4)),Q34,"")</f>
        <v/>
      </c>
    </row>
    <row r="35">
      <c r="A35" s="38">
        <f>IF(M35="","",HYPERLINK("https://www.youtube.com/watch?v="&amp;M35,"▶"))</f>
        <v/>
      </c>
      <c r="B35" s="39">
        <f>IF(C35&lt;&gt;"",C35,IF(P35&lt;=IFERROR(INDEX(tblChannels[Watched Through],MATCH(N35,tblChannels[Channel ID],0)),0),"Watched","Unwatched"))</f>
        <v/>
      </c>
      <c r="C35" s="40" t="n"/>
      <c r="D35" s="41" t="n"/>
      <c r="E35" s="42" t="n">
        <v>46248.625</v>
      </c>
      <c r="F35" s="50" t="inlineStr">
        <is>
          <t>Super Carlin Brothers</t>
        </is>
      </c>
      <c r="G35" t="inlineStr">
        <is>
          <t>Does Ned REALLY Remember Peter? | Spider-Man: Brand New Day</t>
        </is>
      </c>
      <c r="H35" s="44" t="n">
        <v>0.01256944444444444</v>
      </c>
      <c r="I35" s="45" t="n">
        <v>95831</v>
      </c>
      <c r="J35" s="45" t="n">
        <v>3320</v>
      </c>
      <c r="K35" s="45" t="n">
        <v>561</v>
      </c>
      <c r="L35" s="46" t="n"/>
      <c r="M35" s="47" t="n"/>
      <c r="N35" s="47" t="inlineStr">
        <is>
          <t>UCKZo4N0lVPccBkSiuyVh4yg</t>
        </is>
      </c>
      <c r="O35" s="48" t="n">
        <v>46248.79166666666</v>
      </c>
      <c r="P35" s="49" t="n">
        <v>46248</v>
      </c>
      <c r="Q35" s="47" t="n">
        <v>3233</v>
      </c>
      <c r="R35" s="47" t="inlineStr">
        <is>
          <t>No Video ID yet</t>
        </is>
      </c>
      <c r="S35" s="49" t="n"/>
      <c r="T35" s="49" t="n"/>
      <c r="U35" s="47" t="inlineStr">
        <is>
          <t>This episode is sponsored by Better Help – Go to and see if Better Help is right for you. Spider-Man: Brand New Day leaves us with one HUGE question: Does Ned actually remember Peter Parker? In the movie's final moments, Peter finally reintroduces himself to his old best friend — and their secret handshake seems to unlock something in Ned's memory. But is he actually remembering Peter, or has he simply figured out that Peter is Spider-Man? Today J is diving into the Marvel Cinematic Universe and breaking down all the clues, from Ned's suspiciously familiar knowledge of Spider-Man to his history with magic, MJ's lingering instincts, and one VERY important encounter with the Hulk that may prove Doctor Strange's spell has some major loopholes. Because if Ned can remember Peter... maybe MJ can too. #SpiderMan #Marvel #MCU</t>
        </is>
      </c>
      <c r="V35" s="47">
        <f>IF(AND(P35&gt;=Calendar!$K$2,P35&lt;EDATE(Calendar!$K$2,1),OR(Calendar!$K$4="*",N35=Calendar!$K$4)),P35*100+COUNTIFS($P$6:$P$3267,P35,$Q$6:$Q$3267,"&lt;="&amp;Q35,$N$6:$N$3267,Calendar!$K$4),"")</f>
        <v/>
      </c>
      <c r="W35" s="47">
        <f>IF(AND(B35=Queue!$C$4,OR(Queue!$K$4="*",N35=Queue!$K$4)),Q35,"")</f>
        <v/>
      </c>
    </row>
    <row r="36">
      <c r="A36" s="38">
        <f>IF(M36="","",HYPERLINK("https://www.youtube.com/watch?v="&amp;M36,"▶"))</f>
        <v/>
      </c>
      <c r="B36" s="39">
        <f>IF(C36&lt;&gt;"",C36,IF(P36&lt;=IFERROR(INDEX(tblChannels[Watched Through],MATCH(N36,tblChannels[Channel ID],0)),0),"Watched","Unwatched"))</f>
        <v/>
      </c>
      <c r="C36" s="40" t="n"/>
      <c r="D36" s="41" t="n"/>
      <c r="E36" s="42" t="n">
        <v>46248.41666666666</v>
      </c>
      <c r="F36" s="43" t="inlineStr">
        <is>
          <t>Popcorn Culture</t>
        </is>
      </c>
      <c r="G36" t="inlineStr">
        <is>
          <t>100 Year Storm | Popcorn Culture</t>
        </is>
      </c>
      <c r="H36" s="44" t="n">
        <v>0.05097222222222222</v>
      </c>
      <c r="I36" s="45" t="n">
        <v>1833</v>
      </c>
      <c r="J36" s="45" t="n">
        <v>85</v>
      </c>
      <c r="K36" s="45" t="n">
        <v>17</v>
      </c>
      <c r="L36" s="46" t="n"/>
      <c r="M36" s="47" t="n"/>
      <c r="N36" s="47" t="inlineStr">
        <is>
          <t>UCHfIbq9thHPC8yrKjAdJgDA</t>
        </is>
      </c>
      <c r="O36" s="48" t="n">
        <v>46248.58333333334</v>
      </c>
      <c r="P36" s="49" t="n">
        <v>46248</v>
      </c>
      <c r="Q36" s="47" t="n">
        <v>3232</v>
      </c>
      <c r="R36" s="47" t="inlineStr">
        <is>
          <t>No Video ID yet</t>
        </is>
      </c>
      <c r="S36" s="49" t="n"/>
      <c r="T36" s="49" t="n"/>
      <c r="U36" s="47" t="inlineStr">
        <is>
          <t>In the 349th episode of the Pop, Ben and J discuss whether or not the beach wagon was worth it, a 100 year storm of a person, high school reunions, John Krasinski Prom, a famous night club in Berlin, and K-Pop. Relevant Links The Berghain night club - D23 - BlackPink - 00:00 - Intro, Beach Trips 17:25 - 100 Year Storms 30:48 - High School Reunions 42:35 - Berghain</t>
        </is>
      </c>
      <c r="V36" s="47">
        <f>IF(AND(P36&gt;=Calendar!$K$2,P36&lt;EDATE(Calendar!$K$2,1),OR(Calendar!$K$4="*",N36=Calendar!$K$4)),P36*100+COUNTIFS($P$6:$P$3267,P36,$Q$6:$Q$3267,"&lt;="&amp;Q36,$N$6:$N$3267,Calendar!$K$4),"")</f>
        <v/>
      </c>
      <c r="W36" s="47">
        <f>IF(AND(B36=Queue!$C$4,OR(Queue!$K$4="*",N36=Queue!$K$4)),Q36,"")</f>
        <v/>
      </c>
    </row>
    <row r="37">
      <c r="A37" s="38">
        <f>IF(M37="","",HYPERLINK("https://www.youtube.com/watch?v="&amp;M37,"▶"))</f>
        <v/>
      </c>
      <c r="B37" s="39">
        <f>IF(C37&lt;&gt;"",C37,IF(P37&lt;=IFERROR(INDEX(tblChannels[Watched Through],MATCH(N37,tblChannels[Channel ID],0)),0),"Watched","Unwatched"))</f>
        <v/>
      </c>
      <c r="C37" s="40" t="n"/>
      <c r="D37" s="41" t="n"/>
      <c r="E37" s="42" t="n">
        <v>46246.81111111111</v>
      </c>
      <c r="F37" s="50" t="inlineStr">
        <is>
          <t>Super Carlin Brothers</t>
        </is>
      </c>
      <c r="G37" t="inlineStr">
        <is>
          <t>J vs Ben: The Impossible Black Family Tree Quiz</t>
        </is>
      </c>
      <c r="H37" s="44" t="n">
        <v>0.03695601851851852</v>
      </c>
      <c r="I37" s="45" t="n">
        <v>73044</v>
      </c>
      <c r="J37" s="45" t="n">
        <v>2244</v>
      </c>
      <c r="K37" s="45" t="n">
        <v>329</v>
      </c>
      <c r="L37" s="46" t="n"/>
      <c r="M37" s="47" t="n"/>
      <c r="N37" s="47" t="inlineStr">
        <is>
          <t>UCKZo4N0lVPccBkSiuyVh4yg</t>
        </is>
      </c>
      <c r="O37" s="48" t="n">
        <v>46246.97777777778</v>
      </c>
      <c r="P37" s="49" t="n">
        <v>46246</v>
      </c>
      <c r="Q37" s="47" t="n">
        <v>3231</v>
      </c>
      <c r="R37" s="47" t="inlineStr">
        <is>
          <t>No Video ID yet</t>
        </is>
      </c>
      <c r="S37" s="49" t="n"/>
      <c r="T37" s="49" t="n"/>
      <c r="U37" s="47" t="inlineStr">
        <is>
          <t>Head to and use code jvsb50off to get 50% off and 1 free breakfast item per box for 1 year. Today J and Ben are putting their Harry Potter knowledge to the test with an IMPOSSIBLE quiz all about the Black Family Tree! Sirius, Bellatrix, Narcissa, Andromeda, Regulus… and about a million interconnected witches and wizards in between. How well do we actually know one of the oldest and most complicated pure-blood families in the Wizarding World? Play along and let us know how many YOU got right! #JvsBen #HarryPotter #SuperCarlinBrothers</t>
        </is>
      </c>
      <c r="V37" s="47">
        <f>IF(AND(P37&gt;=Calendar!$K$2,P37&lt;EDATE(Calendar!$K$2,1),OR(Calendar!$K$4="*",N37=Calendar!$K$4)),P37*100+COUNTIFS($P$6:$P$3267,P37,$Q$6:$Q$3267,"&lt;="&amp;Q37,$N$6:$N$3267,Calendar!$K$4),"")</f>
        <v/>
      </c>
      <c r="W37" s="47">
        <f>IF(AND(B37=Queue!$C$4,OR(Queue!$K$4="*",N37=Queue!$K$4)),Q37,"")</f>
        <v/>
      </c>
    </row>
    <row r="38">
      <c r="A38" s="38">
        <f>IF(M38="","",HYPERLINK("https://www.youtube.com/watch?v="&amp;M38,"▶"))</f>
        <v/>
      </c>
      <c r="B38" s="39">
        <f>IF(C38&lt;&gt;"",C38,IF(P38&lt;=IFERROR(INDEX(tblChannels[Watched Through],MATCH(N38,tblChannels[Channel ID],0)),0),"Watched","Unwatched"))</f>
        <v/>
      </c>
      <c r="C38" s="40" t="n"/>
      <c r="D38" s="41" t="n"/>
      <c r="E38" s="42" t="n">
        <v>46243.41666666666</v>
      </c>
      <c r="F38" s="51" t="inlineStr">
        <is>
          <t>Through The Griffin Door</t>
        </is>
      </c>
      <c r="G38" t="inlineStr">
        <is>
          <t>Chapter 9: The Half-Blood Prince | Half-Blood Prince</t>
        </is>
      </c>
      <c r="H38" s="44" t="n">
        <v>0.08589120370370371</v>
      </c>
      <c r="I38" s="45" t="n">
        <v>36638</v>
      </c>
      <c r="J38" s="45" t="n">
        <v>873</v>
      </c>
      <c r="K38" s="45" t="n">
        <v>410</v>
      </c>
      <c r="L38" s="46" t="n"/>
      <c r="M38" s="47" t="n"/>
      <c r="N38" s="47" t="inlineStr">
        <is>
          <t>UCEscP6ETYXWSSvsNrDHekMQ</t>
        </is>
      </c>
      <c r="O38" s="48" t="n">
        <v>46243.58333333334</v>
      </c>
      <c r="P38" s="49" t="n">
        <v>46243</v>
      </c>
      <c r="Q38" s="47" t="n">
        <v>3230</v>
      </c>
      <c r="R38" s="47" t="inlineStr">
        <is>
          <t>No Video ID yet</t>
        </is>
      </c>
      <c r="S38" s="49" t="n"/>
      <c r="T38" s="49" t="n"/>
      <c r="U38" s="47" t="inlineStr">
        <is>
          <t>Join J and Ben as they dive into Chapter 9 of the Half Blood Prince and discuss Ron showing off, dropping COMC, McGonagall giving out class schedules, whether or not Harry should hold Quidditch tryouts, Snape’s DADA speech, one of the best comebacks in the series, DA LAGS, THE Potions class, and Harry finding THE book. We Accidentally Proved James Potter Was The Half-Blood Prince - 08:20 - Chapter Breakdown 1:53:31 - Closing Thoughts and Review</t>
        </is>
      </c>
      <c r="V38" s="47">
        <f>IF(AND(P38&gt;=Calendar!$K$2,P38&lt;EDATE(Calendar!$K$2,1),OR(Calendar!$K$4="*",N38=Calendar!$K$4)),P38*100+COUNTIFS($P$6:$P$3267,P38,$Q$6:$Q$3267,"&lt;="&amp;Q38,$N$6:$N$3267,Calendar!$K$4),"")</f>
        <v/>
      </c>
      <c r="W38" s="47">
        <f>IF(AND(B38=Queue!$C$4,OR(Queue!$K$4="*",N38=Queue!$K$4)),Q38,"")</f>
        <v/>
      </c>
    </row>
    <row r="39">
      <c r="A39" s="38">
        <f>IF(M39="","",HYPERLINK("https://www.youtube.com/watch?v="&amp;M39,"▶"))</f>
        <v/>
      </c>
      <c r="B39" s="39">
        <f>IF(C39&lt;&gt;"",C39,IF(P39&lt;=IFERROR(INDEX(tblChannels[Watched Through],MATCH(N39,tblChannels[Channel ID],0)),0),"Watched","Unwatched"))</f>
        <v/>
      </c>
      <c r="C39" s="40" t="n"/>
      <c r="D39" s="41" t="n"/>
      <c r="E39" s="42" t="n">
        <v>46241.625</v>
      </c>
      <c r="F39" s="50" t="inlineStr">
        <is>
          <t>Super Carlin Brothers</t>
        </is>
      </c>
      <c r="G39" t="inlineStr">
        <is>
          <t>We’re OFFICIALLY Wizards Now | Exit The Game</t>
        </is>
      </c>
      <c r="H39" s="44" t="n">
        <v>0.03973379629629629</v>
      </c>
      <c r="I39" s="45" t="n">
        <v>29905</v>
      </c>
      <c r="J39" s="45" t="n">
        <v>1183</v>
      </c>
      <c r="K39" s="45" t="n">
        <v>122</v>
      </c>
      <c r="L39" s="46" t="n"/>
      <c r="M39" s="47" t="n"/>
      <c r="N39" s="47" t="inlineStr">
        <is>
          <t>UCKZo4N0lVPccBkSiuyVh4yg</t>
        </is>
      </c>
      <c r="O39" s="48" t="n">
        <v>46241.79166666666</v>
      </c>
      <c r="P39" s="49" t="n">
        <v>46241</v>
      </c>
      <c r="Q39" s="47" t="n">
        <v>3229</v>
      </c>
      <c r="R39" s="47" t="inlineStr">
        <is>
          <t>No Video ID yet</t>
        </is>
      </c>
      <c r="S39" s="49" t="n"/>
      <c r="T39" s="49" t="n"/>
      <c r="U39" s="47" t="inlineStr">
        <is>
          <t>This episode is sponsored by Better Help – Go to and see if Better Help is right for you. This week, J and Ben finally receive their Hogwarts letters and are sent off to the Magic Academy! But what’s this? Mysterious creatures from another dimension have been unleashed throughout the school!? With their professors nowhere to be found, J and Ben become the Chosen One(s)! Watch them trudge through obstacle after obstacle, solving riddle after riddle. All in the name of defeating the nefarious “polterbolds” and saving the academy from total and utter destruction. #SuperCarlinBrothers #ExitTheGame Edited by: Ethan Edghill and Isybelle Christley</t>
        </is>
      </c>
      <c r="V39" s="47">
        <f>IF(AND(P39&gt;=Calendar!$K$2,P39&lt;EDATE(Calendar!$K$2,1),OR(Calendar!$K$4="*",N39=Calendar!$K$4)),P39*100+COUNTIFS($P$6:$P$3267,P39,$Q$6:$Q$3267,"&lt;="&amp;Q39,$N$6:$N$3267,Calendar!$K$4),"")</f>
        <v/>
      </c>
      <c r="W39" s="47">
        <f>IF(AND(B39=Queue!$C$4,OR(Queue!$K$4="*",N39=Queue!$K$4)),Q39,"")</f>
        <v/>
      </c>
    </row>
    <row r="40">
      <c r="A40" s="38">
        <f>IF(M40="","",HYPERLINK("https://www.youtube.com/watch?v="&amp;M40,"▶"))</f>
        <v/>
      </c>
      <c r="B40" s="39">
        <f>IF(C40&lt;&gt;"",C40,IF(P40&lt;=IFERROR(INDEX(tblChannels[Watched Through],MATCH(N40,tblChannels[Channel ID],0)),0),"Watched","Unwatched"))</f>
        <v/>
      </c>
      <c r="C40" s="40" t="n"/>
      <c r="D40" s="41" t="n"/>
      <c r="E40" s="42" t="n">
        <v>46241.41666666666</v>
      </c>
      <c r="F40" s="43" t="inlineStr">
        <is>
          <t>Popcorn Culture</t>
        </is>
      </c>
      <c r="G40" t="inlineStr">
        <is>
          <t>Childhood Blueprints | Popcorn Culture</t>
        </is>
      </c>
      <c r="H40" s="44" t="n">
        <v>0.04722222222222222</v>
      </c>
      <c r="I40" s="45" t="n">
        <v>1964</v>
      </c>
      <c r="J40" s="45" t="n">
        <v>102</v>
      </c>
      <c r="K40" s="45" t="n">
        <v>16</v>
      </c>
      <c r="L40" s="46" t="n"/>
      <c r="M40" s="47" t="n"/>
      <c r="N40" s="47" t="inlineStr">
        <is>
          <t>UCHfIbq9thHPC8yrKjAdJgDA</t>
        </is>
      </c>
      <c r="O40" s="48" t="n">
        <v>46241.58333333334</v>
      </c>
      <c r="P40" s="49" t="n">
        <v>46241</v>
      </c>
      <c r="Q40" s="47" t="n">
        <v>3228</v>
      </c>
      <c r="R40" s="47" t="inlineStr">
        <is>
          <t>No Video ID yet</t>
        </is>
      </c>
      <c r="S40" s="49" t="n"/>
      <c r="T40" s="49" t="n"/>
      <c r="U40" s="47" t="inlineStr">
        <is>
          <t>In the 348th episode of the Pop, Ben and J discuss childhood blueprints, particularly of their beach trips, popcorn buckets, and growing/foraging/etc your own food for a year, Relevant Links Shibumi - 00:00 - Intro, Beach Wagon Update 03:21 - Childhood Blueprint 30:45 - Popcorn Buckets 45:42 - More Nostalgic Places 53:35 - No Buy Food Challenge</t>
        </is>
      </c>
      <c r="V40" s="47">
        <f>IF(AND(P40&gt;=Calendar!$K$2,P40&lt;EDATE(Calendar!$K$2,1),OR(Calendar!$K$4="*",N40=Calendar!$K$4)),P40*100+COUNTIFS($P$6:$P$3267,P40,$Q$6:$Q$3267,"&lt;="&amp;Q40,$N$6:$N$3267,Calendar!$K$4),"")</f>
        <v/>
      </c>
      <c r="W40" s="47">
        <f>IF(AND(B40=Queue!$C$4,OR(Queue!$K$4="*",N40=Queue!$K$4)),Q40,"")</f>
        <v/>
      </c>
    </row>
    <row r="41">
      <c r="A41" s="38">
        <f>IF(M41="","",HYPERLINK("https://www.youtube.com/watch?v="&amp;M41,"▶"))</f>
        <v/>
      </c>
      <c r="B41" s="39">
        <f>IF(C41&lt;&gt;"",C41,IF(P41&lt;=IFERROR(INDEX(tblChannels[Watched Through],MATCH(N41,tblChannels[Channel ID],0)),0),"Watched","Unwatched"))</f>
        <v/>
      </c>
      <c r="C41" s="40" t="n"/>
      <c r="D41" s="41" t="n"/>
      <c r="E41" s="42" t="n">
        <v>46239.625</v>
      </c>
      <c r="F41" s="50" t="inlineStr">
        <is>
          <t>Super Carlin Brothers</t>
        </is>
      </c>
      <c r="G41" t="inlineStr">
        <is>
          <t>J vs Ben FUNNIEST Moments Compilation</t>
        </is>
      </c>
      <c r="H41" s="44" t="n">
        <v>0.09592592592592593</v>
      </c>
      <c r="I41" s="45" t="n">
        <v>22200</v>
      </c>
      <c r="J41" s="45" t="n">
        <v>768</v>
      </c>
      <c r="K41" s="45" t="n">
        <v>82</v>
      </c>
      <c r="L41" s="46" t="n"/>
      <c r="M41" s="47" t="n"/>
      <c r="N41" s="47" t="inlineStr">
        <is>
          <t>UCKZo4N0lVPccBkSiuyVh4yg</t>
        </is>
      </c>
      <c r="O41" s="48" t="n">
        <v>46239.79166666666</v>
      </c>
      <c r="P41" s="49" t="n">
        <v>46239</v>
      </c>
      <c r="Q41" s="47" t="n">
        <v>3227</v>
      </c>
      <c r="R41" s="47" t="inlineStr">
        <is>
          <t>No Video ID yet</t>
        </is>
      </c>
      <c r="S41" s="49" t="n"/>
      <c r="T41" s="49" t="n"/>
      <c r="U41" s="47" t="inlineStr">
        <is>
          <t>This week brings you some of your FAVORITE moments from the past couple years of J vs Ben. The funny, the epic, the HOT (wings), the DISGUSTING (tricks) and everything in between. This is where the inside jokes are born and the competition is FIERCE … well sometimes, we’re mostly just here to have a good time.</t>
        </is>
      </c>
      <c r="V41" s="47">
        <f>IF(AND(P41&gt;=Calendar!$K$2,P41&lt;EDATE(Calendar!$K$2,1),OR(Calendar!$K$4="*",N41=Calendar!$K$4)),P41*100+COUNTIFS($P$6:$P$3267,P41,$Q$6:$Q$3267,"&lt;="&amp;Q41,$N$6:$N$3267,Calendar!$K$4),"")</f>
        <v/>
      </c>
      <c r="W41" s="47">
        <f>IF(AND(B41=Queue!$C$4,OR(Queue!$K$4="*",N41=Queue!$K$4)),Q41,"")</f>
        <v/>
      </c>
    </row>
    <row r="42">
      <c r="A42" s="38">
        <f>IF(M42="","",HYPERLINK("https://www.youtube.com/watch?v="&amp;M42,"▶"))</f>
        <v/>
      </c>
      <c r="B42" s="39">
        <f>IF(C42&lt;&gt;"",C42,IF(P42&lt;=IFERROR(INDEX(tblChannels[Watched Through],MATCH(N42,tblChannels[Channel ID],0)),0),"Watched","Unwatched"))</f>
        <v/>
      </c>
      <c r="C42" s="40" t="n"/>
      <c r="D42" s="41" t="n"/>
      <c r="E42" s="42" t="n">
        <v>46236.41666666666</v>
      </c>
      <c r="F42" s="51" t="inlineStr">
        <is>
          <t>Through The Griffin Door</t>
        </is>
      </c>
      <c r="G42" t="inlineStr">
        <is>
          <t>Chapter 8: Snape Victorious | Half-Blood Prince</t>
        </is>
      </c>
      <c r="H42" s="44" t="n">
        <v>0.05710648148148148</v>
      </c>
      <c r="I42" s="45" t="n">
        <v>30213</v>
      </c>
      <c r="J42" s="45" t="n">
        <v>881</v>
      </c>
      <c r="K42" s="45" t="n">
        <v>310</v>
      </c>
      <c r="L42" s="46" t="n"/>
      <c r="M42" s="47" t="n"/>
      <c r="N42" s="47" t="inlineStr">
        <is>
          <t>UCEscP6ETYXWSSvsNrDHekMQ</t>
        </is>
      </c>
      <c r="O42" s="48" t="n">
        <v>46236.58333333334</v>
      </c>
      <c r="P42" s="49" t="n">
        <v>46236</v>
      </c>
      <c r="Q42" s="47" t="n">
        <v>3226</v>
      </c>
      <c r="R42" s="47" t="inlineStr">
        <is>
          <t>No Video ID yet</t>
        </is>
      </c>
      <c r="S42" s="49" t="n"/>
      <c r="T42" s="49" t="n"/>
      <c r="U42" s="47" t="inlineStr">
        <is>
          <t>Join J and Ben as they dive into Chapter 8 of the Half Blood Prince and discuss the train’s schedule, nonverbal magic, werewolves underuse in the series, Snape being a jerk to Tonks, the start of term speech, and “Jerk Harry”. 07:30 - Chapter Breakdown 1:17:14 - Closing Thoughts and Review</t>
        </is>
      </c>
      <c r="V42" s="47">
        <f>IF(AND(P42&gt;=Calendar!$K$2,P42&lt;EDATE(Calendar!$K$2,1),OR(Calendar!$K$4="*",N42=Calendar!$K$4)),P42*100+COUNTIFS($P$6:$P$3267,P42,$Q$6:$Q$3267,"&lt;="&amp;Q42,$N$6:$N$3267,Calendar!$K$4),"")</f>
        <v/>
      </c>
      <c r="W42" s="47">
        <f>IF(AND(B42=Queue!$C$4,OR(Queue!$K$4="*",N42=Queue!$K$4)),Q42,"")</f>
        <v/>
      </c>
    </row>
    <row r="43">
      <c r="A43" s="38">
        <f>IF(M43="","",HYPERLINK("https://www.youtube.com/watch?v="&amp;M43,"▶"))</f>
        <v/>
      </c>
      <c r="B43" s="39">
        <f>IF(C43&lt;&gt;"",C43,IF(P43&lt;=IFERROR(INDEX(tblChannels[Watched Through],MATCH(N43,tblChannels[Channel ID],0)),0),"Watched","Unwatched"))</f>
        <v/>
      </c>
      <c r="C43" s="40" t="n"/>
      <c r="D43" s="41" t="n"/>
      <c r="E43" s="42" t="n">
        <v>46234.72638888889</v>
      </c>
      <c r="F43" s="50" t="inlineStr">
        <is>
          <t>Super Carlin Brothers</t>
        </is>
      </c>
      <c r="G43" t="inlineStr">
        <is>
          <t>5 Tiny Harry Potter Secrets Hidden in Plain Sight</t>
        </is>
      </c>
      <c r="H43" s="44" t="n">
        <v>0.01304398148148148</v>
      </c>
      <c r="I43" s="45" t="n">
        <v>115416</v>
      </c>
      <c r="J43" s="45" t="n">
        <v>4077</v>
      </c>
      <c r="K43" s="45" t="n">
        <v>338</v>
      </c>
      <c r="L43" s="46" t="n"/>
      <c r="M43" s="47" t="n"/>
      <c r="N43" s="47" t="inlineStr">
        <is>
          <t>UCKZo4N0lVPccBkSiuyVh4yg</t>
        </is>
      </c>
      <c r="O43" s="48" t="n">
        <v>46234.89305555556</v>
      </c>
      <c r="P43" s="49" t="n">
        <v>46234</v>
      </c>
      <c r="Q43" s="47" t="n">
        <v>3225</v>
      </c>
      <c r="R43" s="47" t="inlineStr">
        <is>
          <t>No Video ID yet</t>
        </is>
      </c>
      <c r="S43" s="49" t="n"/>
      <c r="T43" s="49" t="n"/>
      <c r="U43" s="47" t="inlineStr">
        <is>
          <t>Have you ever wondered why Gilderoy Lockhart's favorite color is lilac? Believe it or not... the Harry Potter books actually answer that question. Today we're diving into five bite-sized Harry Potter theories that were too fun to leave on the cutting room floor. From the hidden meaning behind Lockhart's favorite color to how Love Potions might actually work, whether Regulus Black was a Hatstall, the true identity of the mysterious "Muggle tramp" Voldemort killed to create Slytherin's Locket Horcrux, and why Dumbledore compliments the Dursleys' agapanthus flowers, we're uncovering some of the smallest (and strangest) secrets hidden throughout the Wizarding World. Sometimes the best Harry Potter theories aren't big enough for their own video... but they're way too good not to share.</t>
        </is>
      </c>
      <c r="V43" s="47">
        <f>IF(AND(P43&gt;=Calendar!$K$2,P43&lt;EDATE(Calendar!$K$2,1),OR(Calendar!$K$4="*",N43=Calendar!$K$4)),P43*100+COUNTIFS($P$6:$P$3267,P43,$Q$6:$Q$3267,"&lt;="&amp;Q43,$N$6:$N$3267,Calendar!$K$4),"")</f>
        <v/>
      </c>
      <c r="W43" s="47">
        <f>IF(AND(B43=Queue!$C$4,OR(Queue!$K$4="*",N43=Queue!$K$4)),Q43,"")</f>
        <v/>
      </c>
    </row>
    <row r="44">
      <c r="A44" s="38">
        <f>IF(M44="","",HYPERLINK("https://www.youtube.com/watch?v="&amp;M44,"▶"))</f>
        <v/>
      </c>
      <c r="B44" s="39">
        <f>IF(C44&lt;&gt;"",C44,IF(P44&lt;=IFERROR(INDEX(tblChannels[Watched Through],MATCH(N44,tblChannels[Channel ID],0)),0),"Watched","Unwatched"))</f>
        <v/>
      </c>
      <c r="C44" s="40" t="n"/>
      <c r="D44" s="41" t="n"/>
      <c r="E44" s="42" t="n">
        <v>46234.41666666666</v>
      </c>
      <c r="F44" s="43" t="inlineStr">
        <is>
          <t>Popcorn Culture</t>
        </is>
      </c>
      <c r="G44" t="inlineStr">
        <is>
          <t>Beach Wagon Dread | Popcorn Culture</t>
        </is>
      </c>
      <c r="H44" s="44" t="n">
        <v>0.05178240740740741</v>
      </c>
      <c r="I44" s="45" t="n">
        <v>2205</v>
      </c>
      <c r="J44" s="45" t="n">
        <v>105</v>
      </c>
      <c r="K44" s="45" t="n">
        <v>28</v>
      </c>
      <c r="L44" s="46" t="n"/>
      <c r="M44" s="47" t="n"/>
      <c r="N44" s="47" t="inlineStr">
        <is>
          <t>UCHfIbq9thHPC8yrKjAdJgDA</t>
        </is>
      </c>
      <c r="O44" s="48" t="n">
        <v>46234.58333333334</v>
      </c>
      <c r="P44" s="49" t="n">
        <v>46234</v>
      </c>
      <c r="Q44" s="47" t="n">
        <v>3224</v>
      </c>
      <c r="R44" s="47" t="inlineStr">
        <is>
          <t>No Video ID yet</t>
        </is>
      </c>
      <c r="S44" s="49" t="n"/>
      <c r="T44" s="49" t="n"/>
      <c r="U44" s="47" t="inlineStr">
        <is>
          <t>In the 347th episode of the Pop, Ben and J discuss J’s surprise peach harvest, partridges, the alphabet, the Byzantine Empire, beach wagons, and more 27 Butts ideas. Relevant Links Avatar the Last Airbender - Alternative Titles: The Lonely Partridge What Even IS The Byzantine Empire?? 00:00 - Intro, Peach Harvest 17:04 - Categorizing 38:16 - To Beach Wagon or to Not Beach Wagon</t>
        </is>
      </c>
      <c r="V44" s="47">
        <f>IF(AND(P44&gt;=Calendar!$K$2,P44&lt;EDATE(Calendar!$K$2,1),OR(Calendar!$K$4="*",N44=Calendar!$K$4)),P44*100+COUNTIFS($P$6:$P$3267,P44,$Q$6:$Q$3267,"&lt;="&amp;Q44,$N$6:$N$3267,Calendar!$K$4),"")</f>
        <v/>
      </c>
      <c r="W44" s="47">
        <f>IF(AND(B44=Queue!$C$4,OR(Queue!$K$4="*",N44=Queue!$K$4)),Q44,"")</f>
        <v/>
      </c>
    </row>
    <row r="45">
      <c r="A45" s="38">
        <f>IF(M45="","",HYPERLINK("https://www.youtube.com/watch?v="&amp;M45,"▶"))</f>
        <v/>
      </c>
      <c r="B45" s="39">
        <f>IF(C45&lt;&gt;"",C45,IF(P45&lt;=IFERROR(INDEX(tblChannels[Watched Through],MATCH(N45,tblChannels[Channel ID],0)),0),"Watched","Unwatched"))</f>
        <v/>
      </c>
      <c r="C45" s="40" t="n"/>
      <c r="D45" s="41" t="n"/>
      <c r="E45" s="42" t="n">
        <v>46232.73125</v>
      </c>
      <c r="F45" s="50" t="inlineStr">
        <is>
          <t>Super Carlin Brothers</t>
        </is>
      </c>
      <c r="G45" t="inlineStr">
        <is>
          <t>We Retook Every Question We Got Wrong… | Redemption Quiz</t>
        </is>
      </c>
      <c r="H45" s="44" t="n">
        <v>0.03284722222222222</v>
      </c>
      <c r="I45" s="45" t="n">
        <v>65648</v>
      </c>
      <c r="J45" s="45" t="n">
        <v>2475</v>
      </c>
      <c r="K45" s="45" t="n">
        <v>354</v>
      </c>
      <c r="L45" s="46" t="n"/>
      <c r="M45" s="47" t="n"/>
      <c r="N45" s="47" t="inlineStr">
        <is>
          <t>UCKZo4N0lVPccBkSiuyVh4yg</t>
        </is>
      </c>
      <c r="O45" s="48" t="n">
        <v>46232.89791666667</v>
      </c>
      <c r="P45" s="49" t="n">
        <v>46232</v>
      </c>
      <c r="Q45" s="47" t="n">
        <v>3223</v>
      </c>
      <c r="R45" s="47" t="inlineStr">
        <is>
          <t>No Video ID yet</t>
        </is>
      </c>
      <c r="S45" s="49" t="n"/>
      <c r="T45" s="49" t="n"/>
      <c r="U45" s="47" t="inlineStr">
        <is>
          <t>Get $15 off your first purchase on Whatnot using this link Today J and Ben face off against each other AND their past selves for a shot at redemption and GLORY. All of the questions on today’s quizzes are ones both guys got wrong in the past. Can they learn from their mistakes or will they fail them a 2nd time?! Written by: The Quiz Masters Hosted by: Quizybelle</t>
        </is>
      </c>
      <c r="V45" s="47">
        <f>IF(AND(P45&gt;=Calendar!$K$2,P45&lt;EDATE(Calendar!$K$2,1),OR(Calendar!$K$4="*",N45=Calendar!$K$4)),P45*100+COUNTIFS($P$6:$P$3267,P45,$Q$6:$Q$3267,"&lt;="&amp;Q45,$N$6:$N$3267,Calendar!$K$4),"")</f>
        <v/>
      </c>
      <c r="W45" s="47">
        <f>IF(AND(B45=Queue!$C$4,OR(Queue!$K$4="*",N45=Queue!$K$4)),Q45,"")</f>
        <v/>
      </c>
    </row>
    <row r="46">
      <c r="A46" s="38">
        <f>IF(M46="","",HYPERLINK("https://www.youtube.com/watch?v="&amp;M46,"▶"))</f>
        <v/>
      </c>
      <c r="B46" s="39">
        <f>IF(C46&lt;&gt;"",C46,IF(P46&lt;=IFERROR(INDEX(tblChannels[Watched Through],MATCH(N46,tblChannels[Channel ID],0)),0),"Watched","Unwatched"))</f>
        <v/>
      </c>
      <c r="C46" s="40" t="n"/>
      <c r="D46" s="41" t="n"/>
      <c r="E46" s="42" t="n">
        <v>46229.41666666666</v>
      </c>
      <c r="F46" s="51" t="inlineStr">
        <is>
          <t>Through The Griffin Door</t>
        </is>
      </c>
      <c r="G46" t="inlineStr">
        <is>
          <t>Chapter 7: The Slug Club | Half-Blood Prince</t>
        </is>
      </c>
      <c r="H46" s="44" t="n">
        <v>0.07896990740740741</v>
      </c>
      <c r="I46" s="45" t="n">
        <v>36283</v>
      </c>
      <c r="J46" s="45" t="n">
        <v>926</v>
      </c>
      <c r="K46" s="45" t="n">
        <v>346</v>
      </c>
      <c r="L46" s="46" t="n"/>
      <c r="M46" s="47" t="n"/>
      <c r="N46" s="47" t="inlineStr">
        <is>
          <t>UCEscP6ETYXWSSvsNrDHekMQ</t>
        </is>
      </c>
      <c r="O46" s="48" t="n">
        <v>46229.58333333334</v>
      </c>
      <c r="P46" s="49" t="n">
        <v>46229</v>
      </c>
      <c r="Q46" s="47" t="n">
        <v>3222</v>
      </c>
      <c r="R46" s="47" t="inlineStr">
        <is>
          <t>No Video ID yet</t>
        </is>
      </c>
      <c r="S46" s="49" t="n"/>
      <c r="T46" s="49" t="n"/>
      <c r="U46" s="47" t="inlineStr">
        <is>
          <t>This episode is sponsored by Shopify – Go to shopify.com/griffin to start your free trial! Join J and Ben as they dive into Chapter 7 of the Half Blood Prince and discuss Harry’s musings about Malfoy’s plans, Fleur’s (maybe?) rudeness, getting to the platform, meeting up with Neville and Luna, going to the Slug Club, Belby not getting pies, and sneaking into the Slytherin compartment. Sign up annually for our Patreon before July 31st to get your TTGD Galleon! 3 WAY Better Careers for Harry Potter - Inglourious Basterds - 04:50 - Chapter Breakdown 43:28 - Ad Break (Shopify) 44:46 - More Chapter Breakdown 1:45:57 - Closing Thoughts and Review</t>
        </is>
      </c>
      <c r="V46" s="47">
        <f>IF(AND(P46&gt;=Calendar!$K$2,P46&lt;EDATE(Calendar!$K$2,1),OR(Calendar!$K$4="*",N46=Calendar!$K$4)),P46*100+COUNTIFS($P$6:$P$3267,P46,$Q$6:$Q$3267,"&lt;="&amp;Q46,$N$6:$N$3267,Calendar!$K$4),"")</f>
        <v/>
      </c>
      <c r="W46" s="47">
        <f>IF(AND(B46=Queue!$C$4,OR(Queue!$K$4="*",N46=Queue!$K$4)),Q46,"")</f>
        <v/>
      </c>
    </row>
    <row r="47">
      <c r="A47" s="38">
        <f>IF(M47="","",HYPERLINK("https://www.youtube.com/watch?v="&amp;M47,"▶"))</f>
        <v/>
      </c>
      <c r="B47" s="39">
        <f>IF(C47&lt;&gt;"",C47,IF(P47&lt;=IFERROR(INDEX(tblChannels[Watched Through],MATCH(N47,tblChannels[Channel ID],0)),0),"Watched","Unwatched"))</f>
        <v/>
      </c>
      <c r="C47" s="40" t="n"/>
      <c r="D47" s="41" t="n"/>
      <c r="E47" s="42" t="n">
        <v>46227.70625</v>
      </c>
      <c r="F47" s="50" t="inlineStr">
        <is>
          <t>Super Carlin Brothers</t>
        </is>
      </c>
      <c r="G47" t="inlineStr">
        <is>
          <t>Defending More WILD Harry Potter Theories | Theories From A Hat</t>
        </is>
      </c>
      <c r="H47" s="44" t="n">
        <v>0.0303125</v>
      </c>
      <c r="I47" s="45" t="n">
        <v>79734</v>
      </c>
      <c r="J47" s="45" t="n">
        <v>2665</v>
      </c>
      <c r="K47" s="45" t="n">
        <v>492</v>
      </c>
      <c r="L47" s="46" t="n"/>
      <c r="M47" s="47" t="n"/>
      <c r="N47" s="47" t="inlineStr">
        <is>
          <t>UCKZo4N0lVPccBkSiuyVh4yg</t>
        </is>
      </c>
      <c r="O47" s="48" t="n">
        <v>46227.87291666667</v>
      </c>
      <c r="P47" s="49" t="n">
        <v>46227</v>
      </c>
      <c r="Q47" s="47" t="n">
        <v>3221</v>
      </c>
      <c r="R47" s="47" t="inlineStr">
        <is>
          <t>No Video ID yet</t>
        </is>
      </c>
      <c r="S47" s="49" t="n"/>
      <c r="T47" s="49" t="n"/>
      <c r="U47" s="47" t="inlineStr">
        <is>
          <t>This episode is sponsored by BetterHelp – Sign up and get 10% off at This episode is sponsored by Shopify – Build your own business with a free trial at This episode is sponsored by Factor – Head to Factormeals.com/super50off and use code “super50off” to get 50 percent off and free daily greens per box. Today J and Ben are defending more wild Harry Potter theories submitted to us from our Quiz Masters! Can we prove Hedwig is still alive? Was Hedwig an animagus? What REALLY happened to Florean Fortescue? Was Snape Harry’s secret father the whole time!? The Marauders Map is a Horcrux?!</t>
        </is>
      </c>
      <c r="V47" s="47">
        <f>IF(AND(P47&gt;=Calendar!$K$2,P47&lt;EDATE(Calendar!$K$2,1),OR(Calendar!$K$4="*",N47=Calendar!$K$4)),P47*100+COUNTIFS($P$6:$P$3267,P47,$Q$6:$Q$3267,"&lt;="&amp;Q47,$N$6:$N$3267,Calendar!$K$4),"")</f>
        <v/>
      </c>
      <c r="W47" s="47">
        <f>IF(AND(B47=Queue!$C$4,OR(Queue!$K$4="*",N47=Queue!$K$4)),Q47,"")</f>
        <v/>
      </c>
    </row>
    <row r="48">
      <c r="A48" s="38">
        <f>IF(M48="","",HYPERLINK("https://www.youtube.com/watch?v="&amp;M48,"▶"))</f>
        <v/>
      </c>
      <c r="B48" s="39">
        <f>IF(C48&lt;&gt;"",C48,IF(P48&lt;=IFERROR(INDEX(tblChannels[Watched Through],MATCH(N48,tblChannels[Channel ID],0)),0),"Watched","Unwatched"))</f>
        <v/>
      </c>
      <c r="C48" s="40" t="n"/>
      <c r="D48" s="41" t="n"/>
      <c r="E48" s="42" t="n">
        <v>46227.41666666666</v>
      </c>
      <c r="F48" s="43" t="inlineStr">
        <is>
          <t>Popcorn Culture</t>
        </is>
      </c>
      <c r="G48" t="inlineStr">
        <is>
          <t>Gourmet Orange Slices | Popcorn Culture</t>
        </is>
      </c>
      <c r="H48" s="44" t="n">
        <v>0.0446412037037037</v>
      </c>
      <c r="I48" s="45" t="n">
        <v>2006</v>
      </c>
      <c r="J48" s="45" t="n">
        <v>97</v>
      </c>
      <c r="K48" s="45" t="n">
        <v>15</v>
      </c>
      <c r="L48" s="46" t="n"/>
      <c r="M48" s="47" t="n"/>
      <c r="N48" s="47" t="inlineStr">
        <is>
          <t>UCHfIbq9thHPC8yrKjAdJgDA</t>
        </is>
      </c>
      <c r="O48" s="48" t="n">
        <v>46227.58333333334</v>
      </c>
      <c r="P48" s="49" t="n">
        <v>46227</v>
      </c>
      <c r="Q48" s="47" t="n">
        <v>3220</v>
      </c>
      <c r="R48" s="47" t="inlineStr">
        <is>
          <t>No Video ID yet</t>
        </is>
      </c>
      <c r="S48" s="49" t="n"/>
      <c r="T48" s="49" t="n"/>
      <c r="U48" s="47" t="inlineStr">
        <is>
          <t>In the 346th episode of the Pop, Ben and J discuss go-to selfie faces, sports announcers, and prepping for coaching soccer. Relevant Links Anaconda – 00:00 - Intro, Selfies 30:07 - Coaching Soccer</t>
        </is>
      </c>
      <c r="V48" s="47">
        <f>IF(AND(P48&gt;=Calendar!$K$2,P48&lt;EDATE(Calendar!$K$2,1),OR(Calendar!$K$4="*",N48=Calendar!$K$4)),P48*100+COUNTIFS($P$6:$P$3267,P48,$Q$6:$Q$3267,"&lt;="&amp;Q48,$N$6:$N$3267,Calendar!$K$4),"")</f>
        <v/>
      </c>
      <c r="W48" s="47">
        <f>IF(AND(B48=Queue!$C$4,OR(Queue!$K$4="*",N48=Queue!$K$4)),Q48,"")</f>
        <v/>
      </c>
    </row>
    <row r="49">
      <c r="A49" s="38">
        <f>IF(M49="","",HYPERLINK("https://www.youtube.com/watch?v="&amp;M49,"▶"))</f>
        <v/>
      </c>
      <c r="B49" s="39">
        <f>IF(C49&lt;&gt;"",C49,IF(P49&lt;=IFERROR(INDEX(tblChannels[Watched Through],MATCH(N49,tblChannels[Channel ID],0)),0),"Watched","Unwatched"))</f>
        <v/>
      </c>
      <c r="C49" s="40" t="n"/>
      <c r="D49" s="41" t="n"/>
      <c r="E49" s="42" t="n">
        <v>46225.60972222222</v>
      </c>
      <c r="F49" s="50" t="inlineStr">
        <is>
          <t>Super Carlin Brothers</t>
        </is>
      </c>
      <c r="G49" t="inlineStr">
        <is>
          <t>Neville Was The REAL Chosen One</t>
        </is>
      </c>
      <c r="H49" s="44" t="n">
        <v>0.01128472222222222</v>
      </c>
      <c r="I49" s="45" t="n">
        <v>62348</v>
      </c>
      <c r="J49" s="45" t="n">
        <v>2909</v>
      </c>
      <c r="K49" s="45" t="n">
        <v>433</v>
      </c>
      <c r="L49" s="46" t="n"/>
      <c r="M49" s="47" t="n"/>
      <c r="N49" s="47" t="inlineStr">
        <is>
          <t>UCKZo4N0lVPccBkSiuyVh4yg</t>
        </is>
      </c>
      <c r="O49" s="48" t="n">
        <v>46225.77638888889</v>
      </c>
      <c r="P49" s="49" t="n">
        <v>46225</v>
      </c>
      <c r="Q49" s="47" t="n">
        <v>3219</v>
      </c>
      <c r="R49" s="47" t="inlineStr">
        <is>
          <t>No Video ID yet</t>
        </is>
      </c>
      <c r="S49" s="49" t="n"/>
      <c r="T49" s="49" t="n"/>
      <c r="U49" s="47" t="inlineStr">
        <is>
          <t>This episode is sponsored by BetterHelp – Sign up and get 10% off at What if we've misunderstood the prophecy for nearly 30 years? Everyone assumes Harry Potter is the Chosen One... but what if Neville Longbottom actually fulfills every requirement first? Today we're breaking down every line of Trelawney's prophecy, Voldemort's choices, Neville's role at the Battle of Hogwarts, and why Harry may never have been the prophecy's true subject after all. Could Dumbledore—and all of us—have been reading it wrong? Let us know what you think in the comments! Written by: J and Ben Carlin</t>
        </is>
      </c>
      <c r="V49" s="47">
        <f>IF(AND(P49&gt;=Calendar!$K$2,P49&lt;EDATE(Calendar!$K$2,1),OR(Calendar!$K$4="*",N49=Calendar!$K$4)),P49*100+COUNTIFS($P$6:$P$3267,P49,$Q$6:$Q$3267,"&lt;="&amp;Q49,$N$6:$N$3267,Calendar!$K$4),"")</f>
        <v/>
      </c>
      <c r="W49" s="47">
        <f>IF(AND(B49=Queue!$C$4,OR(Queue!$K$4="*",N49=Queue!$K$4)),Q49,"")</f>
        <v/>
      </c>
    </row>
    <row r="50">
      <c r="A50" s="38">
        <f>IF(M50="","",HYPERLINK("https://www.youtube.com/watch?v="&amp;M50,"▶"))</f>
        <v/>
      </c>
      <c r="B50" s="39">
        <f>IF(C50&lt;&gt;"",C50,IF(P50&lt;=IFERROR(INDEX(tblChannels[Watched Through],MATCH(N50,tblChannels[Channel ID],0)),0),"Watched","Unwatched"))</f>
        <v/>
      </c>
      <c r="C50" s="40" t="n"/>
      <c r="D50" s="41" t="n"/>
      <c r="E50" s="42" t="n">
        <v>46223.70763888889</v>
      </c>
      <c r="F50" s="50" t="inlineStr">
        <is>
          <t>Super Carlin Brothers</t>
        </is>
      </c>
      <c r="G50" t="inlineStr">
        <is>
          <t>J vs Ben vs THE CAST OF HARRY POTTER!</t>
        </is>
      </c>
      <c r="H50" s="44" t="n">
        <v>0.03878472222222222</v>
      </c>
      <c r="I50" s="45" t="n">
        <v>84727</v>
      </c>
      <c r="J50" s="45" t="n">
        <v>3188</v>
      </c>
      <c r="K50" s="45" t="n">
        <v>374</v>
      </c>
      <c r="L50" s="46" t="n"/>
      <c r="M50" s="47" t="n"/>
      <c r="N50" s="47" t="inlineStr">
        <is>
          <t>UCKZo4N0lVPccBkSiuyVh4yg</t>
        </is>
      </c>
      <c r="O50" s="48" t="n">
        <v>46223.87430555555</v>
      </c>
      <c r="P50" s="49" t="n">
        <v>46223</v>
      </c>
      <c r="Q50" s="47" t="n">
        <v>3218</v>
      </c>
      <c r="R50" s="47" t="inlineStr">
        <is>
          <t>No Video ID yet</t>
        </is>
      </c>
      <c r="S50" s="49" t="n"/>
      <c r="T50" s="49" t="n"/>
      <c r="U50" s="47" t="inlineStr">
        <is>
          <t>Thank you Helix Sleep for sponsoring! Visit to take advantage of their Fourth of July Sale Exclusive Partner Offer and get 27% Off Sitewide! Want us to film you a Cameo? Today J and Ben face off once again to find out who knows the most about the Wizarding World of Harry Potter, but we have an amazing round of special guests all FROM THE CAST OF HARRY POTTER including Bonnie Wright, James &amp; Oliver Phelps and more! #HarryPotter #SuperCarlinBrothers #bestmattress, #Helixmattress #bedmattresssale Get your own Secret Labs chair: Written by: Our Quiz Masters!</t>
        </is>
      </c>
      <c r="V50" s="47">
        <f>IF(AND(P50&gt;=Calendar!$K$2,P50&lt;EDATE(Calendar!$K$2,1),OR(Calendar!$K$4="*",N50=Calendar!$K$4)),P50*100+COUNTIFS($P$6:$P$3267,P50,$Q$6:$Q$3267,"&lt;="&amp;Q50,$N$6:$N$3267,Calendar!$K$4),"")</f>
        <v/>
      </c>
      <c r="W50" s="47">
        <f>IF(AND(B50=Queue!$C$4,OR(Queue!$K$4="*",N50=Queue!$K$4)),Q50,"")</f>
        <v/>
      </c>
    </row>
    <row r="51">
      <c r="A51" s="38">
        <f>IF(M51="","",HYPERLINK("https://www.youtube.com/watch?v="&amp;M51,"▶"))</f>
        <v/>
      </c>
      <c r="B51" s="39">
        <f>IF(C51&lt;&gt;"",C51,IF(P51&lt;=IFERROR(INDEX(tblChannels[Watched Through],MATCH(N51,tblChannels[Channel ID],0)),0),"Watched","Unwatched"))</f>
        <v/>
      </c>
      <c r="C51" s="40" t="n"/>
      <c r="D51" s="41" t="n"/>
      <c r="E51" s="42" t="n">
        <v>46222.41666666666</v>
      </c>
      <c r="F51" s="51" t="inlineStr">
        <is>
          <t>Through The Griffin Door</t>
        </is>
      </c>
      <c r="G51" t="inlineStr">
        <is>
          <t>Chapter 6: Draco’s Detour | Half-Blood Prince</t>
        </is>
      </c>
      <c r="H51" s="44" t="n">
        <v>0.07483796296296297</v>
      </c>
      <c r="I51" s="45" t="n">
        <v>36083</v>
      </c>
      <c r="J51" s="45" t="n">
        <v>915</v>
      </c>
      <c r="K51" s="45" t="n">
        <v>291</v>
      </c>
      <c r="L51" s="46" t="n"/>
      <c r="M51" s="47" t="n"/>
      <c r="N51" s="47" t="inlineStr">
        <is>
          <t>UCEscP6ETYXWSSvsNrDHekMQ</t>
        </is>
      </c>
      <c r="O51" s="48" t="n">
        <v>46222.58333333334</v>
      </c>
      <c r="P51" s="49" t="n">
        <v>46222</v>
      </c>
      <c r="Q51" s="47" t="n">
        <v>3217</v>
      </c>
      <c r="R51" s="47" t="inlineStr">
        <is>
          <t>No Video ID yet</t>
        </is>
      </c>
      <c r="S51" s="49" t="n"/>
      <c r="T51" s="49" t="n"/>
      <c r="U51" s="47" t="inlineStr">
        <is>
          <t>Join J and Ben as they dive into Chapter 6 of the Half Blood Prince and discuss two aside Quidditch, Florean Fortescue’s abduction, “Harry Is Special” moments, the reverse of book 1, Draco in Madam Malkins, all the Weasley’s Wizard Wheezes inventions, and spying on Malfoy Sign up annually for our Patreon before July 31st to get your TTGD Galleon! Linkin Park: “Heavy is the Crown” - 08:53 - Chapter Breakdown 1:44:52 - Closing Thoughts and Review</t>
        </is>
      </c>
      <c r="V51" s="47">
        <f>IF(AND(P51&gt;=Calendar!$K$2,P51&lt;EDATE(Calendar!$K$2,1),OR(Calendar!$K$4="*",N51=Calendar!$K$4)),P51*100+COUNTIFS($P$6:$P$3267,P51,$Q$6:$Q$3267,"&lt;="&amp;Q51,$N$6:$N$3267,Calendar!$K$4),"")</f>
        <v/>
      </c>
      <c r="W51" s="47">
        <f>IF(AND(B51=Queue!$C$4,OR(Queue!$K$4="*",N51=Queue!$K$4)),Q51,"")</f>
        <v/>
      </c>
    </row>
    <row r="52">
      <c r="A52" s="38">
        <f>IF(M52="","",HYPERLINK("https://www.youtube.com/watch?v="&amp;M52,"▶"))</f>
        <v/>
      </c>
      <c r="B52" s="39">
        <f>IF(C52&lt;&gt;"",C52,IF(P52&lt;=IFERROR(INDEX(tblChannels[Watched Through],MATCH(N52,tblChannels[Channel ID],0)),0),"Watched","Unwatched"))</f>
        <v/>
      </c>
      <c r="C52" s="40" t="n"/>
      <c r="D52" s="41" t="n"/>
      <c r="E52" s="42" t="n">
        <v>46220.57013888889</v>
      </c>
      <c r="F52" s="50" t="inlineStr">
        <is>
          <t>Super Carlin Brothers</t>
        </is>
      </c>
      <c r="G52" t="inlineStr">
        <is>
          <t>3 MUCH Better Careers for Harry Potter</t>
        </is>
      </c>
      <c r="H52" s="44" t="n">
        <v>0.01484953703703704</v>
      </c>
      <c r="I52" s="45" t="n">
        <v>81403</v>
      </c>
      <c r="J52" s="45" t="n">
        <v>3501</v>
      </c>
      <c r="K52" s="45" t="n">
        <v>585</v>
      </c>
      <c r="L52" s="46" t="n"/>
      <c r="M52" s="47" t="n"/>
      <c r="N52" s="47" t="inlineStr">
        <is>
          <t>UCKZo4N0lVPccBkSiuyVh4yg</t>
        </is>
      </c>
      <c r="O52" s="48" t="n">
        <v>46220.73680555556</v>
      </c>
      <c r="P52" s="49" t="n">
        <v>46220</v>
      </c>
      <c r="Q52" s="47" t="n">
        <v>3216</v>
      </c>
      <c r="R52" s="47" t="inlineStr">
        <is>
          <t>No Video ID yet</t>
        </is>
      </c>
      <c r="S52" s="49" t="n"/>
      <c r="T52" s="49" t="n"/>
      <c r="U52" s="47" t="inlineStr">
        <is>
          <t>This show is sponsored by Better Help - Sign up and get 10% off at This show is sponsored by Raycon - Go to to get 20% off. Harry “The Chosen One” Potter eventually goes on to become an Auror, which feels like a good choice on the surface. Until you realize it means he’s following the career path suggested to him by a Death Eater and that he works for the same government that expelled him, slandered him, attacked him with dementors, sent a toad to torture him and then asked for him to tell the public they were doing a great job! Not only that, there are a few other careers that make WAY more sense for Harry to have pursued - today we explore all of Harry’s other Career opportunities! J’s K-Pop Playlist :: Written by: J and Ben Carlin</t>
        </is>
      </c>
      <c r="V52" s="47">
        <f>IF(AND(P52&gt;=Calendar!$K$2,P52&lt;EDATE(Calendar!$K$2,1),OR(Calendar!$K$4="*",N52=Calendar!$K$4)),P52*100+COUNTIFS($P$6:$P$3267,P52,$Q$6:$Q$3267,"&lt;="&amp;Q52,$N$6:$N$3267,Calendar!$K$4),"")</f>
        <v/>
      </c>
      <c r="W52" s="47">
        <f>IF(AND(B52=Queue!$C$4,OR(Queue!$K$4="*",N52=Queue!$K$4)),Q52,"")</f>
        <v/>
      </c>
    </row>
    <row r="53">
      <c r="A53" s="38">
        <f>IF(M53="","",HYPERLINK("https://www.youtube.com/watch?v="&amp;M53,"▶"))</f>
        <v/>
      </c>
      <c r="B53" s="39">
        <f>IF(C53&lt;&gt;"",C53,IF(P53&lt;=IFERROR(INDEX(tblChannels[Watched Through],MATCH(N53,tblChannels[Channel ID],0)),0),"Watched","Unwatched"))</f>
        <v/>
      </c>
      <c r="C53" s="40" t="n"/>
      <c r="D53" s="41" t="n"/>
      <c r="E53" s="42" t="n">
        <v>46220.41666666666</v>
      </c>
      <c r="F53" s="43" t="inlineStr">
        <is>
          <t>Popcorn Culture</t>
        </is>
      </c>
      <c r="G53" t="inlineStr">
        <is>
          <t>NOTHING Is Better Than Coffee Mate (Deragatory) | Popcorn Culture</t>
        </is>
      </c>
      <c r="H53" s="44" t="n">
        <v>0.04913194444444444</v>
      </c>
      <c r="I53" s="45" t="n">
        <v>2303</v>
      </c>
      <c r="J53" s="45" t="n">
        <v>111</v>
      </c>
      <c r="K53" s="45" t="n">
        <v>14</v>
      </c>
      <c r="L53" s="46" t="n"/>
      <c r="M53" s="47" t="n"/>
      <c r="N53" s="47" t="inlineStr">
        <is>
          <t>UCHfIbq9thHPC8yrKjAdJgDA</t>
        </is>
      </c>
      <c r="O53" s="48" t="n">
        <v>46220.58333333334</v>
      </c>
      <c r="P53" s="49" t="n">
        <v>46220</v>
      </c>
      <c r="Q53" s="47" t="n">
        <v>3215</v>
      </c>
      <c r="R53" s="47" t="inlineStr">
        <is>
          <t>No Video ID yet</t>
        </is>
      </c>
      <c r="S53" s="49" t="n"/>
      <c r="T53" s="49" t="n"/>
      <c r="U53" s="47" t="inlineStr">
        <is>
          <t>In the 345th episode of the Pop, Ben and J discuss juicy fingers, extension chords, facebook marketplace, Pluto pins, Achievement vs Fulfillment, and Coffee Mate creamer. Relavant Links Enjoy Alyssa’s Substack - 00:00 - Intro, Outdoor Outlets 15:22 - Selling Stuff 31:37 - Achievement vs Fulfillment 1:01:18 - Coffee Creamers</t>
        </is>
      </c>
      <c r="V53" s="47">
        <f>IF(AND(P53&gt;=Calendar!$K$2,P53&lt;EDATE(Calendar!$K$2,1),OR(Calendar!$K$4="*",N53=Calendar!$K$4)),P53*100+COUNTIFS($P$6:$P$3267,P53,$Q$6:$Q$3267,"&lt;="&amp;Q53,$N$6:$N$3267,Calendar!$K$4),"")</f>
        <v/>
      </c>
      <c r="W53" s="47">
        <f>IF(AND(B53=Queue!$C$4,OR(Queue!$K$4="*",N53=Queue!$K$4)),Q53,"")</f>
        <v/>
      </c>
    </row>
    <row r="54">
      <c r="A54" s="38">
        <f>IF(M54="","",HYPERLINK("https://www.youtube.com/watch?v="&amp;M54,"▶"))</f>
        <v/>
      </c>
      <c r="B54" s="39">
        <f>IF(C54&lt;&gt;"",C54,IF(P54&lt;=IFERROR(INDEX(tblChannels[Watched Through],MATCH(N54,tblChannels[Channel ID],0)),0),"Watched","Unwatched"))</f>
        <v/>
      </c>
      <c r="C54" s="40" t="n"/>
      <c r="D54" s="41" t="n"/>
      <c r="E54" s="42" t="n">
        <v>46218.66527777778</v>
      </c>
      <c r="F54" s="50" t="inlineStr">
        <is>
          <t>Super Carlin Brothers</t>
        </is>
      </c>
      <c r="G54" t="inlineStr">
        <is>
          <t>Can You Handle This INSANE House Elf Quiz? (we tried our best…)</t>
        </is>
      </c>
      <c r="H54" s="44" t="n">
        <v>0.02325231481481482</v>
      </c>
      <c r="I54" s="45" t="n">
        <v>50624</v>
      </c>
      <c r="J54" s="45" t="n">
        <v>2063</v>
      </c>
      <c r="K54" s="45" t="n">
        <v>232</v>
      </c>
      <c r="L54" s="46" t="n"/>
      <c r="M54" s="47" t="n"/>
      <c r="N54" s="47" t="inlineStr">
        <is>
          <t>UCKZo4N0lVPccBkSiuyVh4yg</t>
        </is>
      </c>
      <c r="O54" s="48" t="n">
        <v>46218.83194444444</v>
      </c>
      <c r="P54" s="49" t="n">
        <v>46218</v>
      </c>
      <c r="Q54" s="47" t="n">
        <v>3214</v>
      </c>
      <c r="R54" s="47" t="inlineStr">
        <is>
          <t>No Video ID yet</t>
        </is>
      </c>
      <c r="S54" s="49" t="n"/>
      <c r="T54" s="49" t="n"/>
      <c r="U54" s="47" t="inlineStr">
        <is>
          <t>This episode is sponsored by MeUndies – Get up to 50% off their Subscribe &amp; Save deal at and use promo code “brother.” This episode is sponsored by Factor – Head to and use the code “jvsb50off” to get 50 percent off and free daily greens. How well do you know the house elves of Harry Potter? What they served to who and when? Who did they work for? How much do certain of them get paid? This lore goes deep.. Is your trivia knowledge up to the challenge? Special thanks to our Quiz Masters: Bradferd, Elfish Princess, Katrina(aaah!), Kellbell, LawNinja, MrTeacher, Nathan Morgan, Rowena R,Tina’s Hotdog Sophie, Amara Woolf, Boullion Cube, Julie Sherwood, Hermione Baggins, Oryan’s Wizard Parts, The Hufflepuff Pancake Chef, DJ-Kempen, Crafty Lizard, di-stitch626, Dola, magical misfires, Tara Walker, Kevin, and Flood Walters Written by: Our Quiz Masters! Hosted by: Kat Stine</t>
        </is>
      </c>
      <c r="V54" s="47">
        <f>IF(AND(P54&gt;=Calendar!$K$2,P54&lt;EDATE(Calendar!$K$2,1),OR(Calendar!$K$4="*",N54=Calendar!$K$4)),P54*100+COUNTIFS($P$6:$P$3267,P54,$Q$6:$Q$3267,"&lt;="&amp;Q54,$N$6:$N$3267,Calendar!$K$4),"")</f>
        <v/>
      </c>
      <c r="W54" s="47">
        <f>IF(AND(B54=Queue!$C$4,OR(Queue!$K$4="*",N54=Queue!$K$4)),Q54,"")</f>
        <v/>
      </c>
    </row>
    <row r="55">
      <c r="A55" s="38">
        <f>IF(M55="","",HYPERLINK("https://www.youtube.com/watch?v="&amp;M55,"▶"))</f>
        <v/>
      </c>
      <c r="B55" s="39">
        <f>IF(C55&lt;&gt;"",C55,IF(P55&lt;=IFERROR(INDEX(tblChannels[Watched Through],MATCH(N55,tblChannels[Channel ID],0)),0),"Watched","Unwatched"))</f>
        <v/>
      </c>
      <c r="C55" s="40" t="n"/>
      <c r="D55" s="41" t="n"/>
      <c r="E55" s="42" t="n">
        <v>46215.41666666666</v>
      </c>
      <c r="F55" s="51" t="inlineStr">
        <is>
          <t>Through The Griffin Door</t>
        </is>
      </c>
      <c r="G55" t="inlineStr">
        <is>
          <t>Chapter 5: An Excess of Phlegm | Half-Blood Prince</t>
        </is>
      </c>
      <c r="H55" s="44" t="n">
        <v>0.08392361111111112</v>
      </c>
      <c r="I55" s="45" t="n">
        <v>39863</v>
      </c>
      <c r="J55" s="45" t="n">
        <v>1025</v>
      </c>
      <c r="K55" s="45" t="n">
        <v>457</v>
      </c>
      <c r="L55" s="46" t="n"/>
      <c r="M55" s="47" t="n"/>
      <c r="N55" s="47" t="inlineStr">
        <is>
          <t>UCEscP6ETYXWSSvsNrDHekMQ</t>
        </is>
      </c>
      <c r="O55" s="48" t="n">
        <v>46215.58333333334</v>
      </c>
      <c r="P55" s="49" t="n">
        <v>46215</v>
      </c>
      <c r="Q55" s="47" t="n">
        <v>3213</v>
      </c>
      <c r="R55" s="47" t="inlineStr">
        <is>
          <t>No Video ID yet</t>
        </is>
      </c>
      <c r="S55" s="49" t="n"/>
      <c r="T55" s="49" t="n"/>
      <c r="U55" s="47" t="inlineStr">
        <is>
          <t>Join J and Ben as they dive into Chapter 5 of the Half Blood Prince and discuss broom racing a la “Fast and Furious”, apparition, Slughorn’s history, the MOST awkward moment with Molly and Arthur, Hermione sitting in Harry’s bed, timeline math, Fleur’s entrance and the girls’ jealousy, telling Ron and Hermione the prophecy, and OWL grades. Harry Potter's Apparition Problem, FINALLY Explained - Slughorn's Darkest Secret - 07:25 - Chapter Breakdown 54:22- Ad Break (Shopify) 56:09 - More Chapter Breakdown 1:52:15 - Closing Thoughts and Review</t>
        </is>
      </c>
      <c r="V55" s="47">
        <f>IF(AND(P55&gt;=Calendar!$K$2,P55&lt;EDATE(Calendar!$K$2,1),OR(Calendar!$K$4="*",N55=Calendar!$K$4)),P55*100+COUNTIFS($P$6:$P$3267,P55,$Q$6:$Q$3267,"&lt;="&amp;Q55,$N$6:$N$3267,Calendar!$K$4),"")</f>
        <v/>
      </c>
      <c r="W55" s="47">
        <f>IF(AND(B55=Queue!$C$4,OR(Queue!$K$4="*",N55=Queue!$K$4)),Q55,"")</f>
        <v/>
      </c>
    </row>
    <row r="56">
      <c r="A56" s="38">
        <f>IF(M56="","",HYPERLINK("https://www.youtube.com/watch?v="&amp;M56,"▶"))</f>
        <v/>
      </c>
      <c r="B56" s="39">
        <f>IF(C56&lt;&gt;"",C56,IF(P56&lt;=IFERROR(INDEX(tblChannels[Watched Through],MATCH(N56,tblChannels[Channel ID],0)),0),"Watched","Unwatched"))</f>
        <v/>
      </c>
      <c r="C56" s="40" t="n"/>
      <c r="D56" s="41" t="n"/>
      <c r="E56" s="42" t="n">
        <v>46213.67986111111</v>
      </c>
      <c r="F56" s="50" t="inlineStr">
        <is>
          <t>Super Carlin Brothers</t>
        </is>
      </c>
      <c r="G56" t="inlineStr">
        <is>
          <t>How Voldemort Defeated Himself</t>
        </is>
      </c>
      <c r="H56" s="44" t="n">
        <v>0.01060185185185185</v>
      </c>
      <c r="I56" s="45" t="n">
        <v>55260</v>
      </c>
      <c r="J56" s="45" t="n">
        <v>2623</v>
      </c>
      <c r="K56" s="45" t="n">
        <v>228</v>
      </c>
      <c r="L56" s="46" t="n"/>
      <c r="M56" s="47" t="n"/>
      <c r="N56" s="47" t="inlineStr">
        <is>
          <t>UCKZo4N0lVPccBkSiuyVh4yg</t>
        </is>
      </c>
      <c r="O56" s="48" t="n">
        <v>46213.84652777778</v>
      </c>
      <c r="P56" s="49" t="n">
        <v>46213</v>
      </c>
      <c r="Q56" s="47" t="n">
        <v>3212</v>
      </c>
      <c r="R56" s="47" t="inlineStr">
        <is>
          <t>No Video ID yet</t>
        </is>
      </c>
      <c r="S56" s="49" t="n"/>
      <c r="T56" s="49" t="n"/>
      <c r="U56" s="47" t="inlineStr">
        <is>
          <t>This episode is sponsored by BetterHelp - Sign up and get 10% off at Voldemort always believed Harry Potter was his greatest enemy... but what if Harry was actually Voldemort's greatest mistake? Today we're exploring one of the most overlooked consequences of the night Voldemort attacked baby Harry: not just the scar or the Horcrux, but the possibility that Voldemort accidentally shaped Harry into the exact kind of leader capable of defeating him. Did Voldemort unknowingly create the hero who would one day bring about his own downfall? Let's dive in. Written by: J and Ben Carlin</t>
        </is>
      </c>
      <c r="V56" s="47">
        <f>IF(AND(P56&gt;=Calendar!$K$2,P56&lt;EDATE(Calendar!$K$2,1),OR(Calendar!$K$4="*",N56=Calendar!$K$4)),P56*100+COUNTIFS($P$6:$P$3267,P56,$Q$6:$Q$3267,"&lt;="&amp;Q56,$N$6:$N$3267,Calendar!$K$4),"")</f>
        <v/>
      </c>
      <c r="W56" s="47">
        <f>IF(AND(B56=Queue!$C$4,OR(Queue!$K$4="*",N56=Queue!$K$4)),Q56,"")</f>
        <v/>
      </c>
    </row>
    <row r="57">
      <c r="A57" s="38">
        <f>IF(M57="","",HYPERLINK("https://www.youtube.com/watch?v="&amp;M57,"▶"))</f>
        <v/>
      </c>
      <c r="B57" s="39">
        <f>IF(C57&lt;&gt;"",C57,IF(P57&lt;=IFERROR(INDEX(tblChannels[Watched Through],MATCH(N57,tblChannels[Channel ID],0)),0),"Watched","Unwatched"))</f>
        <v/>
      </c>
      <c r="C57" s="40" t="n"/>
      <c r="D57" s="41" t="n"/>
      <c r="E57" s="42" t="n">
        <v>46213.41666666666</v>
      </c>
      <c r="F57" s="43" t="inlineStr">
        <is>
          <t>Popcorn Culture</t>
        </is>
      </c>
      <c r="G57" t="inlineStr">
        <is>
          <t>The California Backflip | Popcorn Culture</t>
        </is>
      </c>
      <c r="H57" s="44" t="n">
        <v>0.05306712962962963</v>
      </c>
      <c r="I57" s="45" t="n">
        <v>2000</v>
      </c>
      <c r="J57" s="45" t="n">
        <v>94</v>
      </c>
      <c r="K57" s="45" t="n">
        <v>9</v>
      </c>
      <c r="L57" s="46" t="n"/>
      <c r="M57" s="47" t="n"/>
      <c r="N57" s="47" t="inlineStr">
        <is>
          <t>UCHfIbq9thHPC8yrKjAdJgDA</t>
        </is>
      </c>
      <c r="O57" s="48" t="n">
        <v>46213.58333333334</v>
      </c>
      <c r="P57" s="49" t="n">
        <v>46213</v>
      </c>
      <c r="Q57" s="47" t="n">
        <v>3211</v>
      </c>
      <c r="R57" s="47" t="inlineStr">
        <is>
          <t>No Video ID yet</t>
        </is>
      </c>
      <c r="S57" s="49" t="n"/>
      <c r="T57" s="49" t="n"/>
      <c r="U57" s="47" t="inlineStr">
        <is>
          <t>In the 344th episode of the Pop, Ben and J discuss renovations, Magic the Gathering, FIFA World Cup, coaching kids soccer, snow machines and diving boards. Drafting Kids Soccer We Really Needed This Rain 00:00 - Intro, The Week Off 24:50 - The World Cup 43:38 - Low Lake Levels</t>
        </is>
      </c>
      <c r="V57" s="47">
        <f>IF(AND(P57&gt;=Calendar!$K$2,P57&lt;EDATE(Calendar!$K$2,1),OR(Calendar!$K$4="*",N57=Calendar!$K$4)),P57*100+COUNTIFS($P$6:$P$3267,P57,$Q$6:$Q$3267,"&lt;="&amp;Q57,$N$6:$N$3267,Calendar!$K$4),"")</f>
        <v/>
      </c>
      <c r="W57" s="47">
        <f>IF(AND(B57=Queue!$C$4,OR(Queue!$K$4="*",N57=Queue!$K$4)),Q57,"")</f>
        <v/>
      </c>
    </row>
    <row r="58">
      <c r="A58" s="38">
        <f>IF(M58="","",HYPERLINK("https://www.youtube.com/watch?v="&amp;M58,"▶"))</f>
        <v/>
      </c>
      <c r="B58" s="39">
        <f>IF(C58&lt;&gt;"",C58,IF(P58&lt;=IFERROR(INDEX(tblChannels[Watched Through],MATCH(N58,tblChannels[Channel ID],0)),0),"Watched","Unwatched"))</f>
        <v/>
      </c>
      <c r="C58" s="40" t="n"/>
      <c r="D58" s="41" t="n"/>
      <c r="E58" s="42" t="n">
        <v>46211.71319444444</v>
      </c>
      <c r="F58" s="50" t="inlineStr">
        <is>
          <t>Super Carlin Brothers</t>
        </is>
      </c>
      <c r="G58" t="inlineStr">
        <is>
          <t>Why Does Buzz Freeze? SOLVED</t>
        </is>
      </c>
      <c r="H58" s="44" t="n">
        <v>0.01228009259259259</v>
      </c>
      <c r="I58" s="45" t="n">
        <v>89109</v>
      </c>
      <c r="J58" s="45" t="n">
        <v>4188</v>
      </c>
      <c r="K58" s="45" t="n">
        <v>454</v>
      </c>
      <c r="L58" s="46" t="n"/>
      <c r="M58" s="47" t="n"/>
      <c r="N58" s="47" t="inlineStr">
        <is>
          <t>UCKZo4N0lVPccBkSiuyVh4yg</t>
        </is>
      </c>
      <c r="O58" s="48" t="n">
        <v>46211.87986111111</v>
      </c>
      <c r="P58" s="49" t="n">
        <v>46211</v>
      </c>
      <c r="Q58" s="47" t="n">
        <v>3210</v>
      </c>
      <c r="R58" s="47" t="inlineStr">
        <is>
          <t>No Video ID yet</t>
        </is>
      </c>
      <c r="S58" s="49" t="n"/>
      <c r="T58" s="49" t="n"/>
      <c r="U58" s="47" t="inlineStr">
        <is>
          <t>It’s possibly the oldest question in all of Toy Story - If Buzz Lightyear really thinks he is a Space Ranger, then why does he freeze when, Andy is the room. Certainly this would tip him off that he’s a toy right? Is it just a part of his space ranger training? Is it fight or flight? Thanks to Toy Story 5, we may have finally gotten an answer to this question after 30 years of wondering! #Pixar #ToyStory #SuperCarlinBrothers Written by: J and Ben Carlin</t>
        </is>
      </c>
      <c r="V58" s="47">
        <f>IF(AND(P58&gt;=Calendar!$K$2,P58&lt;EDATE(Calendar!$K$2,1),OR(Calendar!$K$4="*",N58=Calendar!$K$4)),P58*100+COUNTIFS($P$6:$P$3267,P58,$Q$6:$Q$3267,"&lt;="&amp;Q58,$N$6:$N$3267,Calendar!$K$4),"")</f>
        <v/>
      </c>
      <c r="W58" s="47">
        <f>IF(AND(B58=Queue!$C$4,OR(Queue!$K$4="*",N58=Queue!$K$4)),Q58,"")</f>
        <v/>
      </c>
    </row>
    <row r="59">
      <c r="A59" s="38">
        <f>IF(M59="","",HYPERLINK("https://www.youtube.com/watch?v="&amp;M59,"▶"))</f>
        <v/>
      </c>
      <c r="B59" s="39">
        <f>IF(C59&lt;&gt;"",C59,IF(P59&lt;=IFERROR(INDEX(tblChannels[Watched Through],MATCH(N59,tblChannels[Channel ID],0)),0),"Watched","Unwatched"))</f>
        <v/>
      </c>
      <c r="C59" s="40" t="n"/>
      <c r="D59" s="41" t="n"/>
      <c r="E59" s="42" t="n">
        <v>46208.41666666666</v>
      </c>
      <c r="F59" s="51" t="inlineStr">
        <is>
          <t>Through The Griffin Door</t>
        </is>
      </c>
      <c r="G59" t="inlineStr">
        <is>
          <t>The Owlery Special Part 4!</t>
        </is>
      </c>
      <c r="H59" s="44" t="n">
        <v>0.06575231481481482</v>
      </c>
      <c r="I59" s="45" t="n">
        <v>19724</v>
      </c>
      <c r="J59" s="45" t="n">
        <v>565</v>
      </c>
      <c r="K59" s="45" t="n">
        <v>244</v>
      </c>
      <c r="L59" s="46" t="n"/>
      <c r="M59" s="47" t="n"/>
      <c r="N59" s="47" t="inlineStr">
        <is>
          <t>UCEscP6ETYXWSSvsNrDHekMQ</t>
        </is>
      </c>
      <c r="O59" s="48" t="n">
        <v>46208.58333333334</v>
      </c>
      <c r="P59" s="49" t="n">
        <v>46208</v>
      </c>
      <c r="Q59" s="47" t="n">
        <v>3209</v>
      </c>
      <c r="R59" s="47" t="inlineStr">
        <is>
          <t>No Video ID yet</t>
        </is>
      </c>
      <c r="S59" s="49" t="n"/>
      <c r="T59" s="49" t="n"/>
      <c r="U59" s="47" t="inlineStr">
        <is>
          <t>Join J and Ben as they dive into YOUR QUESTIONS and answer the questions: How would the story be different if Snape was sorted into Griffindor? How does the Pensive REALLY work? If Dumbledore never saw the destroyed diary, would he have realized Voldemort was using Horcruxes? Do you want to have your questions answered on a future episode of The Owlery? Support us on Patreon: Caller Unknown - 02:57 - Owlery 1 36:10 - Owlery 2 1:07:06 - Owlery 3</t>
        </is>
      </c>
      <c r="V59" s="47">
        <f>IF(AND(P59&gt;=Calendar!$K$2,P59&lt;EDATE(Calendar!$K$2,1),OR(Calendar!$K$4="*",N59=Calendar!$K$4)),P59*100+COUNTIFS($P$6:$P$3267,P59,$Q$6:$Q$3267,"&lt;="&amp;Q59,$N$6:$N$3267,Calendar!$K$4),"")</f>
        <v/>
      </c>
      <c r="W59" s="47">
        <f>IF(AND(B59=Queue!$C$4,OR(Queue!$K$4="*",N59=Queue!$K$4)),Q59,"")</f>
        <v/>
      </c>
    </row>
    <row r="60">
      <c r="A60" s="38">
        <f>IF(M60="","",HYPERLINK("https://www.youtube.com/watch?v="&amp;M60,"▶"))</f>
        <v/>
      </c>
      <c r="B60" s="39">
        <f>IF(C60&lt;&gt;"",C60,IF(P60&lt;=IFERROR(INDEX(tblChannels[Watched Through],MATCH(N60,tblChannels[Channel ID],0)),0),"Watched","Unwatched"))</f>
        <v/>
      </c>
      <c r="C60" s="40" t="n"/>
      <c r="D60" s="41" t="n"/>
      <c r="E60" s="42" t="n">
        <v>46206.625</v>
      </c>
      <c r="F60" s="50" t="inlineStr">
        <is>
          <t>Super Carlin Brothers</t>
        </is>
      </c>
      <c r="G60" t="inlineStr">
        <is>
          <t>How Dumbledore Actually LOST Against Grindelwald</t>
        </is>
      </c>
      <c r="H60" s="44" t="n">
        <v>0.01171296296296296</v>
      </c>
      <c r="I60" s="45" t="n">
        <v>54451</v>
      </c>
      <c r="J60" s="45" t="n">
        <v>2395</v>
      </c>
      <c r="K60" s="45" t="n">
        <v>222</v>
      </c>
      <c r="L60" s="46" t="n"/>
      <c r="M60" s="47" t="n"/>
      <c r="N60" s="47" t="inlineStr">
        <is>
          <t>UCKZo4N0lVPccBkSiuyVh4yg</t>
        </is>
      </c>
      <c r="O60" s="48" t="n">
        <v>46206.79166666666</v>
      </c>
      <c r="P60" s="49" t="n">
        <v>46206</v>
      </c>
      <c r="Q60" s="47" t="n">
        <v>3208</v>
      </c>
      <c r="R60" s="47" t="inlineStr">
        <is>
          <t>No Video ID yet</t>
        </is>
      </c>
      <c r="S60" s="49" t="n"/>
      <c r="T60" s="49" t="n"/>
      <c r="U60" s="47" t="inlineStr">
        <is>
          <t>This episode is sponsored by BetterHelp – Sign up and get 10% off at Today Ben dives into the Wizarding World of Harry Potter and Fantastic Beasts and Where to Find Them to find out why despite owning the Elder Wand, Grindelwald waved the white flag and surrendered to Dumbledore as we discover the secret behind Dumbledore's Greatest Duel. #HarryPotter #FantasticBeasts #SuperCarlinBrothers Written by: J and Ben Carlin</t>
        </is>
      </c>
      <c r="V60" s="47">
        <f>IF(AND(P60&gt;=Calendar!$K$2,P60&lt;EDATE(Calendar!$K$2,1),OR(Calendar!$K$4="*",N60=Calendar!$K$4)),P60*100+COUNTIFS($P$6:$P$3267,P60,$Q$6:$Q$3267,"&lt;="&amp;Q60,$N$6:$N$3267,Calendar!$K$4),"")</f>
        <v/>
      </c>
      <c r="W60" s="47">
        <f>IF(AND(B60=Queue!$C$4,OR(Queue!$K$4="*",N60=Queue!$K$4)),Q60,"")</f>
        <v/>
      </c>
    </row>
    <row r="61">
      <c r="A61" s="38">
        <f>IF(M61="","",HYPERLINK("https://www.youtube.com/watch?v="&amp;M61,"▶"))</f>
        <v/>
      </c>
      <c r="B61" s="39">
        <f>IF(C61&lt;&gt;"",C61,IF(P61&lt;=IFERROR(INDEX(tblChannels[Watched Through],MATCH(N61,tblChannels[Channel ID],0)),0),"Watched","Unwatched"))</f>
        <v/>
      </c>
      <c r="C61" s="40" t="n"/>
      <c r="D61" s="41" t="n"/>
      <c r="E61" s="42" t="n">
        <v>46206.41666666666</v>
      </c>
      <c r="F61" s="43" t="inlineStr">
        <is>
          <t>Popcorn Culture</t>
        </is>
      </c>
      <c r="G61" t="inlineStr">
        <is>
          <t>J is NOT a Capricorn Rabbit | Popcorn Culture</t>
        </is>
      </c>
      <c r="H61" s="44" t="n">
        <v>0.05695601851851852</v>
      </c>
      <c r="I61" s="45" t="n">
        <v>1872</v>
      </c>
      <c r="J61" s="45" t="n">
        <v>103</v>
      </c>
      <c r="K61" s="45" t="n">
        <v>16</v>
      </c>
      <c r="L61" s="46" t="n"/>
      <c r="M61" s="47" t="n"/>
      <c r="N61" s="47" t="inlineStr">
        <is>
          <t>UCHfIbq9thHPC8yrKjAdJgDA</t>
        </is>
      </c>
      <c r="O61" s="48" t="n">
        <v>46206.58333333334</v>
      </c>
      <c r="P61" s="49" t="n">
        <v>46206</v>
      </c>
      <c r="Q61" s="47" t="n">
        <v>3207</v>
      </c>
      <c r="R61" s="47" t="inlineStr">
        <is>
          <t>No Video ID yet</t>
        </is>
      </c>
      <c r="S61" s="49" t="n"/>
      <c r="T61" s="49" t="n"/>
      <c r="U61" s="47" t="inlineStr">
        <is>
          <t>In the 343rd episode of the Pop, Ben and J discuss Chinese New Year animals and horoscopes, the OTHER Jonathan Carlin, the concept of boredom, Universe 25 and utopias. Universe 25 - The Matrix - Ready Player One - The Giver - Dumb Years Math Caveman Legacy 00:00 - Intro, Elevators 02:35 - Days, Months, Years Math 13:17 - Google Alerts 25:05 - Boredom 46:07 - Universe 25</t>
        </is>
      </c>
      <c r="V61" s="47">
        <f>IF(AND(P61&gt;=Calendar!$K$2,P61&lt;EDATE(Calendar!$K$2,1),OR(Calendar!$K$4="*",N61=Calendar!$K$4)),P61*100+COUNTIFS($P$6:$P$3267,P61,$Q$6:$Q$3267,"&lt;="&amp;Q61,$N$6:$N$3267,Calendar!$K$4),"")</f>
        <v/>
      </c>
      <c r="W61" s="47">
        <f>IF(AND(B61=Queue!$C$4,OR(Queue!$K$4="*",N61=Queue!$K$4)),Q61,"")</f>
        <v/>
      </c>
    </row>
    <row r="62">
      <c r="A62" s="38">
        <f>IF(M62="","",HYPERLINK("https://www.youtube.com/watch?v="&amp;M62,"▶"))</f>
        <v/>
      </c>
      <c r="B62" s="39">
        <f>IF(C62&lt;&gt;"",C62,IF(P62&lt;=IFERROR(INDEX(tblChannels[Watched Through],MATCH(N62,tblChannels[Channel ID],0)),0),"Watched","Unwatched"))</f>
        <v/>
      </c>
      <c r="C62" s="40" t="n"/>
      <c r="D62" s="41" t="n"/>
      <c r="E62" s="42" t="n">
        <v>46204.625</v>
      </c>
      <c r="F62" s="50" t="inlineStr">
        <is>
          <t>Super Carlin Brothers</t>
        </is>
      </c>
      <c r="G62" t="inlineStr">
        <is>
          <t>Can We Handle This INSANE Order of The Phoenix Quiz</t>
        </is>
      </c>
      <c r="H62" s="44" t="n">
        <v>0.0278125</v>
      </c>
      <c r="I62" s="45" t="n">
        <v>98144</v>
      </c>
      <c r="J62" s="45" t="n">
        <v>2859</v>
      </c>
      <c r="K62" s="45" t="n">
        <v>263</v>
      </c>
      <c r="L62" s="46" t="n"/>
      <c r="M62" s="47" t="n"/>
      <c r="N62" s="47" t="inlineStr">
        <is>
          <t>UCKZo4N0lVPccBkSiuyVh4yg</t>
        </is>
      </c>
      <c r="O62" s="48" t="n">
        <v>46204.79166666666</v>
      </c>
      <c r="P62" s="49" t="n">
        <v>46204</v>
      </c>
      <c r="Q62" s="47" t="n">
        <v>3206</v>
      </c>
      <c r="R62" s="47" t="inlineStr">
        <is>
          <t>No Video ID yet</t>
        </is>
      </c>
      <c r="S62" s="49" t="n"/>
      <c r="T62" s="49" t="n"/>
      <c r="U62" s="47" t="inlineStr">
        <is>
          <t>Today J and Ben face off to find out who knows more about Harry Potter and the Order of the Phoenix as they take on a brutal Quiz assembled by our Quiz Masters! Who will emerge as the Harry Potter Trivia King today!? #HarryPotter #JvsBen #SuperCarlinBrothers Sept. 17 - Richmond, VA+ Written by: The Quiz Masters! Edited by: Ethan Edghil</t>
        </is>
      </c>
      <c r="V62" s="47">
        <f>IF(AND(P62&gt;=Calendar!$K$2,P62&lt;EDATE(Calendar!$K$2,1),OR(Calendar!$K$4="*",N62=Calendar!$K$4)),P62*100+COUNTIFS($P$6:$P$3267,P62,$Q$6:$Q$3267,"&lt;="&amp;Q62,$N$6:$N$3267,Calendar!$K$4),"")</f>
        <v/>
      </c>
      <c r="W62" s="47">
        <f>IF(AND(B62=Queue!$C$4,OR(Queue!$K$4="*",N62=Queue!$K$4)),Q62,"")</f>
        <v/>
      </c>
    </row>
    <row r="63">
      <c r="A63" s="38">
        <f>IF(M63="","",HYPERLINK("https://www.youtube.com/watch?v="&amp;M63,"▶"))</f>
        <v/>
      </c>
      <c r="B63" s="39">
        <f>IF(C63&lt;&gt;"",C63,IF(P63&lt;=IFERROR(INDEX(tblChannels[Watched Through],MATCH(N63,tblChannels[Channel ID],0)),0),"Watched","Unwatched"))</f>
        <v/>
      </c>
      <c r="C63" s="40" t="n"/>
      <c r="D63" s="41" t="n"/>
      <c r="E63" s="42" t="n">
        <v>46201.41666666666</v>
      </c>
      <c r="F63" s="51" t="inlineStr">
        <is>
          <t>Through The Griffin Door</t>
        </is>
      </c>
      <c r="G63" t="inlineStr">
        <is>
          <t>Chapter 4: Horace Slughorn | Half-Blood Prince</t>
        </is>
      </c>
      <c r="H63" s="44" t="n">
        <v>0.08177083333333333</v>
      </c>
      <c r="I63" s="45" t="n">
        <v>41425</v>
      </c>
      <c r="J63" s="45" t="n">
        <v>1012</v>
      </c>
      <c r="K63" s="45" t="n">
        <v>410</v>
      </c>
      <c r="L63" s="46" t="n"/>
      <c r="M63" s="47" t="n"/>
      <c r="N63" s="47" t="inlineStr">
        <is>
          <t>UCEscP6ETYXWSSvsNrDHekMQ</t>
        </is>
      </c>
      <c r="O63" s="48" t="n">
        <v>46201.58333333334</v>
      </c>
      <c r="P63" s="49" t="n">
        <v>46201</v>
      </c>
      <c r="Q63" s="47" t="n">
        <v>3205</v>
      </c>
      <c r="R63" s="47" t="inlineStr">
        <is>
          <t>No Video ID yet</t>
        </is>
      </c>
      <c r="S63" s="49" t="n"/>
      <c r="T63" s="49" t="n"/>
      <c r="U63" s="47" t="inlineStr">
        <is>
          <t>Join J and Ben as they dive into Chapter 4 of the Half Blood Prince and discuss apparition, the bookend moments, Amelia Bones’ death, poking Slughorn, various collections, prejudices, spiders, and Dumbledore’s instructions before dropping Harry off at the Burrow. Caller Unknown - 07:38 - Chapter Breakdown 1:01:40 - Ad Break (Shopify) 1:03:08 - More Chapter Breakdown 1:51:14 - Closing Thoughts and Review</t>
        </is>
      </c>
      <c r="V63" s="47">
        <f>IF(AND(P63&gt;=Calendar!$K$2,P63&lt;EDATE(Calendar!$K$2,1),OR(Calendar!$K$4="*",N63=Calendar!$K$4)),P63*100+COUNTIFS($P$6:$P$3267,P63,$Q$6:$Q$3267,"&lt;="&amp;Q63,$N$6:$N$3267,Calendar!$K$4),"")</f>
        <v/>
      </c>
      <c r="W63" s="47">
        <f>IF(AND(B63=Queue!$C$4,OR(Queue!$K$4="*",N63=Queue!$K$4)),Q63,"")</f>
        <v/>
      </c>
    </row>
    <row r="64">
      <c r="A64" s="38">
        <f>IF(M64="","",HYPERLINK("https://www.youtube.com/watch?v="&amp;M64,"▶"))</f>
        <v/>
      </c>
      <c r="B64" s="39">
        <f>IF(C64&lt;&gt;"",C64,IF(P64&lt;=IFERROR(INDEX(tblChannels[Watched Through],MATCH(N64,tblChannels[Channel ID],0)),0),"Watched","Unwatched"))</f>
        <v/>
      </c>
      <c r="C64" s="40" t="n"/>
      <c r="D64" s="41" t="n"/>
      <c r="E64" s="42" t="n">
        <v>46199.65277777778</v>
      </c>
      <c r="F64" s="50" t="inlineStr">
        <is>
          <t>Super Carlin Brothers</t>
        </is>
      </c>
      <c r="G64" t="inlineStr">
        <is>
          <t>Dumbledore’s Horcrux</t>
        </is>
      </c>
      <c r="H64" s="44" t="n">
        <v>0.01752314814814815</v>
      </c>
      <c r="I64" s="45" t="n">
        <v>101357</v>
      </c>
      <c r="J64" s="45" t="n">
        <v>4094</v>
      </c>
      <c r="K64" s="45" t="n">
        <v>803</v>
      </c>
      <c r="L64" s="46" t="n"/>
      <c r="M64" s="47" t="n"/>
      <c r="N64" s="47" t="inlineStr">
        <is>
          <t>UCKZo4N0lVPccBkSiuyVh4yg</t>
        </is>
      </c>
      <c r="O64" s="48" t="n">
        <v>46199.81944444445</v>
      </c>
      <c r="P64" s="49" t="n">
        <v>46199</v>
      </c>
      <c r="Q64" s="47" t="n">
        <v>3204</v>
      </c>
      <c r="R64" s="47" t="inlineStr">
        <is>
          <t>No Video ID yet</t>
        </is>
      </c>
      <c r="S64" s="49" t="n"/>
      <c r="T64" s="49" t="n"/>
      <c r="U64" s="47" t="inlineStr">
        <is>
          <t>Did Dumbledore secretly create a Horcrux? For years, Fawkes the Phoenix has been one of the biggest mysteries in Harry Potter. Why does he always appear exactly when Dumbledore needs him? Why can he seemingly ignore magical rules? And why were his feathers chosen for both Harry and Voldemort's wands? Today we're revisiting one of our oldest and most controversial Harry Potter theories—with new evidence from Fantastic Beasts and years of additional analysis. Could Fawkes actually be Dumbledore's Horcrux? #HarryPotter #HarryPotterTheory #supercarlinbrothers Written by: J and Ben Carlin</t>
        </is>
      </c>
      <c r="V64" s="47">
        <f>IF(AND(P64&gt;=Calendar!$K$2,P64&lt;EDATE(Calendar!$K$2,1),OR(Calendar!$K$4="*",N64=Calendar!$K$4)),P64*100+COUNTIFS($P$6:$P$3267,P64,$Q$6:$Q$3267,"&lt;="&amp;Q64,$N$6:$N$3267,Calendar!$K$4),"")</f>
        <v/>
      </c>
      <c r="W64" s="47">
        <f>IF(AND(B64=Queue!$C$4,OR(Queue!$K$4="*",N64=Queue!$K$4)),Q64,"")</f>
        <v/>
      </c>
    </row>
    <row r="65">
      <c r="A65" s="38">
        <f>IF(M65="","",HYPERLINK("https://www.youtube.com/watch?v="&amp;M65,"▶"))</f>
        <v/>
      </c>
      <c r="B65" s="39">
        <f>IF(C65&lt;&gt;"",C65,IF(P65&lt;=IFERROR(INDEX(tblChannels[Watched Through],MATCH(N65,tblChannels[Channel ID],0)),0),"Watched","Unwatched"))</f>
        <v/>
      </c>
      <c r="C65" s="40" t="n"/>
      <c r="D65" s="41" t="n"/>
      <c r="E65" s="42" t="n">
        <v>46199.41666666666</v>
      </c>
      <c r="F65" s="43" t="inlineStr">
        <is>
          <t>Popcorn Culture</t>
        </is>
      </c>
      <c r="G65" t="inlineStr">
        <is>
          <t>Pretending to Be a Dead Ant | Popcorn Culture</t>
        </is>
      </c>
      <c r="H65" s="44" t="n">
        <v>0.05313657407407407</v>
      </c>
      <c r="I65" s="45" t="n">
        <v>2252</v>
      </c>
      <c r="J65" s="45" t="n">
        <v>109</v>
      </c>
      <c r="K65" s="45" t="n">
        <v>21</v>
      </c>
      <c r="L65" s="46" t="n"/>
      <c r="M65" s="47" t="n"/>
      <c r="N65" s="47" t="inlineStr">
        <is>
          <t>UCHfIbq9thHPC8yrKjAdJgDA</t>
        </is>
      </c>
      <c r="O65" s="48" t="n">
        <v>46199.58333333334</v>
      </c>
      <c r="P65" s="49" t="n">
        <v>46199</v>
      </c>
      <c r="Q65" s="47" t="n">
        <v>3203</v>
      </c>
      <c r="R65" s="47" t="inlineStr">
        <is>
          <t>No Video ID yet</t>
        </is>
      </c>
      <c r="S65" s="49" t="n"/>
      <c r="T65" s="49" t="n"/>
      <c r="U65" s="47" t="inlineStr">
        <is>
          <t>In the 342nd episode of the Pop, Ben and J discuss gripes about Spotify, “Shake It Off,” rivals, being a dead ant, gas station popcorn, small town-ed-ness, and a quaint 5K. Leiningen Versus the Ants - Farmer John’s Popcorn - Leave a review for the Marabito Convenience Store! - Analyzing “Shake It Off” Wet Popped Beef with Big Achiote</t>
        </is>
      </c>
      <c r="V65" s="47">
        <f>IF(AND(P65&gt;=Calendar!$K$2,P65&lt;EDATE(Calendar!$K$2,1),OR(Calendar!$K$4="*",N65=Calendar!$K$4)),P65*100+COUNTIFS($P$6:$P$3267,P65,$Q$6:$Q$3267,"&lt;="&amp;Q65,$N$6:$N$3267,Calendar!$K$4),"")</f>
        <v/>
      </c>
      <c r="W65" s="47">
        <f>IF(AND(B65=Queue!$C$4,OR(Queue!$K$4="*",N65=Queue!$K$4)),Q65,"")</f>
        <v/>
      </c>
    </row>
    <row r="66">
      <c r="A66" s="38">
        <f>IF(M66="","",HYPERLINK("https://www.youtube.com/watch?v="&amp;M66,"▶"))</f>
        <v/>
      </c>
      <c r="B66" s="39">
        <f>IF(C66&lt;&gt;"",C66,IF(P66&lt;=IFERROR(INDEX(tblChannels[Watched Through],MATCH(N66,tblChannels[Channel ID],0)),0),"Watched","Unwatched"))</f>
        <v/>
      </c>
      <c r="C66" s="40" t="n"/>
      <c r="D66" s="41" t="n"/>
      <c r="E66" s="42" t="n">
        <v>46197.72083333333</v>
      </c>
      <c r="F66" s="50" t="inlineStr">
        <is>
          <t>Super Carlin Brothers</t>
        </is>
      </c>
      <c r="G66" t="inlineStr">
        <is>
          <t>Harry Potter's Apparition Problem, FINALLY Explained</t>
        </is>
      </c>
      <c r="H66" s="44" t="n">
        <v>0.01306712962962963</v>
      </c>
      <c r="I66" s="45" t="n">
        <v>76368</v>
      </c>
      <c r="J66" s="45" t="n">
        <v>3062</v>
      </c>
      <c r="K66" s="45" t="n">
        <v>400</v>
      </c>
      <c r="L66" s="46" t="n"/>
      <c r="M66" s="47" t="n"/>
      <c r="N66" s="47" t="inlineStr">
        <is>
          <t>UCKZo4N0lVPccBkSiuyVh4yg</t>
        </is>
      </c>
      <c r="O66" s="48" t="n">
        <v>46197.8875</v>
      </c>
      <c r="P66" s="49" t="n">
        <v>46197</v>
      </c>
      <c r="Q66" s="47" t="n">
        <v>3202</v>
      </c>
      <c r="R66" s="47" t="inlineStr">
        <is>
          <t>No Video ID yet</t>
        </is>
      </c>
      <c r="S66" s="49" t="n"/>
      <c r="T66" s="49" t="n"/>
      <c r="U66" s="47" t="inlineStr">
        <is>
          <t>This episode is sponsored by BetterHelp Find support in therapy! Sign up and get 10% off at This episode is sponsored by Factor – Head to Factormeals.com/super50off and use code 'Super50off' to get 50% off and free daily greens per box, with new subscription only, while supplies last until 09/27/2026. (See website for more details). Apparition is one of the most useful forms of magic in all of Harry Potter... and also one of the most confusing. Why do Bellatrix and Narcissa apparate blocks away from Spinner's End? Why can't wizards simply teleport directly into Hogwarts? Why do some homes allow apparition while others don't? And why does everyone still need Floo Powder, Portkeys, and even Thestrals if teleportation exists? Today, we're diving into every clue throughout the series to finally explain how apparition really works, when and where you can do it, and how Neville Longbottom may have accidentally discovered a loophole that allowed Harry's supporters to bypass Hogwarts' greatest defense. #HarryPotter #HarryPotterTheory #SuperCarlinBrothers Written by: J and Ben Carlin</t>
        </is>
      </c>
      <c r="V66" s="47">
        <f>IF(AND(P66&gt;=Calendar!$K$2,P66&lt;EDATE(Calendar!$K$2,1),OR(Calendar!$K$4="*",N66=Calendar!$K$4)),P66*100+COUNTIFS($P$6:$P$3267,P66,$Q$6:$Q$3267,"&lt;="&amp;Q66,$N$6:$N$3267,Calendar!$K$4),"")</f>
        <v/>
      </c>
      <c r="W66" s="47">
        <f>IF(AND(B66=Queue!$C$4,OR(Queue!$K$4="*",N66=Queue!$K$4)),Q66,"")</f>
        <v/>
      </c>
    </row>
    <row r="67">
      <c r="A67" s="38">
        <f>IF(M67="","",HYPERLINK("https://www.youtube.com/watch?v="&amp;M67,"▶"))</f>
        <v/>
      </c>
      <c r="B67" s="39">
        <f>IF(C67&lt;&gt;"",C67,IF(P67&lt;=IFERROR(INDEX(tblChannels[Watched Through],MATCH(N67,tblChannels[Channel ID],0)),0),"Watched","Unwatched"))</f>
        <v/>
      </c>
      <c r="C67" s="40" t="n"/>
      <c r="D67" s="41" t="n"/>
      <c r="E67" s="42" t="n">
        <v>46195.66180555556</v>
      </c>
      <c r="F67" s="43" t="inlineStr">
        <is>
          <t>Popcorn Culture</t>
        </is>
      </c>
      <c r="G67" t="inlineStr">
        <is>
          <t>Dead Ants..? | Popcorn Culture</t>
        </is>
      </c>
      <c r="H67" s="44" t="n">
        <v>0.001226851851851852</v>
      </c>
      <c r="I67" s="45" t="n">
        <v>1880</v>
      </c>
      <c r="J67" s="45" t="n">
        <v>131</v>
      </c>
      <c r="K67" s="45" t="n">
        <v>6</v>
      </c>
      <c r="L67" s="46" t="n"/>
      <c r="M67" s="47" t="n"/>
      <c r="N67" s="47" t="inlineStr">
        <is>
          <t>UCHfIbq9thHPC8yrKjAdJgDA</t>
        </is>
      </c>
      <c r="O67" s="48" t="n">
        <v>46195.82847222222</v>
      </c>
      <c r="P67" s="49" t="n">
        <v>46195</v>
      </c>
      <c r="Q67" s="47" t="n">
        <v>3201</v>
      </c>
      <c r="R67" s="47" t="inlineStr">
        <is>
          <t>No Video ID yet</t>
        </is>
      </c>
      <c r="S67" s="49" t="n"/>
      <c r="T67" s="49" t="n"/>
      <c r="U67" s="47" t="inlineStr">
        <is>
          <t>You know how its common to pretend to be a dead ant in 10th grade english class? Right? Tune into the Pop this Friday to figure out what in the world any of this means.</t>
        </is>
      </c>
      <c r="V67" s="47">
        <f>IF(AND(P67&gt;=Calendar!$K$2,P67&lt;EDATE(Calendar!$K$2,1),OR(Calendar!$K$4="*",N67=Calendar!$K$4)),P67*100+COUNTIFS($P$6:$P$3267,P67,$Q$6:$Q$3267,"&lt;="&amp;Q67,$N$6:$N$3267,Calendar!$K$4),"")</f>
        <v/>
      </c>
      <c r="W67" s="47">
        <f>IF(AND(B67=Queue!$C$4,OR(Queue!$K$4="*",N67=Queue!$K$4)),Q67,"")</f>
        <v/>
      </c>
    </row>
    <row r="68">
      <c r="A68" s="38">
        <f>IF(M68="","",HYPERLINK("https://www.youtube.com/watch?v="&amp;M68,"▶"))</f>
        <v/>
      </c>
      <c r="B68" s="39">
        <f>IF(C68&lt;&gt;"",C68,IF(P68&lt;=IFERROR(INDEX(tblChannels[Watched Through],MATCH(N68,tblChannels[Channel ID],0)),0),"Watched","Unwatched"))</f>
        <v/>
      </c>
      <c r="C68" s="40" t="n"/>
      <c r="D68" s="41" t="n"/>
      <c r="E68" s="42" t="n">
        <v>46194.41666666666</v>
      </c>
      <c r="F68" s="51" t="inlineStr">
        <is>
          <t>Through The Griffin Door</t>
        </is>
      </c>
      <c r="G68" t="inlineStr">
        <is>
          <t>Chapter 3: Will and Won’t | Half-Blood Prince</t>
        </is>
      </c>
      <c r="H68" s="44" t="n">
        <v>0.0675</v>
      </c>
      <c r="I68" s="45" t="n">
        <v>37936</v>
      </c>
      <c r="J68" s="45" t="n">
        <v>1025</v>
      </c>
      <c r="K68" s="45" t="n">
        <v>438</v>
      </c>
      <c r="L68" s="46" t="n"/>
      <c r="M68" s="47" t="n"/>
      <c r="N68" s="47" t="inlineStr">
        <is>
          <t>UCEscP6ETYXWSSvsNrDHekMQ</t>
        </is>
      </c>
      <c r="O68" s="48" t="n">
        <v>46194.58333333334</v>
      </c>
      <c r="P68" s="49" t="n">
        <v>46194</v>
      </c>
      <c r="Q68" s="47" t="n">
        <v>3200</v>
      </c>
      <c r="R68" s="47" t="inlineStr">
        <is>
          <t>No Video ID yet</t>
        </is>
      </c>
      <c r="S68" s="49" t="n"/>
      <c r="T68" s="49" t="n"/>
      <c r="U68" s="47" t="inlineStr">
        <is>
          <t>This episode is sponsored by AuraFrames - Exclusive $25 off Carver Mat at Promo Code GRIFFIN Join J and Ben as they dive into Chapter 3 of the Half Blood Prince and discuss Harry’s snoring, the foreshadowing pamphlet, Dumbledore’s unfailing politeness, Sirius’s will, house elf magic, and coming of age. Dumbledore’s Drinking Problem - 07:52 - Chapter Breakdown 44:10 - Ad Break (Shopify) 46:49 - More Chapter Breakdown 1:29:02 - Closing Thoughts and Review</t>
        </is>
      </c>
      <c r="V68" s="47">
        <f>IF(AND(P68&gt;=Calendar!$K$2,P68&lt;EDATE(Calendar!$K$2,1),OR(Calendar!$K$4="*",N68=Calendar!$K$4)),P68*100+COUNTIFS($P$6:$P$3267,P68,$Q$6:$Q$3267,"&lt;="&amp;Q68,$N$6:$N$3267,Calendar!$K$4),"")</f>
        <v/>
      </c>
      <c r="W68" s="47">
        <f>IF(AND(B68=Queue!$C$4,OR(Queue!$K$4="*",N68=Queue!$K$4)),Q68,"")</f>
        <v/>
      </c>
    </row>
    <row r="69">
      <c r="A69" s="38">
        <f>IF(M69="","",HYPERLINK("https://www.youtube.com/watch?v="&amp;M69,"▶"))</f>
        <v/>
      </c>
      <c r="B69" s="39">
        <f>IF(C69&lt;&gt;"",C69,IF(P69&lt;=IFERROR(INDEX(tblChannels[Watched Through],MATCH(N69,tblChannels[Channel ID],0)),0),"Watched","Unwatched"))</f>
        <v/>
      </c>
      <c r="C69" s="40" t="n"/>
      <c r="D69" s="41" t="n"/>
      <c r="E69" s="42" t="n">
        <v>46192.65902777778</v>
      </c>
      <c r="F69" s="50" t="inlineStr">
        <is>
          <t>Super Carlin Brothers</t>
        </is>
      </c>
      <c r="G69" t="inlineStr">
        <is>
          <t>We Accidentally Proved James Potter Was The Half-Blood Prince</t>
        </is>
      </c>
      <c r="H69" s="44" t="n">
        <v>0.0119212962962963</v>
      </c>
      <c r="I69" s="45" t="n">
        <v>160920</v>
      </c>
      <c r="J69" s="45" t="n">
        <v>5303</v>
      </c>
      <c r="K69" s="45" t="n">
        <v>671</v>
      </c>
      <c r="L69" s="46" t="n"/>
      <c r="M69" s="47" t="n"/>
      <c r="N69" s="47" t="inlineStr">
        <is>
          <t>UCKZo4N0lVPccBkSiuyVh4yg</t>
        </is>
      </c>
      <c r="O69" s="48" t="n">
        <v>46192.82569444444</v>
      </c>
      <c r="P69" s="49" t="n">
        <v>46192</v>
      </c>
      <c r="Q69" s="47" t="n">
        <v>3199</v>
      </c>
      <c r="R69" s="47" t="inlineStr">
        <is>
          <t>No Video ID yet</t>
        </is>
      </c>
      <c r="S69" s="49" t="n"/>
      <c r="T69" s="49" t="n"/>
      <c r="U69" s="47" t="inlineStr">
        <is>
          <t>This episode is sponsored by BetterHelp - Sign up and get 10% off at We accidentally landed on this crazy Harry Potter Theory.. Severus Snape is the Half-Blood Prince, but did he steal the info from James Potter? Today we're investigating one of the strangest Harry Potter theories we've ever attempted: Was James Potter the REAL Half-Blood Prince? From hidden clues in Snape's handwriting, to Lily Evans' extraordinary potions talent, to the timeline surrounding Levicorpus, we uncover a surprisingly convincing case that Snape may have stolen far more than a nickname. It sounds ridiculous... until the evidence starts piling up. #HarryPotter #HalfBloodPrince #SuperCarlinBrothers Written by: J and Ben Carlin</t>
        </is>
      </c>
      <c r="V69" s="47">
        <f>IF(AND(P69&gt;=Calendar!$K$2,P69&lt;EDATE(Calendar!$K$2,1),OR(Calendar!$K$4="*",N69=Calendar!$K$4)),P69*100+COUNTIFS($P$6:$P$3267,P69,$Q$6:$Q$3267,"&lt;="&amp;Q69,$N$6:$N$3267,Calendar!$K$4),"")</f>
        <v/>
      </c>
      <c r="W69" s="47">
        <f>IF(AND(B69=Queue!$C$4,OR(Queue!$K$4="*",N69=Queue!$K$4)),Q69,"")</f>
        <v/>
      </c>
    </row>
    <row r="70">
      <c r="A70" s="38">
        <f>IF(M70="","",HYPERLINK("https://www.youtube.com/watch?v="&amp;M70,"▶"))</f>
        <v/>
      </c>
      <c r="B70" s="39">
        <f>IF(C70&lt;&gt;"",C70,IF(P70&lt;=IFERROR(INDEX(tblChannels[Watched Through],MATCH(N70,tblChannels[Channel ID],0)),0),"Watched","Unwatched"))</f>
        <v/>
      </c>
      <c r="C70" s="40" t="n"/>
      <c r="D70" s="41" t="n"/>
      <c r="E70" s="42" t="n">
        <v>46192.41666666666</v>
      </c>
      <c r="F70" s="43" t="inlineStr">
        <is>
          <t>Popcorn Culture</t>
        </is>
      </c>
      <c r="G70" t="inlineStr">
        <is>
          <t>Our FIRST EVER Movie Premiere!! | Popcorn Culture</t>
        </is>
      </c>
      <c r="H70" s="44" t="n">
        <v>0.06755787037037037</v>
      </c>
      <c r="I70" s="45" t="n">
        <v>3183</v>
      </c>
      <c r="J70" s="45" t="n">
        <v>157</v>
      </c>
      <c r="K70" s="45" t="n">
        <v>25</v>
      </c>
      <c r="L70" s="46" t="n"/>
      <c r="M70" s="47" t="n"/>
      <c r="N70" s="47" t="inlineStr">
        <is>
          <t>UCHfIbq9thHPC8yrKjAdJgDA</t>
        </is>
      </c>
      <c r="O70" s="48" t="n">
        <v>46192.58333333334</v>
      </c>
      <c r="P70" s="49" t="n">
        <v>46192</v>
      </c>
      <c r="Q70" s="47" t="n">
        <v>3198</v>
      </c>
      <c r="R70" s="47" t="inlineStr">
        <is>
          <t>No Video ID yet</t>
        </is>
      </c>
      <c r="S70" s="49" t="n"/>
      <c r="T70" s="49" t="n"/>
      <c r="U70" s="47" t="inlineStr">
        <is>
          <t>In the 341st episode of the Pop, Ben and J discuss THE TOY STORY 5 PREMIERE!!! The stressful travel to get there, the best but weirdest hotel breakfast, the modern art museum, getting to the actual premiere, seeing Taylor Swift IRL, and meeting lots of cool people at the afterparty. The Pixar Theory - The LACMA - The French Dispatch - Blippi - Toy Story 0 - Mabel is Russel’s Mom - Alice Payne -</t>
        </is>
      </c>
      <c r="V70" s="47">
        <f>IF(AND(P70&gt;=Calendar!$K$2,P70&lt;EDATE(Calendar!$K$2,1),OR(Calendar!$K$4="*",N70=Calendar!$K$4)),P70*100+COUNTIFS($P$6:$P$3267,P70,$Q$6:$Q$3267,"&lt;="&amp;Q70,$N$6:$N$3267,Calendar!$K$4),"")</f>
        <v/>
      </c>
      <c r="W70" s="47">
        <f>IF(AND(B70=Queue!$C$4,OR(Queue!$K$4="*",N70=Queue!$K$4)),Q70,"")</f>
        <v/>
      </c>
    </row>
    <row r="71">
      <c r="A71" s="38">
        <f>IF(M71="","",HYPERLINK("https://www.youtube.com/watch?v="&amp;M71,"▶"))</f>
        <v/>
      </c>
      <c r="B71" s="39">
        <f>IF(C71&lt;&gt;"",C71,IF(P71&lt;=IFERROR(INDEX(tblChannels[Watched Through],MATCH(N71,tblChannels[Channel ID],0)),0),"Watched","Unwatched"))</f>
        <v/>
      </c>
      <c r="C71" s="40" t="n"/>
      <c r="D71" s="41" t="n"/>
      <c r="E71" s="42" t="n">
        <v>46190.69791666666</v>
      </c>
      <c r="F71" s="50" t="inlineStr">
        <is>
          <t>Super Carlin Brothers</t>
        </is>
      </c>
      <c r="G71" t="inlineStr">
        <is>
          <t>The ULTIMATE Dumbledore's Army Quiz ⚡️| J vs Ben</t>
        </is>
      </c>
      <c r="H71" s="44" t="n">
        <v>0.02207175925925926</v>
      </c>
      <c r="I71" s="45" t="n">
        <v>55077</v>
      </c>
      <c r="J71" s="45" t="n">
        <v>2209</v>
      </c>
      <c r="K71" s="45" t="n">
        <v>276</v>
      </c>
      <c r="L71" s="46" t="n"/>
      <c r="M71" s="47" t="n"/>
      <c r="N71" s="47" t="inlineStr">
        <is>
          <t>UCKZo4N0lVPccBkSiuyVh4yg</t>
        </is>
      </c>
      <c r="O71" s="48" t="n">
        <v>46190.86458333334</v>
      </c>
      <c r="P71" s="49" t="n">
        <v>46190</v>
      </c>
      <c r="Q71" s="47" t="n">
        <v>3197</v>
      </c>
      <c r="R71" s="47" t="inlineStr">
        <is>
          <t>No Video ID yet</t>
        </is>
      </c>
      <c r="S71" s="49" t="n"/>
      <c r="T71" s="49" t="n"/>
      <c r="U71" s="47" t="inlineStr">
        <is>
          <t xml:space="preserve">$500 GIVEAWAY! How to enter: sign up to Whatnot using my link and follow me on Whatnot. Winner will be picked in a month. #whatnotpartner Get $15 off your first purchase on Whatnot using this link NO PURCHASE NECESSARY. Open to legal residents of the 50 U.S. states and D.C., 18+. To enter: (i) Sign up to Whatnot using the following link and (ii) follow the following Whatnot account @jonkerlin. One entry per person. Entries must be received by 07/17/2026 at 11:59:59 p.m. PT. Winner selected at random on or about 07/17/2026. Winner will be notified via the email associated with their Whatnot account and must respond within 5 days or prize may be forfeited and an alternate winner selected. Prize: $500 of Whatnot credit redeemable for purchases on the Whatnot platform (ARV: $500). Winner is responsible for all applicable taxes. This promotion is not sponsored, endorsed, or administered by YouTube. Sponsored by Super Carlin Brothers . Void where prohibited. Today J and Ben face off once more to find out who knows more about the six most important members of Dumbledore’s Army aka the Platinum Sextant aka Harry, Ron, Hermione, Ginny, Neville and Luna! Special thanks to the following Quiz </t>
        </is>
      </c>
      <c r="V71" s="47">
        <f>IF(AND(P71&gt;=Calendar!$K$2,P71&lt;EDATE(Calendar!$K$2,1),OR(Calendar!$K$4="*",N71=Calendar!$K$4)),P71*100+COUNTIFS($P$6:$P$3267,P71,$Q$6:$Q$3267,"&lt;="&amp;Q71,$N$6:$N$3267,Calendar!$K$4),"")</f>
        <v/>
      </c>
      <c r="W71" s="47">
        <f>IF(AND(B71=Queue!$C$4,OR(Queue!$K$4="*",N71=Queue!$K$4)),Q71,"")</f>
        <v/>
      </c>
    </row>
    <row r="72">
      <c r="A72" s="38">
        <f>IF(M72="","",HYPERLINK("https://www.youtube.com/watch?v="&amp;M72,"▶"))</f>
        <v/>
      </c>
      <c r="B72" s="39">
        <f>IF(C72&lt;&gt;"",C72,IF(P72&lt;=IFERROR(INDEX(tblChannels[Watched Through],MATCH(N72,tblChannels[Channel ID],0)),0),"Watched","Unwatched"))</f>
        <v/>
      </c>
      <c r="C72" s="40" t="n"/>
      <c r="D72" s="41" t="n"/>
      <c r="E72" s="42" t="n">
        <v>46188.70833333334</v>
      </c>
      <c r="F72" s="51" t="inlineStr">
        <is>
          <t>Through The Griffin Door</t>
        </is>
      </c>
      <c r="G72" t="inlineStr">
        <is>
          <t>LIVE at the Trash Pandas! - Chapter 2: Spinner’s End | Half-Blood Prince</t>
        </is>
      </c>
      <c r="H72" s="44" t="n">
        <v>0.05954861111111111</v>
      </c>
      <c r="I72" s="45" t="n">
        <v>6639</v>
      </c>
      <c r="J72" s="45" t="n">
        <v>205</v>
      </c>
      <c r="K72" s="45" t="n">
        <v>32</v>
      </c>
      <c r="L72" s="46" t="n"/>
      <c r="M72" s="47" t="n"/>
      <c r="N72" s="47" t="inlineStr">
        <is>
          <t>UCEscP6ETYXWSSvsNrDHekMQ</t>
        </is>
      </c>
      <c r="O72" s="48" t="n">
        <v>46188.875</v>
      </c>
      <c r="P72" s="49" t="n">
        <v>46188</v>
      </c>
      <c r="Q72" s="47" t="n">
        <v>3196</v>
      </c>
      <c r="R72" s="47" t="inlineStr">
        <is>
          <t>No Video ID yet</t>
        </is>
      </c>
      <c r="S72" s="49" t="n"/>
      <c r="T72" s="49" t="n"/>
      <c r="U72" s="47" t="inlineStr">
        <is>
          <t>Join J and Ben as they compete in a LIVE J vs Ben and dive BACK into Chapter 2, discussing Lily and Petunia’s childhood home?? A vexing fox, the irony of Peter’s position, Snape dodging and weaving, and the unbreakable vow. Want to see us do this IN REAL LIFE? Get your Through the Griffin Tour Northeast Tickets Here:</t>
        </is>
      </c>
      <c r="V72" s="47">
        <f>IF(AND(P72&gt;=Calendar!$K$2,P72&lt;EDATE(Calendar!$K$2,1),OR(Calendar!$K$4="*",N72=Calendar!$K$4)),P72*100+COUNTIFS($P$6:$P$3267,P72,$Q$6:$Q$3267,"&lt;="&amp;Q72,$N$6:$N$3267,Calendar!$K$4),"")</f>
        <v/>
      </c>
      <c r="W72" s="47">
        <f>IF(AND(B72=Queue!$C$4,OR(Queue!$K$4="*",N72=Queue!$K$4)),Q72,"")</f>
        <v/>
      </c>
    </row>
    <row r="73">
      <c r="A73" s="38">
        <f>IF(M73="","",HYPERLINK("https://www.youtube.com/watch?v="&amp;M73,"▶"))</f>
        <v/>
      </c>
      <c r="B73" s="39">
        <f>IF(C73&lt;&gt;"",C73,IF(P73&lt;=IFERROR(INDEX(tblChannels[Watched Through],MATCH(N73,tblChannels[Channel ID],0)),0),"Watched","Unwatched"))</f>
        <v/>
      </c>
      <c r="C73" s="40" t="n"/>
      <c r="D73" s="41" t="n"/>
      <c r="E73" s="42" t="n">
        <v>46187.41666666666</v>
      </c>
      <c r="F73" s="51" t="inlineStr">
        <is>
          <t>Through The Griffin Door</t>
        </is>
      </c>
      <c r="G73" t="inlineStr">
        <is>
          <t>Chapter 2: Spinner’s End | Half Blood Prince</t>
        </is>
      </c>
      <c r="H73" s="44" t="n">
        <v>0.06918981481481482</v>
      </c>
      <c r="I73" s="45" t="n">
        <v>35541</v>
      </c>
      <c r="J73" s="45" t="n">
        <v>990</v>
      </c>
      <c r="K73" s="45" t="n">
        <v>333</v>
      </c>
      <c r="L73" s="46" t="n"/>
      <c r="M73" s="47" t="n"/>
      <c r="N73" s="47" t="inlineStr">
        <is>
          <t>UCEscP6ETYXWSSvsNrDHekMQ</t>
        </is>
      </c>
      <c r="O73" s="48" t="n">
        <v>46187.58333333334</v>
      </c>
      <c r="P73" s="49" t="n">
        <v>46187</v>
      </c>
      <c r="Q73" s="47" t="n">
        <v>3195</v>
      </c>
      <c r="R73" s="47" t="inlineStr">
        <is>
          <t>No Video ID yet</t>
        </is>
      </c>
      <c r="S73" s="49" t="n"/>
      <c r="T73" s="49" t="n"/>
      <c r="U73" s="47" t="inlineStr">
        <is>
          <t>This episode is sponsored by AuraFrames - Exclusive $25 off Carver Mat at Promo Code GRIFFIN Join J and Ben as they dive into Chapter 2 of the Half Blood Prince and discuss the downtrodden neighborhood, the fox mystery, another cupboard under the stairs, the Snape exposition dump, and the Unbreakable Vow. 10:19 - Chapter Breakdown 58:51 - Ad Break (Aura Frames) 1:00:09 - More Chapter Breakdown 1:31:38 - Closing Thoughts and Review</t>
        </is>
      </c>
      <c r="V73" s="47">
        <f>IF(AND(P73&gt;=Calendar!$K$2,P73&lt;EDATE(Calendar!$K$2,1),OR(Calendar!$K$4="*",N73=Calendar!$K$4)),P73*100+COUNTIFS($P$6:$P$3267,P73,$Q$6:$Q$3267,"&lt;="&amp;Q73,$N$6:$N$3267,Calendar!$K$4),"")</f>
        <v/>
      </c>
      <c r="W73" s="47">
        <f>IF(AND(B73=Queue!$C$4,OR(Queue!$K$4="*",N73=Queue!$K$4)),Q73,"")</f>
        <v/>
      </c>
    </row>
    <row r="74">
      <c r="A74" s="38">
        <f>IF(M74="","",HYPERLINK("https://www.youtube.com/watch?v="&amp;M74,"▶"))</f>
        <v/>
      </c>
      <c r="B74" s="39">
        <f>IF(C74&lt;&gt;"",C74,IF(P74&lt;=IFERROR(INDEX(tblChannels[Watched Through],MATCH(N74,tblChannels[Channel ID],0)),0),"Watched","Unwatched"))</f>
        <v/>
      </c>
      <c r="C74" s="40" t="n"/>
      <c r="D74" s="41" t="n"/>
      <c r="E74" s="42" t="n">
        <v>46185.625</v>
      </c>
      <c r="F74" s="50" t="inlineStr">
        <is>
          <t>Super Carlin Brothers</t>
        </is>
      </c>
      <c r="G74" t="inlineStr">
        <is>
          <t>Theories From A Hat: Can We Defend These WILD Harry Potter Theories?</t>
        </is>
      </c>
      <c r="H74" s="44" t="n">
        <v>0.03725694444444445</v>
      </c>
      <c r="I74" s="45" t="n">
        <v>86794</v>
      </c>
      <c r="J74" s="45" t="n">
        <v>2776</v>
      </c>
      <c r="K74" s="45" t="n">
        <v>639</v>
      </c>
      <c r="L74" s="46" t="n"/>
      <c r="M74" s="47" t="n"/>
      <c r="N74" s="47" t="inlineStr">
        <is>
          <t>UCKZo4N0lVPccBkSiuyVh4yg</t>
        </is>
      </c>
      <c r="O74" s="48" t="n">
        <v>46185.79166666666</v>
      </c>
      <c r="P74" s="49" t="n">
        <v>46185</v>
      </c>
      <c r="Q74" s="47" t="n">
        <v>3194</v>
      </c>
      <c r="R74" s="47" t="inlineStr">
        <is>
          <t>No Video ID yet</t>
        </is>
      </c>
      <c r="S74" s="49" t="n"/>
      <c r="T74" s="49" t="n"/>
      <c r="U74" s="47" t="inlineStr">
        <is>
          <t>This episode is sponsored by BetterHelp - Sign up and get 10% off at This show is sponsored by Raycon - Go to buy to get 15% off Today, J and Ben are drawing crazy Harry Potter theories out of a hat and must defend them as if they were real! Can they source info to prove Hagrid DID kill myrtle? That James was the real half blood prince, Dumbledore can time travel or that Dumbledore intended for Harry to develop a horcrux?</t>
        </is>
      </c>
      <c r="V74" s="47">
        <f>IF(AND(P74&gt;=Calendar!$K$2,P74&lt;EDATE(Calendar!$K$2,1),OR(Calendar!$K$4="*",N74=Calendar!$K$4)),P74*100+COUNTIFS($P$6:$P$3267,P74,$Q$6:$Q$3267,"&lt;="&amp;Q74,$N$6:$N$3267,Calendar!$K$4),"")</f>
        <v/>
      </c>
      <c r="W74" s="47">
        <f>IF(AND(B74=Queue!$C$4,OR(Queue!$K$4="*",N74=Queue!$K$4)),Q74,"")</f>
        <v/>
      </c>
    </row>
    <row r="75">
      <c r="A75" s="38">
        <f>IF(M75="","",HYPERLINK("https://www.youtube.com/watch?v="&amp;M75,"▶"))</f>
        <v/>
      </c>
      <c r="B75" s="39">
        <f>IF(C75&lt;&gt;"",C75,IF(P75&lt;=IFERROR(INDEX(tblChannels[Watched Through],MATCH(N75,tblChannels[Channel ID],0)),0),"Watched","Unwatched"))</f>
        <v/>
      </c>
      <c r="C75" s="40" t="n"/>
      <c r="D75" s="41" t="n"/>
      <c r="E75" s="42" t="n">
        <v>46185.41666666666</v>
      </c>
      <c r="F75" s="43" t="inlineStr">
        <is>
          <t>Popcorn Culture</t>
        </is>
      </c>
      <c r="G75" t="inlineStr">
        <is>
          <t>Locked In the Hospital | Popcorn Culture</t>
        </is>
      </c>
      <c r="H75" s="44" t="n">
        <v>0.04572916666666667</v>
      </c>
      <c r="I75" s="45" t="n">
        <v>2174</v>
      </c>
      <c r="J75" s="45" t="n">
        <v>119</v>
      </c>
      <c r="K75" s="45" t="n">
        <v>12</v>
      </c>
      <c r="L75" s="46" t="n"/>
      <c r="M75" s="47" t="n"/>
      <c r="N75" s="47" t="inlineStr">
        <is>
          <t>UCHfIbq9thHPC8yrKjAdJgDA</t>
        </is>
      </c>
      <c r="O75" s="48" t="n">
        <v>46185.58333333334</v>
      </c>
      <c r="P75" s="49" t="n">
        <v>46185</v>
      </c>
      <c r="Q75" s="47" t="n">
        <v>3193</v>
      </c>
      <c r="R75" s="47" t="inlineStr">
        <is>
          <t>No Video ID yet</t>
        </is>
      </c>
      <c r="S75" s="49" t="n"/>
      <c r="T75" s="49" t="n"/>
      <c r="U75" s="47" t="inlineStr">
        <is>
          <t>In the 340th episod of the Pop, Ben and J discuss J’s weird hospital experience, Walmart parking lot adventures, teaching kids how to teach, their (then) upcoming Toy Story 5 premiere trip, red carpet outfits, and maybe meeting Taylor Swift??? Karate Kid - Toy Story Zero: The True Story Of Andy’s Dad &amp; Woody’s Origin -</t>
        </is>
      </c>
      <c r="V75" s="47">
        <f>IF(AND(P75&gt;=Calendar!$K$2,P75&lt;EDATE(Calendar!$K$2,1),OR(Calendar!$K$4="*",N75=Calendar!$K$4)),P75*100+COUNTIFS($P$6:$P$3267,P75,$Q$6:$Q$3267,"&lt;="&amp;Q75,$N$6:$N$3267,Calendar!$K$4),"")</f>
        <v/>
      </c>
      <c r="W75" s="47">
        <f>IF(AND(B75=Queue!$C$4,OR(Queue!$K$4="*",N75=Queue!$K$4)),Q75,"")</f>
        <v/>
      </c>
    </row>
    <row r="76">
      <c r="A76" s="38">
        <f>IF(M76="","",HYPERLINK("https://www.youtube.com/watch?v="&amp;M76,"▶"))</f>
        <v/>
      </c>
      <c r="B76" s="39">
        <f>IF(C76&lt;&gt;"",C76,IF(P76&lt;=IFERROR(INDEX(tblChannels[Watched Through],MATCH(N76,tblChannels[Channel ID],0)),0),"Watched","Unwatched"))</f>
        <v/>
      </c>
      <c r="C76" s="40" t="n"/>
      <c r="D76" s="41" t="n"/>
      <c r="E76" s="42" t="n">
        <v>46183.625</v>
      </c>
      <c r="F76" s="50" t="inlineStr">
        <is>
          <t>Super Carlin Brothers</t>
        </is>
      </c>
      <c r="G76" t="inlineStr">
        <is>
          <t>Hoppers Just CONFIRMED the Pixar Theory 🪵</t>
        </is>
      </c>
      <c r="H76" s="44" t="n">
        <v>0.01225694444444445</v>
      </c>
      <c r="I76" s="45" t="n">
        <v>93606</v>
      </c>
      <c r="J76" s="45" t="n">
        <v>3627</v>
      </c>
      <c r="K76" s="45" t="n">
        <v>353</v>
      </c>
      <c r="L76" s="46" t="n"/>
      <c r="M76" s="47" t="n"/>
      <c r="N76" s="47" t="inlineStr">
        <is>
          <t>UCKZo4N0lVPccBkSiuyVh4yg</t>
        </is>
      </c>
      <c r="O76" s="48" t="n">
        <v>46183.79166666666</v>
      </c>
      <c r="P76" s="49" t="n">
        <v>46183</v>
      </c>
      <c r="Q76" s="47" t="n">
        <v>3192</v>
      </c>
      <c r="R76" s="47" t="inlineStr">
        <is>
          <t>No Video ID yet</t>
        </is>
      </c>
      <c r="S76" s="49" t="n"/>
      <c r="T76" s="49" t="n"/>
      <c r="U76" s="47" t="inlineStr">
        <is>
          <t>A single chalkboard scene in Hoppers appears to reveal the origins of some of Pixar's most important technologies, including talking dog collars, WALL-E, MO, scream canisters, and possibly even the secret behind Cars itself. Today we're breaking down every clue, every Easter egg, and every connection to discover how Hoppers fits into the Pixar Theory timeline. #pixar #Hoppers #SuperCarlinBrothers</t>
        </is>
      </c>
      <c r="V76" s="47">
        <f>IF(AND(P76&gt;=Calendar!$K$2,P76&lt;EDATE(Calendar!$K$2,1),OR(Calendar!$K$4="*",N76=Calendar!$K$4)),P76*100+COUNTIFS($P$6:$P$3267,P76,$Q$6:$Q$3267,"&lt;="&amp;Q76,$N$6:$N$3267,Calendar!$K$4),"")</f>
        <v/>
      </c>
      <c r="W76" s="47">
        <f>IF(AND(B76=Queue!$C$4,OR(Queue!$K$4="*",N76=Queue!$K$4)),Q76,"")</f>
        <v/>
      </c>
    </row>
    <row r="77">
      <c r="A77" s="38">
        <f>IF(M77="","",HYPERLINK("https://www.youtube.com/watch?v="&amp;M77,"▶"))</f>
        <v/>
      </c>
      <c r="B77" s="39">
        <f>IF(C77&lt;&gt;"",C77,IF(P77&lt;=IFERROR(INDEX(tblChannels[Watched Through],MATCH(N77,tblChannels[Channel ID],0)),0),"Watched","Unwatched"))</f>
        <v/>
      </c>
      <c r="C77" s="40" t="n"/>
      <c r="D77" s="41" t="n"/>
      <c r="E77" s="42" t="n">
        <v>46180.5</v>
      </c>
      <c r="F77" s="51" t="inlineStr">
        <is>
          <t>Through The Griffin Door</t>
        </is>
      </c>
      <c r="G77" t="inlineStr">
        <is>
          <t>Chapter 1: The Other Minister | Half Blood Prince</t>
        </is>
      </c>
      <c r="H77" s="44" t="n">
        <v>0.07152777777777777</v>
      </c>
      <c r="I77" s="45" t="n">
        <v>41332</v>
      </c>
      <c r="J77" s="45" t="n">
        <v>1172</v>
      </c>
      <c r="K77" s="45" t="n">
        <v>467</v>
      </c>
      <c r="L77" s="46" t="n"/>
      <c r="M77" s="47" t="n"/>
      <c r="N77" s="47" t="inlineStr">
        <is>
          <t>UCEscP6ETYXWSSvsNrDHekMQ</t>
        </is>
      </c>
      <c r="O77" s="48" t="n">
        <v>46180.66666666666</v>
      </c>
      <c r="P77" s="49" t="n">
        <v>46180</v>
      </c>
      <c r="Q77" s="47" t="n">
        <v>3191</v>
      </c>
      <c r="R77" s="47" t="inlineStr">
        <is>
          <t>No Video ID yet</t>
        </is>
      </c>
      <c r="S77" s="49" t="n"/>
      <c r="T77" s="49" t="n"/>
      <c r="U77" s="47" t="inlineStr">
        <is>
          <t>Join J and Ben as they dive into Chapter 1 of the Half Blood Prince and discuss the state of politics, the recap via flashbacks, Fudge getting sacked, the terrors of the Death Eaters, the intro to Scrimgeour, and Kingsley’s protection. 13:29 - Chapter Breakdown 1:32:31 - Closing Thoughts and Review</t>
        </is>
      </c>
      <c r="V77" s="47">
        <f>IF(AND(P77&gt;=Calendar!$K$2,P77&lt;EDATE(Calendar!$K$2,1),OR(Calendar!$K$4="*",N77=Calendar!$K$4)),P77*100+COUNTIFS($P$6:$P$3267,P77,$Q$6:$Q$3267,"&lt;="&amp;Q77,$N$6:$N$3267,Calendar!$K$4),"")</f>
        <v/>
      </c>
      <c r="W77" s="47">
        <f>IF(AND(B77=Queue!$C$4,OR(Queue!$K$4="*",N77=Queue!$K$4)),Q77,"")</f>
        <v/>
      </c>
    </row>
    <row r="78">
      <c r="A78" s="38">
        <f>IF(M78="","",HYPERLINK("https://www.youtube.com/watch?v="&amp;M78,"▶"))</f>
        <v/>
      </c>
      <c r="B78" s="39">
        <f>IF(C78&lt;&gt;"",C78,IF(P78&lt;=IFERROR(INDEX(tblChannels[Watched Through],MATCH(N78,tblChannels[Channel ID],0)),0),"Watched","Unwatched"))</f>
        <v/>
      </c>
      <c r="C78" s="40" t="n"/>
      <c r="D78" s="41" t="n"/>
      <c r="E78" s="42" t="n">
        <v>46178.67847222222</v>
      </c>
      <c r="F78" s="50" t="inlineStr">
        <is>
          <t>Super Carlin Brothers</t>
        </is>
      </c>
      <c r="G78" t="inlineStr">
        <is>
          <t>Is Mabel Russell's MOM?! 🦫🪵🦎🥔</t>
        </is>
      </c>
      <c r="H78" s="44" t="n">
        <v>0.01231481481481481</v>
      </c>
      <c r="I78" s="45" t="n">
        <v>89208</v>
      </c>
      <c r="J78" s="45" t="n">
        <v>3406</v>
      </c>
      <c r="K78" s="45" t="n">
        <v>371</v>
      </c>
      <c r="L78" s="46" t="n"/>
      <c r="M78" s="47" t="n"/>
      <c r="N78" s="47" t="inlineStr">
        <is>
          <t>UCKZo4N0lVPccBkSiuyVh4yg</t>
        </is>
      </c>
      <c r="O78" s="48" t="n">
        <v>46178.84513888889</v>
      </c>
      <c r="P78" s="49" t="n">
        <v>46178</v>
      </c>
      <c r="Q78" s="47" t="n">
        <v>3190</v>
      </c>
      <c r="R78" s="47" t="inlineStr">
        <is>
          <t>No Video ID yet</t>
        </is>
      </c>
      <c r="S78" s="49" t="n"/>
      <c r="T78" s="49" t="n"/>
      <c r="U78" s="47" t="inlineStr">
        <is>
          <t>Find support in therapy! Sign up and get 10% off at Is Mabel from Hoppers secretly the mother of Russel from Up? Today J dives into the ever-expanding Pixar Universe find out! From their love of the outdoors, door-to-door enthusiasm, and relationship with the elderly, these 2 have a lot in common. They may have both encountered the villainous Charles Muntz as well… #pixar #Hoppers #SuperCarlinBrothers</t>
        </is>
      </c>
      <c r="V78" s="47">
        <f>IF(AND(P78&gt;=Calendar!$K$2,P78&lt;EDATE(Calendar!$K$2,1),OR(Calendar!$K$4="*",N78=Calendar!$K$4)),P78*100+COUNTIFS($P$6:$P$3267,P78,$Q$6:$Q$3267,"&lt;="&amp;Q78,$N$6:$N$3267,Calendar!$K$4),"")</f>
        <v/>
      </c>
      <c r="W78" s="47">
        <f>IF(AND(B78=Queue!$C$4,OR(Queue!$K$4="*",N78=Queue!$K$4)),Q78,"")</f>
        <v/>
      </c>
    </row>
    <row r="79">
      <c r="A79" s="38">
        <f>IF(M79="","",HYPERLINK("https://www.youtube.com/watch?v="&amp;M79,"▶"))</f>
        <v/>
      </c>
      <c r="B79" s="39">
        <f>IF(C79&lt;&gt;"",C79,IF(P79&lt;=IFERROR(INDEX(tblChannels[Watched Through],MATCH(N79,tblChannels[Channel ID],0)),0),"Watched","Unwatched"))</f>
        <v/>
      </c>
      <c r="C79" s="40" t="n"/>
      <c r="D79" s="41" t="n"/>
      <c r="E79" s="42" t="n">
        <v>46178.41666666666</v>
      </c>
      <c r="F79" s="43" t="inlineStr">
        <is>
          <t>Popcorn Culture</t>
        </is>
      </c>
      <c r="G79" t="inlineStr">
        <is>
          <t>Ben’s Block of Nine | Popcorn Culture</t>
        </is>
      </c>
      <c r="H79" s="44" t="n">
        <v>0.07157407407407407</v>
      </c>
      <c r="I79" s="45" t="n">
        <v>2695</v>
      </c>
      <c r="J79" s="45" t="n">
        <v>115</v>
      </c>
      <c r="K79" s="45" t="n">
        <v>16</v>
      </c>
      <c r="L79" s="46" t="n"/>
      <c r="M79" s="47" t="n"/>
      <c r="N79" s="47" t="inlineStr">
        <is>
          <t>UCHfIbq9thHPC8yrKjAdJgDA</t>
        </is>
      </c>
      <c r="O79" s="48" t="n">
        <v>46178.58333333334</v>
      </c>
      <c r="P79" s="49" t="n">
        <v>46178</v>
      </c>
      <c r="Q79" s="47" t="n">
        <v>3189</v>
      </c>
      <c r="R79" s="47" t="inlineStr">
        <is>
          <t>No Video ID yet</t>
        </is>
      </c>
      <c r="S79" s="49" t="n"/>
      <c r="T79" s="49" t="n"/>
      <c r="U79" s="47" t="inlineStr">
        <is>
          <t>In the 339th episode of the Pop, Ben and J discuss text based conversations, Ben’s (cringey) rules to life, refereeing soccer, avoiding dreams, practicing confidence, different kinds of lists, and a looooooot of introspection.</t>
        </is>
      </c>
      <c r="V79" s="47">
        <f>IF(AND(P79&gt;=Calendar!$K$2,P79&lt;EDATE(Calendar!$K$2,1),OR(Calendar!$K$4="*",N79=Calendar!$K$4)),P79*100+COUNTIFS($P$6:$P$3267,P79,$Q$6:$Q$3267,"&lt;="&amp;Q79,$N$6:$N$3267,Calendar!$K$4),"")</f>
        <v/>
      </c>
      <c r="W79" s="47">
        <f>IF(AND(B79=Queue!$C$4,OR(Queue!$K$4="*",N79=Queue!$K$4)),Q79,"")</f>
        <v/>
      </c>
    </row>
    <row r="80">
      <c r="A80" s="38">
        <f>IF(M80="","",HYPERLINK("https://www.youtube.com/watch?v="&amp;M80,"▶"))</f>
        <v/>
      </c>
      <c r="B80" s="39">
        <f>IF(C80&lt;&gt;"",C80,IF(P80&lt;=IFERROR(INDEX(tblChannels[Watched Through],MATCH(N80,tblChannels[Channel ID],0)),0),"Watched","Unwatched"))</f>
        <v/>
      </c>
      <c r="C80" s="40" t="n"/>
      <c r="D80" s="41" t="n"/>
      <c r="E80" s="42" t="n">
        <v>46176.69791666666</v>
      </c>
      <c r="F80" s="50" t="inlineStr">
        <is>
          <t>Super Carlin Brothers</t>
        </is>
      </c>
      <c r="G80" t="inlineStr">
        <is>
          <t>Harry Potter Summer Trivia Is HARDER Than You Think</t>
        </is>
      </c>
      <c r="H80" s="44" t="n">
        <v>0.03185185185185185</v>
      </c>
      <c r="I80" s="45" t="n">
        <v>89071</v>
      </c>
      <c r="J80" s="45" t="n">
        <v>2851</v>
      </c>
      <c r="K80" s="45" t="n">
        <v>362</v>
      </c>
      <c r="L80" s="46" t="n"/>
      <c r="M80" s="47" t="n"/>
      <c r="N80" s="47" t="inlineStr">
        <is>
          <t>UCKZo4N0lVPccBkSiuyVh4yg</t>
        </is>
      </c>
      <c r="O80" s="48" t="n">
        <v>46176.86458333334</v>
      </c>
      <c r="P80" s="49" t="n">
        <v>46176</v>
      </c>
      <c r="Q80" s="47" t="n">
        <v>3188</v>
      </c>
      <c r="R80" s="47" t="inlineStr">
        <is>
          <t>No Video ID yet</t>
        </is>
      </c>
      <c r="S80" s="49" t="n"/>
      <c r="T80" s="49" t="n"/>
      <c r="U80" s="47" t="inlineStr">
        <is>
          <t>Check out Zocdoc and stop putting off those doctor's appointments. Go to to find and instantly book a top-rated doctor today. This message is sponsored by Zocdoc. Head to and use code 'JvsB50off' to get 50% off and recieve FREE daily greens per box. We all remember Harry’s time at Hogwarts, but who well do you remember what happens when he’s NOT at school? Today J and Ben face off once more to find out who knows more about Harry Potter’s summer breaks. #HarryPotter #JvsBen #SuperCarlinBrothers</t>
        </is>
      </c>
      <c r="V80" s="47">
        <f>IF(AND(P80&gt;=Calendar!$K$2,P80&lt;EDATE(Calendar!$K$2,1),OR(Calendar!$K$4="*",N80=Calendar!$K$4)),P80*100+COUNTIFS($P$6:$P$3267,P80,$Q$6:$Q$3267,"&lt;="&amp;Q80,$N$6:$N$3267,Calendar!$K$4),"")</f>
        <v/>
      </c>
      <c r="W80" s="47">
        <f>IF(AND(B80=Queue!$C$4,OR(Queue!$K$4="*",N80=Queue!$K$4)),Q80,"")</f>
        <v/>
      </c>
    </row>
    <row r="81">
      <c r="A81" s="38">
        <f>IF(M81="","",HYPERLINK("https://www.youtube.com/watch?v="&amp;M81,"▶"))</f>
        <v/>
      </c>
      <c r="B81" s="39">
        <f>IF(C81&lt;&gt;"",C81,IF(P81&lt;=IFERROR(INDEX(tblChannels[Watched Through],MATCH(N81,tblChannels[Channel ID],0)),0),"Watched","Unwatched"))</f>
        <v/>
      </c>
      <c r="C81" s="40" t="n"/>
      <c r="D81" s="41" t="n"/>
      <c r="E81" s="42" t="n">
        <v>46173.41666666666</v>
      </c>
      <c r="F81" s="51" t="inlineStr">
        <is>
          <t>Through The Griffin Door</t>
        </is>
      </c>
      <c r="G81" t="inlineStr">
        <is>
          <t>Dumbledore's Big Plan: Order of the Phoenix Edition</t>
        </is>
      </c>
      <c r="H81" s="44" t="n">
        <v>0.03509259259259259</v>
      </c>
      <c r="I81" s="45" t="n">
        <v>21268</v>
      </c>
      <c r="J81" s="45" t="n">
        <v>806</v>
      </c>
      <c r="K81" s="45" t="n">
        <v>189</v>
      </c>
      <c r="L81" s="46" t="n"/>
      <c r="M81" s="47" t="n"/>
      <c r="N81" s="47" t="inlineStr">
        <is>
          <t>UCEscP6ETYXWSSvsNrDHekMQ</t>
        </is>
      </c>
      <c r="O81" s="48" t="n">
        <v>46173.58333333334</v>
      </c>
      <c r="P81" s="49" t="n">
        <v>46173</v>
      </c>
      <c r="Q81" s="47" t="n">
        <v>3187</v>
      </c>
      <c r="R81" s="47" t="inlineStr">
        <is>
          <t>No Video ID yet</t>
        </is>
      </c>
      <c r="S81" s="49" t="n"/>
      <c r="T81" s="49" t="n"/>
      <c r="U81" s="47" t="inlineStr">
        <is>
          <t>Join J and Ben as they dive into how Dumbledore’s Big Plan fits into Order of the Phoenix.</t>
        </is>
      </c>
      <c r="V81" s="47">
        <f>IF(AND(P81&gt;=Calendar!$K$2,P81&lt;EDATE(Calendar!$K$2,1),OR(Calendar!$K$4="*",N81=Calendar!$K$4)),P81*100+COUNTIFS($P$6:$P$3267,P81,$Q$6:$Q$3267,"&lt;="&amp;Q81,$N$6:$N$3267,Calendar!$K$4),"")</f>
        <v/>
      </c>
      <c r="W81" s="47">
        <f>IF(AND(B81=Queue!$C$4,OR(Queue!$K$4="*",N81=Queue!$K$4)),Q81,"")</f>
        <v/>
      </c>
    </row>
    <row r="82">
      <c r="A82" s="38">
        <f>IF(M82="","",HYPERLINK("https://www.youtube.com/watch?v="&amp;M82,"▶"))</f>
        <v/>
      </c>
      <c r="B82" s="39">
        <f>IF(C82&lt;&gt;"",C82,IF(P82&lt;=IFERROR(INDEX(tblChannels[Watched Through],MATCH(N82,tblChannels[Channel ID],0)),0),"Watched","Unwatched"))</f>
        <v/>
      </c>
      <c r="C82" s="40" t="n"/>
      <c r="D82" s="41" t="n"/>
      <c r="E82" s="42" t="n">
        <v>46171.69236111111</v>
      </c>
      <c r="F82" s="50" t="inlineStr">
        <is>
          <t>Super Carlin Brothers</t>
        </is>
      </c>
      <c r="G82" t="inlineStr">
        <is>
          <t>Toy Story 5 Just Revived Pixar's Biggest Theory</t>
        </is>
      </c>
      <c r="H82" s="44" t="n">
        <v>0.01290509259259259</v>
      </c>
      <c r="I82" s="45" t="n">
        <v>104414</v>
      </c>
      <c r="J82" s="45" t="n">
        <v>3294</v>
      </c>
      <c r="K82" s="45" t="n">
        <v>354</v>
      </c>
      <c r="L82" s="46" t="n"/>
      <c r="M82" s="47" t="n"/>
      <c r="N82" s="47" t="inlineStr">
        <is>
          <t>UCKZo4N0lVPccBkSiuyVh4yg</t>
        </is>
      </c>
      <c r="O82" s="48" t="n">
        <v>46171.85902777778</v>
      </c>
      <c r="P82" s="49" t="n">
        <v>46171</v>
      </c>
      <c r="Q82" s="47" t="n">
        <v>3186</v>
      </c>
      <c r="R82" s="47" t="inlineStr">
        <is>
          <t>No Video ID yet</t>
        </is>
      </c>
      <c r="S82" s="49" t="n"/>
      <c r="T82" s="49" t="n"/>
      <c r="U82" s="47" t="inlineStr">
        <is>
          <t>Y’ALL The final trailer for Toy Story 5 just dropped, and it may have just revealed the return of one of the most important characters in Pixar history: EMILY. While she only appears briefly in Toy Story 2's iconic "When She Loved Me" sequence, Emily's decision to abandon Jessie shaped the entire future of the character—and arguably changed Pixar forever. Now, thanks to some hidden clues throughout the final Toy Story 5 trailer, it looks like Jessie may finally get the closure she (and we) have been waiting for FOR decades! Plus, if Emily really is returning... could Pixar finally be revisiting one of the oldest Toy Story theories of all time? Is Emily actually Andy's Mom? #Pixar #ToyStory #ToyStory5 #supercarlinbrothers</t>
        </is>
      </c>
      <c r="V82" s="47">
        <f>IF(AND(P82&gt;=Calendar!$K$2,P82&lt;EDATE(Calendar!$K$2,1),OR(Calendar!$K$4="*",N82=Calendar!$K$4)),P82*100+COUNTIFS($P$6:$P$3267,P82,$Q$6:$Q$3267,"&lt;="&amp;Q82,$N$6:$N$3267,Calendar!$K$4),"")</f>
        <v/>
      </c>
      <c r="W82" s="47">
        <f>IF(AND(B82=Queue!$C$4,OR(Queue!$K$4="*",N82=Queue!$K$4)),Q82,"")</f>
        <v/>
      </c>
    </row>
    <row r="83">
      <c r="A83" s="38">
        <f>IF(M83="","",HYPERLINK("https://www.youtube.com/watch?v="&amp;M83,"▶"))</f>
        <v/>
      </c>
      <c r="B83" s="39">
        <f>IF(C83&lt;&gt;"",C83,IF(P83&lt;=IFERROR(INDEX(tblChannels[Watched Through],MATCH(N83,tblChannels[Channel ID],0)),0),"Watched","Unwatched"))</f>
        <v/>
      </c>
      <c r="C83" s="40" t="n"/>
      <c r="D83" s="41" t="n"/>
      <c r="E83" s="42" t="n">
        <v>46171.41666666666</v>
      </c>
      <c r="F83" s="43" t="inlineStr">
        <is>
          <t>Popcorn Culture</t>
        </is>
      </c>
      <c r="G83" t="inlineStr">
        <is>
          <t>Soap Mucus | Popcorn Culture</t>
        </is>
      </c>
      <c r="H83" s="44" t="n">
        <v>0.05287037037037037</v>
      </c>
      <c r="I83" s="45" t="n">
        <v>2472</v>
      </c>
      <c r="J83" s="45" t="n">
        <v>110</v>
      </c>
      <c r="K83" s="45" t="n">
        <v>19</v>
      </c>
      <c r="L83" s="46" t="n"/>
      <c r="M83" s="47" t="n"/>
      <c r="N83" s="47" t="inlineStr">
        <is>
          <t>UCHfIbq9thHPC8yrKjAdJgDA</t>
        </is>
      </c>
      <c r="O83" s="48" t="n">
        <v>46171.58333333334</v>
      </c>
      <c r="P83" s="49" t="n">
        <v>46171</v>
      </c>
      <c r="Q83" s="47" t="n">
        <v>3185</v>
      </c>
      <c r="R83" s="47" t="inlineStr">
        <is>
          <t>No Video ID yet</t>
        </is>
      </c>
      <c r="S83" s="49" t="n"/>
      <c r="T83" s="49" t="n"/>
      <c r="U83" s="47" t="inlineStr">
        <is>
          <t>In the 338th episode of the Pop, Ben and J discuss getting ready in the morning, growin’ corn, roasting soap, asking vs. assuming and developmental age achievements. Hundreds of Beavers - Chelsea Explains - Chef - Think Through Pudding CORN LIKE THE WIND! Power Rangers Soap 00:00 - Intro, Getting Kids Out the Door 15:19 - Irish Spring Soap 29:55 - Chelsea Explains' Observation</t>
        </is>
      </c>
      <c r="V83" s="47">
        <f>IF(AND(P83&gt;=Calendar!$K$2,P83&lt;EDATE(Calendar!$K$2,1),OR(Calendar!$K$4="*",N83=Calendar!$K$4)),P83*100+COUNTIFS($P$6:$P$3267,P83,$Q$6:$Q$3267,"&lt;="&amp;Q83,$N$6:$N$3267,Calendar!$K$4),"")</f>
        <v/>
      </c>
      <c r="W83" s="47">
        <f>IF(AND(B83=Queue!$C$4,OR(Queue!$K$4="*",N83=Queue!$K$4)),Q83,"")</f>
        <v/>
      </c>
    </row>
    <row r="84">
      <c r="A84" s="38">
        <f>IF(M84="","",HYPERLINK("https://www.youtube.com/watch?v="&amp;M84,"▶"))</f>
        <v/>
      </c>
      <c r="B84" s="39">
        <f>IF(C84&lt;&gt;"",C84,IF(P84&lt;=IFERROR(INDEX(tblChannels[Watched Through],MATCH(N84,tblChannels[Channel ID],0)),0),"Watched","Unwatched"))</f>
        <v/>
      </c>
      <c r="C84" s="40" t="n"/>
      <c r="D84" s="41" t="n"/>
      <c r="E84" s="42" t="n">
        <v>46170.45555555556</v>
      </c>
      <c r="F84" s="50" t="inlineStr">
        <is>
          <t>Super Carlin Brothers</t>
        </is>
      </c>
      <c r="G84" t="inlineStr">
        <is>
          <t>Harry Potter needs GRAPES! 🍇 #harrypotter</t>
        </is>
      </c>
      <c r="H84" s="44" t="n">
        <v>0.001134259259259259</v>
      </c>
      <c r="I84" s="45" t="n">
        <v>57411</v>
      </c>
      <c r="J84" s="45" t="n">
        <v>1996</v>
      </c>
      <c r="K84" s="45" t="n">
        <v>96</v>
      </c>
      <c r="L84" s="46" t="n"/>
      <c r="M84" s="47" t="n"/>
      <c r="N84" s="47" t="inlineStr">
        <is>
          <t>UCKZo4N0lVPccBkSiuyVh4yg</t>
        </is>
      </c>
      <c r="O84" s="48" t="n">
        <v>46170.62222222222</v>
      </c>
      <c r="P84" s="49" t="n">
        <v>46170</v>
      </c>
      <c r="Q84" s="47" t="n">
        <v>3184</v>
      </c>
      <c r="R84" s="47" t="inlineStr">
        <is>
          <t>No Video ID yet</t>
        </is>
      </c>
      <c r="S84" s="49" t="n"/>
      <c r="T84" s="49" t="n"/>
      <c r="U84" s="47" t="inlineStr">
        <is>
          <t>When Harry Potter needs some middle of the night grapes, there is only one first year up to the job: Colin Creevey 🍇 📸 🐍 #supercarlinbrothers #potterhead #podcast #podcastclips</t>
        </is>
      </c>
      <c r="V84" s="47">
        <f>IF(AND(P84&gt;=Calendar!$K$2,P84&lt;EDATE(Calendar!$K$2,1),OR(Calendar!$K$4="*",N84=Calendar!$K$4)),P84*100+COUNTIFS($P$6:$P$3267,P84,$Q$6:$Q$3267,"&lt;="&amp;Q84,$N$6:$N$3267,Calendar!$K$4),"")</f>
        <v/>
      </c>
      <c r="W84" s="47">
        <f>IF(AND(B84=Queue!$C$4,OR(Queue!$K$4="*",N84=Queue!$K$4)),Q84,"")</f>
        <v/>
      </c>
    </row>
    <row r="85">
      <c r="A85" s="38">
        <f>IF(M85="","",HYPERLINK("https://www.youtube.com/watch?v="&amp;M85,"▶"))</f>
        <v/>
      </c>
      <c r="B85" s="39">
        <f>IF(C85&lt;&gt;"",C85,IF(P85&lt;=IFERROR(INDEX(tblChannels[Watched Through],MATCH(N85,tblChannels[Channel ID],0)),0),"Watched","Unwatched"))</f>
        <v/>
      </c>
      <c r="C85" s="40" t="n"/>
      <c r="D85" s="41" t="n"/>
      <c r="E85" s="42" t="n">
        <v>46169.65972222222</v>
      </c>
      <c r="F85" s="50" t="inlineStr">
        <is>
          <t>Super Carlin Brothers</t>
        </is>
      </c>
      <c r="G85" t="inlineStr">
        <is>
          <t>Dumbledore’s Drinking Problem</t>
        </is>
      </c>
      <c r="H85" s="44" t="n">
        <v>0.01197916666666667</v>
      </c>
      <c r="I85" s="45" t="n">
        <v>89866</v>
      </c>
      <c r="J85" s="45" t="n">
        <v>4110</v>
      </c>
      <c r="K85" s="45" t="n">
        <v>575</v>
      </c>
      <c r="L85" s="46" t="n"/>
      <c r="M85" s="47" t="n"/>
      <c r="N85" s="47" t="inlineStr">
        <is>
          <t>UCKZo4N0lVPccBkSiuyVh4yg</t>
        </is>
      </c>
      <c r="O85" s="48" t="n">
        <v>46169.82638888889</v>
      </c>
      <c r="P85" s="49" t="n">
        <v>46169</v>
      </c>
      <c r="Q85" s="47" t="n">
        <v>3183</v>
      </c>
      <c r="R85" s="47" t="inlineStr">
        <is>
          <t>No Video ID yet</t>
        </is>
      </c>
      <c r="S85" s="49" t="n"/>
      <c r="T85" s="49" t="n"/>
      <c r="U85" s="47" t="inlineStr">
        <is>
          <t>This show is sponsored by BetterHelp. Go to for 10% off your first month. Head to and use code 'super50off' to get 50% off and FREE Daily Greens per box! What if Dumbledore’s “drinking problem” in Harry Potter wasn’t just a running gag… but an actual curse? Throughout the Harry Potter series, Dumbledore constantly offers people drinks — tea, brandy, wine, mead, butterbeer — and somehow nobody ever seems to drink with him. From Hagrid and Slughorn to the Dursleys and even the Yule Ball, a bizarre pattern quietly follows Albus Dumbledore throughout the entire story. Today we explore one of the strangest hidden patterns in Harry Potter and the shocking moment the curse may have begun. #HarryPotter #Dumbledore #HarryPotterTheory #harrypotter #supercarlinbrothers</t>
        </is>
      </c>
      <c r="V85" s="47">
        <f>IF(AND(P85&gt;=Calendar!$K$2,P85&lt;EDATE(Calendar!$K$2,1),OR(Calendar!$K$4="*",N85=Calendar!$K$4)),P85*100+COUNTIFS($P$6:$P$3267,P85,$Q$6:$Q$3267,"&lt;="&amp;Q85,$N$6:$N$3267,Calendar!$K$4),"")</f>
        <v/>
      </c>
      <c r="W85" s="47">
        <f>IF(AND(B85=Queue!$C$4,OR(Queue!$K$4="*",N85=Queue!$K$4)),Q85,"")</f>
        <v/>
      </c>
    </row>
    <row r="86">
      <c r="A86" s="38">
        <f>IF(M86="","",HYPERLINK("https://www.youtube.com/watch?v="&amp;M86,"▶"))</f>
        <v/>
      </c>
      <c r="B86" s="39">
        <f>IF(C86&lt;&gt;"",C86,IF(P86&lt;=IFERROR(INDEX(tblChannels[Watched Through],MATCH(N86,tblChannels[Channel ID],0)),0),"Watched","Unwatched"))</f>
        <v/>
      </c>
      <c r="C86" s="40" t="n"/>
      <c r="D86" s="41" t="n"/>
      <c r="E86" s="42" t="n">
        <v>46168.72916666666</v>
      </c>
      <c r="F86" s="51" t="inlineStr">
        <is>
          <t>Through The Griffin Door</t>
        </is>
      </c>
      <c r="G86" t="inlineStr">
        <is>
          <t>LIVE in Dallas - Chapter 38: The Second War Begins | Order of the Phoenix</t>
        </is>
      </c>
      <c r="H86" s="44" t="n">
        <v>0.0828125</v>
      </c>
      <c r="I86" s="45" t="n">
        <v>7105</v>
      </c>
      <c r="J86" s="45" t="n">
        <v>240</v>
      </c>
      <c r="K86" s="45" t="n">
        <v>48</v>
      </c>
      <c r="L86" s="46" t="n"/>
      <c r="M86" s="47" t="n"/>
      <c r="N86" s="47" t="inlineStr">
        <is>
          <t>UCEscP6ETYXWSSvsNrDHekMQ</t>
        </is>
      </c>
      <c r="O86" s="48" t="n">
        <v>46168.89583333334</v>
      </c>
      <c r="P86" s="49" t="n">
        <v>46168</v>
      </c>
      <c r="Q86" s="47" t="n">
        <v>3182</v>
      </c>
      <c r="R86" s="47" t="inlineStr">
        <is>
          <t>No Video ID yet</t>
        </is>
      </c>
      <c r="S86" s="49" t="n"/>
      <c r="T86" s="49" t="n"/>
      <c r="U86" s="47" t="inlineStr">
        <is>
          <t>Join J and Ben as they compete in a LIVE J vs Ben and dive BACK into Chapter 38, discussing Fudge’s “ABOUT DARN TIME” moment, hanging in the hospital wing, the wall between Harry and the rest of the world, but Hagrid, Luna and others trying to bridge the gap, and the train ride home (and finally Draco and his gang getting their comeuppance). Want to see us do this IN REAL LIFE? Get your Through the Griffin Tour Northeast Tickets Here:</t>
        </is>
      </c>
      <c r="V86" s="47">
        <f>IF(AND(P86&gt;=Calendar!$K$2,P86&lt;EDATE(Calendar!$K$2,1),OR(Calendar!$K$4="*",N86=Calendar!$K$4)),P86*100+COUNTIFS($P$6:$P$3267,P86,$Q$6:$Q$3267,"&lt;="&amp;Q86,$N$6:$N$3267,Calendar!$K$4),"")</f>
        <v/>
      </c>
      <c r="W86" s="47">
        <f>IF(AND(B86=Queue!$C$4,OR(Queue!$K$4="*",N86=Queue!$K$4)),Q86,"")</f>
        <v/>
      </c>
    </row>
    <row r="87">
      <c r="A87" s="38">
        <f>IF(M87="","",HYPERLINK("https://www.youtube.com/watch?v="&amp;M87,"▶"))</f>
        <v/>
      </c>
      <c r="B87" s="39">
        <f>IF(C87&lt;&gt;"",C87,IF(P87&lt;=IFERROR(INDEX(tblChannels[Watched Through],MATCH(N87,tblChannels[Channel ID],0)),0),"Watched","Unwatched"))</f>
        <v/>
      </c>
      <c r="C87" s="40" t="n"/>
      <c r="D87" s="41" t="n"/>
      <c r="E87" s="42" t="n">
        <v>46166.41666666666</v>
      </c>
      <c r="F87" s="51" t="inlineStr">
        <is>
          <t>Through The Griffin Door</t>
        </is>
      </c>
      <c r="G87" t="inlineStr">
        <is>
          <t>Chapter 38: The Second War Begins | Order of the Phoenix</t>
        </is>
      </c>
      <c r="H87" s="44" t="n">
        <v>0.08306712962962963</v>
      </c>
      <c r="I87" s="45" t="n">
        <v>41029</v>
      </c>
      <c r="J87" s="45" t="n">
        <v>1046</v>
      </c>
      <c r="K87" s="45" t="n">
        <v>399</v>
      </c>
      <c r="L87" s="46" t="n"/>
      <c r="M87" s="47" t="n"/>
      <c r="N87" s="47" t="inlineStr">
        <is>
          <t>UCEscP6ETYXWSSvsNrDHekMQ</t>
        </is>
      </c>
      <c r="O87" s="48" t="n">
        <v>46166.58333333334</v>
      </c>
      <c r="P87" s="49" t="n">
        <v>46166</v>
      </c>
      <c r="Q87" s="47" t="n">
        <v>3181</v>
      </c>
      <c r="R87" s="47" t="inlineStr">
        <is>
          <t>No Video ID yet</t>
        </is>
      </c>
      <c r="S87" s="49" t="n"/>
      <c r="T87" s="49" t="n"/>
      <c r="U87" s="47" t="inlineStr">
        <is>
          <t>Join J and Ben as they dive into Chapter 38 of the Order of the Phoenix and discuss the ministry finally (cowardly) telling the truth, the platinum sextants’ recovery progress, the confrontation with the “slug trio”, dumb points math, visiting Hagrid, finding the mirror (ughhh), talking to Nearly Headless Nick then Luna, the train ride home and the greeting squad at King’s Cross. Luna Lovegood is a Maladictus - youtube.com/watch?v=HQRg27GeNYw&amp;themeRefresh=1 05:30 - Chapter Breakdown 56:00 - Ad Break (Shopify) 57:15 - More Chapter Breakdown 1:48:54 - Closing Thoughts and Review</t>
        </is>
      </c>
      <c r="V87" s="47">
        <f>IF(AND(P87&gt;=Calendar!$K$2,P87&lt;EDATE(Calendar!$K$2,1),OR(Calendar!$K$4="*",N87=Calendar!$K$4)),P87*100+COUNTIFS($P$6:$P$3267,P87,$Q$6:$Q$3267,"&lt;="&amp;Q87,$N$6:$N$3267,Calendar!$K$4),"")</f>
        <v/>
      </c>
      <c r="W87" s="47">
        <f>IF(AND(B87=Queue!$C$4,OR(Queue!$K$4="*",N87=Queue!$K$4)),Q87,"")</f>
        <v/>
      </c>
    </row>
    <row r="88">
      <c r="A88" s="38">
        <f>IF(M88="","",HYPERLINK("https://www.youtube.com/watch?v="&amp;M88,"▶"))</f>
        <v/>
      </c>
      <c r="B88" s="39">
        <f>IF(C88&lt;&gt;"",C88,IF(P88&lt;=IFERROR(INDEX(tblChannels[Watched Through],MATCH(N88,tblChannels[Channel ID],0)),0),"Watched","Unwatched"))</f>
        <v/>
      </c>
      <c r="C88" s="40" t="n"/>
      <c r="D88" s="41" t="n"/>
      <c r="E88" s="42" t="n">
        <v>46164.625</v>
      </c>
      <c r="F88" s="50" t="inlineStr">
        <is>
          <t>Super Carlin Brothers</t>
        </is>
      </c>
      <c r="G88" t="inlineStr">
        <is>
          <t>Did Fiendfyre DESTROY the Room of Requirement?</t>
        </is>
      </c>
      <c r="H88" s="44" t="n">
        <v>0.009780092592592592</v>
      </c>
      <c r="I88" s="45" t="n">
        <v>78545</v>
      </c>
      <c r="J88" s="45" t="n">
        <v>3563</v>
      </c>
      <c r="K88" s="45" t="n">
        <v>477</v>
      </c>
      <c r="L88" s="46" t="n"/>
      <c r="M88" s="47" t="n"/>
      <c r="N88" s="47" t="inlineStr">
        <is>
          <t>UCKZo4N0lVPccBkSiuyVh4yg</t>
        </is>
      </c>
      <c r="O88" s="48" t="n">
        <v>46164.79166666666</v>
      </c>
      <c r="P88" s="49" t="n">
        <v>46164</v>
      </c>
      <c r="Q88" s="47" t="n">
        <v>3180</v>
      </c>
      <c r="R88" s="47" t="inlineStr">
        <is>
          <t>No Video ID yet</t>
        </is>
      </c>
      <c r="S88" s="49" t="n"/>
      <c r="T88" s="49" t="n"/>
      <c r="U88" s="47" t="inlineStr">
        <is>
          <t>This episode is sponsored by Raycon – Go to to get 15% off. This episode is sponsored by Better Help – Sign up and get 10% off at Today Ben dives into the wizarding world of Harry Potter and the flaming inferno of the Room of Requirement to try and find out what became of Hogwarts most magical room after Crabbe filled the room with Fiendfyre! How does the Room of Requirement Work? Does it still work? Today we find out! #harrypotter #supercarlinbrothers</t>
        </is>
      </c>
      <c r="V88" s="47">
        <f>IF(AND(P88&gt;=Calendar!$K$2,P88&lt;EDATE(Calendar!$K$2,1),OR(Calendar!$K$4="*",N88=Calendar!$K$4)),P88*100+COUNTIFS($P$6:$P$3267,P88,$Q$6:$Q$3267,"&lt;="&amp;Q88,$N$6:$N$3267,Calendar!$K$4),"")</f>
        <v/>
      </c>
      <c r="W88" s="47">
        <f>IF(AND(B88=Queue!$C$4,OR(Queue!$K$4="*",N88=Queue!$K$4)),Q88,"")</f>
        <v/>
      </c>
    </row>
    <row r="89">
      <c r="A89" s="38">
        <f>IF(M89="","",HYPERLINK("https://www.youtube.com/watch?v="&amp;M89,"▶"))</f>
        <v/>
      </c>
      <c r="B89" s="39">
        <f>IF(C89&lt;&gt;"",C89,IF(P89&lt;=IFERROR(INDEX(tblChannels[Watched Through],MATCH(N89,tblChannels[Channel ID],0)),0),"Watched","Unwatched"))</f>
        <v/>
      </c>
      <c r="C89" s="40" t="n"/>
      <c r="D89" s="41" t="n"/>
      <c r="E89" s="42" t="n">
        <v>46164.41666666666</v>
      </c>
      <c r="F89" s="43" t="inlineStr">
        <is>
          <t>Popcorn Culture</t>
        </is>
      </c>
      <c r="G89" t="inlineStr">
        <is>
          <t>The Beginning of the End | Popcorn Culture</t>
        </is>
      </c>
      <c r="H89" s="44" t="n">
        <v>0.04288194444444444</v>
      </c>
      <c r="I89" s="45" t="n">
        <v>2183</v>
      </c>
      <c r="J89" s="45" t="n">
        <v>123</v>
      </c>
      <c r="K89" s="45" t="n">
        <v>11</v>
      </c>
      <c r="L89" s="46" t="n"/>
      <c r="M89" s="47" t="n"/>
      <c r="N89" s="47" t="inlineStr">
        <is>
          <t>UCHfIbq9thHPC8yrKjAdJgDA</t>
        </is>
      </c>
      <c r="O89" s="48" t="n">
        <v>46164.58333333334</v>
      </c>
      <c r="P89" s="49" t="n">
        <v>46164</v>
      </c>
      <c r="Q89" s="47" t="n">
        <v>3179</v>
      </c>
      <c r="R89" s="47" t="inlineStr">
        <is>
          <t>No Video ID yet</t>
        </is>
      </c>
      <c r="S89" s="49" t="n"/>
      <c r="T89" s="49" t="n"/>
      <c r="U89" s="47" t="inlineStr">
        <is>
          <t>In the 337th episode of the Pop, Ben and J discuss a new psychology book, Mother’s Day, Famous Anthoy’s, routines, dirt logistics, and dead grass patches by the basketball hoop (but in a wholesome way). 00:00 - Intro, Reverse Psychology 02:13 - Mother’s Day 09:09 - Habit Training</t>
        </is>
      </c>
      <c r="V89" s="47">
        <f>IF(AND(P89&gt;=Calendar!$K$2,P89&lt;EDATE(Calendar!$K$2,1),OR(Calendar!$K$4="*",N89=Calendar!$K$4)),P89*100+COUNTIFS($P$6:$P$3267,P89,$Q$6:$Q$3267,"&lt;="&amp;Q89,$N$6:$N$3267,Calendar!$K$4),"")</f>
        <v/>
      </c>
      <c r="W89" s="47">
        <f>IF(AND(B89=Queue!$C$4,OR(Queue!$K$4="*",N89=Queue!$K$4)),Q89,"")</f>
        <v/>
      </c>
    </row>
    <row r="90">
      <c r="A90" s="38">
        <f>IF(M90="","",HYPERLINK("https://www.youtube.com/watch?v="&amp;M90,"▶"))</f>
        <v/>
      </c>
      <c r="B90" s="39">
        <f>IF(C90&lt;&gt;"",C90,IF(P90&lt;=IFERROR(INDEX(tblChannels[Watched Through],MATCH(N90,tblChannels[Channel ID],0)),0),"Watched","Unwatched"))</f>
        <v/>
      </c>
      <c r="C90" s="40" t="n"/>
      <c r="D90" s="41" t="n"/>
      <c r="E90" s="42" t="n">
        <v>46162.68194444444</v>
      </c>
      <c r="F90" s="50" t="inlineStr">
        <is>
          <t>Super Carlin Brothers</t>
        </is>
      </c>
      <c r="G90" t="inlineStr">
        <is>
          <t>How Well Do You REALLY Know Molly &amp; Arthur?</t>
        </is>
      </c>
      <c r="H90" s="44" t="n">
        <v>0.02572916666666667</v>
      </c>
      <c r="I90" s="45" t="n">
        <v>63662</v>
      </c>
      <c r="J90" s="45" t="n">
        <v>2590</v>
      </c>
      <c r="K90" s="45" t="n">
        <v>318</v>
      </c>
      <c r="L90" s="46" t="n"/>
      <c r="M90" s="47" t="n"/>
      <c r="N90" s="47" t="inlineStr">
        <is>
          <t>UCKZo4N0lVPccBkSiuyVh4yg</t>
        </is>
      </c>
      <c r="O90" s="48" t="n">
        <v>46162.84861111111</v>
      </c>
      <c r="P90" s="49" t="n">
        <v>46162</v>
      </c>
      <c r="Q90" s="47" t="n">
        <v>3178</v>
      </c>
      <c r="R90" s="47" t="inlineStr">
        <is>
          <t>No Video ID yet</t>
        </is>
      </c>
      <c r="S90" s="49" t="n"/>
      <c r="T90" s="49" t="n"/>
      <c r="U90" s="47" t="inlineStr">
        <is>
          <t>The Everyday Earbuds Classic are here to help you go for gold. Go to to get 15% off. Thanks Raycon for sponsoring! Today J and Ben face off once more to find out who knows more about the best parents in the Wizarding World Molly and Arthur Weasley! Who was the caretaker when they were at school? What is Arthur’s secret name for Molly? And what oh WHAT is Arthur’s dearest ambition!? ️ Through the Griffin Door LIVE Tour:: #harrypotter #jvsben Hosted by: Kat Stine</t>
        </is>
      </c>
      <c r="V90" s="47">
        <f>IF(AND(P90&gt;=Calendar!$K$2,P90&lt;EDATE(Calendar!$K$2,1),OR(Calendar!$K$4="*",N90=Calendar!$K$4)),P90*100+COUNTIFS($P$6:$P$3267,P90,$Q$6:$Q$3267,"&lt;="&amp;Q90,$N$6:$N$3267,Calendar!$K$4),"")</f>
        <v/>
      </c>
      <c r="W90" s="47">
        <f>IF(AND(B90=Queue!$C$4,OR(Queue!$K$4="*",N90=Queue!$K$4)),Q90,"")</f>
        <v/>
      </c>
    </row>
    <row r="91">
      <c r="A91" s="38">
        <f>IF(M91="","",HYPERLINK("https://www.youtube.com/watch?v="&amp;M91,"▶"))</f>
        <v/>
      </c>
      <c r="B91" s="39">
        <f>IF(C91&lt;&gt;"",C91,IF(P91&lt;=IFERROR(INDEX(tblChannels[Watched Through],MATCH(N91,tblChannels[Channel ID],0)),0),"Watched","Unwatched"))</f>
        <v/>
      </c>
      <c r="C91" s="40" t="n"/>
      <c r="D91" s="41" t="n"/>
      <c r="E91" s="42" t="n">
        <v>46160.70833333334</v>
      </c>
      <c r="F91" s="51" t="inlineStr">
        <is>
          <t>Through The Griffin Door</t>
        </is>
      </c>
      <c r="G91" t="inlineStr">
        <is>
          <t>LIVE in Houston - Chapter 37: The Lost Prophecy | Order of the Phoenix</t>
        </is>
      </c>
      <c r="H91" s="44" t="n">
        <v>0.08097222222222222</v>
      </c>
      <c r="I91" s="45" t="n">
        <v>7040</v>
      </c>
      <c r="J91" s="45" t="n">
        <v>233</v>
      </c>
      <c r="K91" s="45" t="n">
        <v>51</v>
      </c>
      <c r="L91" s="46" t="n"/>
      <c r="M91" s="47" t="n"/>
      <c r="N91" s="47" t="inlineStr">
        <is>
          <t>UCEscP6ETYXWSSvsNrDHekMQ</t>
        </is>
      </c>
      <c r="O91" s="48" t="n">
        <v>46160.875</v>
      </c>
      <c r="P91" s="49" t="n">
        <v>46160</v>
      </c>
      <c r="Q91" s="47" t="n">
        <v>3177</v>
      </c>
      <c r="R91" s="47" t="inlineStr">
        <is>
          <t>No Video ID yet</t>
        </is>
      </c>
      <c r="S91" s="49" t="n"/>
      <c r="T91" s="49" t="n"/>
      <c r="U91" s="47" t="inlineStr">
        <is>
          <t>Join J and Ben as they compete in a LIVE J vs Ben and dive BACK into Chapter 37, discussing the position of the sun, Harry not being angry enough and Dumbledore explaining why (aka his actual BIG PLAN). Want to see us do this IN REAL LIFE? Get your Through the Griffin Tour Northeast Tickets Here:</t>
        </is>
      </c>
      <c r="V91" s="47">
        <f>IF(AND(P91&gt;=Calendar!$K$2,P91&lt;EDATE(Calendar!$K$2,1),OR(Calendar!$K$4="*",N91=Calendar!$K$4)),P91*100+COUNTIFS($P$6:$P$3267,P91,$Q$6:$Q$3267,"&lt;="&amp;Q91,$N$6:$N$3267,Calendar!$K$4),"")</f>
        <v/>
      </c>
      <c r="W91" s="47">
        <f>IF(AND(B91=Queue!$C$4,OR(Queue!$K$4="*",N91=Queue!$K$4)),Q91,"")</f>
        <v/>
      </c>
    </row>
    <row r="92">
      <c r="A92" s="38">
        <f>IF(M92="","",HYPERLINK("https://www.youtube.com/watch?v="&amp;M92,"▶"))</f>
        <v/>
      </c>
      <c r="B92" s="39">
        <f>IF(C92&lt;&gt;"",C92,IF(P92&lt;=IFERROR(INDEX(tblChannels[Watched Through],MATCH(N92,tblChannels[Channel ID],0)),0),"Watched","Unwatched"))</f>
        <v/>
      </c>
      <c r="C92" s="40" t="n"/>
      <c r="D92" s="41" t="n"/>
      <c r="E92" s="42" t="n">
        <v>46160.69652777778</v>
      </c>
      <c r="F92" s="50" t="inlineStr">
        <is>
          <t>Super Carlin Brothers</t>
        </is>
      </c>
      <c r="G92" t="inlineStr">
        <is>
          <t>Can We Beat Our Old Selves?</t>
        </is>
      </c>
      <c r="H92" s="44" t="n">
        <v>0.03231481481481482</v>
      </c>
      <c r="I92" s="45" t="n">
        <v>97853</v>
      </c>
      <c r="J92" s="45" t="n">
        <v>3638</v>
      </c>
      <c r="K92" s="45" t="n">
        <v>386</v>
      </c>
      <c r="L92" s="46" t="n"/>
      <c r="M92" s="47" t="n"/>
      <c r="N92" s="47" t="inlineStr">
        <is>
          <t>UCKZo4N0lVPccBkSiuyVh4yg</t>
        </is>
      </c>
      <c r="O92" s="48" t="n">
        <v>46160.86319444444</v>
      </c>
      <c r="P92" s="49" t="n">
        <v>46160</v>
      </c>
      <c r="Q92" s="47" t="n">
        <v>3176</v>
      </c>
      <c r="R92" s="47" t="inlineStr">
        <is>
          <t>No Video ID yet</t>
        </is>
      </c>
      <c r="S92" s="49" t="n"/>
      <c r="T92" s="49" t="n"/>
      <c r="U92" s="47" t="inlineStr">
        <is>
          <t>Thank you Helix Sleep for sponsoring! Visit to take advantage of their Memorial Day Sale Exclusive Partner Offer and get 27% Off Sitewide! Today J and Ben face off against… themselves from the past! Today we are Time Turning all the way back to our first ever Harry Potter Quiz to see if we have gotten any smarter when it comes to Albus Dumbledore! Has our knowledge increase, or will our younger selves destroy us!? #harrypotter #dumbledore #jvsben Hosted by: Isybelle Christley (present) &amp; Beth Carlin (past)</t>
        </is>
      </c>
      <c r="V92" s="47">
        <f>IF(AND(P92&gt;=Calendar!$K$2,P92&lt;EDATE(Calendar!$K$2,1),OR(Calendar!$K$4="*",N92=Calendar!$K$4)),P92*100+COUNTIFS($P$6:$P$3267,P92,$Q$6:$Q$3267,"&lt;="&amp;Q92,$N$6:$N$3267,Calendar!$K$4),"")</f>
        <v/>
      </c>
      <c r="W92" s="47">
        <f>IF(AND(B92=Queue!$C$4,OR(Queue!$K$4="*",N92=Queue!$K$4)),Q92,"")</f>
        <v/>
      </c>
    </row>
    <row r="93">
      <c r="A93" s="38">
        <f>IF(M93="","",HYPERLINK("https://www.youtube.com/watch?v="&amp;M93,"▶"))</f>
        <v/>
      </c>
      <c r="B93" s="39">
        <f>IF(C93&lt;&gt;"",C93,IF(P93&lt;=IFERROR(INDEX(tblChannels[Watched Through],MATCH(N93,tblChannels[Channel ID],0)),0),"Watched","Unwatched"))</f>
        <v/>
      </c>
      <c r="C93" s="40" t="n"/>
      <c r="D93" s="41" t="n"/>
      <c r="E93" s="42" t="n">
        <v>46159.41666666666</v>
      </c>
      <c r="F93" s="51" t="inlineStr">
        <is>
          <t>Through The Griffin Door</t>
        </is>
      </c>
      <c r="G93" t="inlineStr">
        <is>
          <t>Chapter 37: The Lost Prophecy | Order of the Phoenix</t>
        </is>
      </c>
      <c r="H93" s="44" t="n">
        <v>0.09283564814814815</v>
      </c>
      <c r="I93" s="45" t="n">
        <v>44658</v>
      </c>
      <c r="J93" s="45" t="n">
        <v>1108</v>
      </c>
      <c r="K93" s="45" t="n">
        <v>350</v>
      </c>
      <c r="L93" s="46" t="n"/>
      <c r="M93" s="47" t="n"/>
      <c r="N93" s="47" t="inlineStr">
        <is>
          <t>UCEscP6ETYXWSSvsNrDHekMQ</t>
        </is>
      </c>
      <c r="O93" s="48" t="n">
        <v>46159.58333333334</v>
      </c>
      <c r="P93" s="49" t="n">
        <v>46159</v>
      </c>
      <c r="Q93" s="47" t="n">
        <v>3175</v>
      </c>
      <c r="R93" s="47" t="inlineStr">
        <is>
          <t>No Video ID yet</t>
        </is>
      </c>
      <c r="S93" s="49" t="n"/>
      <c r="T93" s="49" t="n"/>
      <c r="U93" s="47" t="inlineStr">
        <is>
          <t>This episode is sponsored by KiwiCo - Get $10 off on your Summer Adventure Series at kiwico.com/SUMMER, promo code GRIFFIN. Join J and Ben as they dive into Chapter 37 of the Order of the Phoenix and discuss Harry facing the grief alone and possibly how the Horcrux in him reacts, Dumbledore’s lengthy explanation of “an old man’s mistakes”, and the actual contents of the Prophecy. A Goofy Movie - Emperor’s New Groove - What If Ron Was In Hufflepuff? - 05:30 - Chapter Breakdown 1:19:06 - Ad Break (KiwiCo) 1:20:29 - More Chapter Breakdown</t>
        </is>
      </c>
      <c r="V93" s="47">
        <f>IF(AND(P93&gt;=Calendar!$K$2,P93&lt;EDATE(Calendar!$K$2,1),OR(Calendar!$K$4="*",N93=Calendar!$K$4)),P93*100+COUNTIFS($P$6:$P$3267,P93,$Q$6:$Q$3267,"&lt;="&amp;Q93,$N$6:$N$3267,Calendar!$K$4),"")</f>
        <v/>
      </c>
      <c r="W93" s="47">
        <f>IF(AND(B93=Queue!$C$4,OR(Queue!$K$4="*",N93=Queue!$K$4)),Q93,"")</f>
        <v/>
      </c>
    </row>
    <row r="94">
      <c r="A94" s="38">
        <f>IF(M94="","",HYPERLINK("https://www.youtube.com/watch?v="&amp;M94,"▶"))</f>
        <v/>
      </c>
      <c r="B94" s="39">
        <f>IF(C94&lt;&gt;"",C94,IF(P94&lt;=IFERROR(INDEX(tblChannels[Watched Through],MATCH(N94,tblChannels[Channel ID],0)),0),"Watched","Unwatched"))</f>
        <v/>
      </c>
      <c r="C94" s="40" t="n"/>
      <c r="D94" s="41" t="n"/>
      <c r="E94" s="42" t="n">
        <v>46157.68402777778</v>
      </c>
      <c r="F94" s="50" t="inlineStr">
        <is>
          <t>Super Carlin Brothers</t>
        </is>
      </c>
      <c r="G94" t="inlineStr">
        <is>
          <t>This Voldemort Theory Is WAY Too Dark</t>
        </is>
      </c>
      <c r="H94" s="44" t="n">
        <v>0.01153935185185185</v>
      </c>
      <c r="I94" s="45" t="n">
        <v>340843</v>
      </c>
      <c r="J94" s="45" t="n">
        <v>10526</v>
      </c>
      <c r="K94" s="45" t="n">
        <v>911</v>
      </c>
      <c r="L94" s="46" t="n"/>
      <c r="M94" s="47" t="n"/>
      <c r="N94" s="47" t="inlineStr">
        <is>
          <t>UCKZo4N0lVPccBkSiuyVh4yg</t>
        </is>
      </c>
      <c r="O94" s="48" t="n">
        <v>46157.85069444445</v>
      </c>
      <c r="P94" s="49" t="n">
        <v>46157</v>
      </c>
      <c r="Q94" s="47" t="n">
        <v>3174</v>
      </c>
      <c r="R94" s="47" t="inlineStr">
        <is>
          <t>No Video ID yet</t>
        </is>
      </c>
      <c r="S94" s="49" t="n"/>
      <c r="T94" s="49" t="n"/>
      <c r="U94" s="47" t="inlineStr">
        <is>
          <t>The Everyday Earbuds Classic are here to help get outside and LOCK IN - Go to to get 15% off. Thanks Raycon for sponsoring! What exactly WAS Voldemort’s terrifying baby-like body in Goblet of Fire… and how did he create it before his rebirth ritual? Today, J dive into one of the darkest Harry Potter theories we’ve ever covered: exploring the disturbing connection between Bertha Jorkins, Nagini, unicorn blood, and Voldemort’s horrifying temporary form. Did Voldemort create a body for himself long before the graveyard resurrection? And if so… what/who did it cost? #harrypotter #voldemort</t>
        </is>
      </c>
      <c r="V94" s="47">
        <f>IF(AND(P94&gt;=Calendar!$K$2,P94&lt;EDATE(Calendar!$K$2,1),OR(Calendar!$K$4="*",N94=Calendar!$K$4)),P94*100+COUNTIFS($P$6:$P$3267,P94,$Q$6:$Q$3267,"&lt;="&amp;Q94,$N$6:$N$3267,Calendar!$K$4),"")</f>
        <v/>
      </c>
      <c r="W94" s="47">
        <f>IF(AND(B94=Queue!$C$4,OR(Queue!$K$4="*",N94=Queue!$K$4)),Q94,"")</f>
        <v/>
      </c>
    </row>
    <row r="95">
      <c r="A95" s="38">
        <f>IF(M95="","",HYPERLINK("https://www.youtube.com/watch?v="&amp;M95,"▶"))</f>
        <v/>
      </c>
      <c r="B95" s="39">
        <f>IF(C95&lt;&gt;"",C95,IF(P95&lt;=IFERROR(INDEX(tblChannels[Watched Through],MATCH(N95,tblChannels[Channel ID],0)),0),"Watched","Unwatched"))</f>
        <v/>
      </c>
      <c r="C95" s="40" t="n"/>
      <c r="D95" s="41" t="n"/>
      <c r="E95" s="42" t="n">
        <v>46157.41666666666</v>
      </c>
      <c r="F95" s="43" t="inlineStr">
        <is>
          <t>Popcorn Culture</t>
        </is>
      </c>
      <c r="G95" t="inlineStr">
        <is>
          <t>The Button Experiment | Popcorn Culture</t>
        </is>
      </c>
      <c r="H95" s="44" t="n">
        <v>0.04542824074074074</v>
      </c>
      <c r="I95" s="45" t="n">
        <v>2116</v>
      </c>
      <c r="J95" s="45" t="n">
        <v>110</v>
      </c>
      <c r="K95" s="45" t="n">
        <v>16</v>
      </c>
      <c r="L95" s="46" t="n"/>
      <c r="M95" s="47" t="n"/>
      <c r="N95" s="47" t="inlineStr">
        <is>
          <t>UCHfIbq9thHPC8yrKjAdJgDA</t>
        </is>
      </c>
      <c r="O95" s="48" t="n">
        <v>46157.58333333334</v>
      </c>
      <c r="P95" s="49" t="n">
        <v>46157</v>
      </c>
      <c r="Q95" s="47" t="n">
        <v>3173</v>
      </c>
      <c r="R95" s="47" t="inlineStr">
        <is>
          <t>No Video ID yet</t>
        </is>
      </c>
      <c r="S95" s="49" t="n"/>
      <c r="T95" s="49" t="n"/>
      <c r="U95" s="47" t="inlineStr">
        <is>
          <t>Ben and J discuss being ahead, J’s triathlon, an interesting thought experiment, The Onion, Hügelkultur and an F1 update. Relevant Links The Onion - Alternate Title: Hügelkultur 00:00 - Intro, Getting Ahead 02:54 - J’s Triathlon 26:17 - The Button Experiment 41:25 - The Onion 52:22 - Hügelkultur</t>
        </is>
      </c>
      <c r="V95" s="47">
        <f>IF(AND(P95&gt;=Calendar!$K$2,P95&lt;EDATE(Calendar!$K$2,1),OR(Calendar!$K$4="*",N95=Calendar!$K$4)),P95*100+COUNTIFS($P$6:$P$3267,P95,$Q$6:$Q$3267,"&lt;="&amp;Q95,$N$6:$N$3267,Calendar!$K$4),"")</f>
        <v/>
      </c>
      <c r="W95" s="47">
        <f>IF(AND(B95=Queue!$C$4,OR(Queue!$K$4="*",N95=Queue!$K$4)),Q95,"")</f>
        <v/>
      </c>
    </row>
    <row r="96">
      <c r="A96" s="38">
        <f>IF(M96="","",HYPERLINK("https://www.youtube.com/watch?v="&amp;M96,"▶"))</f>
        <v/>
      </c>
      <c r="B96" s="39">
        <f>IF(C96&lt;&gt;"",C96,IF(P96&lt;=IFERROR(INDEX(tblChannels[Watched Through],MATCH(N96,tblChannels[Channel ID],0)),0),"Watched","Unwatched"))</f>
        <v/>
      </c>
      <c r="C96" s="40" t="n"/>
      <c r="D96" s="41" t="n"/>
      <c r="E96" s="42" t="n">
        <v>46155.68402777778</v>
      </c>
      <c r="F96" s="50" t="inlineStr">
        <is>
          <t>Super Carlin Brothers</t>
        </is>
      </c>
      <c r="G96" t="inlineStr">
        <is>
          <t>Who REALLY Would’ve Won the Triwizard Tournament?</t>
        </is>
      </c>
      <c r="H96" s="44" t="n">
        <v>0.01282407407407407</v>
      </c>
      <c r="I96" s="45" t="n">
        <v>171352</v>
      </c>
      <c r="J96" s="45" t="n">
        <v>5096</v>
      </c>
      <c r="K96" s="45" t="n">
        <v>674</v>
      </c>
      <c r="L96" s="46" t="n"/>
      <c r="M96" s="47" t="n"/>
      <c r="N96" s="47" t="inlineStr">
        <is>
          <t>UCKZo4N0lVPccBkSiuyVh4yg</t>
        </is>
      </c>
      <c r="O96" s="48" t="n">
        <v>46155.85069444445</v>
      </c>
      <c r="P96" s="49" t="n">
        <v>46155</v>
      </c>
      <c r="Q96" s="47" t="n">
        <v>3172</v>
      </c>
      <c r="R96" s="47" t="inlineStr">
        <is>
          <t>No Video ID yet</t>
        </is>
      </c>
      <c r="S96" s="49" t="n"/>
      <c r="T96" s="49" t="n"/>
      <c r="U96" s="47" t="inlineStr">
        <is>
          <t>This show is sponsored by BetterHelp. Go to for 10% off your first month. What if Harry Potter was NEVER entered into the Triwizard Tournament? Without Barty Crouch Jr rigging the competition from behind the scenes… who ACTUALLY wins? Cedric Diggory? Viktor Krum? Or Fleur Delacour? Today we break down every task of the Triwizard Tournament to determine who the TRUE Triwizard Champion would have been in a “fair” competition.</t>
        </is>
      </c>
      <c r="V96" s="47">
        <f>IF(AND(P96&gt;=Calendar!$K$2,P96&lt;EDATE(Calendar!$K$2,1),OR(Calendar!$K$4="*",N96=Calendar!$K$4)),P96*100+COUNTIFS($P$6:$P$3267,P96,$Q$6:$Q$3267,"&lt;="&amp;Q96,$N$6:$N$3267,Calendar!$K$4),"")</f>
        <v/>
      </c>
      <c r="W96" s="47">
        <f>IF(AND(B96=Queue!$C$4,OR(Queue!$K$4="*",N96=Queue!$K$4)),Q96,"")</f>
        <v/>
      </c>
    </row>
    <row r="97">
      <c r="A97" s="38">
        <f>IF(M97="","",HYPERLINK("https://www.youtube.com/watch?v="&amp;M97,"▶"))</f>
        <v/>
      </c>
      <c r="B97" s="39">
        <f>IF(C97&lt;&gt;"",C97,IF(P97&lt;=IFERROR(INDEX(tblChannels[Watched Through],MATCH(N97,tblChannels[Channel ID],0)),0),"Watched","Unwatched"))</f>
        <v/>
      </c>
      <c r="C97" s="40" t="n"/>
      <c r="D97" s="41" t="n"/>
      <c r="E97" s="42" t="n">
        <v>46153.70833333334</v>
      </c>
      <c r="F97" s="51" t="inlineStr">
        <is>
          <t>Through The Griffin Door</t>
        </is>
      </c>
      <c r="G97" t="inlineStr">
        <is>
          <t>LIVE in Phoenix - Chapter 36: The Only One He Ever Feared | Order of the Phoenix</t>
        </is>
      </c>
      <c r="H97" s="44" t="n">
        <v>0.07519675925925925</v>
      </c>
      <c r="I97" s="45" t="n">
        <v>7736</v>
      </c>
      <c r="J97" s="45" t="n">
        <v>285</v>
      </c>
      <c r="K97" s="45" t="n">
        <v>55</v>
      </c>
      <c r="L97" s="46" t="n"/>
      <c r="M97" s="47" t="n"/>
      <c r="N97" s="47" t="inlineStr">
        <is>
          <t>UCEscP6ETYXWSSvsNrDHekMQ</t>
        </is>
      </c>
      <c r="O97" s="48" t="n">
        <v>46153.875</v>
      </c>
      <c r="P97" s="49" t="n">
        <v>46153</v>
      </c>
      <c r="Q97" s="47" t="n">
        <v>3171</v>
      </c>
      <c r="R97" s="47" t="inlineStr">
        <is>
          <t>No Video ID yet</t>
        </is>
      </c>
      <c r="S97" s="49" t="n"/>
      <c r="T97" s="49" t="n"/>
      <c r="U97" s="47" t="inlineStr">
        <is>
          <t>Join J and Ben as they compete in a LIVE J vs Ben and dive BACK into Chapter 36, discussing Harry’s obvious stages of grief, power math, the idiocy of Voldemort’s plan, the epic battle between Dumbledore and Voldemort, Harry being possessed and the ministry FINALLY seeing sense. Want to see us do this IN REAL LIFE? Get your Trash Pandas Tickets Here: OR get your Through the Griffin Tour Northeast Tickets Here:</t>
        </is>
      </c>
      <c r="V97" s="47">
        <f>IF(AND(P97&gt;=Calendar!$K$2,P97&lt;EDATE(Calendar!$K$2,1),OR(Calendar!$K$4="*",N97=Calendar!$K$4)),P97*100+COUNTIFS($P$6:$P$3267,P97,$Q$6:$Q$3267,"&lt;="&amp;Q97,$N$6:$N$3267,Calendar!$K$4),"")</f>
        <v/>
      </c>
      <c r="W97" s="47">
        <f>IF(AND(B97=Queue!$C$4,OR(Queue!$K$4="*",N97=Queue!$K$4)),Q97,"")</f>
        <v/>
      </c>
    </row>
    <row r="98">
      <c r="A98" s="38">
        <f>IF(M98="","",HYPERLINK("https://www.youtube.com/watch?v="&amp;M98,"▶"))</f>
        <v/>
      </c>
      <c r="B98" s="39">
        <f>IF(C98&lt;&gt;"",C98,IF(P98&lt;=IFERROR(INDEX(tblChannels[Watched Through],MATCH(N98,tblChannels[Channel ID],0)),0),"Watched","Unwatched"))</f>
        <v/>
      </c>
      <c r="C98" s="40" t="n"/>
      <c r="D98" s="41" t="n"/>
      <c r="E98" s="42" t="n">
        <v>46152.41736111111</v>
      </c>
      <c r="F98" s="51" t="inlineStr">
        <is>
          <t>Through The Griffin Door</t>
        </is>
      </c>
      <c r="G98" t="inlineStr">
        <is>
          <t>Chapter 36: The Only One He Ever Feared | Order of the Phoenix</t>
        </is>
      </c>
      <c r="H98" s="44" t="n">
        <v>0.06488425925925925</v>
      </c>
      <c r="I98" s="45" t="n">
        <v>35633</v>
      </c>
      <c r="J98" s="45" t="n">
        <v>1019</v>
      </c>
      <c r="K98" s="45" t="n">
        <v>352</v>
      </c>
      <c r="L98" s="46" t="n"/>
      <c r="M98" s="47" t="n"/>
      <c r="N98" s="47" t="inlineStr">
        <is>
          <t>UCEscP6ETYXWSSvsNrDHekMQ</t>
        </is>
      </c>
      <c r="O98" s="48" t="n">
        <v>46152.58402777778</v>
      </c>
      <c r="P98" s="49" t="n">
        <v>46152</v>
      </c>
      <c r="Q98" s="47" t="n">
        <v>3170</v>
      </c>
      <c r="R98" s="47" t="inlineStr">
        <is>
          <t>No Video ID yet</t>
        </is>
      </c>
      <c r="S98" s="49" t="n"/>
      <c r="T98" s="49" t="n"/>
      <c r="U98" s="47" t="inlineStr">
        <is>
          <t>This episode is sponsored by AuraFrames - Exclusive $25 off Carver Mat at Promo Code GRIFFIN Join J and Ben as they dive into Chapter 36 of the Order of the Phoenix and discuss Lupin’s loss, the five stages of grief, Dumbledore’s control of the Elder Wand, Bellatrix’s raw power, Voldemort arriving, the most creative, inventive battle in the whole series, Harry being possessed and Dumbledore taking charge. Was Ginny the TRUE Master of Harry’s Wand? - The DARK TRUTH Behind the Fountain of Magical Brethren - Harry IS The Philosopher’s Stone - 08:21 - Chapter Breakdown 31:29 - Ad Break (Shopify and Aura Frames) 34:08- More Chapter Breakdown 1:25:22- Closing Thoughts and Review</t>
        </is>
      </c>
      <c r="V98" s="47">
        <f>IF(AND(P98&gt;=Calendar!$K$2,P98&lt;EDATE(Calendar!$K$2,1),OR(Calendar!$K$4="*",N98=Calendar!$K$4)),P98*100+COUNTIFS($P$6:$P$3267,P98,$Q$6:$Q$3267,"&lt;="&amp;Q98,$N$6:$N$3267,Calendar!$K$4),"")</f>
        <v/>
      </c>
      <c r="W98" s="47">
        <f>IF(AND(B98=Queue!$C$4,OR(Queue!$K$4="*",N98=Queue!$K$4)),Q98,"")</f>
        <v/>
      </c>
    </row>
    <row r="99">
      <c r="A99" s="38">
        <f>IF(M99="","",HYPERLINK("https://www.youtube.com/watch?v="&amp;M99,"▶"))</f>
        <v/>
      </c>
      <c r="B99" s="39">
        <f>IF(C99&lt;&gt;"",C99,IF(P99&lt;=IFERROR(INDEX(tblChannels[Watched Through],MATCH(N99,tblChannels[Channel ID],0)),0),"Watched","Unwatched"))</f>
        <v/>
      </c>
      <c r="C99" s="40" t="n"/>
      <c r="D99" s="41" t="n"/>
      <c r="E99" s="42" t="n">
        <v>46150.63333333333</v>
      </c>
      <c r="F99" s="50" t="inlineStr">
        <is>
          <t>Super Carlin Brothers</t>
        </is>
      </c>
      <c r="G99" t="inlineStr">
        <is>
          <t>Why Harry Chose Sirius Over Lupin</t>
        </is>
      </c>
      <c r="H99" s="44" t="n">
        <v>0.01011574074074074</v>
      </c>
      <c r="I99" s="45" t="n">
        <v>69864</v>
      </c>
      <c r="J99" s="45" t="n">
        <v>3184</v>
      </c>
      <c r="K99" s="45" t="n">
        <v>296</v>
      </c>
      <c r="L99" s="46" t="n"/>
      <c r="M99" s="47" t="n"/>
      <c r="N99" s="47" t="inlineStr">
        <is>
          <t>UCKZo4N0lVPccBkSiuyVh4yg</t>
        </is>
      </c>
      <c r="O99" s="48" t="n">
        <v>46150.8</v>
      </c>
      <c r="P99" s="49" t="n">
        <v>46150</v>
      </c>
      <c r="Q99" s="47" t="n">
        <v>3169</v>
      </c>
      <c r="R99" s="47" t="inlineStr">
        <is>
          <t>No Video ID yet</t>
        </is>
      </c>
      <c r="S99" s="49" t="n"/>
      <c r="T99" s="49" t="n"/>
      <c r="U99" s="47" t="inlineStr">
        <is>
          <t>This show is sponsored by Better Help - Sign up and get 10% off at Harry Potter had TWO surviving connections to his parents after Prisoner of Azkaban: Sirius Black and Remus Lupin. So why does Harry almost immediately turn to Sirius for help… while Lupin fades into the background? Today we explore one of the saddest relationship dynamics in the entire Harry Potter series — and why Lupin may have unintentionally taught Harry not to rely on him. From Goblet of Fire to Order of the Phoenix, the difference between Sirius and Lupin comes down to one thing: Availability vs vulnerability. #HarryPotter #SuperCarlinBrothers #RemusLupin #SiriusBlack</t>
        </is>
      </c>
      <c r="V99" s="47">
        <f>IF(AND(P99&gt;=Calendar!$K$2,P99&lt;EDATE(Calendar!$K$2,1),OR(Calendar!$K$4="*",N99=Calendar!$K$4)),P99*100+COUNTIFS($P$6:$P$3267,P99,$Q$6:$Q$3267,"&lt;="&amp;Q99,$N$6:$N$3267,Calendar!$K$4),"")</f>
        <v/>
      </c>
      <c r="W99" s="47">
        <f>IF(AND(B99=Queue!$C$4,OR(Queue!$K$4="*",N99=Queue!$K$4)),Q99,"")</f>
        <v/>
      </c>
    </row>
    <row r="100">
      <c r="A100" s="38">
        <f>IF(M100="","",HYPERLINK("https://www.youtube.com/watch?v="&amp;M100,"▶"))</f>
        <v/>
      </c>
      <c r="B100" s="39">
        <f>IF(C100&lt;&gt;"",C100,IF(P100&lt;=IFERROR(INDEX(tblChannels[Watched Through],MATCH(N100,tblChannels[Channel ID],0)),0),"Watched","Unwatched"))</f>
        <v/>
      </c>
      <c r="C100" s="40" t="n"/>
      <c r="D100" s="41" t="n"/>
      <c r="E100" s="42" t="n">
        <v>46150.41666666666</v>
      </c>
      <c r="F100" s="43" t="inlineStr">
        <is>
          <t>Popcorn Culture</t>
        </is>
      </c>
      <c r="G100" t="inlineStr">
        <is>
          <t>How To Fix The World | Popcorn Culture</t>
        </is>
      </c>
      <c r="H100" s="44" t="n">
        <v>0.04258101851851852</v>
      </c>
      <c r="I100" s="45" t="n">
        <v>2143</v>
      </c>
      <c r="J100" s="45" t="n">
        <v>112</v>
      </c>
      <c r="K100" s="45" t="n">
        <v>26</v>
      </c>
      <c r="L100" s="46" t="n"/>
      <c r="M100" s="47" t="n"/>
      <c r="N100" s="47" t="inlineStr">
        <is>
          <t>UCHfIbq9thHPC8yrKjAdJgDA</t>
        </is>
      </c>
      <c r="O100" s="48" t="n">
        <v>46150.58333333334</v>
      </c>
      <c r="P100" s="49" t="n">
        <v>46150</v>
      </c>
      <c r="Q100" s="47" t="n">
        <v>3168</v>
      </c>
      <c r="R100" s="47" t="inlineStr">
        <is>
          <t>No Video ID yet</t>
        </is>
      </c>
      <c r="S100" s="49" t="n"/>
      <c r="T100" s="49" t="n"/>
      <c r="U100" s="47" t="inlineStr">
        <is>
          <t>In episode 335 of the Pop, Ben and J discuss J’s new glow, independence vs dependence and collectivism vs individualism.</t>
        </is>
      </c>
      <c r="V100" s="47">
        <f>IF(AND(P100&gt;=Calendar!$K$2,P100&lt;EDATE(Calendar!$K$2,1),OR(Calendar!$K$4="*",N100=Calendar!$K$4)),P100*100+COUNTIFS($P$6:$P$3267,P100,$Q$6:$Q$3267,"&lt;="&amp;Q100,$N$6:$N$3267,Calendar!$K$4),"")</f>
        <v/>
      </c>
      <c r="W100" s="47">
        <f>IF(AND(B100=Queue!$C$4,OR(Queue!$K$4="*",N100=Queue!$K$4)),Q100,"")</f>
        <v/>
      </c>
    </row>
    <row r="101">
      <c r="A101" s="38">
        <f>IF(M101="","",HYPERLINK("https://www.youtube.com/watch?v="&amp;M101,"▶"))</f>
        <v/>
      </c>
      <c r="B101" s="39">
        <f>IF(C101&lt;&gt;"",C101,IF(P101&lt;=IFERROR(INDEX(tblChannels[Watched Through],MATCH(N101,tblChannels[Channel ID],0)),0),"Watched","Unwatched"))</f>
        <v/>
      </c>
      <c r="C101" s="40" t="n"/>
      <c r="D101" s="41" t="n"/>
      <c r="E101" s="42" t="n">
        <v>46148.72430555556</v>
      </c>
      <c r="F101" s="50" t="inlineStr">
        <is>
          <t>Super Carlin Brothers</t>
        </is>
      </c>
      <c r="G101" t="inlineStr">
        <is>
          <t>Can We Pass This BRUTAL Mauraders Quiz?! | J vs Ben</t>
        </is>
      </c>
      <c r="H101" s="44" t="n">
        <v>0.02806712962962963</v>
      </c>
      <c r="I101" s="45" t="n">
        <v>73045</v>
      </c>
      <c r="J101" s="45" t="n">
        <v>2654</v>
      </c>
      <c r="K101" s="45" t="n">
        <v>263</v>
      </c>
      <c r="L101" s="46" t="n"/>
      <c r="M101" s="47" t="n"/>
      <c r="N101" s="47" t="inlineStr">
        <is>
          <t>UCKZo4N0lVPccBkSiuyVh4yg</t>
        </is>
      </c>
      <c r="O101" s="48" t="n">
        <v>46148.89097222222</v>
      </c>
      <c r="P101" s="49" t="n">
        <v>46148</v>
      </c>
      <c r="Q101" s="47" t="n">
        <v>3167</v>
      </c>
      <c r="R101" s="47" t="inlineStr">
        <is>
          <t>No Video ID yet</t>
        </is>
      </c>
      <c r="S101" s="49" t="n"/>
      <c r="T101" s="49" t="n"/>
      <c r="U101" s="47" t="inlineStr">
        <is>
          <t>This show is sponsored by Aura Frames - Exclusive $25-off Carver Mat at with promo Code SCB. This show is sponsored by Raycon - Go to buyracon.com/jvsb to get 15% off your order. This show is sponsored by Factor - Head to factormeals.com/jvsb50off and use code jvsb50off to get 50 percent off and free daily greens per box. And check out J’s favorite meal! - Today J and Ben face off in a BRUTALLY difficult Marauders Harry Potter Trivia Quiz to find out who knows James Potter, Sirius Black, Remus Lupin and Peter Pettigrew (ew) the best! Special thanks to these Quiz Masters: LawNinja, Bunny, Drawing Xaos, Tara Walker, TrexDog, Kat Holmes, Michelle G., Kaz Hogg, Big D., Oryan’s Wizard Parts, GooeyChewie, Katrina(aaah!), Tegan Steffen, Storm, Bradferd, Bem’s Half Brother, CraftyLiz, Matthew Loveday, Rachel Fountain, Boullion Cube, Nick Dyal, Hermione Baggins, and magicalmisfires 🎟️ Through the Griffin Door LIVE Tour</t>
        </is>
      </c>
      <c r="V101" s="47">
        <f>IF(AND(P101&gt;=Calendar!$K$2,P101&lt;EDATE(Calendar!$K$2,1),OR(Calendar!$K$4="*",N101=Calendar!$K$4)),P101*100+COUNTIFS($P$6:$P$3267,P101,$Q$6:$Q$3267,"&lt;="&amp;Q101,$N$6:$N$3267,Calendar!$K$4),"")</f>
        <v/>
      </c>
      <c r="W101" s="47">
        <f>IF(AND(B101=Queue!$C$4,OR(Queue!$K$4="*",N101=Queue!$K$4)),Q101,"")</f>
        <v/>
      </c>
    </row>
    <row r="102">
      <c r="A102" s="38">
        <f>IF(M102="","",HYPERLINK("https://www.youtube.com/watch?v="&amp;M102,"▶"))</f>
        <v/>
      </c>
      <c r="B102" s="39">
        <f>IF(C102&lt;&gt;"",C102,IF(P102&lt;=IFERROR(INDEX(tblChannels[Watched Through],MATCH(N102,tblChannels[Channel ID],0)),0),"Watched","Unwatched"))</f>
        <v/>
      </c>
      <c r="C102" s="40" t="n"/>
      <c r="D102" s="41" t="n"/>
      <c r="E102" s="42" t="n">
        <v>46146.70833333334</v>
      </c>
      <c r="F102" s="51" t="inlineStr">
        <is>
          <t>Through The Griffin Door</t>
        </is>
      </c>
      <c r="G102" t="inlineStr">
        <is>
          <t>LIVE in Las Vegas - Chapter 35: Beyond the Veil | Order of the Phoenix</t>
        </is>
      </c>
      <c r="H102" s="44" t="n">
        <v>0.0862037037037037</v>
      </c>
      <c r="I102" s="45" t="n">
        <v>7030</v>
      </c>
      <c r="J102" s="45" t="n">
        <v>259</v>
      </c>
      <c r="K102" s="45" t="n">
        <v>75</v>
      </c>
      <c r="L102" s="46" t="n"/>
      <c r="M102" s="47" t="n"/>
      <c r="N102" s="47" t="inlineStr">
        <is>
          <t>UCEscP6ETYXWSSvsNrDHekMQ</t>
        </is>
      </c>
      <c r="O102" s="48" t="n">
        <v>46146.875</v>
      </c>
      <c r="P102" s="49" t="n">
        <v>46146</v>
      </c>
      <c r="Q102" s="47" t="n">
        <v>3166</v>
      </c>
      <c r="R102" s="47" t="inlineStr">
        <is>
          <t>No Video ID yet</t>
        </is>
      </c>
      <c r="S102" s="49" t="n"/>
      <c r="T102" s="49" t="n"/>
      <c r="U102" s="47" t="inlineStr">
        <is>
          <t>Join J and Ben as they compete in a LIVE J vs Ben and dive BACK into Chapter 35, giving a SPOT ON Bellatrix impression, discussing cool Avengers moments, Lucius MONOLOGUING, the various DA adventures when they’re separated, and finally the death of Sirius… IN COUNTRY ACCENTS! Want to see us do this IN REAL LIFE? Get your Trash Pandas Tickets Here: OR get your Through the Griffin Tour Northeast Tickets Here:</t>
        </is>
      </c>
      <c r="V102" s="47">
        <f>IF(AND(P102&gt;=Calendar!$K$2,P102&lt;EDATE(Calendar!$K$2,1),OR(Calendar!$K$4="*",N102=Calendar!$K$4)),P102*100+COUNTIFS($P$6:$P$3267,P102,$Q$6:$Q$3267,"&lt;="&amp;Q102,$N$6:$N$3267,Calendar!$K$4),"")</f>
        <v/>
      </c>
      <c r="W102" s="47">
        <f>IF(AND(B102=Queue!$C$4,OR(Queue!$K$4="*",N102=Queue!$K$4)),Q102,"")</f>
        <v/>
      </c>
    </row>
    <row r="103">
      <c r="A103" s="38">
        <f>IF(M103="","",HYPERLINK("https://www.youtube.com/watch?v="&amp;M103,"▶"))</f>
        <v/>
      </c>
      <c r="B103" s="39">
        <f>IF(C103&lt;&gt;"",C103,IF(P103&lt;=IFERROR(INDEX(tblChannels[Watched Through],MATCH(N103,tblChannels[Channel ID],0)),0),"Watched","Unwatched"))</f>
        <v/>
      </c>
      <c r="C103" s="40" t="n"/>
      <c r="D103" s="41" t="n"/>
      <c r="E103" s="42" t="n">
        <v>46145.41666666666</v>
      </c>
      <c r="F103" s="51" t="inlineStr">
        <is>
          <t>Through The Griffin Door</t>
        </is>
      </c>
      <c r="G103" t="inlineStr">
        <is>
          <t>Chapter 35: Beyond the Veil | Order of the Phoenix</t>
        </is>
      </c>
      <c r="H103" s="44" t="n">
        <v>0.07930555555555556</v>
      </c>
      <c r="I103" s="45" t="n">
        <v>37621</v>
      </c>
      <c r="J103" s="45" t="n">
        <v>1044</v>
      </c>
      <c r="K103" s="45" t="n">
        <v>349</v>
      </c>
      <c r="L103" s="46" t="n"/>
      <c r="M103" s="47" t="n"/>
      <c r="N103" s="47" t="inlineStr">
        <is>
          <t>UCEscP6ETYXWSSvsNrDHekMQ</t>
        </is>
      </c>
      <c r="O103" s="48" t="n">
        <v>46145.58333333334</v>
      </c>
      <c r="P103" s="49" t="n">
        <v>46145</v>
      </c>
      <c r="Q103" s="47" t="n">
        <v>3165</v>
      </c>
      <c r="R103" s="47" t="inlineStr">
        <is>
          <t>No Video ID yet</t>
        </is>
      </c>
      <c r="S103" s="49" t="n"/>
      <c r="T103" s="49" t="n"/>
      <c r="U103" s="47" t="inlineStr">
        <is>
          <t>This episode is sponsored by AuraFrames - Exclusive $25 off Carver Mat at Promo Code GRIFFIN Join J and Ben as they dive into Chapter 35 of the Order of the Phoenix and discuss Avengers moments, Lucius being a terrible Death Eater, smashing the prophecy shelves and the ensuing battle, a plot significant dancing spell, the OotP arriving and the tragic end. Was Ginny the TRUE Master of Harry’s Wand? - 06:55 - Chapter Breakdown 56:57 - Ad Break (Aura Frames) 58:16 - More Chapter Breakdown 1:51:33 - Closing Thoughts and Review</t>
        </is>
      </c>
      <c r="V103" s="47">
        <f>IF(AND(P103&gt;=Calendar!$K$2,P103&lt;EDATE(Calendar!$K$2,1),OR(Calendar!$K$4="*",N103=Calendar!$K$4)),P103*100+COUNTIFS($P$6:$P$3267,P103,$Q$6:$Q$3267,"&lt;="&amp;Q103,$N$6:$N$3267,Calendar!$K$4),"")</f>
        <v/>
      </c>
      <c r="W103" s="47">
        <f>IF(AND(B103=Queue!$C$4,OR(Queue!$K$4="*",N103=Queue!$K$4)),Q103,"")</f>
        <v/>
      </c>
    </row>
    <row r="104">
      <c r="A104" s="38">
        <f>IF(M104="","",HYPERLINK("https://www.youtube.com/watch?v="&amp;M104,"▶"))</f>
        <v/>
      </c>
      <c r="B104" s="39">
        <f>IF(C104&lt;&gt;"",C104,IF(P104&lt;=IFERROR(INDEX(tblChannels[Watched Through],MATCH(N104,tblChannels[Channel ID],0)),0),"Watched","Unwatched"))</f>
        <v/>
      </c>
      <c r="C104" s="40" t="n"/>
      <c r="D104" s="41" t="n"/>
      <c r="E104" s="42" t="n">
        <v>46143.71041666667</v>
      </c>
      <c r="F104" s="50" t="inlineStr">
        <is>
          <t>Super Carlin Brothers</t>
        </is>
      </c>
      <c r="G104" t="inlineStr">
        <is>
          <t>The Horcrux Kill That NEVER Made Sense… Until Now</t>
        </is>
      </c>
      <c r="H104" s="44" t="n">
        <v>0.01324074074074074</v>
      </c>
      <c r="I104" s="45" t="n">
        <v>343092</v>
      </c>
      <c r="J104" s="45" t="n">
        <v>9038</v>
      </c>
      <c r="K104" s="45" t="n">
        <v>937</v>
      </c>
      <c r="L104" s="46" t="n"/>
      <c r="M104" s="47" t="n"/>
      <c r="N104" s="47" t="inlineStr">
        <is>
          <t>UCKZo4N0lVPccBkSiuyVh4yg</t>
        </is>
      </c>
      <c r="O104" s="48" t="n">
        <v>46143.87708333333</v>
      </c>
      <c r="P104" s="49" t="n">
        <v>46143</v>
      </c>
      <c r="Q104" s="47" t="n">
        <v>3164</v>
      </c>
      <c r="R104" s="47" t="inlineStr">
        <is>
          <t>No Video ID yet</t>
        </is>
      </c>
      <c r="S104" s="49" t="n"/>
      <c r="T104" s="49" t="n"/>
      <c r="U104" s="47" t="inlineStr">
        <is>
          <t>Go to to Get 10 Free meals and a free Nutribullet® Ultra Plus on your 3rd box. We know Voldemort created 7 Horcruxes using 7 murders—but not all of those victims make sense. Sure, killing his father, Myrtle, or Bertha Jorkins tracks… but an Albanian peasant? A muggle tramp? For years, these deaths have seemed completely random… Until NOW! Today, we’re breaking down every Horcrux Voldemort ever made— including the Albanian Peasant and Muggle Tramp (who isn’t as random as you think!) #HarryPotter #Voldemort #Horcrux 🎟️ Through the Griffin Door LIVE Tour</t>
        </is>
      </c>
      <c r="V104" s="47">
        <f>IF(AND(P104&gt;=Calendar!$K$2,P104&lt;EDATE(Calendar!$K$2,1),OR(Calendar!$K$4="*",N104=Calendar!$K$4)),P104*100+COUNTIFS($P$6:$P$3267,P104,$Q$6:$Q$3267,"&lt;="&amp;Q104,$N$6:$N$3267,Calendar!$K$4),"")</f>
        <v/>
      </c>
      <c r="W104" s="47">
        <f>IF(AND(B104=Queue!$C$4,OR(Queue!$K$4="*",N104=Queue!$K$4)),Q104,"")</f>
        <v/>
      </c>
    </row>
    <row r="105">
      <c r="A105" s="38">
        <f>IF(M105="","",HYPERLINK("https://www.youtube.com/watch?v="&amp;M105,"▶"))</f>
        <v/>
      </c>
      <c r="B105" s="39">
        <f>IF(C105&lt;&gt;"",C105,IF(P105&lt;=IFERROR(INDEX(tblChannels[Watched Through],MATCH(N105,tblChannels[Channel ID],0)),0),"Watched","Unwatched"))</f>
        <v/>
      </c>
      <c r="C105" s="40" t="n"/>
      <c r="D105" s="41" t="n"/>
      <c r="E105" s="42" t="n">
        <v>46143.41666666666</v>
      </c>
      <c r="F105" s="43" t="inlineStr">
        <is>
          <t>Popcorn Culture</t>
        </is>
      </c>
      <c r="G105" t="inlineStr">
        <is>
          <t>The Reverse Onus | Popcorn Culture</t>
        </is>
      </c>
      <c r="H105" s="44" t="n">
        <v>0.04328703703703703</v>
      </c>
      <c r="I105" s="45" t="n">
        <v>2153</v>
      </c>
      <c r="J105" s="45" t="n">
        <v>115</v>
      </c>
      <c r="K105" s="45" t="n">
        <v>25</v>
      </c>
      <c r="L105" s="46" t="n"/>
      <c r="M105" s="47" t="n"/>
      <c r="N105" s="47" t="inlineStr">
        <is>
          <t>UCHfIbq9thHPC8yrKjAdJgDA</t>
        </is>
      </c>
      <c r="O105" s="48" t="n">
        <v>46143.58333333334</v>
      </c>
      <c r="P105" s="49" t="n">
        <v>46143</v>
      </c>
      <c r="Q105" s="47" t="n">
        <v>3163</v>
      </c>
      <c r="R105" s="47" t="inlineStr">
        <is>
          <t>No Video ID yet</t>
        </is>
      </c>
      <c r="S105" s="49" t="n"/>
      <c r="T105" s="49" t="n"/>
      <c r="U105" s="47" t="inlineStr">
        <is>
          <t>In the 334th episode of the Pop, Ben and J discuss showing Luke the childhood home, the first KPOP Vegas residency, teeth brushing technique, basketball hoops, flexseal and icebreakers. J’s KPOP Playlist - Alternate Title: YNOT Now You Know The Game The Whole Mouth Situation Don’t Read The Comments 00:00 - Intro, Childhood Home 33:39 - Teeth Brushing 47:22 - The Reverse Onus 59:25 - Alien Advice</t>
        </is>
      </c>
      <c r="V105" s="47">
        <f>IF(AND(P105&gt;=Calendar!$K$2,P105&lt;EDATE(Calendar!$K$2,1),OR(Calendar!$K$4="*",N105=Calendar!$K$4)),P105*100+COUNTIFS($P$6:$P$3267,P105,$Q$6:$Q$3267,"&lt;="&amp;Q105,$N$6:$N$3267,Calendar!$K$4),"")</f>
        <v/>
      </c>
      <c r="W105" s="47">
        <f>IF(AND(B105=Queue!$C$4,OR(Queue!$K$4="*",N105=Queue!$K$4)),Q105,"")</f>
        <v/>
      </c>
    </row>
    <row r="106">
      <c r="A106" s="38">
        <f>IF(M106="","",HYPERLINK("https://www.youtube.com/watch?v="&amp;M106,"▶"))</f>
        <v/>
      </c>
      <c r="B106" s="39">
        <f>IF(C106&lt;&gt;"",C106,IF(P106&lt;=IFERROR(INDEX(tblChannels[Watched Through],MATCH(N106,tblChannels[Channel ID],0)),0),"Watched","Unwatched"))</f>
        <v/>
      </c>
      <c r="C106" s="40" t="n"/>
      <c r="D106" s="41" t="n"/>
      <c r="E106" s="42" t="n">
        <v>46141.67222222222</v>
      </c>
      <c r="F106" s="50" t="inlineStr">
        <is>
          <t>Super Carlin Brothers</t>
        </is>
      </c>
      <c r="G106" t="inlineStr">
        <is>
          <t>Harry Potter Killed Dobby (And I Can Prove It)</t>
        </is>
      </c>
      <c r="H106" s="44" t="n">
        <v>0.009988425925925927</v>
      </c>
      <c r="I106" s="45" t="n">
        <v>56116</v>
      </c>
      <c r="J106" s="45" t="n">
        <v>2715</v>
      </c>
      <c r="K106" s="45" t="n">
        <v>354</v>
      </c>
      <c r="L106" s="46" t="n"/>
      <c r="M106" s="47" t="n"/>
      <c r="N106" s="47" t="inlineStr">
        <is>
          <t>UCKZo4N0lVPccBkSiuyVh4yg</t>
        </is>
      </c>
      <c r="O106" s="48" t="n">
        <v>46141.83888888889</v>
      </c>
      <c r="P106" s="49" t="n">
        <v>46141</v>
      </c>
      <c r="Q106" s="47" t="n">
        <v>3162</v>
      </c>
      <c r="R106" s="47" t="inlineStr">
        <is>
          <t>No Video ID yet</t>
        </is>
      </c>
      <c r="S106" s="49" t="n"/>
      <c r="T106" s="49" t="n"/>
      <c r="U106" s="47" t="inlineStr">
        <is>
          <t>This show is sponsored by BetterHelp. Go to for 10% off your first month. Everyone blames Bellatrix for Dobby’s death… but what if that’s not the full story? Today, we’re breaking down the hidden moment in Harry Potter and the Chamber of Secrets that may have sealed Dobby’s fate long before Harry Potter and the Deathly Hallows ever began. Did Harry accidentally cause Dobby’s death? And could a simple promise have acted like a magical contract? Let’s dive in. #SuperCarlinBrothers #HarryPotter #Dobby 🎟️ Through the Griffin Door LIVE Tour</t>
        </is>
      </c>
      <c r="V106" s="47">
        <f>IF(AND(P106&gt;=Calendar!$K$2,P106&lt;EDATE(Calendar!$K$2,1),OR(Calendar!$K$4="*",N106=Calendar!$K$4)),P106*100+COUNTIFS($P$6:$P$3267,P106,$Q$6:$Q$3267,"&lt;="&amp;Q106,$N$6:$N$3267,Calendar!$K$4),"")</f>
        <v/>
      </c>
      <c r="W106" s="47">
        <f>IF(AND(B106=Queue!$C$4,OR(Queue!$K$4="*",N106=Queue!$K$4)),Q106,"")</f>
        <v/>
      </c>
    </row>
    <row r="107">
      <c r="A107" s="38">
        <f>IF(M107="","",HYPERLINK("https://www.youtube.com/watch?v="&amp;M107,"▶"))</f>
        <v/>
      </c>
      <c r="B107" s="39">
        <f>IF(C107&lt;&gt;"",C107,IF(P107&lt;=IFERROR(INDEX(tblChannels[Watched Through],MATCH(N107,tblChannels[Channel ID],0)),0),"Watched","Unwatched"))</f>
        <v/>
      </c>
      <c r="C107" s="40" t="n"/>
      <c r="D107" s="41" t="n"/>
      <c r="E107" s="42" t="n">
        <v>46140.70833333334</v>
      </c>
      <c r="F107" s="51" t="inlineStr">
        <is>
          <t>Through The Griffin Door</t>
        </is>
      </c>
      <c r="G107" t="inlineStr">
        <is>
          <t>LIVE in Salt Lake City - Chapter 34: The Department of Mysteries | Order of the Phoenix</t>
        </is>
      </c>
      <c r="H107" s="44" t="n">
        <v>0.06944444444444445</v>
      </c>
      <c r="I107" s="45" t="n">
        <v>8074</v>
      </c>
      <c r="J107" s="45" t="n">
        <v>310</v>
      </c>
      <c r="K107" s="45" t="n">
        <v>97</v>
      </c>
      <c r="L107" s="46" t="n"/>
      <c r="M107" s="47" t="n"/>
      <c r="N107" s="47" t="inlineStr">
        <is>
          <t>UCEscP6ETYXWSSvsNrDHekMQ</t>
        </is>
      </c>
      <c r="O107" s="48" t="n">
        <v>46140.875</v>
      </c>
      <c r="P107" s="49" t="n">
        <v>46140</v>
      </c>
      <c r="Q107" s="47" t="n">
        <v>3161</v>
      </c>
      <c r="R107" s="47" t="inlineStr">
        <is>
          <t>No Video ID yet</t>
        </is>
      </c>
      <c r="S107" s="49" t="n"/>
      <c r="T107" s="49" t="n"/>
      <c r="U107" s="47" t="inlineStr">
        <is>
          <t>Join J and Ben as they compete in a LIVE J vs Ben and dive BACK into Chapter 34, discussing the SEVEN LAYERS OF HELL aka, the various rooms and obstacles in the Department of Mysteries and what they symbolize. Want to see us do this IN REAL LIFE? Get your Trash Pandas Tickets Here: OR get your Through the Griffin Tour Northeast Tickets Here:</t>
        </is>
      </c>
      <c r="V107" s="47">
        <f>IF(AND(P107&gt;=Calendar!$K$2,P107&lt;EDATE(Calendar!$K$2,1),OR(Calendar!$K$4="*",N107=Calendar!$K$4)),P107*100+COUNTIFS($P$6:$P$3267,P107,$Q$6:$Q$3267,"&lt;="&amp;Q107,$N$6:$N$3267,Calendar!$K$4),"")</f>
        <v/>
      </c>
      <c r="W107" s="47">
        <f>IF(AND(B107=Queue!$C$4,OR(Queue!$K$4="*",N107=Queue!$K$4)),Q107,"")</f>
        <v/>
      </c>
    </row>
    <row r="108">
      <c r="A108" s="38">
        <f>IF(M108="","",HYPERLINK("https://www.youtube.com/watch?v="&amp;M108,"▶"))</f>
        <v/>
      </c>
      <c r="B108" s="39">
        <f>IF(C108&lt;&gt;"",C108,IF(P108&lt;=IFERROR(INDEX(tblChannels[Watched Through],MATCH(N108,tblChannels[Channel ID],0)),0),"Watched","Unwatched"))</f>
        <v/>
      </c>
      <c r="C108" s="40" t="n"/>
      <c r="D108" s="41" t="n"/>
      <c r="E108" s="42" t="n">
        <v>46138.41736111111</v>
      </c>
      <c r="F108" s="51" t="inlineStr">
        <is>
          <t>Through The Griffin Door</t>
        </is>
      </c>
      <c r="G108" t="inlineStr">
        <is>
          <t>Chapter 34: The Department of Mysteries | Order of the Phoenix</t>
        </is>
      </c>
      <c r="H108" s="44" t="n">
        <v>0.06938657407407407</v>
      </c>
      <c r="I108" s="45" t="n">
        <v>36004</v>
      </c>
      <c r="J108" s="45" t="n">
        <v>981</v>
      </c>
      <c r="K108" s="45" t="n">
        <v>378</v>
      </c>
      <c r="L108" s="46" t="n"/>
      <c r="M108" s="47" t="n"/>
      <c r="N108" s="47" t="inlineStr">
        <is>
          <t>UCEscP6ETYXWSSvsNrDHekMQ</t>
        </is>
      </c>
      <c r="O108" s="48" t="n">
        <v>46138.58402777778</v>
      </c>
      <c r="P108" s="49" t="n">
        <v>46138</v>
      </c>
      <c r="Q108" s="47" t="n">
        <v>3160</v>
      </c>
      <c r="R108" s="47" t="inlineStr">
        <is>
          <t>No Video ID yet</t>
        </is>
      </c>
      <c r="S108" s="49" t="n"/>
      <c r="T108" s="49" t="n"/>
      <c r="U108" s="47" t="inlineStr">
        <is>
          <t>Join J and Ben as they dive into Chapter 34 of the Order of the Phoenix and discuss riding the thestrals, Luna’s relaxed attitude, a mysterious dumpster, the Dante’s Inferno’s metaphor, Harry accepting his role as leader, the rotating doors, the pull of the Veil and other rooms, and finding the Prophecy. 05:59 - Chapter Breakdown 1:30:52 - Closing Thoughts and Review</t>
        </is>
      </c>
      <c r="V108" s="47">
        <f>IF(AND(P108&gt;=Calendar!$K$2,P108&lt;EDATE(Calendar!$K$2,1),OR(Calendar!$K$4="*",N108=Calendar!$K$4)),P108*100+COUNTIFS($P$6:$P$3267,P108,$Q$6:$Q$3267,"&lt;="&amp;Q108,$N$6:$N$3267,Calendar!$K$4),"")</f>
        <v/>
      </c>
      <c r="W108" s="47">
        <f>IF(AND(B108=Queue!$C$4,OR(Queue!$K$4="*",N108=Queue!$K$4)),Q108,"")</f>
        <v/>
      </c>
    </row>
    <row r="109">
      <c r="A109" s="38">
        <f>IF(M109="","",HYPERLINK("https://www.youtube.com/watch?v="&amp;M109,"▶"))</f>
        <v/>
      </c>
      <c r="B109" s="39">
        <f>IF(C109&lt;&gt;"",C109,IF(P109&lt;=IFERROR(INDEX(tblChannels[Watched Through],MATCH(N109,tblChannels[Channel ID],0)),0),"Watched","Unwatched"))</f>
        <v/>
      </c>
      <c r="C109" s="40" t="n"/>
      <c r="D109" s="41" t="n"/>
      <c r="E109" s="42" t="n">
        <v>46136.7625</v>
      </c>
      <c r="F109" s="50" t="inlineStr">
        <is>
          <t>Super Carlin Brothers</t>
        </is>
      </c>
      <c r="G109" t="inlineStr">
        <is>
          <t>Theories from a Hat: We Defend UNHINGED Harry Potter Theories</t>
        </is>
      </c>
      <c r="H109" s="44" t="n">
        <v>0.03434027777777778</v>
      </c>
      <c r="I109" s="45" t="n">
        <v>88090</v>
      </c>
      <c r="J109" s="45" t="n">
        <v>2956</v>
      </c>
      <c r="K109" s="45" t="n">
        <v>483</v>
      </c>
      <c r="L109" s="46" t="n"/>
      <c r="M109" s="47" t="n"/>
      <c r="N109" s="47" t="inlineStr">
        <is>
          <t>UCKZo4N0lVPccBkSiuyVh4yg</t>
        </is>
      </c>
      <c r="O109" s="48" t="n">
        <v>46136.92916666667</v>
      </c>
      <c r="P109" s="49" t="n">
        <v>46136</v>
      </c>
      <c r="Q109" s="47" t="n">
        <v>3159</v>
      </c>
      <c r="R109" s="47" t="inlineStr">
        <is>
          <t>No Video ID yet</t>
        </is>
      </c>
      <c r="S109" s="49" t="n"/>
      <c r="T109" s="49" t="n"/>
      <c r="U109" s="47" t="inlineStr">
        <is>
          <t>This show is sponsored by BetterHelp. Go to for 10% off your first month. Go to to get 15% off the Everyday Earbuds Classic. Today J and Ben are drawing more unhinged theories from a hat and defending them to the death! Does Sirius Black have a secret twin? Is Hagrid Immortal? Was Harry’s Scar NOT from Voldemort? Was the Sorcerer’s Stone a Fake?? Special thanks to these Patrons: M. Casarico, Sarah Makiyama, Kat Holmes, Pancake Badger, Teghan Denlinger, Captain Kansas, O’Ryan’s Wizard Parts, Gooey Chewie, Bouillon Cube, Lordpooz09, Tara Walker, and Clone Trooper Fives. 🎟️ Through the Griffin Door LIVE Tour</t>
        </is>
      </c>
      <c r="V109" s="47">
        <f>IF(AND(P109&gt;=Calendar!$K$2,P109&lt;EDATE(Calendar!$K$2,1),OR(Calendar!$K$4="*",N109=Calendar!$K$4)),P109*100+COUNTIFS($P$6:$P$3267,P109,$Q$6:$Q$3267,"&lt;="&amp;Q109,$N$6:$N$3267,Calendar!$K$4),"")</f>
        <v/>
      </c>
      <c r="W109" s="47">
        <f>IF(AND(B109=Queue!$C$4,OR(Queue!$K$4="*",N109=Queue!$K$4)),Q109,"")</f>
        <v/>
      </c>
    </row>
    <row r="110">
      <c r="A110" s="38">
        <f>IF(M110="","",HYPERLINK("https://www.youtube.com/watch?v="&amp;M110,"▶"))</f>
        <v/>
      </c>
      <c r="B110" s="39">
        <f>IF(C110&lt;&gt;"",C110,IF(P110&lt;=IFERROR(INDEX(tblChannels[Watched Through],MATCH(N110,tblChannels[Channel ID],0)),0),"Watched","Unwatched"))</f>
        <v/>
      </c>
      <c r="C110" s="40" t="n"/>
      <c r="D110" s="41" t="n"/>
      <c r="E110" s="42" t="n">
        <v>46136.64444444444</v>
      </c>
      <c r="F110" s="50" t="inlineStr">
        <is>
          <t>Super Carlin Brothers</t>
        </is>
      </c>
      <c r="G110" t="inlineStr">
        <is>
          <t>Voldemort’s Chipotle Order.. 🫘 #harrypotter</t>
        </is>
      </c>
      <c r="H110" s="44" t="n">
        <v>0.0007291666666666667</v>
      </c>
      <c r="I110" s="45" t="n">
        <v>34302</v>
      </c>
      <c r="J110" s="45" t="n">
        <v>1111</v>
      </c>
      <c r="K110" s="45" t="n">
        <v>33</v>
      </c>
      <c r="L110" s="46" t="n"/>
      <c r="M110" s="47" t="n"/>
      <c r="N110" s="47" t="inlineStr">
        <is>
          <t>UCKZo4N0lVPccBkSiuyVh4yg</t>
        </is>
      </c>
      <c r="O110" s="48" t="n">
        <v>46136.81111111111</v>
      </c>
      <c r="P110" s="49" t="n">
        <v>46136</v>
      </c>
      <c r="Q110" s="47" t="n">
        <v>3158</v>
      </c>
      <c r="R110" s="47" t="inlineStr">
        <is>
          <t>No Video ID yet</t>
        </is>
      </c>
      <c r="S110" s="49" t="n"/>
      <c r="T110" s="49" t="n"/>
      <c r="U110" s="47" t="inlineStr">
        <is>
          <t>Dark beans for his dark toots.. 💨</t>
        </is>
      </c>
      <c r="V110" s="47">
        <f>IF(AND(P110&gt;=Calendar!$K$2,P110&lt;EDATE(Calendar!$K$2,1),OR(Calendar!$K$4="*",N110=Calendar!$K$4)),P110*100+COUNTIFS($P$6:$P$3267,P110,$Q$6:$Q$3267,"&lt;="&amp;Q110,$N$6:$N$3267,Calendar!$K$4),"")</f>
        <v/>
      </c>
      <c r="W110" s="47">
        <f>IF(AND(B110=Queue!$C$4,OR(Queue!$K$4="*",N110=Queue!$K$4)),Q110,"")</f>
        <v/>
      </c>
    </row>
    <row r="111">
      <c r="A111" s="38">
        <f>IF(M111="","",HYPERLINK("https://www.youtube.com/watch?v="&amp;M111,"▶"))</f>
        <v/>
      </c>
      <c r="B111" s="39">
        <f>IF(C111&lt;&gt;"",C111,IF(P111&lt;=IFERROR(INDEX(tblChannels[Watched Through],MATCH(N111,tblChannels[Channel ID],0)),0),"Watched","Unwatched"))</f>
        <v/>
      </c>
      <c r="C111" s="40" t="n"/>
      <c r="D111" s="41" t="n"/>
      <c r="E111" s="42" t="n">
        <v>46136.41666666666</v>
      </c>
      <c r="F111" s="43" t="inlineStr">
        <is>
          <t>Popcorn Culture</t>
        </is>
      </c>
      <c r="G111" t="inlineStr">
        <is>
          <t>Youth’s Handholds | Popcorn Culture</t>
        </is>
      </c>
      <c r="H111" s="44" t="n">
        <v>0.04502314814814815</v>
      </c>
      <c r="I111" s="45" t="n">
        <v>2085</v>
      </c>
      <c r="J111" s="45" t="n">
        <v>94</v>
      </c>
      <c r="K111" s="45" t="n">
        <v>6</v>
      </c>
      <c r="L111" s="46" t="n"/>
      <c r="M111" s="47" t="n"/>
      <c r="N111" s="47" t="inlineStr">
        <is>
          <t>UCHfIbq9thHPC8yrKjAdJgDA</t>
        </is>
      </c>
      <c r="O111" s="48" t="n">
        <v>46136.58333333334</v>
      </c>
      <c r="P111" s="49" t="n">
        <v>46136</v>
      </c>
      <c r="Q111" s="47" t="n">
        <v>3157</v>
      </c>
      <c r="R111" s="47" t="inlineStr">
        <is>
          <t>No Video ID yet</t>
        </is>
      </c>
      <c r="S111" s="49" t="n"/>
      <c r="T111" s="49" t="n"/>
      <c r="U111" s="47" t="inlineStr">
        <is>
          <t>In the 333rd episode of the Pop, Ben and J discuss upcoming tour, doomscrolling, youth’s handholds and worldviews, the kids first hockey game, and event marketing schemes. Half Cut Challenge - 00:00 - Intro, TTGT!! 05:20 - Circing Back to Change 14:38 - Youth Handholds 33:24 - Hockey Game!</t>
        </is>
      </c>
      <c r="V111" s="47">
        <f>IF(AND(P111&gt;=Calendar!$K$2,P111&lt;EDATE(Calendar!$K$2,1),OR(Calendar!$K$4="*",N111=Calendar!$K$4)),P111*100+COUNTIFS($P$6:$P$3267,P111,$Q$6:$Q$3267,"&lt;="&amp;Q111,$N$6:$N$3267,Calendar!$K$4),"")</f>
        <v/>
      </c>
      <c r="W111" s="47">
        <f>IF(AND(B111=Queue!$C$4,OR(Queue!$K$4="*",N111=Queue!$K$4)),Q111,"")</f>
        <v/>
      </c>
    </row>
    <row r="112">
      <c r="A112" s="38">
        <f>IF(M112="","",HYPERLINK("https://www.youtube.com/watch?v="&amp;M112,"▶"))</f>
        <v/>
      </c>
      <c r="B112" s="39">
        <f>IF(C112&lt;&gt;"",C112,IF(P112&lt;=IFERROR(INDEX(tblChannels[Watched Through],MATCH(N112,tblChannels[Channel ID],0)),0),"Watched","Unwatched"))</f>
        <v/>
      </c>
      <c r="C112" s="40" t="n"/>
      <c r="D112" s="41" t="n"/>
      <c r="E112" s="42" t="n">
        <v>46135.48472222222</v>
      </c>
      <c r="F112" s="50" t="inlineStr">
        <is>
          <t>Super Carlin Brothers</t>
        </is>
      </c>
      <c r="G112" t="inlineStr">
        <is>
          <t>Council of Dumbledores: ASSEMBLE!</t>
        </is>
      </c>
      <c r="H112" s="44" t="n">
        <v>0.0002314814814814815</v>
      </c>
      <c r="I112" s="45" t="n">
        <v>30359</v>
      </c>
      <c r="J112" s="45" t="n">
        <v>635</v>
      </c>
      <c r="K112" s="45" t="n">
        <v>25</v>
      </c>
      <c r="L112" s="46" t="n"/>
      <c r="M112" s="47" t="n"/>
      <c r="N112" s="47" t="inlineStr">
        <is>
          <t>UCKZo4N0lVPccBkSiuyVh4yg</t>
        </is>
      </c>
      <c r="O112" s="48" t="n">
        <v>46135.65138888889</v>
      </c>
      <c r="P112" s="49" t="n">
        <v>46135</v>
      </c>
      <c r="Q112" s="47" t="n">
        <v>3156</v>
      </c>
      <c r="R112" s="47" t="inlineStr">
        <is>
          <t>No Video ID yet</t>
        </is>
      </c>
      <c r="S112" s="49" t="n"/>
      <c r="T112" s="49" t="n"/>
      <c r="U112" s="47" t="inlineStr">
        <is>
          <t>Which Dumbledore is your favorite Dumbledore? (And why is it Dumbledore-Door?🚪)</t>
        </is>
      </c>
      <c r="V112" s="47">
        <f>IF(AND(P112&gt;=Calendar!$K$2,P112&lt;EDATE(Calendar!$K$2,1),OR(Calendar!$K$4="*",N112=Calendar!$K$4)),P112*100+COUNTIFS($P$6:$P$3267,P112,$Q$6:$Q$3267,"&lt;="&amp;Q112,$N$6:$N$3267,Calendar!$K$4),"")</f>
        <v/>
      </c>
      <c r="W112" s="47">
        <f>IF(AND(B112=Queue!$C$4,OR(Queue!$K$4="*",N112=Queue!$K$4)),Q112,"")</f>
        <v/>
      </c>
    </row>
    <row r="113">
      <c r="A113" s="38">
        <f>IF(M113="","",HYPERLINK("https://www.youtube.com/watch?v="&amp;M113,"▶"))</f>
        <v/>
      </c>
      <c r="B113" s="39">
        <f>IF(C113&lt;&gt;"",C113,IF(P113&lt;=IFERROR(INDEX(tblChannels[Watched Through],MATCH(N113,tblChannels[Channel ID],0)),0),"Watched","Unwatched"))</f>
        <v/>
      </c>
      <c r="C113" s="40" t="n"/>
      <c r="D113" s="41" t="n"/>
      <c r="E113" s="42" t="n">
        <v>46134.68680555555</v>
      </c>
      <c r="F113" s="50" t="inlineStr">
        <is>
          <t>Super Carlin Brothers</t>
        </is>
      </c>
      <c r="G113" t="inlineStr">
        <is>
          <t>Can We Pass the Hardest Hogwarts Professors Quiz? | J vs Ben</t>
        </is>
      </c>
      <c r="H113" s="44" t="n">
        <v>0.03131944444444444</v>
      </c>
      <c r="I113" s="45" t="n">
        <v>99657</v>
      </c>
      <c r="J113" s="45" t="n">
        <v>3163</v>
      </c>
      <c r="K113" s="45" t="n">
        <v>359</v>
      </c>
      <c r="L113" s="46" t="n"/>
      <c r="M113" s="47" t="n"/>
      <c r="N113" s="47" t="inlineStr">
        <is>
          <t>UCKZo4N0lVPccBkSiuyVh4yg</t>
        </is>
      </c>
      <c r="O113" s="48" t="n">
        <v>46134.85347222222</v>
      </c>
      <c r="P113" s="49" t="n">
        <v>46134</v>
      </c>
      <c r="Q113" s="47" t="n">
        <v>3155</v>
      </c>
      <c r="R113" s="47" t="inlineStr">
        <is>
          <t>No Video ID yet</t>
        </is>
      </c>
      <c r="S113" s="49" t="n"/>
      <c r="T113" s="49" t="n"/>
      <c r="U113" s="47" t="inlineStr">
        <is>
          <t>This episode is sponsored by AuraFrames – Get an exclusive $25-off Carver Mat at with promo Code SCB. This episode is sponsored by Raycon – Go to buyraycon.com/jvsb to get 15% off the Everyday Earbuds Classic. Today J and Ben face off once again in Harry Potter Trivia to find out who knows more about the Professors of Hogwarts School of Witchcraft and Wizardry! From McGonnagal to Snape, Flitwik and even Sinestra.. We cover them all.. But can we remember them! 🎟️ Through the Griffin Door LIVE Tour</t>
        </is>
      </c>
      <c r="V113" s="47">
        <f>IF(AND(P113&gt;=Calendar!$K$2,P113&lt;EDATE(Calendar!$K$2,1),OR(Calendar!$K$4="*",N113=Calendar!$K$4)),P113*100+COUNTIFS($P$6:$P$3267,P113,$Q$6:$Q$3267,"&lt;="&amp;Q113,$N$6:$N$3267,Calendar!$K$4),"")</f>
        <v/>
      </c>
      <c r="W113" s="47">
        <f>IF(AND(B113=Queue!$C$4,OR(Queue!$K$4="*",N113=Queue!$K$4)),Q113,"")</f>
        <v/>
      </c>
    </row>
    <row r="114">
      <c r="A114" s="38">
        <f>IF(M114="","",HYPERLINK("https://www.youtube.com/watch?v="&amp;M114,"▶"))</f>
        <v/>
      </c>
      <c r="B114" s="39">
        <f>IF(C114&lt;&gt;"",C114,IF(P114&lt;=IFERROR(INDEX(tblChannels[Watched Through],MATCH(N114,tblChannels[Channel ID],0)),0),"Watched","Unwatched"))</f>
        <v/>
      </c>
      <c r="C114" s="40" t="n"/>
      <c r="D114" s="41" t="n"/>
      <c r="E114" s="42" t="n">
        <v>46131.41736111111</v>
      </c>
      <c r="F114" s="51" t="inlineStr">
        <is>
          <t>Through The Griffin Door</t>
        </is>
      </c>
      <c r="G114" t="inlineStr">
        <is>
          <t>Chapter 33: Fight and Flight | Order of the Phoenix</t>
        </is>
      </c>
      <c r="H114" s="44" t="n">
        <v>0.05015046296296297</v>
      </c>
      <c r="I114" s="45" t="n">
        <v>29283</v>
      </c>
      <c r="J114" s="45" t="n">
        <v>967</v>
      </c>
      <c r="K114" s="45" t="n">
        <v>234</v>
      </c>
      <c r="L114" s="46" t="n"/>
      <c r="M114" s="47" t="n"/>
      <c r="N114" s="47" t="inlineStr">
        <is>
          <t>UCEscP6ETYXWSSvsNrDHekMQ</t>
        </is>
      </c>
      <c r="O114" s="48" t="n">
        <v>46131.58402777778</v>
      </c>
      <c r="P114" s="49" t="n">
        <v>46131</v>
      </c>
      <c r="Q114" s="47" t="n">
        <v>3154</v>
      </c>
      <c r="R114" s="47" t="inlineStr">
        <is>
          <t>No Video ID yet</t>
        </is>
      </c>
      <c r="S114" s="49" t="n"/>
      <c r="T114" s="49" t="n"/>
      <c r="U114" s="47" t="inlineStr">
        <is>
          <t>This episode is sponsored by AuraFrames - Exclusive $25 off Carver Mat at Promo Code GRIFFIN Join J and Ben as they dive into Chapter 33 of the Order of the Phoenix and discuss Umbridge’s prejudice, Hermione’s planning abilities, and the dedication of the silver trio. 05:13 - Chapter Breakdown 38:43 - Ad Break (Aura Frames and Shopify) 41:36 - More Chapter Breakdown 1:03:07 - Closing Thoughts and Review</t>
        </is>
      </c>
      <c r="V114" s="47">
        <f>IF(AND(P114&gt;=Calendar!$K$2,P114&lt;EDATE(Calendar!$K$2,1),OR(Calendar!$K$4="*",N114=Calendar!$K$4)),P114*100+COUNTIFS($P$6:$P$3267,P114,$Q$6:$Q$3267,"&lt;="&amp;Q114,$N$6:$N$3267,Calendar!$K$4),"")</f>
        <v/>
      </c>
      <c r="W114" s="47">
        <f>IF(AND(B114=Queue!$C$4,OR(Queue!$K$4="*",N114=Queue!$K$4)),Q114,"")</f>
        <v/>
      </c>
    </row>
    <row r="115">
      <c r="A115" s="38">
        <f>IF(M115="","",HYPERLINK("https://www.youtube.com/watch?v="&amp;M115,"▶"))</f>
        <v/>
      </c>
      <c r="B115" s="39">
        <f>IF(C115&lt;&gt;"",C115,IF(P115&lt;=IFERROR(INDEX(tblChannels[Watched Through],MATCH(N115,tblChannels[Channel ID],0)),0),"Watched","Unwatched"))</f>
        <v/>
      </c>
      <c r="C115" s="40" t="n"/>
      <c r="D115" s="41" t="n"/>
      <c r="E115" s="42" t="n">
        <v>46129.68055555555</v>
      </c>
      <c r="F115" s="50" t="inlineStr">
        <is>
          <t>Super Carlin Brothers</t>
        </is>
      </c>
      <c r="G115" t="inlineStr">
        <is>
          <t>Was Ginny the TRUE Master of Harry’s Wand?</t>
        </is>
      </c>
      <c r="H115" s="44" t="n">
        <v>0.01385416666666667</v>
      </c>
      <c r="I115" s="45" t="n">
        <v>70564</v>
      </c>
      <c r="J115" s="45" t="n">
        <v>3121</v>
      </c>
      <c r="K115" s="45" t="n">
        <v>627</v>
      </c>
      <c r="L115" s="46" t="n"/>
      <c r="M115" s="47" t="n"/>
      <c r="N115" s="47" t="inlineStr">
        <is>
          <t>UCKZo4N0lVPccBkSiuyVh4yg</t>
        </is>
      </c>
      <c r="O115" s="48" t="n">
        <v>46129.84722222222</v>
      </c>
      <c r="P115" s="49" t="n">
        <v>46129</v>
      </c>
      <c r="Q115" s="47" t="n">
        <v>3153</v>
      </c>
      <c r="R115" s="47" t="inlineStr">
        <is>
          <t>No Video ID yet</t>
        </is>
      </c>
      <c r="S115" s="49" t="n"/>
      <c r="T115" s="49" t="n"/>
      <c r="U115" s="47" t="inlineStr">
        <is>
          <t>Was Ginny the TRUE Master of Harry’s Wand? This episode is sponsored by Better Help – Go to BetterHelp.com/SUPER to get 10% off your first month. Head to and use code 'super50off' to get 50% off and FREE daily greens per box (See website for more details). Did Ginny Weasley secretly become the true master of Harry Potter’s wand? It sounds impossible… but when you take a closer look at how wand allegiance actually works in the wizarding world, there’s a shocking stretch of the series where Harry may not have been the master of his own wand at all. From Draco Malfoy disarming Dumbledore, to the chaos at Malfoy Manor, to a very overlooked moment in Order of the Phoenix… this theory connects the dots in a way that completely changes how you view Harry’s magic. And if it’s true… Ginny may have been the true master of Harry’s wand for nearly an entire book. Let’s dive in. 🎟️ Through the Griffin Door LIVE Tour</t>
        </is>
      </c>
      <c r="V115" s="47">
        <f>IF(AND(P115&gt;=Calendar!$K$2,P115&lt;EDATE(Calendar!$K$2,1),OR(Calendar!$K$4="*",N115=Calendar!$K$4)),P115*100+COUNTIFS($P$6:$P$3267,P115,$Q$6:$Q$3267,"&lt;="&amp;Q115,$N$6:$N$3267,Calendar!$K$4),"")</f>
        <v/>
      </c>
      <c r="W115" s="47">
        <f>IF(AND(B115=Queue!$C$4,OR(Queue!$K$4="*",N115=Queue!$K$4)),Q115,"")</f>
        <v/>
      </c>
    </row>
    <row r="116">
      <c r="A116" s="38">
        <f>IF(M116="","",HYPERLINK("https://www.youtube.com/watch?v="&amp;M116,"▶"))</f>
        <v/>
      </c>
      <c r="B116" s="39">
        <f>IF(C116&lt;&gt;"",C116,IF(P116&lt;=IFERROR(INDEX(tblChannels[Watched Through],MATCH(N116,tblChannels[Channel ID],0)),0),"Watched","Unwatched"))</f>
        <v/>
      </c>
      <c r="C116" s="40" t="n"/>
      <c r="D116" s="41" t="n"/>
      <c r="E116" s="42" t="n">
        <v>46129.41666666666</v>
      </c>
      <c r="F116" s="43" t="inlineStr">
        <is>
          <t>Popcorn Culture</t>
        </is>
      </c>
      <c r="G116" t="inlineStr">
        <is>
          <t>Chaotic Neutral Tunnel Girl | Popcorn Culture</t>
        </is>
      </c>
      <c r="H116" s="44" t="n">
        <v>0.04824074074074074</v>
      </c>
      <c r="I116" s="45" t="n">
        <v>2436</v>
      </c>
      <c r="J116" s="45" t="n">
        <v>113</v>
      </c>
      <c r="K116" s="45" t="n">
        <v>24</v>
      </c>
      <c r="L116" s="46" t="n"/>
      <c r="M116" s="47" t="n"/>
      <c r="N116" s="47" t="inlineStr">
        <is>
          <t>UCHfIbq9thHPC8yrKjAdJgDA</t>
        </is>
      </c>
      <c r="O116" s="48" t="n">
        <v>46129.58333333334</v>
      </c>
      <c r="P116" s="49" t="n">
        <v>46129</v>
      </c>
      <c r="Q116" s="47" t="n">
        <v>3152</v>
      </c>
      <c r="R116" s="47" t="inlineStr">
        <is>
          <t>No Video ID yet</t>
        </is>
      </c>
      <c r="S116" s="49" t="n"/>
      <c r="T116" s="49" t="n"/>
      <c r="U116" s="47" t="inlineStr">
        <is>
          <t>In the 332nd episode of the Pop, Ben and J discuss compost, Tunnel Girl, a weird social media encounter, the Social Sieve, being corrected, changing your mind and real estate billboards. Tunnel Girl - Alternate Title: Bad at Composting A Saying as Old as Dirt The Social Sieve Billboard Echochamber 00:00 - Intro, DeComposting 07:03 - The Suburban Mining Lady 29:58 - Ben’s Untriumphal Return to Insta 37:50 - The Social Sieve 1:02:45 - Billboards</t>
        </is>
      </c>
      <c r="V116" s="47">
        <f>IF(AND(P116&gt;=Calendar!$K$2,P116&lt;EDATE(Calendar!$K$2,1),OR(Calendar!$K$4="*",N116=Calendar!$K$4)),P116*100+COUNTIFS($P$6:$P$3267,P116,$Q$6:$Q$3267,"&lt;="&amp;Q116,$N$6:$N$3267,Calendar!$K$4),"")</f>
        <v/>
      </c>
      <c r="W116" s="47">
        <f>IF(AND(B116=Queue!$C$4,OR(Queue!$K$4="*",N116=Queue!$K$4)),Q116,"")</f>
        <v/>
      </c>
    </row>
    <row r="117">
      <c r="A117" s="38">
        <f>IF(M117="","",HYPERLINK("https://www.youtube.com/watch?v="&amp;M117,"▶"))</f>
        <v/>
      </c>
      <c r="B117" s="39">
        <f>IF(C117&lt;&gt;"",C117,IF(P117&lt;=IFERROR(INDEX(tblChannels[Watched Through],MATCH(N117,tblChannels[Channel ID],0)),0),"Watched","Unwatched"))</f>
        <v/>
      </c>
      <c r="C117" s="40" t="n"/>
      <c r="D117" s="41" t="n"/>
      <c r="E117" s="42" t="n">
        <v>46127.70277777778</v>
      </c>
      <c r="F117" s="50" t="inlineStr">
        <is>
          <t>Super Carlin Brothers</t>
        </is>
      </c>
      <c r="G117" t="inlineStr">
        <is>
          <t>Can You LOSE the Ability to See Thestrals?</t>
        </is>
      </c>
      <c r="H117" s="44" t="n">
        <v>0.00974537037037037</v>
      </c>
      <c r="I117" s="45" t="n">
        <v>54264</v>
      </c>
      <c r="J117" s="45" t="n">
        <v>2734</v>
      </c>
      <c r="K117" s="45" t="n">
        <v>320</v>
      </c>
      <c r="L117" s="46" t="n"/>
      <c r="M117" s="47" t="n"/>
      <c r="N117" s="47" t="inlineStr">
        <is>
          <t>UCKZo4N0lVPccBkSiuyVh4yg</t>
        </is>
      </c>
      <c r="O117" s="48" t="n">
        <v>46127.86944444444</v>
      </c>
      <c r="P117" s="49" t="n">
        <v>46127</v>
      </c>
      <c r="Q117" s="47" t="n">
        <v>3151</v>
      </c>
      <c r="R117" s="47" t="inlineStr">
        <is>
          <t>No Video ID yet</t>
        </is>
      </c>
      <c r="S117" s="49" t="n"/>
      <c r="T117" s="49" t="n"/>
      <c r="U117" s="47" t="inlineStr">
        <is>
          <t>This episode is sponsored by Better Help – Go to BetterHelp.com/SUPER to get 10% off your first month. Today we’re diving into one of the strangest and most overlooked mysteries in the wizarding world: Thestrals. We all know the rule—only those who have witnessed and comprehended death can see them. But when you start digging into the details… things get weird fast. Why couldn’t Harry see Thestrals at the end of Goblet of Fire? Does “understanding death” matter more than just seeing it? And most importantly… could you actually LOSE the ability to see them? From memory charms to ghosts to the mysterious Veil in the Department of Mysteries, today we’re exploring whether Thestral visibility is physical, mental… or something deeper.</t>
        </is>
      </c>
      <c r="V117" s="47">
        <f>IF(AND(P117&gt;=Calendar!$K$2,P117&lt;EDATE(Calendar!$K$2,1),OR(Calendar!$K$4="*",N117=Calendar!$K$4)),P117*100+COUNTIFS($P$6:$P$3267,P117,$Q$6:$Q$3267,"&lt;="&amp;Q117,$N$6:$N$3267,Calendar!$K$4),"")</f>
        <v/>
      </c>
      <c r="W117" s="47">
        <f>IF(AND(B117=Queue!$C$4,OR(Queue!$K$4="*",N117=Queue!$K$4)),Q117,"")</f>
        <v/>
      </c>
    </row>
    <row r="118">
      <c r="A118" s="38">
        <f>IF(M118="","",HYPERLINK("https://www.youtube.com/watch?v="&amp;M118,"▶"))</f>
        <v/>
      </c>
      <c r="B118" s="39">
        <f>IF(C118&lt;&gt;"",C118,IF(P118&lt;=IFERROR(INDEX(tblChannels[Watched Through],MATCH(N118,tblChannels[Channel ID],0)),0),"Watched","Unwatched"))</f>
        <v/>
      </c>
      <c r="C118" s="40" t="n"/>
      <c r="D118" s="41" t="n"/>
      <c r="E118" s="42" t="n">
        <v>46124.41736111111</v>
      </c>
      <c r="F118" s="51" t="inlineStr">
        <is>
          <t>Through The Griffin Door</t>
        </is>
      </c>
      <c r="G118" t="inlineStr">
        <is>
          <t>Chapter 32: Out of the Fire | Order of the Phoenix</t>
        </is>
      </c>
      <c r="H118" s="44" t="n">
        <v>0.05833333333333333</v>
      </c>
      <c r="I118" s="45" t="n">
        <v>33932</v>
      </c>
      <c r="J118" s="45" t="n">
        <v>1005</v>
      </c>
      <c r="K118" s="45" t="n">
        <v>294</v>
      </c>
      <c r="L118" s="46" t="n"/>
      <c r="M118" s="47" t="n"/>
      <c r="N118" s="47" t="inlineStr">
        <is>
          <t>UCEscP6ETYXWSSvsNrDHekMQ</t>
        </is>
      </c>
      <c r="O118" s="48" t="n">
        <v>46124.58402777778</v>
      </c>
      <c r="P118" s="49" t="n">
        <v>46124</v>
      </c>
      <c r="Q118" s="47" t="n">
        <v>3150</v>
      </c>
      <c r="R118" s="47" t="inlineStr">
        <is>
          <t>No Video ID yet</t>
        </is>
      </c>
      <c r="S118" s="49" t="n"/>
      <c r="T118" s="49" t="n"/>
      <c r="U118" s="47" t="inlineStr">
        <is>
          <t>Join J and Ben as they dive into Chapter 32 of the Order of the Phoenix and discuss professor Tofty’s dulcet tones, Crabbe and Goyle Boil, Voldemort’s Chipotle order, the group’s convoluted plan that immediately gets them caught, and Umbridge becoming completely unhinged. 04:02 - Chapter Breakdown 1:12:27 - Closing Thoughts and Review</t>
        </is>
      </c>
      <c r="V118" s="47">
        <f>IF(AND(P118&gt;=Calendar!$K$2,P118&lt;EDATE(Calendar!$K$2,1),OR(Calendar!$K$4="*",N118=Calendar!$K$4)),P118*100+COUNTIFS($P$6:$P$3267,P118,$Q$6:$Q$3267,"&lt;="&amp;Q118,$N$6:$N$3267,Calendar!$K$4),"")</f>
        <v/>
      </c>
      <c r="W118" s="47">
        <f>IF(AND(B118=Queue!$C$4,OR(Queue!$K$4="*",N118=Queue!$K$4)),Q118,"")</f>
        <v/>
      </c>
    </row>
    <row r="119">
      <c r="A119" s="38">
        <f>IF(M119="","",HYPERLINK("https://www.youtube.com/watch?v="&amp;M119,"▶"))</f>
        <v/>
      </c>
      <c r="B119" s="39">
        <f>IF(C119&lt;&gt;"",C119,IF(P119&lt;=IFERROR(INDEX(tblChannels[Watched Through],MATCH(N119,tblChannels[Channel ID],0)),0),"Watched","Unwatched"))</f>
        <v/>
      </c>
      <c r="C119" s="40" t="n"/>
      <c r="D119" s="41" t="n"/>
      <c r="E119" s="42" t="n">
        <v>46122.68472222222</v>
      </c>
      <c r="F119" s="50" t="inlineStr">
        <is>
          <t>Super Carlin Brothers</t>
        </is>
      </c>
      <c r="G119" t="inlineStr">
        <is>
          <t>Why the Harry Potter Reboot Changes Everything (Marauders Series Explained)</t>
        </is>
      </c>
      <c r="H119" s="44" t="n">
        <v>0.01052083333333333</v>
      </c>
      <c r="I119" s="45" t="n">
        <v>111801</v>
      </c>
      <c r="J119" s="45" t="n">
        <v>4133</v>
      </c>
      <c r="K119" s="45" t="n">
        <v>716</v>
      </c>
      <c r="L119" s="46" t="n"/>
      <c r="M119" s="47" t="n"/>
      <c r="N119" s="47" t="inlineStr">
        <is>
          <t>UCKZo4N0lVPccBkSiuyVh4yg</t>
        </is>
      </c>
      <c r="O119" s="48" t="n">
        <v>46122.85138888889</v>
      </c>
      <c r="P119" s="49" t="n">
        <v>46122</v>
      </c>
      <c r="Q119" s="47" t="n">
        <v>3149</v>
      </c>
      <c r="R119" s="47" t="inlineStr">
        <is>
          <t>No Video ID yet</t>
        </is>
      </c>
      <c r="S119" s="49" t="n"/>
      <c r="T119" s="49" t="n"/>
      <c r="U119" s="47" t="inlineStr">
        <is>
          <t>This episode is sponsored by Better Help – Go to BetterHelp.com/SUPER to get 10% off your first month. With the Harry Potter reboot officially on the way, the Wizarding World might finally have what it’s been missing all along… a consistent foundation. For years, fans have been asking for a Marauders series—James, Sirius, Lupin, Peter, Lily, Snape… the story feels like a no-brainer. So why hasn’t it happened yet? Today, we’re breaking down the real reason a Marauders show has never quite worked before… and why the upcoming HBO reboot might finally change everything. From inconsistent film canon, to missing lore, to the deeper story between James and Snape, this is the key piece the Wizarding World has been missing—and why a Marauders series might actually make sense now. Could this be the beginning of a true Harry Potter expanded universe? 🎟️ Through the Griffin Door LIVE Tour</t>
        </is>
      </c>
      <c r="V119" s="47">
        <f>IF(AND(P119&gt;=Calendar!$K$2,P119&lt;EDATE(Calendar!$K$2,1),OR(Calendar!$K$4="*",N119=Calendar!$K$4)),P119*100+COUNTIFS($P$6:$P$3267,P119,$Q$6:$Q$3267,"&lt;="&amp;Q119,$N$6:$N$3267,Calendar!$K$4),"")</f>
        <v/>
      </c>
      <c r="W119" s="47">
        <f>IF(AND(B119=Queue!$C$4,OR(Queue!$K$4="*",N119=Queue!$K$4)),Q119,"")</f>
        <v/>
      </c>
    </row>
    <row r="120">
      <c r="A120" s="38">
        <f>IF(M120="","",HYPERLINK("https://www.youtube.com/watch?v="&amp;M120,"▶"))</f>
        <v/>
      </c>
      <c r="B120" s="39">
        <f>IF(C120&lt;&gt;"",C120,IF(P120&lt;=IFERROR(INDEX(tblChannels[Watched Through],MATCH(N120,tblChannels[Channel ID],0)),0),"Watched","Unwatched"))</f>
        <v/>
      </c>
      <c r="C120" s="40" t="n"/>
      <c r="D120" s="41" t="n"/>
      <c r="E120" s="42" t="n">
        <v>46122.41666666666</v>
      </c>
      <c r="F120" s="43" t="inlineStr">
        <is>
          <t>Popcorn Culture</t>
        </is>
      </c>
      <c r="G120" t="inlineStr">
        <is>
          <t>What Do You Like About Yourself? | Popcorn Culture</t>
        </is>
      </c>
      <c r="H120" s="44" t="n">
        <v>0.05575231481481482</v>
      </c>
      <c r="I120" s="45" t="n">
        <v>2509</v>
      </c>
      <c r="J120" s="45" t="n">
        <v>107</v>
      </c>
      <c r="K120" s="45" t="n">
        <v>22</v>
      </c>
      <c r="L120" s="46" t="n"/>
      <c r="M120" s="47" t="n"/>
      <c r="N120" s="47" t="inlineStr">
        <is>
          <t>UCHfIbq9thHPC8yrKjAdJgDA</t>
        </is>
      </c>
      <c r="O120" s="48" t="n">
        <v>46122.58333333334</v>
      </c>
      <c r="P120" s="49" t="n">
        <v>46122</v>
      </c>
      <c r="Q120" s="47" t="n">
        <v>3148</v>
      </c>
      <c r="R120" s="47" t="inlineStr">
        <is>
          <t>No Video ID yet</t>
        </is>
      </c>
      <c r="S120" s="49" t="n"/>
      <c r="T120" s="49" t="n"/>
      <c r="U120" s="47" t="inlineStr">
        <is>
          <t>In the 331st episode of the Pop, Ben and J discuss what they like about themselves, emotional Easter traditions, solar panels salesman, electronic bike riding to work, and life-hacking health. 00:00 - Intro, Being a Person of Action 20:57 - Change These Things 26:26 - Annoying Salesman 54:20 - E-Bikes</t>
        </is>
      </c>
      <c r="V120" s="47">
        <f>IF(AND(P120&gt;=Calendar!$K$2,P120&lt;EDATE(Calendar!$K$2,1),OR(Calendar!$K$4="*",N120=Calendar!$K$4)),P120*100+COUNTIFS($P$6:$P$3267,P120,$Q$6:$Q$3267,"&lt;="&amp;Q120,$N$6:$N$3267,Calendar!$K$4),"")</f>
        <v/>
      </c>
      <c r="W120" s="47">
        <f>IF(AND(B120=Queue!$C$4,OR(Queue!$K$4="*",N120=Queue!$K$4)),Q120,"")</f>
        <v/>
      </c>
    </row>
    <row r="121">
      <c r="A121" s="38">
        <f>IF(M121="","",HYPERLINK("https://www.youtube.com/watch?v="&amp;M121,"▶"))</f>
        <v/>
      </c>
      <c r="B121" s="39">
        <f>IF(C121&lt;&gt;"",C121,IF(P121&lt;=IFERROR(INDEX(tblChannels[Watched Through],MATCH(N121,tblChannels[Channel ID],0)),0),"Watched","Unwatched"))</f>
        <v/>
      </c>
      <c r="C121" s="40" t="n"/>
      <c r="D121" s="41" t="n"/>
      <c r="E121" s="42" t="n">
        <v>46120.68611111111</v>
      </c>
      <c r="F121" s="50" t="inlineStr">
        <is>
          <t>Super Carlin Brothers</t>
        </is>
      </c>
      <c r="G121" t="inlineStr">
        <is>
          <t>J vs Ben: Harry Potter Jeopardy Challenge (AGAIN)</t>
        </is>
      </c>
      <c r="H121" s="44" t="n">
        <v>0.03236111111111111</v>
      </c>
      <c r="I121" s="45" t="n">
        <v>118433</v>
      </c>
      <c r="J121" s="45" t="n">
        <v>4171</v>
      </c>
      <c r="K121" s="45" t="n">
        <v>947</v>
      </c>
      <c r="L121" s="46" t="n"/>
      <c r="M121" s="47" t="n"/>
      <c r="N121" s="47" t="inlineStr">
        <is>
          <t>UCKZo4N0lVPccBkSiuyVh4yg</t>
        </is>
      </c>
      <c r="O121" s="48" t="n">
        <v>46120.85277777778</v>
      </c>
      <c r="P121" s="49" t="n">
        <v>46120</v>
      </c>
      <c r="Q121" s="47" t="n">
        <v>3147</v>
      </c>
      <c r="R121" s="47" t="inlineStr">
        <is>
          <t>No Video ID yet</t>
        </is>
      </c>
      <c r="S121" s="49" t="n"/>
      <c r="T121" s="49" t="n"/>
      <c r="U121" s="47" t="inlineStr">
        <is>
          <t>Go to buy to get 15% off the Everyday Earbuds Classic. Head to and use code jvsb50off to get 50% off and free daily greens per box - with new subscription! Today J and Ben face off once more to find out who knows more about the Wizarding World of Harry Potter, with the return of Jeopardy! How well do the boys trust themselves with each buzz of the buzzer? Can J snatch a victory from Ben? Special Thanks to these Quiz Masters: Poison Dart Fraud, Jenna Marbles, SamiRae, Julie Sherwood, Tara Walker, LawNinja, Katrina(aaah!), Bunny, Cam of the Math Budget, GooeyChewie, Teghan - Denlinger, Bradferd, Hermione Baggins, Big D, Irish Royalty, MrTeacher, M. Casarico, Boullion Cube, Meagan Benton, Tina's Hotdog Sophie, Elijah, Jessica Theriault, Michelle G., Oryan's Wizard Parts, , Mikedroid, the small huffle, Dumbledad, and Crafty Liz</t>
        </is>
      </c>
      <c r="V121" s="47">
        <f>IF(AND(P121&gt;=Calendar!$K$2,P121&lt;EDATE(Calendar!$K$2,1),OR(Calendar!$K$4="*",N121=Calendar!$K$4)),P121*100+COUNTIFS($P$6:$P$3267,P121,$Q$6:$Q$3267,"&lt;="&amp;Q121,$N$6:$N$3267,Calendar!$K$4),"")</f>
        <v/>
      </c>
      <c r="W121" s="47">
        <f>IF(AND(B121=Queue!$C$4,OR(Queue!$K$4="*",N121=Queue!$K$4)),Q121,"")</f>
        <v/>
      </c>
    </row>
    <row r="122">
      <c r="A122" s="38">
        <f>IF(M122="","",HYPERLINK("https://www.youtube.com/watch?v="&amp;M122,"▶"))</f>
        <v/>
      </c>
      <c r="B122" s="39">
        <f>IF(C122&lt;&gt;"",C122,IF(P122&lt;=IFERROR(INDEX(tblChannels[Watched Through],MATCH(N122,tblChannels[Channel ID],0)),0),"Watched","Unwatched"))</f>
        <v/>
      </c>
      <c r="C122" s="40" t="n"/>
      <c r="D122" s="41" t="n"/>
      <c r="E122" s="42" t="n">
        <v>46120.41736111111</v>
      </c>
      <c r="F122" s="50" t="inlineStr">
        <is>
          <t>Super Carlin Brothers</t>
        </is>
      </c>
      <c r="G122" t="inlineStr">
        <is>
          <t>THROUGH THE GRIFFIN TOUR NORTHEAST 2026!!!</t>
        </is>
      </c>
      <c r="H122" s="44" t="n">
        <v>0.0009606481481481482</v>
      </c>
      <c r="I122" s="45" t="n">
        <v>4436</v>
      </c>
      <c r="J122" s="45" t="n">
        <v>234</v>
      </c>
      <c r="K122" s="45" t="n">
        <v>60</v>
      </c>
      <c r="L122" s="46" t="n"/>
      <c r="M122" s="47" t="n"/>
      <c r="N122" s="47" t="inlineStr">
        <is>
          <t>UCKZo4N0lVPccBkSiuyVh4yg</t>
        </is>
      </c>
      <c r="O122" s="48" t="n">
        <v>46120.58402777778</v>
      </c>
      <c r="P122" s="49" t="n">
        <v>46120</v>
      </c>
      <c r="Q122" s="47" t="n">
        <v>3146</v>
      </c>
      <c r="R122" s="47" t="inlineStr">
        <is>
          <t>No Video ID yet</t>
        </is>
      </c>
      <c r="S122" s="49" t="n"/>
      <c r="T122" s="49" t="n"/>
      <c r="U122" s="47" t="inlineStr">
        <is>
          <t>Through the Griffin TOUR is coming back to the Northeast this SEPTEMBER! Tickets go on sale THIS FRIDAY, APRIL 10th at 10:00am Eastern Time. Visit to sign up for the email list and be the first to snag your tickets! Purchase tickets and get more info for each location here: Northeast Tour Dates: Boston, MA - 09/10 Hartford, CT, - 09/11 New York, NY - 9/13 Philadelphia, PA - 09/15 Washington, DC - 09/16 Richmond, VA - 09/17</t>
        </is>
      </c>
      <c r="V122" s="47">
        <f>IF(AND(P122&gt;=Calendar!$K$2,P122&lt;EDATE(Calendar!$K$2,1),OR(Calendar!$K$4="*",N122=Calendar!$K$4)),P122*100+COUNTIFS($P$6:$P$3267,P122,$Q$6:$Q$3267,"&lt;="&amp;Q122,$N$6:$N$3267,Calendar!$K$4),"")</f>
        <v/>
      </c>
      <c r="W122" s="47">
        <f>IF(AND(B122=Queue!$C$4,OR(Queue!$K$4="*",N122=Queue!$K$4)),Q122,"")</f>
        <v/>
      </c>
    </row>
    <row r="123">
      <c r="A123" s="38">
        <f>IF(M123="","",HYPERLINK("https://www.youtube.com/watch?v="&amp;M123,"▶"))</f>
        <v/>
      </c>
      <c r="B123" s="39">
        <f>IF(C123&lt;&gt;"",C123,IF(P123&lt;=IFERROR(INDEX(tblChannels[Watched Through],MATCH(N123,tblChannels[Channel ID],0)),0),"Watched","Unwatched"))</f>
        <v/>
      </c>
      <c r="C123" s="40" t="n"/>
      <c r="D123" s="41" t="n"/>
      <c r="E123" s="42" t="n">
        <v>46120.41666666666</v>
      </c>
      <c r="F123" s="51" t="inlineStr">
        <is>
          <t>Through The Griffin Door</t>
        </is>
      </c>
      <c r="G123" t="inlineStr">
        <is>
          <t>THROUGH THE GRIFFIN TOUR NORTHEAST 2026!!!</t>
        </is>
      </c>
      <c r="H123" s="44" t="n">
        <v>0.001122685185185185</v>
      </c>
      <c r="I123" s="45" t="n">
        <v>1728</v>
      </c>
      <c r="J123" s="45" t="n">
        <v>107</v>
      </c>
      <c r="K123" s="45" t="n">
        <v>28</v>
      </c>
      <c r="L123" s="46" t="n"/>
      <c r="M123" s="47" t="n"/>
      <c r="N123" s="47" t="inlineStr">
        <is>
          <t>UCEscP6ETYXWSSvsNrDHekMQ</t>
        </is>
      </c>
      <c r="O123" s="48" t="n">
        <v>46120.58333333334</v>
      </c>
      <c r="P123" s="49" t="n">
        <v>46120</v>
      </c>
      <c r="Q123" s="47" t="n">
        <v>3145</v>
      </c>
      <c r="R123" s="47" t="inlineStr">
        <is>
          <t>No Video ID yet</t>
        </is>
      </c>
      <c r="S123" s="49" t="n"/>
      <c r="T123" s="49" t="n"/>
      <c r="U123" s="47" t="inlineStr">
        <is>
          <t>Through the Griffin TOUR is coming back to the Northeast this SEPTEMBER! Tickets go on sale THIS FRIDAY, APRIL 10th at 10:00am Eastern Time. Visit to sign up for the email list and be the first to snag your tickets! Purchase tickets and get more info for each location here: Northeast Tour Dates: Boston, MA - 09/10 Hartford, CT, - 09/11 New York, NY - 9/13 Philadelphia, PA - 09/15 Washington, DC - 09/16 Richmond, VA - 09/17</t>
        </is>
      </c>
      <c r="V123" s="47">
        <f>IF(AND(P123&gt;=Calendar!$K$2,P123&lt;EDATE(Calendar!$K$2,1),OR(Calendar!$K$4="*",N123=Calendar!$K$4)),P123*100+COUNTIFS($P$6:$P$3267,P123,$Q$6:$Q$3267,"&lt;="&amp;Q123,$N$6:$N$3267,Calendar!$K$4),"")</f>
        <v/>
      </c>
      <c r="W123" s="47">
        <f>IF(AND(B123=Queue!$C$4,OR(Queue!$K$4="*",N123=Queue!$K$4)),Q123,"")</f>
        <v/>
      </c>
    </row>
    <row r="124">
      <c r="A124" s="38">
        <f>IF(M124="","",HYPERLINK("https://www.youtube.com/watch?v="&amp;M124,"▶"))</f>
        <v/>
      </c>
      <c r="B124" s="39">
        <f>IF(C124&lt;&gt;"",C124,IF(P124&lt;=IFERROR(INDEX(tblChannels[Watched Through],MATCH(N124,tblChannels[Channel ID],0)),0),"Watched","Unwatched"))</f>
        <v/>
      </c>
      <c r="C124" s="40" t="n"/>
      <c r="D124" s="41" t="n"/>
      <c r="E124" s="42" t="n">
        <v>46117.41666666666</v>
      </c>
      <c r="F124" s="51" t="inlineStr">
        <is>
          <t>Through The Griffin Door</t>
        </is>
      </c>
      <c r="G124" t="inlineStr">
        <is>
          <t>Chapter 31: O.W.L.s | Order of the Phoenix</t>
        </is>
      </c>
      <c r="H124" s="44" t="n">
        <v>0.07328703703703704</v>
      </c>
      <c r="I124" s="45" t="n">
        <v>40136</v>
      </c>
      <c r="J124" s="45" t="n">
        <v>1049</v>
      </c>
      <c r="K124" s="45" t="n">
        <v>291</v>
      </c>
      <c r="L124" s="46" t="n"/>
      <c r="M124" s="47" t="n"/>
      <c r="N124" s="47" t="inlineStr">
        <is>
          <t>UCEscP6ETYXWSSvsNrDHekMQ</t>
        </is>
      </c>
      <c r="O124" s="48" t="n">
        <v>46117.58333333334</v>
      </c>
      <c r="P124" s="49" t="n">
        <v>46117</v>
      </c>
      <c r="Q124" s="47" t="n">
        <v>3144</v>
      </c>
      <c r="R124" s="47" t="inlineStr">
        <is>
          <t>No Video ID yet</t>
        </is>
      </c>
      <c r="S124" s="49" t="n"/>
      <c r="T124" s="49" t="n"/>
      <c r="U124" s="47" t="inlineStr">
        <is>
          <t>Join J and Ben as they dive into Chapter 31 of the Order of the Phoenix and discuss Ron riding the high of the Quidditch win, Ernie comparing studying times, the crazy exam schedule, the ancient examiners, the callbacks to other books, the attack on Hagrid and McGonagall and the “vision” of Sirius. 05:09 - Chapter Breakdown 1:40:19 - Closing Thoughts and Review Edited by :: Iybelle Christley</t>
        </is>
      </c>
      <c r="V124" s="47">
        <f>IF(AND(P124&gt;=Calendar!$K$2,P124&lt;EDATE(Calendar!$K$2,1),OR(Calendar!$K$4="*",N124=Calendar!$K$4)),P124*100+COUNTIFS($P$6:$P$3267,P124,$Q$6:$Q$3267,"&lt;="&amp;Q124,$N$6:$N$3267,Calendar!$K$4),"")</f>
        <v/>
      </c>
      <c r="W124" s="47">
        <f>IF(AND(B124=Queue!$C$4,OR(Queue!$K$4="*",N124=Queue!$K$4)),Q124,"")</f>
        <v/>
      </c>
    </row>
    <row r="125">
      <c r="A125" s="38">
        <f>IF(M125="","",HYPERLINK("https://www.youtube.com/watch?v="&amp;M125,"▶"))</f>
        <v/>
      </c>
      <c r="B125" s="39">
        <f>IF(C125&lt;&gt;"",C125,IF(P125&lt;=IFERROR(INDEX(tblChannels[Watched Through],MATCH(N125,tblChannels[Channel ID],0)),0),"Watched","Unwatched"))</f>
        <v/>
      </c>
      <c r="C125" s="40" t="n"/>
      <c r="D125" s="41" t="n"/>
      <c r="E125" s="42" t="n">
        <v>46115.66666666666</v>
      </c>
      <c r="F125" s="50" t="inlineStr">
        <is>
          <t>Super Carlin Brothers</t>
        </is>
      </c>
      <c r="G125" t="inlineStr">
        <is>
          <t>Why Did Harry Drop the Resurrection Stone?</t>
        </is>
      </c>
      <c r="H125" s="44" t="n">
        <v>0.009502314814814814</v>
      </c>
      <c r="I125" s="45" t="n">
        <v>91478</v>
      </c>
      <c r="J125" s="45" t="n">
        <v>3747</v>
      </c>
      <c r="K125" s="45" t="n">
        <v>403</v>
      </c>
      <c r="L125" s="46" t="n"/>
      <c r="M125" s="47" t="n"/>
      <c r="N125" s="47" t="inlineStr">
        <is>
          <t>UCKZo4N0lVPccBkSiuyVh4yg</t>
        </is>
      </c>
      <c r="O125" s="48" t="n">
        <v>46115.83333333334</v>
      </c>
      <c r="P125" s="49" t="n">
        <v>46115</v>
      </c>
      <c r="Q125" s="47" t="n">
        <v>3143</v>
      </c>
      <c r="R125" s="47" t="inlineStr">
        <is>
          <t>No Video ID yet</t>
        </is>
      </c>
      <c r="S125" s="49" t="n"/>
      <c r="T125" s="49" t="n"/>
      <c r="U125" s="47" t="inlineStr">
        <is>
          <t>Go to to sign up for your $1-per-month trial period. Today Ben dives into the Wizarding World of Harry Potter to ask: Why did Harry drop the Resurrection Stone? He could have seen his parents anytime he wante to but leaves it to the infinite depths of the Forbidden Forest instead? And what of the Elder Wand and the Invisibility Cloak? Should he have kept the wand? Destroyed the Cloak? 🎟️ Through the Griffin Door LIVE Tour</t>
        </is>
      </c>
      <c r="V125" s="47">
        <f>IF(AND(P125&gt;=Calendar!$K$2,P125&lt;EDATE(Calendar!$K$2,1),OR(Calendar!$K$4="*",N125=Calendar!$K$4)),P125*100+COUNTIFS($P$6:$P$3267,P125,$Q$6:$Q$3267,"&lt;="&amp;Q125,$N$6:$N$3267,Calendar!$K$4),"")</f>
        <v/>
      </c>
      <c r="W125" s="47">
        <f>IF(AND(B125=Queue!$C$4,OR(Queue!$K$4="*",N125=Queue!$K$4)),Q125,"")</f>
        <v/>
      </c>
    </row>
    <row r="126">
      <c r="A126" s="38">
        <f>IF(M126="","",HYPERLINK("https://www.youtube.com/watch?v="&amp;M126,"▶"))</f>
        <v/>
      </c>
      <c r="B126" s="39">
        <f>IF(C126&lt;&gt;"",C126,IF(P126&lt;=IFERROR(INDEX(tblChannels[Watched Through],MATCH(N126,tblChannels[Channel ID],0)),0),"Watched","Unwatched"))</f>
        <v/>
      </c>
      <c r="C126" s="40" t="n"/>
      <c r="D126" s="41" t="n"/>
      <c r="E126" s="42" t="n">
        <v>46115.41666666666</v>
      </c>
      <c r="F126" s="43" t="inlineStr">
        <is>
          <t>Popcorn Culture</t>
        </is>
      </c>
      <c r="G126" t="inlineStr">
        <is>
          <t>Whimsical Pumpkins | Popcorn Culture</t>
        </is>
      </c>
      <c r="H126" s="44" t="n">
        <v>0.04594907407407407</v>
      </c>
      <c r="I126" s="45" t="n">
        <v>2644</v>
      </c>
      <c r="J126" s="45" t="n">
        <v>117</v>
      </c>
      <c r="K126" s="45" t="n">
        <v>17</v>
      </c>
      <c r="L126" s="46" t="n"/>
      <c r="M126" s="47" t="n"/>
      <c r="N126" s="47" t="inlineStr">
        <is>
          <t>UCHfIbq9thHPC8yrKjAdJgDA</t>
        </is>
      </c>
      <c r="O126" s="48" t="n">
        <v>46115.58333333334</v>
      </c>
      <c r="P126" s="49" t="n">
        <v>46115</v>
      </c>
      <c r="Q126" s="47" t="n">
        <v>3142</v>
      </c>
      <c r="R126" s="47" t="inlineStr">
        <is>
          <t>No Video ID yet</t>
        </is>
      </c>
      <c r="S126" s="49" t="n"/>
      <c r="T126" s="49" t="n"/>
      <c r="U126" s="47" t="inlineStr">
        <is>
          <t>In the 330th episode of the Pop, Ben and J discuss a return to GARDEN SEASON!! Home renovations, J’s new bike, Addy ATVing, and planting apple trees. Alternate Title: Whimsical Pumpkins Benny Appleseed 00:00 - Intro, Gardening 26:17 - J’s New Bike 42:07 - Addy’s ATV</t>
        </is>
      </c>
      <c r="V126" s="47">
        <f>IF(AND(P126&gt;=Calendar!$K$2,P126&lt;EDATE(Calendar!$K$2,1),OR(Calendar!$K$4="*",N126=Calendar!$K$4)),P126*100+COUNTIFS($P$6:$P$3267,P126,$Q$6:$Q$3267,"&lt;="&amp;Q126,$N$6:$N$3267,Calendar!$K$4),"")</f>
        <v/>
      </c>
      <c r="W126" s="47">
        <f>IF(AND(B126=Queue!$C$4,OR(Queue!$K$4="*",N126=Queue!$K$4)),Q126,"")</f>
        <v/>
      </c>
    </row>
    <row r="127">
      <c r="A127" s="38">
        <f>IF(M127="","",HYPERLINK("https://www.youtube.com/watch?v="&amp;M127,"▶"))</f>
        <v/>
      </c>
      <c r="B127" s="39">
        <f>IF(C127&lt;&gt;"",C127,IF(P127&lt;=IFERROR(INDEX(tblChannels[Watched Through],MATCH(N127,tblChannels[Channel ID],0)),0),"Watched","Unwatched"))</f>
        <v/>
      </c>
      <c r="C127" s="40" t="n"/>
      <c r="D127" s="41" t="n"/>
      <c r="E127" s="42" t="n">
        <v>46113.67013888889</v>
      </c>
      <c r="F127" s="50" t="inlineStr">
        <is>
          <t>Super Carlin Brothers</t>
        </is>
      </c>
      <c r="G127" t="inlineStr">
        <is>
          <t>Why Didn’t Voldemort Make His Own Sorcerer’s Stone?</t>
        </is>
      </c>
      <c r="H127" s="44" t="n">
        <v>0.01100694444444444</v>
      </c>
      <c r="I127" s="45" t="n">
        <v>162522</v>
      </c>
      <c r="J127" s="45" t="n">
        <v>6257</v>
      </c>
      <c r="K127" s="45" t="n">
        <v>713</v>
      </c>
      <c r="L127" s="46" t="n"/>
      <c r="M127" s="47" t="n"/>
      <c r="N127" s="47" t="inlineStr">
        <is>
          <t>UCKZo4N0lVPccBkSiuyVh4yg</t>
        </is>
      </c>
      <c r="O127" s="48" t="n">
        <v>46113.83680555555</v>
      </c>
      <c r="P127" s="49" t="n">
        <v>46113</v>
      </c>
      <c r="Q127" s="47" t="n">
        <v>3141</v>
      </c>
      <c r="R127" s="47" t="inlineStr">
        <is>
          <t>No Video ID yet</t>
        </is>
      </c>
      <c r="S127" s="49" t="n"/>
      <c r="T127" s="49" t="n"/>
      <c r="U127" s="47" t="inlineStr">
        <is>
          <t>Go to for 10% off your first month. Join the Wizarding Candle Club :: Today J dives into the Wizarding World of Harry Potter to answer the age old question: Why Didn’t Voldemort Make His Own Sorcerer’s Stone? 🎟️ Through the Griffin Door LIVE Tour</t>
        </is>
      </c>
      <c r="V127" s="47">
        <f>IF(AND(P127&gt;=Calendar!$K$2,P127&lt;EDATE(Calendar!$K$2,1),OR(Calendar!$K$4="*",N127=Calendar!$K$4)),P127*100+COUNTIFS($P$6:$P$3267,P127,$Q$6:$Q$3267,"&lt;="&amp;Q127,$N$6:$N$3267,Calendar!$K$4),"")</f>
        <v/>
      </c>
      <c r="W127" s="47">
        <f>IF(AND(B127=Queue!$C$4,OR(Queue!$K$4="*",N127=Queue!$K$4)),Q127,"")</f>
        <v/>
      </c>
    </row>
    <row r="128">
      <c r="A128" s="38">
        <f>IF(M128="","",HYPERLINK("https://www.youtube.com/watch?v="&amp;M128,"▶"))</f>
        <v/>
      </c>
      <c r="B128" s="39">
        <f>IF(C128&lt;&gt;"",C128,IF(P128&lt;=IFERROR(INDEX(tblChannels[Watched Through],MATCH(N128,tblChannels[Channel ID],0)),0),"Watched","Unwatched"))</f>
        <v/>
      </c>
      <c r="C128" s="40" t="n"/>
      <c r="D128" s="41" t="n"/>
      <c r="E128" s="42" t="n">
        <v>46110.41666666666</v>
      </c>
      <c r="F128" s="51" t="inlineStr">
        <is>
          <t>Through The Griffin Door</t>
        </is>
      </c>
      <c r="G128" t="inlineStr">
        <is>
          <t>Chapter 30: Grawp | Order of the Phoenix</t>
        </is>
      </c>
      <c r="H128" s="44" t="n">
        <v>0.07718750000000001</v>
      </c>
      <c r="I128" s="45" t="n">
        <v>39907</v>
      </c>
      <c r="J128" s="45" t="n">
        <v>1076</v>
      </c>
      <c r="K128" s="45" t="n">
        <v>366</v>
      </c>
      <c r="L128" s="46" t="n"/>
      <c r="M128" s="47" t="n"/>
      <c r="N128" s="47" t="inlineStr">
        <is>
          <t>UCEscP6ETYXWSSvsNrDHekMQ</t>
        </is>
      </c>
      <c r="O128" s="48" t="n">
        <v>46110.58333333334</v>
      </c>
      <c r="P128" s="49" t="n">
        <v>46110</v>
      </c>
      <c r="Q128" s="47" t="n">
        <v>3140</v>
      </c>
      <c r="R128" s="47" t="inlineStr">
        <is>
          <t>No Video ID yet</t>
        </is>
      </c>
      <c r="S128" s="49" t="n"/>
      <c r="T128" s="49" t="n"/>
      <c r="U128" s="47" t="inlineStr">
        <is>
          <t>Join J and Ben as they dive into Chapter 30 of the Order of the Phoenix and discuss the swamp, Filch “punting” students, anti-Umbridge mayhem, Ron’s relationship with his family, Hagrid taking Harry and Hermione to the forest, interacting with Grawp and them blindly agreeing to help. 09:23 - Chapter Breakdown 1:02:19 - Ad Break (Shopify) 1:03:46 - More Chapter Breakdown 1:47:44 - Closing Thoughts and Review</t>
        </is>
      </c>
      <c r="V128" s="47">
        <f>IF(AND(P128&gt;=Calendar!$K$2,P128&lt;EDATE(Calendar!$K$2,1),OR(Calendar!$K$4="*",N128=Calendar!$K$4)),P128*100+COUNTIFS($P$6:$P$3267,P128,$Q$6:$Q$3267,"&lt;="&amp;Q128,$N$6:$N$3267,Calendar!$K$4),"")</f>
        <v/>
      </c>
      <c r="W128" s="47">
        <f>IF(AND(B128=Queue!$C$4,OR(Queue!$K$4="*",N128=Queue!$K$4)),Q128,"")</f>
        <v/>
      </c>
    </row>
    <row r="129">
      <c r="A129" s="38">
        <f>IF(M129="","",HYPERLINK("https://www.youtube.com/watch?v="&amp;M129,"▶"))</f>
        <v/>
      </c>
      <c r="B129" s="39">
        <f>IF(C129&lt;&gt;"",C129,IF(P129&lt;=IFERROR(INDEX(tblChannels[Watched Through],MATCH(N129,tblChannels[Channel ID],0)),0),"Watched","Unwatched"))</f>
        <v/>
      </c>
      <c r="C129" s="40" t="n"/>
      <c r="D129" s="41" t="n"/>
      <c r="E129" s="42" t="n">
        <v>46108.625</v>
      </c>
      <c r="F129" s="50" t="inlineStr">
        <is>
          <t>Super Carlin Brothers</t>
        </is>
      </c>
      <c r="G129" t="inlineStr">
        <is>
          <t>Hermione Would Ace This Quiz… Can We? | J vs Ben</t>
        </is>
      </c>
      <c r="H129" s="44" t="n">
        <v>0.03050925925925926</v>
      </c>
      <c r="I129" s="45" t="n">
        <v>101608</v>
      </c>
      <c r="J129" s="45" t="n">
        <v>3382</v>
      </c>
      <c r="K129" s="45" t="n">
        <v>438</v>
      </c>
      <c r="L129" s="46" t="n"/>
      <c r="M129" s="47" t="n"/>
      <c r="N129" s="47" t="inlineStr">
        <is>
          <t>UCKZo4N0lVPccBkSiuyVh4yg</t>
        </is>
      </c>
      <c r="O129" s="48" t="n">
        <v>46108.79166666666</v>
      </c>
      <c r="P129" s="49" t="n">
        <v>46108</v>
      </c>
      <c r="Q129" s="47" t="n">
        <v>3139</v>
      </c>
      <c r="R129" s="47" t="inlineStr">
        <is>
          <t>No Video ID yet</t>
        </is>
      </c>
      <c r="S129" s="49" t="n"/>
      <c r="T129" s="49" t="n"/>
      <c r="U129" s="47" t="inlineStr">
        <is>
          <t>Go to for 10% off your first month. Get 20% off PLUS free shipping when you got to and use code: 'Brother' The Everyday Earbuds Classic are perfect for refreshing your routine this spring. Go to to get 20% off. Today J and Ben face off once again in Harry Potter Trivia to find out who knows more about the cleverest witch of her year - Hermione Granger! Listen to J's BLACKPINK favorites: Hosted by: Ethan Edghill</t>
        </is>
      </c>
      <c r="V129" s="47">
        <f>IF(AND(P129&gt;=Calendar!$K$2,P129&lt;EDATE(Calendar!$K$2,1),OR(Calendar!$K$4="*",N129=Calendar!$K$4)),P129*100+COUNTIFS($P$6:$P$3267,P129,$Q$6:$Q$3267,"&lt;="&amp;Q129,$N$6:$N$3267,Calendar!$K$4),"")</f>
        <v/>
      </c>
      <c r="W129" s="47">
        <f>IF(AND(B129=Queue!$C$4,OR(Queue!$K$4="*",N129=Queue!$K$4)),Q129,"")</f>
        <v/>
      </c>
    </row>
    <row r="130">
      <c r="A130" s="38">
        <f>IF(M130="","",HYPERLINK("https://www.youtube.com/watch?v="&amp;M130,"▶"))</f>
        <v/>
      </c>
      <c r="B130" s="39">
        <f>IF(C130&lt;&gt;"",C130,IF(P130&lt;=IFERROR(INDEX(tblChannels[Watched Through],MATCH(N130,tblChannels[Channel ID],0)),0),"Watched","Unwatched"))</f>
        <v/>
      </c>
      <c r="C130" s="40" t="n"/>
      <c r="D130" s="41" t="n"/>
      <c r="E130" s="42" t="n">
        <v>46108.41666666666</v>
      </c>
      <c r="F130" s="43" t="inlineStr">
        <is>
          <t>Popcorn Culture</t>
        </is>
      </c>
      <c r="G130" t="inlineStr">
        <is>
          <t>Sports Build Culture | Popcorn Culture</t>
        </is>
      </c>
      <c r="H130" s="44" t="n">
        <v>0.04847222222222222</v>
      </c>
      <c r="I130" s="45" t="n">
        <v>2305</v>
      </c>
      <c r="J130" s="45" t="n">
        <v>119</v>
      </c>
      <c r="K130" s="45" t="n">
        <v>15</v>
      </c>
      <c r="L130" s="46" t="n"/>
      <c r="M130" s="47" t="n"/>
      <c r="N130" s="47" t="inlineStr">
        <is>
          <t>UCHfIbq9thHPC8yrKjAdJgDA</t>
        </is>
      </c>
      <c r="O130" s="48" t="n">
        <v>46108.58333333334</v>
      </c>
      <c r="P130" s="49" t="n">
        <v>46108</v>
      </c>
      <c r="Q130" s="47" t="n">
        <v>3138</v>
      </c>
      <c r="R130" s="47" t="inlineStr">
        <is>
          <t>No Video ID yet</t>
        </is>
      </c>
      <c r="S130" s="49" t="n"/>
      <c r="T130" s="49" t="n"/>
      <c r="U130" s="47" t="inlineStr">
        <is>
          <t>In the 329th episode of the Pop, Ben and J discuss a Popcorn Culture weekend, the Pixar theory, discovering diamonds, Spring awakening, Lacrosse practice, internships, and garden beds. Most Recent Pixar Theory - Sharon Says So - Alternate Title: Arduous Spelling 00:00 - Intro, A Movie Weekend 35:48 - Spring is Here! 58:07 - Gardening</t>
        </is>
      </c>
      <c r="V130" s="47">
        <f>IF(AND(P130&gt;=Calendar!$K$2,P130&lt;EDATE(Calendar!$K$2,1),OR(Calendar!$K$4="*",N130=Calendar!$K$4)),P130*100+COUNTIFS($P$6:$P$3267,P130,$Q$6:$Q$3267,"&lt;="&amp;Q130,$N$6:$N$3267,Calendar!$K$4),"")</f>
        <v/>
      </c>
      <c r="W130" s="47">
        <f>IF(AND(B130=Queue!$C$4,OR(Queue!$K$4="*",N130=Queue!$K$4)),Q130,"")</f>
        <v/>
      </c>
    </row>
    <row r="131">
      <c r="A131" s="38">
        <f>IF(M131="","",HYPERLINK("https://www.youtube.com/watch?v="&amp;M131,"▶"))</f>
        <v/>
      </c>
      <c r="B131" s="39">
        <f>IF(C131&lt;&gt;"",C131,IF(P131&lt;=IFERROR(INDEX(tblChannels[Watched Through],MATCH(N131,tblChannels[Channel ID],0)),0),"Watched","Unwatched"))</f>
        <v/>
      </c>
      <c r="C131" s="40" t="n"/>
      <c r="D131" s="41" t="n"/>
      <c r="E131" s="42" t="n">
        <v>46106.94722222222</v>
      </c>
      <c r="F131" s="50" t="inlineStr">
        <is>
          <t>Super Carlin Brothers</t>
        </is>
      </c>
      <c r="G131" t="inlineStr">
        <is>
          <t>Harry Potter HBO Trailer Breakdown (Big Changes!)</t>
        </is>
      </c>
      <c r="H131" s="44" t="n">
        <v>0.01983796296296296</v>
      </c>
      <c r="I131" s="45" t="n">
        <v>360441</v>
      </c>
      <c r="J131" s="45" t="n">
        <v>14077</v>
      </c>
      <c r="K131" s="45" t="n">
        <v>2549</v>
      </c>
      <c r="L131" s="46" t="n"/>
      <c r="M131" s="47" t="n"/>
      <c r="N131" s="47" t="inlineStr">
        <is>
          <t>UCKZo4N0lVPccBkSiuyVh4yg</t>
        </is>
      </c>
      <c r="O131" s="48" t="n">
        <v>46107.11388888889</v>
      </c>
      <c r="P131" s="49" t="n">
        <v>46106</v>
      </c>
      <c r="Q131" s="47" t="n">
        <v>3137</v>
      </c>
      <c r="R131" s="47" t="inlineStr">
        <is>
          <t>No Video ID yet</t>
        </is>
      </c>
      <c r="S131" s="49" t="n"/>
      <c r="T131" s="49" t="n"/>
      <c r="U131" s="47" t="inlineStr">
        <is>
          <t>This show is sponsored by BetterHelp. Go to for 10% off your first month. Head to and use code 'super50off' to get 50% off and FREE breakfast for a year! Today J dives into the Wizarding World of Harry Potter to give a Harry Potter HBO Series Trailer Breakdown - We cover all the easter eggs, things you missed, changes from the movies and new inclusions from the books! 🎟️ Through the Griffin Door LIVE Tour</t>
        </is>
      </c>
      <c r="V131" s="47">
        <f>IF(AND(P131&gt;=Calendar!$K$2,P131&lt;EDATE(Calendar!$K$2,1),OR(Calendar!$K$4="*",N131=Calendar!$K$4)),P131*100+COUNTIFS($P$6:$P$3267,P131,$Q$6:$Q$3267,"&lt;="&amp;Q131,$N$6:$N$3267,Calendar!$K$4),"")</f>
        <v/>
      </c>
      <c r="W131" s="47">
        <f>IF(AND(B131=Queue!$C$4,OR(Queue!$K$4="*",N131=Queue!$K$4)),Q131,"")</f>
        <v/>
      </c>
    </row>
    <row r="132">
      <c r="A132" s="38">
        <f>IF(M132="","",HYPERLINK("https://www.youtube.com/watch?v="&amp;M132,"▶"))</f>
        <v/>
      </c>
      <c r="B132" s="39">
        <f>IF(C132&lt;&gt;"",C132,IF(P132&lt;=IFERROR(INDEX(tblChannels[Watched Through],MATCH(N132,tblChannels[Channel ID],0)),0),"Watched","Unwatched"))</f>
        <v/>
      </c>
      <c r="C132" s="40" t="n"/>
      <c r="D132" s="41" t="n"/>
      <c r="E132" s="42" t="n">
        <v>46103.41666666666</v>
      </c>
      <c r="F132" s="51" t="inlineStr">
        <is>
          <t>Through The Griffin Door</t>
        </is>
      </c>
      <c r="G132" t="inlineStr">
        <is>
          <t>Chapter 29: Career Advice | Order of the Phoenix</t>
        </is>
      </c>
      <c r="H132" s="44" t="n">
        <v>0.08479166666666667</v>
      </c>
      <c r="I132" s="45" t="n">
        <v>44866</v>
      </c>
      <c r="J132" s="45" t="n">
        <v>1154</v>
      </c>
      <c r="K132" s="45" t="n">
        <v>356</v>
      </c>
      <c r="L132" s="46" t="n"/>
      <c r="M132" s="47" t="n"/>
      <c r="N132" s="47" t="inlineStr">
        <is>
          <t>UCEscP6ETYXWSSvsNrDHekMQ</t>
        </is>
      </c>
      <c r="O132" s="48" t="n">
        <v>46103.58333333334</v>
      </c>
      <c r="P132" s="49" t="n">
        <v>46103</v>
      </c>
      <c r="Q132" s="47" t="n">
        <v>3136</v>
      </c>
      <c r="R132" s="47" t="inlineStr">
        <is>
          <t>No Video ID yet</t>
        </is>
      </c>
      <c r="S132" s="49" t="n"/>
      <c r="T132" s="49" t="n"/>
      <c r="U132" s="47" t="inlineStr">
        <is>
          <t>Join J and Ben as they dive into Chapter 29 of the Order of the Phoenix and discuss Harry questioning his dad, Fred and George’s ambition, confiding in Ginny, wishing Ron had become a Healer, their convoluted plan to talk to Sirius, meeting with McGonagall (and her destroying Umbridge), talking with Lupin and Sirius, the twins’ escape in style We’re on Cameo!! - 07:18 - Chapter Breakdown 1:47:50 - Closing Thoughts and Review</t>
        </is>
      </c>
      <c r="V132" s="47">
        <f>IF(AND(P132&gt;=Calendar!$K$2,P132&lt;EDATE(Calendar!$K$2,1),OR(Calendar!$K$4="*",N132=Calendar!$K$4)),P132*100+COUNTIFS($P$6:$P$3267,P132,$Q$6:$Q$3267,"&lt;="&amp;Q132,$N$6:$N$3267,Calendar!$K$4),"")</f>
        <v/>
      </c>
      <c r="W132" s="47">
        <f>IF(AND(B132=Queue!$C$4,OR(Queue!$K$4="*",N132=Queue!$K$4)),Q132,"")</f>
        <v/>
      </c>
    </row>
    <row r="133">
      <c r="A133" s="38">
        <f>IF(M133="","",HYPERLINK("https://www.youtube.com/watch?v="&amp;M133,"▶"))</f>
        <v/>
      </c>
      <c r="B133" s="39">
        <f>IF(C133&lt;&gt;"",C133,IF(P133&lt;=IFERROR(INDEX(tblChannels[Watched Through],MATCH(N133,tblChannels[Channel ID],0)),0),"Watched","Unwatched"))</f>
        <v/>
      </c>
      <c r="C133" s="40" t="n"/>
      <c r="D133" s="41" t="n"/>
      <c r="E133" s="42" t="n">
        <v>46101.66944444444</v>
      </c>
      <c r="F133" s="50" t="inlineStr">
        <is>
          <t>Super Carlin Brothers</t>
        </is>
      </c>
      <c r="G133" t="inlineStr">
        <is>
          <t>This may be our darkest Harry Potter Theory Ever..</t>
        </is>
      </c>
      <c r="H133" s="44" t="n">
        <v>0.0103125</v>
      </c>
      <c r="I133" s="45" t="n">
        <v>160107</v>
      </c>
      <c r="J133" s="45" t="n">
        <v>6094</v>
      </c>
      <c r="K133" s="45" t="n">
        <v>634</v>
      </c>
      <c r="L133" s="46" t="n"/>
      <c r="M133" s="47" t="n"/>
      <c r="N133" s="47" t="inlineStr">
        <is>
          <t>UCKZo4N0lVPccBkSiuyVh4yg</t>
        </is>
      </c>
      <c r="O133" s="48" t="n">
        <v>46101.83611111111</v>
      </c>
      <c r="P133" s="49" t="n">
        <v>46101</v>
      </c>
      <c r="Q133" s="47" t="n">
        <v>3135</v>
      </c>
      <c r="R133" s="47" t="inlineStr">
        <is>
          <t>No Video ID yet</t>
        </is>
      </c>
      <c r="S133" s="49" t="n"/>
      <c r="T133" s="49" t="n"/>
      <c r="U133" s="47" t="inlineStr">
        <is>
          <t>This show is sponsored by BetterHelp. Go to for 10% off your first month. Sign up for your one-dollar-per-month trial today at Today J dives into the Wizarding World of Harry Potter to reveal one of their Darkets theories about when Harry broke into the ministry to retrieve the prophecy and what happened to all of the security that SHOULD have been there. 🎟️ Through the Griffin Door LIVE Tour</t>
        </is>
      </c>
      <c r="V133" s="47">
        <f>IF(AND(P133&gt;=Calendar!$K$2,P133&lt;EDATE(Calendar!$K$2,1),OR(Calendar!$K$4="*",N133=Calendar!$K$4)),P133*100+COUNTIFS($P$6:$P$3267,P133,$Q$6:$Q$3267,"&lt;="&amp;Q133,$N$6:$N$3267,Calendar!$K$4),"")</f>
        <v/>
      </c>
      <c r="W133" s="47">
        <f>IF(AND(B133=Queue!$C$4,OR(Queue!$K$4="*",N133=Queue!$K$4)),Q133,"")</f>
        <v/>
      </c>
    </row>
    <row r="134">
      <c r="A134" s="38">
        <f>IF(M134="","",HYPERLINK("https://www.youtube.com/watch?v="&amp;M134,"▶"))</f>
        <v/>
      </c>
      <c r="B134" s="39">
        <f>IF(C134&lt;&gt;"",C134,IF(P134&lt;=IFERROR(INDEX(tblChannels[Watched Through],MATCH(N134,tblChannels[Channel ID],0)),0),"Watched","Unwatched"))</f>
        <v/>
      </c>
      <c r="C134" s="40" t="n"/>
      <c r="D134" s="41" t="n"/>
      <c r="E134" s="42" t="n">
        <v>46101.42708333334</v>
      </c>
      <c r="F134" s="43" t="inlineStr">
        <is>
          <t>Popcorn Culture</t>
        </is>
      </c>
      <c r="G134" t="inlineStr">
        <is>
          <t>The Tour Odyssey | Popcorn Culture</t>
        </is>
      </c>
      <c r="H134" s="44" t="n">
        <v>0.05023148148148148</v>
      </c>
      <c r="I134" s="45" t="n">
        <v>2304</v>
      </c>
      <c r="J134" s="45" t="n">
        <v>132</v>
      </c>
      <c r="K134" s="45" t="n">
        <v>28</v>
      </c>
      <c r="L134" s="46" t="n"/>
      <c r="M134" s="47" t="n"/>
      <c r="N134" s="47" t="inlineStr">
        <is>
          <t>UCHfIbq9thHPC8yrKjAdJgDA</t>
        </is>
      </c>
      <c r="O134" s="48" t="n">
        <v>46101.59375</v>
      </c>
      <c r="P134" s="49" t="n">
        <v>46101</v>
      </c>
      <c r="Q134" s="47" t="n">
        <v>3134</v>
      </c>
      <c r="R134" s="47" t="inlineStr">
        <is>
          <t>No Video ID yet</t>
        </is>
      </c>
      <c r="S134" s="49" t="n"/>
      <c r="T134" s="49" t="n"/>
      <c r="U134" s="47" t="inlineStr">
        <is>
          <t>In the 328th episode of the Pop, Ben and J discuss the long journey home, tour magic, push up competitions, and F1 go cart racing.</t>
        </is>
      </c>
      <c r="V134" s="47">
        <f>IF(AND(P134&gt;=Calendar!$K$2,P134&lt;EDATE(Calendar!$K$2,1),OR(Calendar!$K$4="*",N134=Calendar!$K$4)),P134*100+COUNTIFS($P$6:$P$3267,P134,$Q$6:$Q$3267,"&lt;="&amp;Q134,$N$6:$N$3267,Calendar!$K$4),"")</f>
        <v/>
      </c>
      <c r="W134" s="47">
        <f>IF(AND(B134=Queue!$C$4,OR(Queue!$K$4="*",N134=Queue!$K$4)),Q134,"")</f>
        <v/>
      </c>
    </row>
    <row r="135">
      <c r="A135" s="38">
        <f>IF(M135="","",HYPERLINK("https://www.youtube.com/watch?v="&amp;M135,"▶"))</f>
        <v/>
      </c>
      <c r="B135" s="39">
        <f>IF(C135&lt;&gt;"",C135,IF(P135&lt;=IFERROR(INDEX(tblChannels[Watched Through],MATCH(N135,tblChannels[Channel ID],0)),0),"Watched","Unwatched"))</f>
        <v/>
      </c>
      <c r="C135" s="40" t="n"/>
      <c r="D135" s="41" t="n"/>
      <c r="E135" s="42" t="n">
        <v>46099.71041666667</v>
      </c>
      <c r="F135" s="50" t="inlineStr">
        <is>
          <t>Super Carlin Brothers</t>
        </is>
      </c>
      <c r="G135" t="inlineStr">
        <is>
          <t>2 EVEN MORE Hours of Harry Potter Theories to Binge</t>
        </is>
      </c>
      <c r="H135" s="44" t="n">
        <v>0.08836805555555556</v>
      </c>
      <c r="I135" s="45" t="n">
        <v>141726</v>
      </c>
      <c r="J135" s="45" t="n">
        <v>1603</v>
      </c>
      <c r="K135" s="45" t="n">
        <v>244</v>
      </c>
      <c r="L135" s="46" t="n"/>
      <c r="M135" s="47" t="n"/>
      <c r="N135" s="47" t="inlineStr">
        <is>
          <t>UCKZo4N0lVPccBkSiuyVh4yg</t>
        </is>
      </c>
      <c r="O135" s="48" t="n">
        <v>46099.87708333333</v>
      </c>
      <c r="P135" s="49" t="n">
        <v>46099</v>
      </c>
      <c r="Q135" s="47" t="n">
        <v>3133</v>
      </c>
      <c r="R135" s="47" t="inlineStr">
        <is>
          <t>No Video ID yet</t>
        </is>
      </c>
      <c r="S135" s="49" t="n"/>
      <c r="T135" s="49" t="n"/>
      <c r="U135" s="47" t="inlineStr">
        <is>
          <t>This show is sponsored by BetterHelp: Sign up and get 10% off at BetterHelp.com/SUPER The Everyday Earbuds Classic are here to help you go for gold. Go to buy raycon.com/supercarlin to get 15% off. Thanks Raycon for sponsoring! Grab your Butterbeers and Pumpkin Pasties and settle in — we’ve stitched together ANOTHER 2 hours Harry Potter Theories to Binge! What was Voldemorts Failed Horcrux? Is Trelawny actually always right? How do you become and animagus? Why does the Elder Wand Keep losing AND MORE!</t>
        </is>
      </c>
      <c r="V135" s="47">
        <f>IF(AND(P135&gt;=Calendar!$K$2,P135&lt;EDATE(Calendar!$K$2,1),OR(Calendar!$K$4="*",N135=Calendar!$K$4)),P135*100+COUNTIFS($P$6:$P$3267,P135,$Q$6:$Q$3267,"&lt;="&amp;Q135,$N$6:$N$3267,Calendar!$K$4),"")</f>
        <v/>
      </c>
      <c r="W135" s="47">
        <f>IF(AND(B135=Queue!$C$4,OR(Queue!$K$4="*",N135=Queue!$K$4)),Q135,"")</f>
        <v/>
      </c>
    </row>
    <row r="136">
      <c r="A136" s="38">
        <f>IF(M136="","",HYPERLINK("https://www.youtube.com/watch?v="&amp;M136,"▶"))</f>
        <v/>
      </c>
      <c r="B136" s="39">
        <f>IF(C136&lt;&gt;"",C136,IF(P136&lt;=IFERROR(INDEX(tblChannels[Watched Through],MATCH(N136,tblChannels[Channel ID],0)),0),"Watched","Unwatched"))</f>
        <v/>
      </c>
      <c r="C136" s="40" t="n"/>
      <c r="D136" s="41" t="n"/>
      <c r="E136" s="42" t="n">
        <v>46096.54236111111</v>
      </c>
      <c r="F136" s="51" t="inlineStr">
        <is>
          <t>Through The Griffin Door</t>
        </is>
      </c>
      <c r="G136" t="inlineStr">
        <is>
          <t>Chapter 28: Snape’s Worst Memory | Order of the Phoenix</t>
        </is>
      </c>
      <c r="H136" s="44" t="n">
        <v>0.07962962962962963</v>
      </c>
      <c r="I136" s="45" t="n">
        <v>41889</v>
      </c>
      <c r="J136" s="45" t="n">
        <v>1093</v>
      </c>
      <c r="K136" s="45" t="n">
        <v>408</v>
      </c>
      <c r="L136" s="46" t="n"/>
      <c r="M136" s="47" t="n"/>
      <c r="N136" s="47" t="inlineStr">
        <is>
          <t>UCEscP6ETYXWSSvsNrDHekMQ</t>
        </is>
      </c>
      <c r="O136" s="48" t="n">
        <v>46096.70902777778</v>
      </c>
      <c r="P136" s="49" t="n">
        <v>46096</v>
      </c>
      <c r="Q136" s="47" t="n">
        <v>3132</v>
      </c>
      <c r="R136" s="47" t="inlineStr">
        <is>
          <t>No Video ID yet</t>
        </is>
      </c>
      <c r="S136" s="49" t="n"/>
      <c r="T136" s="49" t="n"/>
      <c r="U136" s="47" t="inlineStr">
        <is>
          <t>Join J and Ben as they dive into Chapter 28 of the Order of the Phoenix and discuss the aftermath of Dumbledore’s flight, the Inquisitorial Squad, Umbridge DRUGGING students, the twins’ pandemonium, dreaming about the Hall of Prophecies, a horrible encounter with Cho, the Pensieve calling (?) to Harry, the Marauders as teens, and Snape getting bullied. Hogwarts is a Dragon - 05:05 - Chapter Breakdown 1:47:24 - Closing Thoughts and Review</t>
        </is>
      </c>
      <c r="V136" s="47">
        <f>IF(AND(P136&gt;=Calendar!$K$2,P136&lt;EDATE(Calendar!$K$2,1),OR(Calendar!$K$4="*",N136=Calendar!$K$4)),P136*100+COUNTIFS($P$6:$P$3267,P136,$Q$6:$Q$3267,"&lt;="&amp;Q136,$N$6:$N$3267,Calendar!$K$4),"")</f>
        <v/>
      </c>
      <c r="W136" s="47">
        <f>IF(AND(B136=Queue!$C$4,OR(Queue!$K$4="*",N136=Queue!$K$4)),Q136,"")</f>
        <v/>
      </c>
    </row>
    <row r="137">
      <c r="A137" s="38">
        <f>IF(M137="","",HYPERLINK("https://www.youtube.com/watch?v="&amp;M137,"▶"))</f>
        <v/>
      </c>
      <c r="B137" s="39">
        <f>IF(C137&lt;&gt;"",C137,IF(P137&lt;=IFERROR(INDEX(tblChannels[Watched Through],MATCH(N137,tblChannels[Channel ID],0)),0),"Watched","Unwatched"))</f>
        <v/>
      </c>
      <c r="C137" s="40" t="n"/>
      <c r="D137" s="41" t="n"/>
      <c r="E137" s="42" t="n">
        <v>46094.625</v>
      </c>
      <c r="F137" s="50" t="inlineStr">
        <is>
          <t>Super Carlin Brothers</t>
        </is>
      </c>
      <c r="G137" t="inlineStr">
        <is>
          <t>Umbridge Is ACTUALLY A Poltergeist | Harry Potter Theory</t>
        </is>
      </c>
      <c r="H137" s="44" t="n">
        <v>0.009050925925925926</v>
      </c>
      <c r="I137" s="45" t="n">
        <v>58286</v>
      </c>
      <c r="J137" s="45" t="n">
        <v>2977</v>
      </c>
      <c r="K137" s="45" t="n">
        <v>341</v>
      </c>
      <c r="L137" s="46" t="n"/>
      <c r="M137" s="47" t="n"/>
      <c r="N137" s="47" t="inlineStr">
        <is>
          <t>UCKZo4N0lVPccBkSiuyVh4yg</t>
        </is>
      </c>
      <c r="O137" s="48" t="n">
        <v>46094.79166666666</v>
      </c>
      <c r="P137" s="49" t="n">
        <v>46094</v>
      </c>
      <c r="Q137" s="47" t="n">
        <v>3131</v>
      </c>
      <c r="R137" s="47" t="inlineStr">
        <is>
          <t>No Video ID yet</t>
        </is>
      </c>
      <c r="S137" s="49" t="n"/>
      <c r="T137" s="49" t="n"/>
      <c r="U137" s="47" t="inlineStr">
        <is>
          <t>Sign up and get 10% off at BetterHelp.com/SUPER Today Ben dives into the Wizarding World of Harry Potter to determine if Dolores Jane Umbridge was actually a poltergeist. The literal manifestation of the Ministry’s fear and desire for control. Is it any coincidence that FILCH is her greatest ally and Peeves her greatest foe at Hogwarts?</t>
        </is>
      </c>
      <c r="V137" s="47">
        <f>IF(AND(P137&gt;=Calendar!$K$2,P137&lt;EDATE(Calendar!$K$2,1),OR(Calendar!$K$4="*",N137=Calendar!$K$4)),P137*100+COUNTIFS($P$6:$P$3267,P137,$Q$6:$Q$3267,"&lt;="&amp;Q137,$N$6:$N$3267,Calendar!$K$4),"")</f>
        <v/>
      </c>
      <c r="W137" s="47">
        <f>IF(AND(B137=Queue!$C$4,OR(Queue!$K$4="*",N137=Queue!$K$4)),Q137,"")</f>
        <v/>
      </c>
    </row>
    <row r="138">
      <c r="A138" s="38">
        <f>IF(M138="","",HYPERLINK("https://www.youtube.com/watch?v="&amp;M138,"▶"))</f>
        <v/>
      </c>
      <c r="B138" s="39">
        <f>IF(C138&lt;&gt;"",C138,IF(P138&lt;=IFERROR(INDEX(tblChannels[Watched Through],MATCH(N138,tblChannels[Channel ID],0)),0),"Watched","Unwatched"))</f>
        <v/>
      </c>
      <c r="C138" s="40" t="n"/>
      <c r="D138" s="41" t="n"/>
      <c r="E138" s="42" t="n">
        <v>46094.41666666666</v>
      </c>
      <c r="F138" s="43" t="inlineStr">
        <is>
          <t>Popcorn Culture</t>
        </is>
      </c>
      <c r="G138" t="inlineStr">
        <is>
          <t>How UNLIKELY Is J? | Popcorn Culture</t>
        </is>
      </c>
      <c r="H138" s="44" t="n">
        <v>0.04333333333333333</v>
      </c>
      <c r="I138" s="45" t="n">
        <v>2207</v>
      </c>
      <c r="J138" s="45" t="n">
        <v>132</v>
      </c>
      <c r="K138" s="45" t="n">
        <v>31</v>
      </c>
      <c r="L138" s="46" t="n"/>
      <c r="M138" s="47" t="n"/>
      <c r="N138" s="47" t="inlineStr">
        <is>
          <t>UCHfIbq9thHPC8yrKjAdJgDA</t>
        </is>
      </c>
      <c r="O138" s="48" t="n">
        <v>46094.58333333334</v>
      </c>
      <c r="P138" s="49" t="n">
        <v>46094</v>
      </c>
      <c r="Q138" s="47" t="n">
        <v>3130</v>
      </c>
      <c r="R138" s="47" t="inlineStr">
        <is>
          <t>No Video ID yet</t>
        </is>
      </c>
      <c r="S138" s="49" t="n"/>
      <c r="T138" s="49" t="n"/>
      <c r="U138" s="47" t="inlineStr">
        <is>
          <t>In the 327th episoe of the Pop, Ben and J discuss unlikely traits, name dropping, Cameo Competitions, Mustache anniversary, no-life-ing it, and running zones. Peanuts - Hey Arnold - WE’RE ON CAMEO - Eternity - Diablo 2 - Denver, CO - 03/07/2026 (sold out) Salt Lake City, UT - 03/09/2026 (sold out) Alternate Title: Stink the 10th 00:00 - Intro, Unlikeliness of Humans 27:12 - Cameo Competition 36:16 - 2 Years Mustachioed</t>
        </is>
      </c>
      <c r="V138" s="47">
        <f>IF(AND(P138&gt;=Calendar!$K$2,P138&lt;EDATE(Calendar!$K$2,1),OR(Calendar!$K$4="*",N138=Calendar!$K$4)),P138*100+COUNTIFS($P$6:$P$3267,P138,$Q$6:$Q$3267,"&lt;="&amp;Q138,$N$6:$N$3267,Calendar!$K$4),"")</f>
        <v/>
      </c>
      <c r="W138" s="47">
        <f>IF(AND(B138=Queue!$C$4,OR(Queue!$K$4="*",N138=Queue!$K$4)),Q138,"")</f>
        <v/>
      </c>
    </row>
    <row r="139">
      <c r="A139" s="38">
        <f>IF(M139="","",HYPERLINK("https://www.youtube.com/watch?v="&amp;M139,"▶"))</f>
        <v/>
      </c>
      <c r="B139" s="39">
        <f>IF(C139&lt;&gt;"",C139,IF(P139&lt;=IFERROR(INDEX(tblChannels[Watched Through],MATCH(N139,tblChannels[Channel ID],0)),0),"Watched","Unwatched"))</f>
        <v/>
      </c>
      <c r="C139" s="40" t="n"/>
      <c r="D139" s="41" t="n"/>
      <c r="E139" s="42" t="n">
        <v>46092.625</v>
      </c>
      <c r="F139" s="50" t="inlineStr">
        <is>
          <t>Super Carlin Brothers</t>
        </is>
      </c>
      <c r="G139" t="inlineStr">
        <is>
          <t>J vs Ben: ULTIMATE Umbridge Quiz | Harry Potter Trivia</t>
        </is>
      </c>
      <c r="H139" s="44" t="n">
        <v>0.03160879629629629</v>
      </c>
      <c r="I139" s="45" t="n">
        <v>87521</v>
      </c>
      <c r="J139" s="45" t="n">
        <v>3280</v>
      </c>
      <c r="K139" s="45" t="n">
        <v>576</v>
      </c>
      <c r="L139" s="46" t="n"/>
      <c r="M139" s="47" t="n"/>
      <c r="N139" s="47" t="inlineStr">
        <is>
          <t>UCKZo4N0lVPccBkSiuyVh4yg</t>
        </is>
      </c>
      <c r="O139" s="48" t="n">
        <v>46092.79166666666</v>
      </c>
      <c r="P139" s="49" t="n">
        <v>46092</v>
      </c>
      <c r="Q139" s="47" t="n">
        <v>3129</v>
      </c>
      <c r="R139" s="47" t="inlineStr">
        <is>
          <t>No Video ID yet</t>
        </is>
      </c>
      <c r="S139" s="49" t="n"/>
      <c r="T139" s="49" t="n"/>
      <c r="U139" s="47" t="inlineStr">
        <is>
          <t>This episode is sponsored by Factor – Head to factormeals.com/jvsb50off and use code jvsb50off to get 50 percent off and free breakfast for a year! HEM-HEM! Today J and Ben face off once more to find out who knows more about everyone's least favorite character: Dolores Jane Umbridge. Play Along with us :: Edited by: Riley Murtagh Hosted by: Isybelle Christley</t>
        </is>
      </c>
      <c r="V139" s="47">
        <f>IF(AND(P139&gt;=Calendar!$K$2,P139&lt;EDATE(Calendar!$K$2,1),OR(Calendar!$K$4="*",N139=Calendar!$K$4)),P139*100+COUNTIFS($P$6:$P$3267,P139,$Q$6:$Q$3267,"&lt;="&amp;Q139,$N$6:$N$3267,Calendar!$K$4),"")</f>
        <v/>
      </c>
      <c r="W139" s="47">
        <f>IF(AND(B139=Queue!$C$4,OR(Queue!$K$4="*",N139=Queue!$K$4)),Q139,"")</f>
        <v/>
      </c>
    </row>
    <row r="140">
      <c r="A140" s="38">
        <f>IF(M140="","",HYPERLINK("https://www.youtube.com/watch?v="&amp;M140,"▶"))</f>
        <v/>
      </c>
      <c r="B140" s="39">
        <f>IF(C140&lt;&gt;"",C140,IF(P140&lt;=IFERROR(INDEX(tblChannels[Watched Through],MATCH(N140,tblChannels[Channel ID],0)),0),"Watched","Unwatched"))</f>
        <v/>
      </c>
      <c r="C140" s="40" t="n"/>
      <c r="D140" s="41" t="n"/>
      <c r="E140" s="42" t="n">
        <v>46089.41666666666</v>
      </c>
      <c r="F140" s="51" t="inlineStr">
        <is>
          <t>Through The Griffin Door</t>
        </is>
      </c>
      <c r="G140" t="inlineStr">
        <is>
          <t>Chapter 27: The Centaur and the Sneak | Order of the Phoenix</t>
        </is>
      </c>
      <c r="H140" s="44" t="n">
        <v>0.06888888888888889</v>
      </c>
      <c r="I140" s="45" t="n">
        <v>37299</v>
      </c>
      <c r="J140" s="45" t="n">
        <v>1102</v>
      </c>
      <c r="K140" s="45" t="n">
        <v>317</v>
      </c>
      <c r="L140" s="46" t="n"/>
      <c r="M140" s="47" t="n"/>
      <c r="N140" s="47" t="inlineStr">
        <is>
          <t>UCEscP6ETYXWSSvsNrDHekMQ</t>
        </is>
      </c>
      <c r="O140" s="48" t="n">
        <v>46089.58333333334</v>
      </c>
      <c r="P140" s="49" t="n">
        <v>46089</v>
      </c>
      <c r="Q140" s="47" t="n">
        <v>3128</v>
      </c>
      <c r="R140" s="47" t="inlineStr">
        <is>
          <t>No Video ID yet</t>
        </is>
      </c>
      <c r="S140" s="49" t="n"/>
      <c r="T140" s="49" t="n"/>
      <c r="U140" s="47" t="inlineStr">
        <is>
          <t>Join J and Ben as they dive into Chapter 27 of the Order of the Phoenix and discuss Hermione being a little racist(???), Firenze’s classroom, Mars and hot things, DA getting caught, and Dumbledore’s stylish exit.</t>
        </is>
      </c>
      <c r="V140" s="47">
        <f>IF(AND(P140&gt;=Calendar!$K$2,P140&lt;EDATE(Calendar!$K$2,1),OR(Calendar!$K$4="*",N140=Calendar!$K$4)),P140*100+COUNTIFS($P$6:$P$3267,P140,$Q$6:$Q$3267,"&lt;="&amp;Q140,$N$6:$N$3267,Calendar!$K$4),"")</f>
        <v/>
      </c>
      <c r="W140" s="47">
        <f>IF(AND(B140=Queue!$C$4,OR(Queue!$K$4="*",N140=Queue!$K$4)),Q140,"")</f>
        <v/>
      </c>
    </row>
    <row r="141">
      <c r="A141" s="38">
        <f>IF(M141="","",HYPERLINK("https://www.youtube.com/watch?v="&amp;M141,"▶"))</f>
        <v/>
      </c>
      <c r="B141" s="39">
        <f>IF(C141&lt;&gt;"",C141,IF(P141&lt;=IFERROR(INDEX(tblChannels[Watched Through],MATCH(N141,tblChannels[Channel ID],0)),0),"Watched","Unwatched"))</f>
        <v/>
      </c>
      <c r="C141" s="40" t="n"/>
      <c r="D141" s="41" t="n"/>
      <c r="E141" s="42" t="n">
        <v>46087.625</v>
      </c>
      <c r="F141" s="50" t="inlineStr">
        <is>
          <t>Super Carlin Brothers</t>
        </is>
      </c>
      <c r="G141" t="inlineStr">
        <is>
          <t>The 10 Moments That Made Avatar: The Last Airbender Legendary</t>
        </is>
      </c>
      <c r="H141" s="44" t="n">
        <v>0.02039351851851852</v>
      </c>
      <c r="I141" s="45" t="n">
        <v>39983</v>
      </c>
      <c r="J141" s="45" t="n">
        <v>2178</v>
      </c>
      <c r="K141" s="45" t="n">
        <v>178</v>
      </c>
      <c r="L141" s="46" t="n"/>
      <c r="M141" s="47" t="n"/>
      <c r="N141" s="47" t="inlineStr">
        <is>
          <t>UCKZo4N0lVPccBkSiuyVh4yg</t>
        </is>
      </c>
      <c r="O141" s="48" t="n">
        <v>46087.83333333334</v>
      </c>
      <c r="P141" s="49" t="n">
        <v>46087</v>
      </c>
      <c r="Q141" s="47" t="n">
        <v>3127</v>
      </c>
      <c r="R141" s="47" t="inlineStr">
        <is>
          <t>No Video ID yet</t>
        </is>
      </c>
      <c r="S141" s="49" t="n"/>
      <c r="T141" s="49" t="n"/>
      <c r="U141" s="47" t="inlineStr">
        <is>
          <t>Today J dives off a sky bison into the world of Avatar The Last Air Bender to review the Top 10 moments that defined the show and truly made it LEGENDARY. From Zuko vs Azula, Tears from the Vine, Katara vs Pakku and Aang vs The Fire Lord, we break them ALL down! #SuperCarlinBrothers #avatarthelastairbender</t>
        </is>
      </c>
      <c r="V141" s="47">
        <f>IF(AND(P141&gt;=Calendar!$K$2,P141&lt;EDATE(Calendar!$K$2,1),OR(Calendar!$K$4="*",N141=Calendar!$K$4)),P141*100+COUNTIFS($P$6:$P$3267,P141,$Q$6:$Q$3267,"&lt;="&amp;Q141,$N$6:$N$3267,Calendar!$K$4),"")</f>
        <v/>
      </c>
      <c r="W141" s="47">
        <f>IF(AND(B141=Queue!$C$4,OR(Queue!$K$4="*",N141=Queue!$K$4)),Q141,"")</f>
        <v/>
      </c>
    </row>
    <row r="142">
      <c r="A142" s="38">
        <f>IF(M142="","",HYPERLINK("https://www.youtube.com/watch?v="&amp;M142,"▶"))</f>
        <v/>
      </c>
      <c r="B142" s="39">
        <f>IF(C142&lt;&gt;"",C142,IF(P142&lt;=IFERROR(INDEX(tblChannels[Watched Through],MATCH(N142,tblChannels[Channel ID],0)),0),"Watched","Unwatched"))</f>
        <v/>
      </c>
      <c r="C142" s="40" t="n"/>
      <c r="D142" s="41" t="n"/>
      <c r="E142" s="42" t="n">
        <v>46087.41666666666</v>
      </c>
      <c r="F142" s="43" t="inlineStr">
        <is>
          <t>Popcorn Culture</t>
        </is>
      </c>
      <c r="G142" t="inlineStr">
        <is>
          <t>Small Town Service | Popcorn Culture</t>
        </is>
      </c>
      <c r="H142" s="44" t="n">
        <v>0.05445601851851852</v>
      </c>
      <c r="I142" s="45" t="n">
        <v>2692</v>
      </c>
      <c r="J142" s="45" t="n">
        <v>140</v>
      </c>
      <c r="K142" s="45" t="n">
        <v>12</v>
      </c>
      <c r="L142" s="46" t="n"/>
      <c r="M142" s="47" t="n"/>
      <c r="N142" s="47" t="inlineStr">
        <is>
          <t>UCHfIbq9thHPC8yrKjAdJgDA</t>
        </is>
      </c>
      <c r="O142" s="48" t="n">
        <v>46087.625</v>
      </c>
      <c r="P142" s="49" t="n">
        <v>46087</v>
      </c>
      <c r="Q142" s="47" t="n">
        <v>3126</v>
      </c>
      <c r="R142" s="47" t="inlineStr">
        <is>
          <t>No Video ID yet</t>
        </is>
      </c>
      <c r="S142" s="49" t="n"/>
      <c r="T142" s="49" t="n"/>
      <c r="U142" s="47" t="inlineStr">
        <is>
          <t>In the 326th episode of the Pop, Ben and J discuss hard conversations, invisalign and weight loss, teaching Addy how to ride a bike, small town service, screen time, and PRINGLES. WE’RE ON CAMEO - Denver, CO - 03/07/2026 (sold out) Salt Lake City, UT - 03/09/2026 (sold out) Alternate Title: Perfectly Imperfect Snack Proud Dad Moment 00:00 - Intro, We Did a Too Long ATFP 01:37 - More Hard Conversations 25:30 - Body Progress 42:31 - Bike Riding</t>
        </is>
      </c>
      <c r="V142" s="47">
        <f>IF(AND(P142&gt;=Calendar!$K$2,P142&lt;EDATE(Calendar!$K$2,1),OR(Calendar!$K$4="*",N142=Calendar!$K$4)),P142*100+COUNTIFS($P$6:$P$3267,P142,$Q$6:$Q$3267,"&lt;="&amp;Q142,$N$6:$N$3267,Calendar!$K$4),"")</f>
        <v/>
      </c>
      <c r="W142" s="47">
        <f>IF(AND(B142=Queue!$C$4,OR(Queue!$K$4="*",N142=Queue!$K$4)),Q142,"")</f>
        <v/>
      </c>
    </row>
    <row r="143">
      <c r="A143" s="38">
        <f>IF(M143="","",HYPERLINK("https://www.youtube.com/watch?v="&amp;M143,"▶"))</f>
        <v/>
      </c>
      <c r="B143" s="39">
        <f>IF(C143&lt;&gt;"",C143,IF(P143&lt;=IFERROR(INDEX(tblChannels[Watched Through],MATCH(N143,tblChannels[Channel ID],0)),0),"Watched","Unwatched"))</f>
        <v/>
      </c>
      <c r="C143" s="40" t="n"/>
      <c r="D143" s="41" t="n"/>
      <c r="E143" s="42" t="n">
        <v>46085.67986111111</v>
      </c>
      <c r="F143" s="50" t="inlineStr">
        <is>
          <t>Super Carlin Brothers</t>
        </is>
      </c>
      <c r="G143" t="inlineStr">
        <is>
          <t>Theories From A Hat: More UNHINGED Harry Potter Theories</t>
        </is>
      </c>
      <c r="H143" s="44" t="n">
        <v>0.02287037037037037</v>
      </c>
      <c r="I143" s="45" t="n">
        <v>115293</v>
      </c>
      <c r="J143" s="45" t="n">
        <v>4093</v>
      </c>
      <c r="K143" s="45" t="n">
        <v>503</v>
      </c>
      <c r="L143" s="46" t="n"/>
      <c r="M143" s="47" t="n"/>
      <c r="N143" s="47" t="inlineStr">
        <is>
          <t>UCKZo4N0lVPccBkSiuyVh4yg</t>
        </is>
      </c>
      <c r="O143" s="48" t="n">
        <v>46085.88819444444</v>
      </c>
      <c r="P143" s="49" t="n">
        <v>46085</v>
      </c>
      <c r="Q143" s="47" t="n">
        <v>3125</v>
      </c>
      <c r="R143" s="47" t="inlineStr">
        <is>
          <t>No Video ID yet</t>
        </is>
      </c>
      <c r="S143" s="49" t="n"/>
      <c r="T143" s="49" t="n"/>
      <c r="U143" s="47" t="inlineStr">
        <is>
          <t>Sign up and get 10% off at BetterHelp.com/SUPER Today J and Ben are drawing more randomly viewer submitted theories from a hat and must defend them on the fly with no preparation and no book to guide them! Can they improvise a compelling case for an idea they’ve never heard before? Did Umbridge Love Dumbledore? Is Hermione the Narrator? Did Voldemort kill Caractacus Burke?</t>
        </is>
      </c>
      <c r="V143" s="47">
        <f>IF(AND(P143&gt;=Calendar!$K$2,P143&lt;EDATE(Calendar!$K$2,1),OR(Calendar!$K$4="*",N143=Calendar!$K$4)),P143*100+COUNTIFS($P$6:$P$3267,P143,$Q$6:$Q$3267,"&lt;="&amp;Q143,$N$6:$N$3267,Calendar!$K$4),"")</f>
        <v/>
      </c>
      <c r="W143" s="47">
        <f>IF(AND(B143=Queue!$C$4,OR(Queue!$K$4="*",N143=Queue!$K$4)),Q143,"")</f>
        <v/>
      </c>
    </row>
    <row r="144">
      <c r="A144" s="38">
        <f>IF(M144="","",HYPERLINK("https://www.youtube.com/watch?v="&amp;M144,"▶"))</f>
        <v/>
      </c>
      <c r="B144" s="39">
        <f>IF(C144&lt;&gt;"",C144,IF(P144&lt;=IFERROR(INDEX(tblChannels[Watched Through],MATCH(N144,tblChannels[Channel ID],0)),0),"Watched","Unwatched"))</f>
        <v/>
      </c>
      <c r="C144" s="40" t="n"/>
      <c r="D144" s="41" t="n"/>
      <c r="E144" s="42" t="n">
        <v>46082.41736111111</v>
      </c>
      <c r="F144" s="51" t="inlineStr">
        <is>
          <t>Through The Griffin Door</t>
        </is>
      </c>
      <c r="G144" t="inlineStr">
        <is>
          <t>Chapter 26: Seen and Unforeseen | Order of the Phoenix</t>
        </is>
      </c>
      <c r="H144" s="44" t="n">
        <v>0.07197916666666666</v>
      </c>
      <c r="I144" s="45" t="n">
        <v>40585</v>
      </c>
      <c r="J144" s="45" t="n">
        <v>1079</v>
      </c>
      <c r="K144" s="45" t="n">
        <v>303</v>
      </c>
      <c r="L144" s="46" t="n"/>
      <c r="M144" s="47" t="n"/>
      <c r="N144" s="47" t="inlineStr">
        <is>
          <t>UCEscP6ETYXWSSvsNrDHekMQ</t>
        </is>
      </c>
      <c r="O144" s="48" t="n">
        <v>46082.62569444445</v>
      </c>
      <c r="P144" s="49" t="n">
        <v>46082</v>
      </c>
      <c r="Q144" s="47" t="n">
        <v>3124</v>
      </c>
      <c r="R144" s="47" t="inlineStr">
        <is>
          <t>No Video ID yet</t>
        </is>
      </c>
      <c r="S144" s="49" t="n"/>
      <c r="T144" s="49" t="n"/>
      <c r="U144" s="47" t="inlineStr">
        <is>
          <t>Join J and Ben as they dive into Chapter 26 of the Order of the Phoenix and discuss Harry’s date debrief with Hermione, the spirit of sports, the reaction to the Quibbler article, the Death Eaters dream, Hermione connecting the dots, tense Occlumency lessons, and Trelawney getting kicked out. 03:16 - Chapter Breakdown 1:32:34 - Closing Thoughts and Review</t>
        </is>
      </c>
      <c r="V144" s="47">
        <f>IF(AND(P144&gt;=Calendar!$K$2,P144&lt;EDATE(Calendar!$K$2,1),OR(Calendar!$K$4="*",N144=Calendar!$K$4)),P144*100+COUNTIFS($P$6:$P$3267,P144,$Q$6:$Q$3267,"&lt;="&amp;Q144,$N$6:$N$3267,Calendar!$K$4),"")</f>
        <v/>
      </c>
      <c r="W144" s="47">
        <f>IF(AND(B144=Queue!$C$4,OR(Queue!$K$4="*",N144=Queue!$K$4)),Q144,"")</f>
        <v/>
      </c>
    </row>
    <row r="145">
      <c r="A145" s="38">
        <f>IF(M145="","",HYPERLINK("https://www.youtube.com/watch?v="&amp;M145,"▶"))</f>
        <v/>
      </c>
      <c r="B145" s="39">
        <f>IF(C145&lt;&gt;"",C145,IF(P145&lt;=IFERROR(INDEX(tblChannels[Watched Through],MATCH(N145,tblChannels[Channel ID],0)),0),"Watched","Unwatched"))</f>
        <v/>
      </c>
      <c r="C145" s="40" t="n"/>
      <c r="D145" s="41" t="n"/>
      <c r="E145" s="42" t="n">
        <v>46080.7375</v>
      </c>
      <c r="F145" s="50" t="inlineStr">
        <is>
          <t>Super Carlin Brothers</t>
        </is>
      </c>
      <c r="G145" t="inlineStr">
        <is>
          <t>What Happened To Fantastic Beasts? | Harry Potter</t>
        </is>
      </c>
      <c r="H145" s="44" t="n">
        <v>0.01809027777777778</v>
      </c>
      <c r="I145" s="45" t="n">
        <v>255211</v>
      </c>
      <c r="J145" s="45" t="n">
        <v>9056</v>
      </c>
      <c r="K145" s="45" t="n">
        <v>1773</v>
      </c>
      <c r="L145" s="46" t="n"/>
      <c r="M145" s="47" t="n"/>
      <c r="N145" s="47" t="inlineStr">
        <is>
          <t>UCKZo4N0lVPccBkSiuyVh4yg</t>
        </is>
      </c>
      <c r="O145" s="48" t="n">
        <v>46080.94583333333</v>
      </c>
      <c r="P145" s="49" t="n">
        <v>46080</v>
      </c>
      <c r="Q145" s="47" t="n">
        <v>3123</v>
      </c>
      <c r="R145" s="47" t="inlineStr">
        <is>
          <t>No Video ID yet</t>
        </is>
      </c>
      <c r="S145" s="49" t="n"/>
      <c r="T145" s="49" t="n"/>
      <c r="U145" s="47" t="inlineStr">
        <is>
          <t>The Everyday Earbuds Classic are here to help you go for gold. Go to buy raycon.com/supercarlin to get 15% off. Thanks Raycon for sponsoring! Head to factormeals.com/super50off and use code 'super50off' to get 50 percent off and FREE breakfast for a year. What Happened to the Fantastic Beasts Movies? Today J dives into the Wizarding World to explore why these movies stalled out. From convoluted plot lines to out-of-universe controversies with JK Rowling, we get to the bottom of it</t>
        </is>
      </c>
      <c r="V145" s="47">
        <f>IF(AND(P145&gt;=Calendar!$K$2,P145&lt;EDATE(Calendar!$K$2,1),OR(Calendar!$K$4="*",N145=Calendar!$K$4)),P145*100+COUNTIFS($P$6:$P$3267,P145,$Q$6:$Q$3267,"&lt;="&amp;Q145,$N$6:$N$3267,Calendar!$K$4),"")</f>
        <v/>
      </c>
      <c r="W145" s="47">
        <f>IF(AND(B145=Queue!$C$4,OR(Queue!$K$4="*",N145=Queue!$K$4)),Q145,"")</f>
        <v/>
      </c>
    </row>
    <row r="146">
      <c r="A146" s="38">
        <f>IF(M146="","",HYPERLINK("https://www.youtube.com/watch?v="&amp;M146,"▶"))</f>
        <v/>
      </c>
      <c r="B146" s="39">
        <f>IF(C146&lt;&gt;"",C146,IF(P146&lt;=IFERROR(INDEX(tblChannels[Watched Through],MATCH(N146,tblChannels[Channel ID],0)),0),"Watched","Unwatched"))</f>
        <v/>
      </c>
      <c r="C146" s="40" t="n"/>
      <c r="D146" s="41" t="n"/>
      <c r="E146" s="42" t="n">
        <v>46080.41736111111</v>
      </c>
      <c r="F146" s="43" t="inlineStr">
        <is>
          <t>Popcorn Culture</t>
        </is>
      </c>
      <c r="G146" t="inlineStr">
        <is>
          <t>Ben Picked a Pin! | Popcorn Culture</t>
        </is>
      </c>
      <c r="H146" s="44" t="n">
        <v>0.05498842592592593</v>
      </c>
      <c r="I146" s="45" t="n">
        <v>2514</v>
      </c>
      <c r="J146" s="45" t="n">
        <v>133</v>
      </c>
      <c r="K146" s="45" t="n">
        <v>27</v>
      </c>
      <c r="L146" s="46" t="n"/>
      <c r="M146" s="47" t="n"/>
      <c r="N146" s="47" t="inlineStr">
        <is>
          <t>UCHfIbq9thHPC8yrKjAdJgDA</t>
        </is>
      </c>
      <c r="O146" s="48" t="n">
        <v>46080.62569444445</v>
      </c>
      <c r="P146" s="49" t="n">
        <v>46080</v>
      </c>
      <c r="Q146" s="47" t="n">
        <v>3122</v>
      </c>
      <c r="R146" s="47" t="inlineStr">
        <is>
          <t>No Video ID yet</t>
        </is>
      </c>
      <c r="S146" s="49" t="n"/>
      <c r="T146" s="49" t="n"/>
      <c r="U146" s="47" t="inlineStr">
        <is>
          <t>In episode 325 of the Pop, Ben and J discuss getting over sickness, FOMO, self driving vehicles, the twin’s birthday, the Olympics, grass basketball, Cameo beef, Ben’s new character, Ben’s least favorite actor, and the MCU phenomenon. WE’RE ON CAMEO - Tron: Ares - The MCU - Denver, CO - 03/07/2026 (sold out) Salt Lake City, UT - 03/09/2026 (sold out) Alternate Title: The Ritual of Sports BEEF with George 00:00 - Intro, Sleep and FOMO 12:56 - Nick and Nate’s Birthday! 38:14 - BEEF With George 41:21 - Ben’s Life Development 57:16 - Tron: Ares</t>
        </is>
      </c>
      <c r="V146" s="47">
        <f>IF(AND(P146&gt;=Calendar!$K$2,P146&lt;EDATE(Calendar!$K$2,1),OR(Calendar!$K$4="*",N146=Calendar!$K$4)),P146*100+COUNTIFS($P$6:$P$3267,P146,$Q$6:$Q$3267,"&lt;="&amp;Q146,$N$6:$N$3267,Calendar!$K$4),"")</f>
        <v/>
      </c>
      <c r="W146" s="47">
        <f>IF(AND(B146=Queue!$C$4,OR(Queue!$K$4="*",N146=Queue!$K$4)),Q146,"")</f>
        <v/>
      </c>
    </row>
    <row r="147">
      <c r="A147" s="38">
        <f>IF(M147="","",HYPERLINK("https://www.youtube.com/watch?v="&amp;M147,"▶"))</f>
        <v/>
      </c>
      <c r="B147" s="39">
        <f>IF(C147&lt;&gt;"",C147,IF(P147&lt;=IFERROR(INDEX(tblChannels[Watched Through],MATCH(N147,tblChannels[Channel ID],0)),0),"Watched","Unwatched"))</f>
        <v/>
      </c>
      <c r="C147" s="40" t="n"/>
      <c r="D147" s="41" t="n"/>
      <c r="E147" s="42" t="n">
        <v>46078.73402777778</v>
      </c>
      <c r="F147" s="50" t="inlineStr">
        <is>
          <t>Super Carlin Brothers</t>
        </is>
      </c>
      <c r="G147" t="inlineStr">
        <is>
          <t>J vs Ben: The HARDEST Harry Potter Hospital Quiz</t>
        </is>
      </c>
      <c r="H147" s="44" t="n">
        <v>0.03328703703703704</v>
      </c>
      <c r="I147" s="45" t="n">
        <v>84318</v>
      </c>
      <c r="J147" s="45" t="n">
        <v>3139</v>
      </c>
      <c r="K147" s="45" t="n">
        <v>405</v>
      </c>
      <c r="L147" s="46" t="n"/>
      <c r="M147" s="47" t="n"/>
      <c r="N147" s="47" t="inlineStr">
        <is>
          <t>UCKZo4N0lVPccBkSiuyVh4yg</t>
        </is>
      </c>
      <c r="O147" s="48" t="n">
        <v>46078.94236111111</v>
      </c>
      <c r="P147" s="49" t="n">
        <v>46078</v>
      </c>
      <c r="Q147" s="47" t="n">
        <v>3121</v>
      </c>
      <c r="R147" s="47" t="inlineStr">
        <is>
          <t>No Video ID yet</t>
        </is>
      </c>
      <c r="S147" s="49" t="n"/>
      <c r="T147" s="49" t="n"/>
      <c r="U147" s="47" t="inlineStr">
        <is>
          <t>Get ready for another J vs Ben: The HARDEST Harry Potter Hospital Quiz! Today J and Ben face off once more to find out who knows more about St. Mungos Hospital for Magical Maladies and Injuries. This has been a long awaited quiz about one of the most trivia dense parts of the book. Questions about this place have haunted the Carlins for years and now the FULL WEIGHT of its might is about to rain down upon them! Hope they studied.. Cameo: (Oliver Phelps is SO going down!) Play Along with us: Huge thank you to all of our Quiz Masters whose questions were selected: Tara Walker, Skylark, Teghan Denlinger, Oryan’s Wizard Parts, FireFlower, Ben Henderson, Dorian R. Elli Collins, Maddy DeVeuve, M. Casarico, Bouillion Cube, Crafty Liz, Storm, LawNinja, Nathan Morgan, Tina’s Hotdog Sophie, TrexDog, IrishRoyalty, Bunny, Dread, Jessica Theirault, Teagan Steffen, Francis’s Trousers, MikeDroid, GooeyChewie, DumbleDad, Katrina A, Dola and Cam of the Math Budget Hosted by: Kat Stine</t>
        </is>
      </c>
      <c r="V147" s="47">
        <f>IF(AND(P147&gt;=Calendar!$K$2,P147&lt;EDATE(Calendar!$K$2,1),OR(Calendar!$K$4="*",N147=Calendar!$K$4)),P147*100+COUNTIFS($P$6:$P$3267,P147,$Q$6:$Q$3267,"&lt;="&amp;Q147,$N$6:$N$3267,Calendar!$K$4),"")</f>
        <v/>
      </c>
      <c r="W147" s="47">
        <f>IF(AND(B147=Queue!$C$4,OR(Queue!$K$4="*",N147=Queue!$K$4)),Q147,"")</f>
        <v/>
      </c>
    </row>
    <row r="148">
      <c r="A148" s="38">
        <f>IF(M148="","",HYPERLINK("https://www.youtube.com/watch?v="&amp;M148,"▶"))</f>
        <v/>
      </c>
      <c r="B148" s="39">
        <f>IF(C148&lt;&gt;"",C148,IF(P148&lt;=IFERROR(INDEX(tblChannels[Watched Through],MATCH(N148,tblChannels[Channel ID],0)),0),"Watched","Unwatched"))</f>
        <v/>
      </c>
      <c r="C148" s="40" t="n"/>
      <c r="D148" s="41" t="n"/>
      <c r="E148" s="42" t="n">
        <v>46075.41666666666</v>
      </c>
      <c r="F148" s="51" t="inlineStr">
        <is>
          <t>Through The Griffin Door</t>
        </is>
      </c>
      <c r="G148" t="inlineStr">
        <is>
          <t>Chapter 25: The Beetle at Bay | Order of the Phoenix</t>
        </is>
      </c>
      <c r="H148" s="44" t="n">
        <v>0.07890046296296296</v>
      </c>
      <c r="I148" s="45" t="n">
        <v>44921</v>
      </c>
      <c r="J148" s="45" t="n">
        <v>1147</v>
      </c>
      <c r="K148" s="45" t="n">
        <v>308</v>
      </c>
      <c r="L148" s="46" t="n"/>
      <c r="M148" s="47" t="n"/>
      <c r="N148" s="47" t="inlineStr">
        <is>
          <t>UCEscP6ETYXWSSvsNrDHekMQ</t>
        </is>
      </c>
      <c r="O148" s="48" t="n">
        <v>46075.625</v>
      </c>
      <c r="P148" s="49" t="n">
        <v>46075</v>
      </c>
      <c r="Q148" s="47" t="n">
        <v>3120</v>
      </c>
      <c r="R148" s="47" t="inlineStr">
        <is>
          <t>No Video ID yet</t>
        </is>
      </c>
      <c r="S148" s="49" t="n"/>
      <c r="T148" s="49" t="n"/>
      <c r="U148" s="47" t="inlineStr">
        <is>
          <t>Join J and Ben as they dive into Chapter 25 of the Order of the Phoenix and discuss the Azkaban breakout, Bode’s death, regular Hogwarts students, Harry’s horrible date with Cho, and the interview with Rita Skeeter. 09:21 - Chapter Breakdown 55:06 - Ad Break (Shopify) 56:20 - More Chapter Breakdown 1:44:42 - Closing Thoughts and Review</t>
        </is>
      </c>
      <c r="V148" s="47">
        <f>IF(AND(P148&gt;=Calendar!$K$2,P148&lt;EDATE(Calendar!$K$2,1),OR(Calendar!$K$4="*",N148=Calendar!$K$4)),P148*100+COUNTIFS($P$6:$P$3267,P148,$Q$6:$Q$3267,"&lt;="&amp;Q148,$N$6:$N$3267,Calendar!$K$4),"")</f>
        <v/>
      </c>
      <c r="W148" s="47">
        <f>IF(AND(B148=Queue!$C$4,OR(Queue!$K$4="*",N148=Queue!$K$4)),Q148,"")</f>
        <v/>
      </c>
    </row>
    <row r="149">
      <c r="A149" s="38">
        <f>IF(M149="","",HYPERLINK("https://www.youtube.com/watch?v="&amp;M149,"▶"))</f>
        <v/>
      </c>
      <c r="B149" s="39">
        <f>IF(C149&lt;&gt;"",C149,IF(P149&lt;=IFERROR(INDEX(tblChannels[Watched Through],MATCH(N149,tblChannels[Channel ID],0)),0),"Watched","Unwatched"))</f>
        <v/>
      </c>
      <c r="C149" s="40" t="n"/>
      <c r="D149" s="41" t="n"/>
      <c r="E149" s="42" t="n">
        <v>46073.68888888889</v>
      </c>
      <c r="F149" s="50" t="inlineStr">
        <is>
          <t>Super Carlin Brothers</t>
        </is>
      </c>
      <c r="G149" t="inlineStr">
        <is>
          <t>What If Snape Was in Gryffindor? | Harry Potter Theory</t>
        </is>
      </c>
      <c r="H149" s="44" t="n">
        <v>0.01387731481481481</v>
      </c>
      <c r="I149" s="45" t="n">
        <v>84554</v>
      </c>
      <c r="J149" s="45" t="n">
        <v>4058</v>
      </c>
      <c r="K149" s="45" t="n">
        <v>888</v>
      </c>
      <c r="L149" s="46" t="n"/>
      <c r="M149" s="47" t="n"/>
      <c r="N149" s="47" t="inlineStr">
        <is>
          <t>UCKZo4N0lVPccBkSiuyVh4yg</t>
        </is>
      </c>
      <c r="O149" s="48" t="n">
        <v>46073.89722222222</v>
      </c>
      <c r="P149" s="49" t="n">
        <v>46073</v>
      </c>
      <c r="Q149" s="47" t="n">
        <v>3119</v>
      </c>
      <c r="R149" s="47" t="inlineStr">
        <is>
          <t>No Video ID yet</t>
        </is>
      </c>
      <c r="S149" s="49" t="n"/>
      <c r="T149" s="49" t="n"/>
      <c r="U149" s="47" t="inlineStr">
        <is>
          <t>What if Snape was sorted into Gryffindor? This show is sponsored by BetterHelp – Sign up and get 10% off your first month at BetterHelp.com/SUPER This show is sponsored by Shopify – Go to shopify.com/scb to sign up for your one dollar per month trial! Today Ben dives into the Wizarding World of Harry Potter to ask: What if Snape was in Gryffindor? Dumbledore says he thinks they may have sorted him too early, and Harry calls him one of the bravest men he ever met. Would being sorted into Gryffindor make him one of the Marauders? Would he ever become a Death Eater? Would the prophecy ever be overheard? Question submitted by: Adam Pennington</t>
        </is>
      </c>
      <c r="V149" s="47">
        <f>IF(AND(P149&gt;=Calendar!$K$2,P149&lt;EDATE(Calendar!$K$2,1),OR(Calendar!$K$4="*",N149=Calendar!$K$4)),P149*100+COUNTIFS($P$6:$P$3267,P149,$Q$6:$Q$3267,"&lt;="&amp;Q149,$N$6:$N$3267,Calendar!$K$4),"")</f>
        <v/>
      </c>
      <c r="W149" s="47">
        <f>IF(AND(B149=Queue!$C$4,OR(Queue!$K$4="*",N149=Queue!$K$4)),Q149,"")</f>
        <v/>
      </c>
    </row>
    <row r="150">
      <c r="A150" s="38">
        <f>IF(M150="","",HYPERLINK("https://www.youtube.com/watch?v="&amp;M150,"▶"))</f>
        <v/>
      </c>
      <c r="B150" s="39">
        <f>IF(C150&lt;&gt;"",C150,IF(P150&lt;=IFERROR(INDEX(tblChannels[Watched Through],MATCH(N150,tblChannels[Channel ID],0)),0),"Watched","Unwatched"))</f>
        <v/>
      </c>
      <c r="C150" s="40" t="n"/>
      <c r="D150" s="41" t="n"/>
      <c r="E150" s="42" t="n">
        <v>46073.41666666666</v>
      </c>
      <c r="F150" s="43" t="inlineStr">
        <is>
          <t>Popcorn Culture</t>
        </is>
      </c>
      <c r="G150" t="inlineStr">
        <is>
          <t>Traumatizing Disney Rides | Popcorn Culture</t>
        </is>
      </c>
      <c r="H150" s="44" t="n">
        <v>0.04677083333333333</v>
      </c>
      <c r="I150" s="45" t="n">
        <v>2582</v>
      </c>
      <c r="J150" s="45" t="n">
        <v>143</v>
      </c>
      <c r="K150" s="45" t="n">
        <v>24</v>
      </c>
      <c r="L150" s="46" t="n"/>
      <c r="M150" s="47" t="n"/>
      <c r="N150" s="47" t="inlineStr">
        <is>
          <t>UCHfIbq9thHPC8yrKjAdJgDA</t>
        </is>
      </c>
      <c r="O150" s="48" t="n">
        <v>46073.625</v>
      </c>
      <c r="P150" s="49" t="n">
        <v>46073</v>
      </c>
      <c r="Q150" s="47" t="n">
        <v>3118</v>
      </c>
      <c r="R150" s="47" t="inlineStr">
        <is>
          <t>No Video ID yet</t>
        </is>
      </c>
      <c r="S150" s="49" t="n"/>
      <c r="T150" s="49" t="n"/>
      <c r="U150" s="47" t="inlineStr">
        <is>
          <t>In the 324th episode of the Pop, Ben and J discuss their most recent Disney trip: great food, epic pin trading, traumatizing rides for children and chicken and waffles. Denver, CO - 03/07/2026 (sold out) Salt Lake City, UT - 03/09/2026 (sold out)</t>
        </is>
      </c>
      <c r="V150" s="47">
        <f>IF(AND(P150&gt;=Calendar!$K$2,P150&lt;EDATE(Calendar!$K$2,1),OR(Calendar!$K$4="*",N150=Calendar!$K$4)),P150*100+COUNTIFS($P$6:$P$3267,P150,$Q$6:$Q$3267,"&lt;="&amp;Q150,$N$6:$N$3267,Calendar!$K$4),"")</f>
        <v/>
      </c>
      <c r="W150" s="47">
        <f>IF(AND(B150=Queue!$C$4,OR(Queue!$K$4="*",N150=Queue!$K$4)),Q150,"")</f>
        <v/>
      </c>
    </row>
    <row r="151">
      <c r="A151" s="38">
        <f>IF(M151="","",HYPERLINK("https://www.youtube.com/watch?v="&amp;M151,"▶"))</f>
        <v/>
      </c>
      <c r="B151" s="39">
        <f>IF(C151&lt;&gt;"",C151,IF(P151&lt;=IFERROR(INDEX(tblChannels[Watched Through],MATCH(N151,tblChannels[Channel ID],0)),0),"Watched","Unwatched"))</f>
        <v/>
      </c>
      <c r="C151" s="40" t="n"/>
      <c r="D151" s="41" t="n"/>
      <c r="E151" s="42" t="n">
        <v>46071.68472222222</v>
      </c>
      <c r="F151" s="50" t="inlineStr">
        <is>
          <t>Super Carlin Brothers</t>
        </is>
      </c>
      <c r="G151" t="inlineStr">
        <is>
          <t>Umbridge VS Voldemort - Who’s Worse | Harry Potter Theory</t>
        </is>
      </c>
      <c r="H151" s="44" t="n">
        <v>0.01177083333333333</v>
      </c>
      <c r="I151" s="45" t="n">
        <v>57618</v>
      </c>
      <c r="J151" s="45" t="n">
        <v>3346</v>
      </c>
      <c r="K151" s="45" t="n">
        <v>897</v>
      </c>
      <c r="L151" s="46" t="n"/>
      <c r="M151" s="47" t="n"/>
      <c r="N151" s="47" t="inlineStr">
        <is>
          <t>UCKZo4N0lVPccBkSiuyVh4yg</t>
        </is>
      </c>
      <c r="O151" s="48" t="n">
        <v>46071.89305555556</v>
      </c>
      <c r="P151" s="49" t="n">
        <v>46071</v>
      </c>
      <c r="Q151" s="47" t="n">
        <v>3117</v>
      </c>
      <c r="R151" s="47" t="inlineStr">
        <is>
          <t>No Video ID yet</t>
        </is>
      </c>
      <c r="S151" s="49" t="n"/>
      <c r="T151" s="49" t="n"/>
      <c r="U151" s="47" t="inlineStr">
        <is>
          <t>This show is sponsored by BetterHelp – Sign up and get 10% off your first month at BetterHelp.com/SUPER Today J dives into the Wizarding World of Harry Potter to discuss one of the most fun questions in the fandom: Who’s worse: Voldemort or Umbridge? It feels like there should be an obvious answer and yet Umbridge certainly makes a case for herself. From stripping all happiness and joy from Hogwarts and Harry, stripping freedom after freedom, and rationalizing torture - is Umbridges brand of evil more relatable and scary than the Dark Lord himself?</t>
        </is>
      </c>
      <c r="V151" s="47">
        <f>IF(AND(P151&gt;=Calendar!$K$2,P151&lt;EDATE(Calendar!$K$2,1),OR(Calendar!$K$4="*",N151=Calendar!$K$4)),P151*100+COUNTIFS($P$6:$P$3267,P151,$Q$6:$Q$3267,"&lt;="&amp;Q151,$N$6:$N$3267,Calendar!$K$4),"")</f>
        <v/>
      </c>
      <c r="W151" s="47">
        <f>IF(AND(B151=Queue!$C$4,OR(Queue!$K$4="*",N151=Queue!$K$4)),Q151,"")</f>
        <v/>
      </c>
    </row>
    <row r="152">
      <c r="A152" s="38">
        <f>IF(M152="","",HYPERLINK("https://www.youtube.com/watch?v="&amp;M152,"▶"))</f>
        <v/>
      </c>
      <c r="B152" s="39">
        <f>IF(C152&lt;&gt;"",C152,IF(P152&lt;=IFERROR(INDEX(tblChannels[Watched Through],MATCH(N152,tblChannels[Channel ID],0)),0),"Watched","Unwatched"))</f>
        <v/>
      </c>
      <c r="C152" s="40" t="n"/>
      <c r="D152" s="41" t="n"/>
      <c r="E152" s="42" t="n">
        <v>46071.56388888889</v>
      </c>
      <c r="F152" s="50" t="inlineStr">
        <is>
          <t>Super Carlin Brothers</t>
        </is>
      </c>
      <c r="G152" t="inlineStr">
        <is>
          <t>WHEN DOES FINDING NEMO HAPPEN?!</t>
        </is>
      </c>
      <c r="H152" s="44" t="n">
        <v>0.00119212962962963</v>
      </c>
      <c r="I152" s="45" t="n">
        <v>82758</v>
      </c>
      <c r="J152" s="45" t="n">
        <v>2319</v>
      </c>
      <c r="K152" s="45" t="n">
        <v>63</v>
      </c>
      <c r="L152" s="46" t="n"/>
      <c r="M152" s="47" t="n"/>
      <c r="N152" s="47" t="inlineStr">
        <is>
          <t>UCKZo4N0lVPccBkSiuyVh4yg</t>
        </is>
      </c>
      <c r="O152" s="48" t="n">
        <v>46071.77222222222</v>
      </c>
      <c r="P152" s="49" t="n">
        <v>46071</v>
      </c>
      <c r="Q152" s="47" t="n">
        <v>3116</v>
      </c>
      <c r="R152" s="47" t="inlineStr">
        <is>
          <t>No Video ID yet</t>
        </is>
      </c>
      <c r="S152" s="49" t="n"/>
      <c r="T152" s="49" t="n"/>
      <c r="U152" s="47" t="inlineStr">
        <is>
          <t>We solved the Finding Nemo Timeline... What's your favorite Pixar Easter Egg? #pixar #pixarmovie #pixartheory #findingnemo #insideout</t>
        </is>
      </c>
      <c r="V152" s="47">
        <f>IF(AND(P152&gt;=Calendar!$K$2,P152&lt;EDATE(Calendar!$K$2,1),OR(Calendar!$K$4="*",N152=Calendar!$K$4)),P152*100+COUNTIFS($P$6:$P$3267,P152,$Q$6:$Q$3267,"&lt;="&amp;Q152,$N$6:$N$3267,Calendar!$K$4),"")</f>
        <v/>
      </c>
      <c r="W152" s="47">
        <f>IF(AND(B152=Queue!$C$4,OR(Queue!$K$4="*",N152=Queue!$K$4)),Q152,"")</f>
        <v/>
      </c>
    </row>
    <row r="153">
      <c r="A153" s="38">
        <f>IF(M153="","",HYPERLINK("https://www.youtube.com/watch?v="&amp;M153,"▶"))</f>
        <v/>
      </c>
      <c r="B153" s="39">
        <f>IF(C153&lt;&gt;"",C153,IF(P153&lt;=IFERROR(INDEX(tblChannels[Watched Through],MATCH(N153,tblChannels[Channel ID],0)),0),"Watched","Unwatched"))</f>
        <v/>
      </c>
      <c r="C153" s="40" t="n"/>
      <c r="D153" s="41" t="n"/>
      <c r="E153" s="42" t="n">
        <v>46070.45277777778</v>
      </c>
      <c r="F153" s="50" t="inlineStr">
        <is>
          <t>Super Carlin Brothers</t>
        </is>
      </c>
      <c r="G153" t="inlineStr">
        <is>
          <t>J’s Animagus REVEALED!</t>
        </is>
      </c>
      <c r="H153" s="44" t="n">
        <v>0.0006828703703703704</v>
      </c>
      <c r="I153" s="45" t="n">
        <v>35727</v>
      </c>
      <c r="J153" s="45" t="n">
        <v>1336</v>
      </c>
      <c r="K153" s="45" t="n">
        <v>132</v>
      </c>
      <c r="L153" s="46" t="n"/>
      <c r="M153" s="47" t="n"/>
      <c r="N153" s="47" t="inlineStr">
        <is>
          <t>UCKZo4N0lVPccBkSiuyVh4yg</t>
        </is>
      </c>
      <c r="O153" s="48" t="n">
        <v>46070.66111111111</v>
      </c>
      <c r="P153" s="49" t="n">
        <v>46070</v>
      </c>
      <c r="Q153" s="47" t="n">
        <v>3115</v>
      </c>
      <c r="R153" s="47" t="inlineStr">
        <is>
          <t>No Video ID yet</t>
        </is>
      </c>
      <c r="S153" s="49" t="n"/>
      <c r="T153" s="49" t="n"/>
      <c r="U153" s="47" t="inlineStr">
        <is>
          <t>Did Somebody say Year of the HORSE?! Happy Lunar New Year! 🧧🐴 #harrypotter #lunarnewyear #supercarlinbrothers</t>
        </is>
      </c>
      <c r="V153" s="47">
        <f>IF(AND(P153&gt;=Calendar!$K$2,P153&lt;EDATE(Calendar!$K$2,1),OR(Calendar!$K$4="*",N153=Calendar!$K$4)),P153*100+COUNTIFS($P$6:$P$3267,P153,$Q$6:$Q$3267,"&lt;="&amp;Q153,$N$6:$N$3267,Calendar!$K$4),"")</f>
        <v/>
      </c>
      <c r="W153" s="47">
        <f>IF(AND(B153=Queue!$C$4,OR(Queue!$K$4="*",N153=Queue!$K$4)),Q153,"")</f>
        <v/>
      </c>
    </row>
    <row r="154">
      <c r="A154" s="38">
        <f>IF(M154="","",HYPERLINK("https://www.youtube.com/watch?v="&amp;M154,"▶"))</f>
        <v/>
      </c>
      <c r="B154" s="39">
        <f>IF(C154&lt;&gt;"",C154,IF(P154&lt;=IFERROR(INDEX(tblChannels[Watched Through],MATCH(N154,tblChannels[Channel ID],0)),0),"Watched","Unwatched"))</f>
        <v/>
      </c>
      <c r="C154" s="40" t="n"/>
      <c r="D154" s="41" t="n"/>
      <c r="E154" s="42" t="n">
        <v>46068.41666666666</v>
      </c>
      <c r="F154" s="51" t="inlineStr">
        <is>
          <t>Through The Griffin Door</t>
        </is>
      </c>
      <c r="G154" t="inlineStr">
        <is>
          <t>Chapter 24: Occlumency | Order of the Phoenix</t>
        </is>
      </c>
      <c r="H154" s="44" t="n">
        <v>0.06912037037037037</v>
      </c>
      <c r="I154" s="45" t="n">
        <v>40008</v>
      </c>
      <c r="J154" s="45" t="n">
        <v>1107</v>
      </c>
      <c r="K154" s="45" t="n">
        <v>341</v>
      </c>
      <c r="L154" s="46" t="n"/>
      <c r="M154" s="47" t="n"/>
      <c r="N154" s="47" t="inlineStr">
        <is>
          <t>UCEscP6ETYXWSSvsNrDHekMQ</t>
        </is>
      </c>
      <c r="O154" s="48" t="n">
        <v>46068.625</v>
      </c>
      <c r="P154" s="49" t="n">
        <v>46068</v>
      </c>
      <c r="Q154" s="47" t="n">
        <v>3114</v>
      </c>
      <c r="R154" s="47" t="inlineStr">
        <is>
          <t>No Video ID yet</t>
        </is>
      </c>
      <c r="S154" s="49" t="n"/>
      <c r="T154" s="49" t="n"/>
      <c r="U154" s="47" t="inlineStr">
        <is>
          <t>Join J and Ben as they dive into Chapter 24 of the Order of the Phoenix and discuss Kreacher’s subterfuge, not wanting to return to Hogwarts, Snape vs. Sirius, cat-bus, the awkward convo with Cho, the lesson with Snape and the door realization. Relevant Links The Knight Bus's BIG SECRET - 06:41- Chapter Breakdown 1:22:12 - Closing Thoughts and Review</t>
        </is>
      </c>
      <c r="V154" s="47">
        <f>IF(AND(P154&gt;=Calendar!$K$2,P154&lt;EDATE(Calendar!$K$2,1),OR(Calendar!$K$4="*",N154=Calendar!$K$4)),P154*100+COUNTIFS($P$6:$P$3267,P154,$Q$6:$Q$3267,"&lt;="&amp;Q154,$N$6:$N$3267,Calendar!$K$4),"")</f>
        <v/>
      </c>
      <c r="W154" s="47">
        <f>IF(AND(B154=Queue!$C$4,OR(Queue!$K$4="*",N154=Queue!$K$4)),Q154,"")</f>
        <v/>
      </c>
    </row>
    <row r="155">
      <c r="A155" s="38">
        <f>IF(M155="","",HYPERLINK("https://www.youtube.com/watch?v="&amp;M155,"▶"))</f>
        <v/>
      </c>
      <c r="B155" s="39">
        <f>IF(C155&lt;&gt;"",C155,IF(P155&lt;=IFERROR(INDEX(tblChannels[Watched Through],MATCH(N155,tblChannels[Channel ID],0)),0),"Watched","Unwatched"))</f>
        <v/>
      </c>
      <c r="C155" s="40" t="n"/>
      <c r="D155" s="41" t="n"/>
      <c r="E155" s="42" t="n">
        <v>46066.73541666667</v>
      </c>
      <c r="F155" s="50" t="inlineStr">
        <is>
          <t>Super Carlin Brothers</t>
        </is>
      </c>
      <c r="G155" t="inlineStr">
        <is>
          <t>J vs Ben vs The CAST of Harry Potter!</t>
        </is>
      </c>
      <c r="H155" s="44" t="n">
        <v>0.03824074074074074</v>
      </c>
      <c r="I155" s="45" t="n">
        <v>161131</v>
      </c>
      <c r="J155" s="45" t="n">
        <v>6782</v>
      </c>
      <c r="K155" s="45" t="n">
        <v>702</v>
      </c>
      <c r="L155" s="46" t="n"/>
      <c r="M155" s="47" t="n"/>
      <c r="N155" s="47" t="inlineStr">
        <is>
          <t>UCKZo4N0lVPccBkSiuyVh4yg</t>
        </is>
      </c>
      <c r="O155" s="48" t="n">
        <v>46066.94375</v>
      </c>
      <c r="P155" s="49" t="n">
        <v>46066</v>
      </c>
      <c r="Q155" s="47" t="n">
        <v>3113</v>
      </c>
      <c r="R155" s="47" t="inlineStr">
        <is>
          <t>No Video ID yet</t>
        </is>
      </c>
      <c r="S155" s="49" t="n"/>
      <c r="T155" s="49" t="n"/>
      <c r="U155" s="47" t="inlineStr">
        <is>
          <t>This show is sponsored by Factor -- Go to factormeals.com/jvsb50off and use code jvsb50off to get 50% off and free breakfast for a year. Want us to film you a Cameo? Today J and Ben face off once again to find out who knows the most about the Wizarding World of Harry Potter, but we have an amazing round of special guests all FROM THE CAST OF HARRY POTTER!</t>
        </is>
      </c>
      <c r="V155" s="47">
        <f>IF(AND(P155&gt;=Calendar!$K$2,P155&lt;EDATE(Calendar!$K$2,1),OR(Calendar!$K$4="*",N155=Calendar!$K$4)),P155*100+COUNTIFS($P$6:$P$3267,P155,$Q$6:$Q$3267,"&lt;="&amp;Q155,$N$6:$N$3267,Calendar!$K$4),"")</f>
        <v/>
      </c>
      <c r="W155" s="47">
        <f>IF(AND(B155=Queue!$C$4,OR(Queue!$K$4="*",N155=Queue!$K$4)),Q155,"")</f>
        <v/>
      </c>
    </row>
    <row r="156">
      <c r="A156" s="38">
        <f>IF(M156="","",HYPERLINK("https://www.youtube.com/watch?v="&amp;M156,"▶"))</f>
        <v/>
      </c>
      <c r="B156" s="39">
        <f>IF(C156&lt;&gt;"",C156,IF(P156&lt;=IFERROR(INDEX(tblChannels[Watched Through],MATCH(N156,tblChannels[Channel ID],0)),0),"Watched","Unwatched"))</f>
        <v/>
      </c>
      <c r="C156" s="40" t="n"/>
      <c r="D156" s="41" t="n"/>
      <c r="E156" s="42" t="n">
        <v>46066.41666666666</v>
      </c>
      <c r="F156" s="43" t="inlineStr">
        <is>
          <t>Popcorn Culture</t>
        </is>
      </c>
      <c r="G156" t="inlineStr">
        <is>
          <t>Ben Changed J’s Mind | Popcorn Culture</t>
        </is>
      </c>
      <c r="H156" s="44" t="n">
        <v>0.05289351851851852</v>
      </c>
      <c r="I156" s="45" t="n">
        <v>2611</v>
      </c>
      <c r="J156" s="45" t="n">
        <v>119</v>
      </c>
      <c r="K156" s="45" t="n">
        <v>22</v>
      </c>
      <c r="L156" s="46" t="n"/>
      <c r="M156" s="47" t="n"/>
      <c r="N156" s="47" t="inlineStr">
        <is>
          <t>UCHfIbq9thHPC8yrKjAdJgDA</t>
        </is>
      </c>
      <c r="O156" s="48" t="n">
        <v>46066.625</v>
      </c>
      <c r="P156" s="49" t="n">
        <v>46066</v>
      </c>
      <c r="Q156" s="47" t="n">
        <v>3112</v>
      </c>
      <c r="R156" s="47" t="inlineStr">
        <is>
          <t>No Video ID yet</t>
        </is>
      </c>
      <c r="S156" s="49" t="n"/>
      <c r="T156" s="49" t="n"/>
      <c r="U156" s="47" t="inlineStr">
        <is>
          <t>In the 323rd episoe of the Pop, Ben and J discuss Lightning Lane Day, belts, Parkinson’s Law, deadlines, and the Garden of Eden symbology. Umbridge’s Spy REVEALED - Pluribus - Denver, CO - 03/07/2026 (sold out) Salt Lake City, UT - 03/09/2026 (sold out)</t>
        </is>
      </c>
      <c r="V156" s="47">
        <f>IF(AND(P156&gt;=Calendar!$K$2,P156&lt;EDATE(Calendar!$K$2,1),OR(Calendar!$K$4="*",N156=Calendar!$K$4)),P156*100+COUNTIFS($P$6:$P$3267,P156,$Q$6:$Q$3267,"&lt;="&amp;Q156,$N$6:$N$3267,Calendar!$K$4),"")</f>
        <v/>
      </c>
      <c r="W156" s="47">
        <f>IF(AND(B156=Queue!$C$4,OR(Queue!$K$4="*",N156=Queue!$K$4)),Q156,"")</f>
        <v/>
      </c>
    </row>
    <row r="157">
      <c r="A157" s="38">
        <f>IF(M157="","",HYPERLINK("https://www.youtube.com/watch?v="&amp;M157,"▶"))</f>
        <v/>
      </c>
      <c r="B157" s="39">
        <f>IF(C157&lt;&gt;"",C157,IF(P157&lt;=IFERROR(INDEX(tblChannels[Watched Through],MATCH(N157,tblChannels[Channel ID],0)),0),"Watched","Unwatched"))</f>
        <v/>
      </c>
      <c r="C157" s="40" t="n"/>
      <c r="D157" s="41" t="n"/>
      <c r="E157" s="42" t="n">
        <v>46064.71458333333</v>
      </c>
      <c r="F157" s="50" t="inlineStr">
        <is>
          <t>Super Carlin Brothers</t>
        </is>
      </c>
      <c r="G157" t="inlineStr">
        <is>
          <t>Theories Out of a Hat: Defending MORE Crazy Harry Potter Theories</t>
        </is>
      </c>
      <c r="H157" s="44" t="n">
        <v>0.02491898148148148</v>
      </c>
      <c r="I157" s="45" t="n">
        <v>101724</v>
      </c>
      <c r="J157" s="45" t="n">
        <v>3865</v>
      </c>
      <c r="K157" s="45" t="n">
        <v>657</v>
      </c>
      <c r="L157" s="46" t="n"/>
      <c r="M157" s="47" t="n"/>
      <c r="N157" s="47" t="inlineStr">
        <is>
          <t>UCKZo4N0lVPccBkSiuyVh4yg</t>
        </is>
      </c>
      <c r="O157" s="48" t="n">
        <v>46064.92291666667</v>
      </c>
      <c r="P157" s="49" t="n">
        <v>46064</v>
      </c>
      <c r="Q157" s="47" t="n">
        <v>3111</v>
      </c>
      <c r="R157" s="47" t="inlineStr">
        <is>
          <t>No Video ID yet</t>
        </is>
      </c>
      <c r="S157" s="49" t="n"/>
      <c r="T157" s="49" t="n"/>
      <c r="U157" s="47" t="inlineStr">
        <is>
          <t>The game: Draw a crazy Harry Potter theory from the Hat and defend! This show is sponsored by BetterHelp -- Go to for 10% off your first month. This show is sponsored by Raycon -- Go to buyraycon.com/supercarlin to get 15% off your order. Today J and Ben put their Harry Potter Lore to the test by defending whatever wild and crazy Harry Potter theory comes out of the hat. Is Dumbledore Filch’s long lost father? Is Milicent Bullstrode a Maledictus? Is Hagrid Fawkes? Grawp is Hagrid’s son? Krum is the ultimate wingman?! Does Mr. Weasley have a horcrux?!!</t>
        </is>
      </c>
      <c r="V157" s="47">
        <f>IF(AND(P157&gt;=Calendar!$K$2,P157&lt;EDATE(Calendar!$K$2,1),OR(Calendar!$K$4="*",N157=Calendar!$K$4)),P157*100+COUNTIFS($P$6:$P$3267,P157,$Q$6:$Q$3267,"&lt;="&amp;Q157,$N$6:$N$3267,Calendar!$K$4),"")</f>
        <v/>
      </c>
      <c r="W157" s="47">
        <f>IF(AND(B157=Queue!$C$4,OR(Queue!$K$4="*",N157=Queue!$K$4)),Q157,"")</f>
        <v/>
      </c>
    </row>
    <row r="158">
      <c r="A158" s="38">
        <f>IF(M158="","",HYPERLINK("https://www.youtube.com/watch?v="&amp;M158,"▶"))</f>
        <v/>
      </c>
      <c r="B158" s="39">
        <f>IF(C158&lt;&gt;"",C158,IF(P158&lt;=IFERROR(INDEX(tblChannels[Watched Through],MATCH(N158,tblChannels[Channel ID],0)),0),"Watched","Unwatched"))</f>
        <v/>
      </c>
      <c r="C158" s="40" t="n"/>
      <c r="D158" s="41" t="n"/>
      <c r="E158" s="42" t="n">
        <v>46061.41736111111</v>
      </c>
      <c r="F158" s="51" t="inlineStr">
        <is>
          <t>Through The Griffin Door</t>
        </is>
      </c>
      <c r="G158" t="inlineStr">
        <is>
          <t>Chapter 23: Christmas on the Closed Ward | Order of the Phoenix</t>
        </is>
      </c>
      <c r="H158" s="44" t="n">
        <v>0.0666550925925926</v>
      </c>
      <c r="I158" s="45" t="n">
        <v>41825</v>
      </c>
      <c r="J158" s="45" t="n">
        <v>1122</v>
      </c>
      <c r="K158" s="45" t="n">
        <v>263</v>
      </c>
      <c r="L158" s="46" t="n"/>
      <c r="M158" s="47" t="n"/>
      <c r="N158" s="47" t="inlineStr">
        <is>
          <t>UCEscP6ETYXWSSvsNrDHekMQ</t>
        </is>
      </c>
      <c r="O158" s="48" t="n">
        <v>46061.62569444445</v>
      </c>
      <c r="P158" s="49" t="n">
        <v>46061</v>
      </c>
      <c r="Q158" s="47" t="n">
        <v>3110</v>
      </c>
      <c r="R158" s="47" t="inlineStr">
        <is>
          <t>No Video ID yet</t>
        </is>
      </c>
      <c r="S158" s="49" t="n"/>
      <c r="T158" s="49" t="n"/>
      <c r="U158" s="47" t="inlineStr">
        <is>
          <t>Join J and Ben as they dive into Chapter 23 of the Order of the Phoenix and discuss Harry’s anxiety spiral, Phineas Nigellus being a buttmunch, the most underrated moment of friendship, Christmas presents, the unexpectedly important visit to Kreacher’s room, running into Lockhart, and one of the saddest moments in the series. Relevant Links Is Hagrid Secretly A Millionaire!? - 04:54 - Chapter Breakdown 1:30:35 - Closing Thoughts and Review</t>
        </is>
      </c>
      <c r="V158" s="47">
        <f>IF(AND(P158&gt;=Calendar!$K$2,P158&lt;EDATE(Calendar!$K$2,1),OR(Calendar!$K$4="*",N158=Calendar!$K$4)),P158*100+COUNTIFS($P$6:$P$3267,P158,$Q$6:$Q$3267,"&lt;="&amp;Q158,$N$6:$N$3267,Calendar!$K$4),"")</f>
        <v/>
      </c>
      <c r="W158" s="47">
        <f>IF(AND(B158=Queue!$C$4,OR(Queue!$K$4="*",N158=Queue!$K$4)),Q158,"")</f>
        <v/>
      </c>
    </row>
    <row r="159">
      <c r="A159" s="38">
        <f>IF(M159="","",HYPERLINK("https://www.youtube.com/watch?v="&amp;M159,"▶"))</f>
        <v/>
      </c>
      <c r="B159" s="39">
        <f>IF(C159&lt;&gt;"",C159,IF(P159&lt;=IFERROR(INDEX(tblChannels[Watched Through],MATCH(N159,tblChannels[Channel ID],0)),0),"Watched","Unwatched"))</f>
        <v/>
      </c>
      <c r="C159" s="40" t="n"/>
      <c r="D159" s="41" t="n"/>
      <c r="E159" s="42" t="n">
        <v>46059.59930555556</v>
      </c>
      <c r="F159" s="50" t="inlineStr">
        <is>
          <t>Super Carlin Brothers</t>
        </is>
      </c>
      <c r="G159" t="inlineStr">
        <is>
          <t>What Is Luna Lovegood's Boggart? | Harry Potter Theory</t>
        </is>
      </c>
      <c r="H159" s="44" t="n">
        <v>0.01038194444444444</v>
      </c>
      <c r="I159" s="45" t="n">
        <v>67135</v>
      </c>
      <c r="J159" s="45" t="n">
        <v>3722</v>
      </c>
      <c r="K159" s="45" t="n">
        <v>480</v>
      </c>
      <c r="L159" s="46" t="n"/>
      <c r="M159" s="47" t="n"/>
      <c r="N159" s="47" t="inlineStr">
        <is>
          <t>UCKZo4N0lVPccBkSiuyVh4yg</t>
        </is>
      </c>
      <c r="O159" s="48" t="n">
        <v>46059.80763888889</v>
      </c>
      <c r="P159" s="49" t="n">
        <v>46059</v>
      </c>
      <c r="Q159" s="47" t="n">
        <v>3109</v>
      </c>
      <c r="R159" s="47" t="inlineStr">
        <is>
          <t>No Video ID yet</t>
        </is>
      </c>
      <c r="S159" s="49" t="n"/>
      <c r="T159" s="49" t="n"/>
      <c r="U159" s="47" t="inlineStr">
        <is>
          <t>This episode is sponsored by Shopify – Go to shopify.com/SCB to start your $1 per month trial period. These Socks Are AMAZING: Today Ben dives into the Wizarding World of Harry Potter to try and uncover Luna Lovegood's greatest fear and what form her boggart would take! For someone who calmly rides Thestrals, survives kidnapping, and literally encourages Harry through a dementor swarm, Luna seems almost impossible to scare. …But we think we’ve uncovered the one thing she truly can't stand.</t>
        </is>
      </c>
      <c r="V159" s="47">
        <f>IF(AND(P159&gt;=Calendar!$K$2,P159&lt;EDATE(Calendar!$K$2,1),OR(Calendar!$K$4="*",N159=Calendar!$K$4)),P159*100+COUNTIFS($P$6:$P$3267,P159,$Q$6:$Q$3267,"&lt;="&amp;Q159,$N$6:$N$3267,Calendar!$K$4),"")</f>
        <v/>
      </c>
      <c r="W159" s="47">
        <f>IF(AND(B159=Queue!$C$4,OR(Queue!$K$4="*",N159=Queue!$K$4)),Q159,"")</f>
        <v/>
      </c>
    </row>
    <row r="160">
      <c r="A160" s="38">
        <f>IF(M160="","",HYPERLINK("https://www.youtube.com/watch?v="&amp;M160,"▶"))</f>
        <v/>
      </c>
      <c r="B160" s="39">
        <f>IF(C160&lt;&gt;"",C160,IF(P160&lt;=IFERROR(INDEX(tblChannels[Watched Through],MATCH(N160,tblChannels[Channel ID],0)),0),"Watched","Unwatched"))</f>
        <v/>
      </c>
      <c r="C160" s="40" t="n"/>
      <c r="D160" s="41" t="n"/>
      <c r="E160" s="42" t="n">
        <v>46059.41666666666</v>
      </c>
      <c r="F160" s="43" t="inlineStr">
        <is>
          <t>Popcorn Culture</t>
        </is>
      </c>
      <c r="G160" t="inlineStr">
        <is>
          <t>It’s Hot on the Moon?? | Popcorn Culture</t>
        </is>
      </c>
      <c r="H160" s="44" t="n">
        <v>0.04640046296296296</v>
      </c>
      <c r="I160" s="45" t="n">
        <v>2285</v>
      </c>
      <c r="J160" s="45" t="n">
        <v>135</v>
      </c>
      <c r="K160" s="45" t="n">
        <v>15</v>
      </c>
      <c r="L160" s="46" t="n"/>
      <c r="M160" s="47" t="n"/>
      <c r="N160" s="47" t="inlineStr">
        <is>
          <t>UCHfIbq9thHPC8yrKjAdJgDA</t>
        </is>
      </c>
      <c r="O160" s="48" t="n">
        <v>46059.625</v>
      </c>
      <c r="P160" s="49" t="n">
        <v>46059</v>
      </c>
      <c r="Q160" s="47" t="n">
        <v>3108</v>
      </c>
      <c r="R160" s="47" t="inlineStr">
        <is>
          <t>No Video ID yet</t>
        </is>
      </c>
      <c r="S160" s="49" t="n"/>
      <c r="T160" s="49" t="n"/>
      <c r="U160" s="47" t="inlineStr">
        <is>
          <t>In the 322nd episode of the Pop, Ben and J discuss snow days from school, research papers, high school relationships, identity, and Super Mario Party. Super Mario Party - Denver, CO - 03/07/2026 (sold out) Salt Lake City, UT - 03/09/2026 (sold out) 00:00 - Intro, The Moon 04:56 - Cabin Fever 09:59 - Research Papers and Relationships 25:31 - Identity</t>
        </is>
      </c>
      <c r="V160" s="47">
        <f>IF(AND(P160&gt;=Calendar!$K$2,P160&lt;EDATE(Calendar!$K$2,1),OR(Calendar!$K$4="*",N160=Calendar!$K$4)),P160*100+COUNTIFS($P$6:$P$3267,P160,$Q$6:$Q$3267,"&lt;="&amp;Q160,$N$6:$N$3267,Calendar!$K$4),"")</f>
        <v/>
      </c>
      <c r="W160" s="47">
        <f>IF(AND(B160=Queue!$C$4,OR(Queue!$K$4="*",N160=Queue!$K$4)),Q160,"")</f>
        <v/>
      </c>
    </row>
    <row r="161">
      <c r="A161" s="38">
        <f>IF(M161="","",HYPERLINK("https://www.youtube.com/watch?v="&amp;M161,"▶"))</f>
        <v/>
      </c>
      <c r="B161" s="39">
        <f>IF(C161&lt;&gt;"",C161,IF(P161&lt;=IFERROR(INDEX(tblChannels[Watched Through],MATCH(N161,tblChannels[Channel ID],0)),0),"Watched","Unwatched"))</f>
        <v/>
      </c>
      <c r="C161" s="40" t="n"/>
      <c r="D161" s="41" t="n"/>
      <c r="E161" s="42" t="n">
        <v>46057.69583333333</v>
      </c>
      <c r="F161" s="50" t="inlineStr">
        <is>
          <t>Super Carlin Brothers</t>
        </is>
      </c>
      <c r="G161" t="inlineStr">
        <is>
          <t>Why Does Cedric Diggory Google Autofill</t>
        </is>
      </c>
      <c r="H161" s="44" t="n">
        <v>0.009872685185185186</v>
      </c>
      <c r="I161" s="45" t="n">
        <v>38285</v>
      </c>
      <c r="J161" s="45" t="n">
        <v>2459</v>
      </c>
      <c r="K161" s="45" t="n">
        <v>386</v>
      </c>
      <c r="L161" s="46" t="n"/>
      <c r="M161" s="47" t="n"/>
      <c r="N161" s="47" t="inlineStr">
        <is>
          <t>UCKZo4N0lVPccBkSiuyVh4yg</t>
        </is>
      </c>
      <c r="O161" s="48" t="n">
        <v>46057.90416666667</v>
      </c>
      <c r="P161" s="49" t="n">
        <v>46057</v>
      </c>
      <c r="Q161" s="47" t="n">
        <v>3107</v>
      </c>
      <c r="R161" s="47" t="inlineStr">
        <is>
          <t>No Video ID yet</t>
        </is>
      </c>
      <c r="S161" s="49" t="n"/>
      <c r="T161" s="49" t="n"/>
      <c r="U161" s="47" t="inlineStr">
        <is>
          <t>The Cedric Diggory video you’ve all been waiting for.. Today’s episode is sponsored by BetterHelp – Go to betterhelp.com/SUPER to get 10% off your first month. These Socks Are AMAZING: Today J dives into the Wizarding World of Harry Potter to answer all of Google’s most asked questions about Cedric Diggory! Why did Cedric Diggory die? Why is Cedric Diggory so hot? Why did Cedric Diggory matter? And why oh why did he jump out of that tree?</t>
        </is>
      </c>
      <c r="V161" s="47">
        <f>IF(AND(P161&gt;=Calendar!$K$2,P161&lt;EDATE(Calendar!$K$2,1),OR(Calendar!$K$4="*",N161=Calendar!$K$4)),P161*100+COUNTIFS($P$6:$P$3267,P161,$Q$6:$Q$3267,"&lt;="&amp;Q161,$N$6:$N$3267,Calendar!$K$4),"")</f>
        <v/>
      </c>
      <c r="W161" s="47">
        <f>IF(AND(B161=Queue!$C$4,OR(Queue!$K$4="*",N161=Queue!$K$4)),Q161,"")</f>
        <v/>
      </c>
    </row>
    <row r="162">
      <c r="A162" s="38">
        <f>IF(M162="","",HYPERLINK("https://www.youtube.com/watch?v="&amp;M162,"▶"))</f>
        <v/>
      </c>
      <c r="B162" s="39">
        <f>IF(C162&lt;&gt;"",C162,IF(P162&lt;=IFERROR(INDEX(tblChannels[Watched Through],MATCH(N162,tblChannels[Channel ID],0)),0),"Watched","Unwatched"))</f>
        <v/>
      </c>
      <c r="C162" s="40" t="n"/>
      <c r="D162" s="41" t="n"/>
      <c r="E162" s="42" t="n">
        <v>46054.41736111111</v>
      </c>
      <c r="F162" s="51" t="inlineStr">
        <is>
          <t>Through The Griffin Door</t>
        </is>
      </c>
      <c r="G162" t="inlineStr">
        <is>
          <t>Chapter 22: St. Mungos Hospital for Magical Maladies and Injuries | Order of the Phoenix</t>
        </is>
      </c>
      <c r="H162" s="44" t="n">
        <v>0.08677083333333334</v>
      </c>
      <c r="I162" s="45" t="n">
        <v>50900</v>
      </c>
      <c r="J162" s="45" t="n">
        <v>1205</v>
      </c>
      <c r="K162" s="45" t="n">
        <v>418</v>
      </c>
      <c r="L162" s="46" t="n"/>
      <c r="M162" s="47" t="n"/>
      <c r="N162" s="47" t="inlineStr">
        <is>
          <t>UCEscP6ETYXWSSvsNrDHekMQ</t>
        </is>
      </c>
      <c r="O162" s="48" t="n">
        <v>46054.62569444445</v>
      </c>
      <c r="P162" s="49" t="n">
        <v>46054</v>
      </c>
      <c r="Q162" s="47" t="n">
        <v>3106</v>
      </c>
      <c r="R162" s="47" t="inlineStr">
        <is>
          <t>No Video ID yet</t>
        </is>
      </c>
      <c r="S162" s="49" t="n"/>
      <c r="T162" s="49" t="n"/>
      <c r="U162" s="47" t="inlineStr">
        <is>
          <t>Join J and Ben as they dive into Chapter 22 of the Order of the Phoenix and discuss rushing (but not fast enough) to the Headmaster’s office, the mysterious objects in said office, the portraits, the long wait at Grimmauld Place, and the crazy amount of details at St. Mungos. Relevant Links The TRUTH About Chocolate Frog Cards: Floo Powder’s SECRET Ingredient: 07:49 - Chapter Breakdown 1:56:12 - Closing Thoughts and Review</t>
        </is>
      </c>
      <c r="V162" s="47">
        <f>IF(AND(P162&gt;=Calendar!$K$2,P162&lt;EDATE(Calendar!$K$2,1),OR(Calendar!$K$4="*",N162=Calendar!$K$4)),P162*100+COUNTIFS($P$6:$P$3267,P162,$Q$6:$Q$3267,"&lt;="&amp;Q162,$N$6:$N$3267,Calendar!$K$4),"")</f>
        <v/>
      </c>
      <c r="W162" s="47">
        <f>IF(AND(B162=Queue!$C$4,OR(Queue!$K$4="*",N162=Queue!$K$4)),Q162,"")</f>
        <v/>
      </c>
    </row>
    <row r="163">
      <c r="A163" s="38">
        <f>IF(M163="","",HYPERLINK("https://www.youtube.com/watch?v="&amp;M163,"▶"))</f>
        <v/>
      </c>
      <c r="B163" s="39">
        <f>IF(C163&lt;&gt;"",C163,IF(P163&lt;=IFERROR(INDEX(tblChannels[Watched Through],MATCH(N163,tblChannels[Channel ID],0)),0),"Watched","Unwatched"))</f>
        <v/>
      </c>
      <c r="C163" s="40" t="n"/>
      <c r="D163" s="41" t="n"/>
      <c r="E163" s="42" t="n">
        <v>46052.68125</v>
      </c>
      <c r="F163" s="50" t="inlineStr">
        <is>
          <t>Super Carlin Brothers</t>
        </is>
      </c>
      <c r="G163" t="inlineStr">
        <is>
          <t>Umbridge’s Spy REVEALED | Harry Potter Theory</t>
        </is>
      </c>
      <c r="H163" s="44" t="n">
        <v>0.01224537037037037</v>
      </c>
      <c r="I163" s="45" t="n">
        <v>93317</v>
      </c>
      <c r="J163" s="45" t="n">
        <v>3899</v>
      </c>
      <c r="K163" s="45" t="n">
        <v>286</v>
      </c>
      <c r="L163" s="46" t="n"/>
      <c r="M163" s="47" t="n"/>
      <c r="N163" s="47" t="inlineStr">
        <is>
          <t>UCKZo4N0lVPccBkSiuyVh4yg</t>
        </is>
      </c>
      <c r="O163" s="48" t="n">
        <v>46052.88958333333</v>
      </c>
      <c r="P163" s="49" t="n">
        <v>46052</v>
      </c>
      <c r="Q163" s="47" t="n">
        <v>3105</v>
      </c>
      <c r="R163" s="47" t="inlineStr">
        <is>
          <t>No Video ID yet</t>
        </is>
      </c>
      <c r="S163" s="49" t="n"/>
      <c r="T163" s="49" t="n"/>
      <c r="U163" s="47" t="inlineStr">
        <is>
          <t>Did Umbridge have a Spy? This episode is sponsored by Stamps.com – Go to stamps.com and use code supercarlin to get sixty days risk-free! This episode is sponsored by Raycon – Go to buyracon.com/supercarlin to get 20% off sitewide! Today Ben dives into the Wizarding World of Harry Potter to reveal Dolores Umbridge’s Secret Spy within the order of the phoenix! And it smells like dung….</t>
        </is>
      </c>
      <c r="V163" s="47">
        <f>IF(AND(P163&gt;=Calendar!$K$2,P163&lt;EDATE(Calendar!$K$2,1),OR(Calendar!$K$4="*",N163=Calendar!$K$4)),P163*100+COUNTIFS($P$6:$P$3267,P163,$Q$6:$Q$3267,"&lt;="&amp;Q163,$N$6:$N$3267,Calendar!$K$4),"")</f>
        <v/>
      </c>
      <c r="W163" s="47">
        <f>IF(AND(B163=Queue!$C$4,OR(Queue!$K$4="*",N163=Queue!$K$4)),Q163,"")</f>
        <v/>
      </c>
    </row>
    <row r="164">
      <c r="A164" s="38">
        <f>IF(M164="","",HYPERLINK("https://www.youtube.com/watch?v="&amp;M164,"▶"))</f>
        <v/>
      </c>
      <c r="B164" s="39">
        <f>IF(C164&lt;&gt;"",C164,IF(P164&lt;=IFERROR(INDEX(tblChannels[Watched Through],MATCH(N164,tblChannels[Channel ID],0)),0),"Watched","Unwatched"))</f>
        <v/>
      </c>
      <c r="C164" s="40" t="n"/>
      <c r="D164" s="41" t="n"/>
      <c r="E164" s="42" t="n">
        <v>46052.41666666666</v>
      </c>
      <c r="F164" s="43" t="inlineStr">
        <is>
          <t>Popcorn Culture</t>
        </is>
      </c>
      <c r="G164" t="inlineStr">
        <is>
          <t>Schrodinger’s Skyscraper | Popcorn Culture</t>
        </is>
      </c>
      <c r="H164" s="44" t="n">
        <v>0.06090277777777778</v>
      </c>
      <c r="I164" s="45" t="n">
        <v>2816</v>
      </c>
      <c r="J164" s="45" t="n">
        <v>119</v>
      </c>
      <c r="K164" s="45" t="n">
        <v>19</v>
      </c>
      <c r="L164" s="46" t="n"/>
      <c r="M164" s="47" t="n"/>
      <c r="N164" s="47" t="inlineStr">
        <is>
          <t>UCHfIbq9thHPC8yrKjAdJgDA</t>
        </is>
      </c>
      <c r="O164" s="48" t="n">
        <v>46052.625</v>
      </c>
      <c r="P164" s="49" t="n">
        <v>46052</v>
      </c>
      <c r="Q164" s="47" t="n">
        <v>3104</v>
      </c>
      <c r="R164" s="47" t="inlineStr">
        <is>
          <t>No Video ID yet</t>
        </is>
      </c>
      <c r="S164" s="49" t="n"/>
      <c r="T164" s="49" t="n"/>
      <c r="U164" s="47" t="inlineStr">
        <is>
          <t>In the 321st episode of the Pop, Ben and J discuss MeUndies, snowmageddon, free climbing, the moon landing, and Pluribus. Vlogbrothers - Devinsupertramp - Philip DeFranco - Skyscraper Live - Free Solo - Take Me to the Moon - Pluribus - Denver, CO - 03/07/2026 (sold out) Salt Lake City, UT - 03/09/2026 (sold out) Alternative Titles Jim Sandbags 00:00 - Intro, Underwear 22:34 - Taipei 101 Climb 45:18 - Take Me to the Moon 52:56 - Plur1bus</t>
        </is>
      </c>
      <c r="V164" s="47">
        <f>IF(AND(P164&gt;=Calendar!$K$2,P164&lt;EDATE(Calendar!$K$2,1),OR(Calendar!$K$4="*",N164=Calendar!$K$4)),P164*100+COUNTIFS($P$6:$P$3267,P164,$Q$6:$Q$3267,"&lt;="&amp;Q164,$N$6:$N$3267,Calendar!$K$4),"")</f>
        <v/>
      </c>
      <c r="W164" s="47">
        <f>IF(AND(B164=Queue!$C$4,OR(Queue!$K$4="*",N164=Queue!$K$4)),Q164,"")</f>
        <v/>
      </c>
    </row>
    <row r="165">
      <c r="A165" s="38">
        <f>IF(M165="","",HYPERLINK("https://www.youtube.com/watch?v="&amp;M165,"▶"))</f>
        <v/>
      </c>
      <c r="B165" s="39">
        <f>IF(C165&lt;&gt;"",C165,IF(P165&lt;=IFERROR(INDEX(tblChannels[Watched Through],MATCH(N165,tblChannels[Channel ID],0)),0),"Watched","Unwatched"))</f>
        <v/>
      </c>
      <c r="C165" s="40" t="n"/>
      <c r="D165" s="41" t="n"/>
      <c r="E165" s="42" t="n">
        <v>46050.725</v>
      </c>
      <c r="F165" s="50" t="inlineStr">
        <is>
          <t>Super Carlin Brothers</t>
        </is>
      </c>
      <c r="G165" t="inlineStr">
        <is>
          <t>This Weasley Quiz Was WAY Harder Than We Expected | J vs Ben</t>
        </is>
      </c>
      <c r="H165" s="44" t="n">
        <v>0.02712962962962963</v>
      </c>
      <c r="I165" s="45" t="n">
        <v>69257</v>
      </c>
      <c r="J165" s="45" t="n">
        <v>2785</v>
      </c>
      <c r="K165" s="45" t="n">
        <v>454</v>
      </c>
      <c r="L165" s="46" t="n"/>
      <c r="M165" s="47" t="n"/>
      <c r="N165" s="47" t="inlineStr">
        <is>
          <t>UCKZo4N0lVPccBkSiuyVh4yg</t>
        </is>
      </c>
      <c r="O165" s="48" t="n">
        <v>46050.93333333333</v>
      </c>
      <c r="P165" s="49" t="n">
        <v>46050</v>
      </c>
      <c r="Q165" s="47" t="n">
        <v>3103</v>
      </c>
      <c r="R165" s="47" t="inlineStr">
        <is>
          <t>No Video ID yet</t>
        </is>
      </c>
      <c r="S165" s="49" t="n"/>
      <c r="T165" s="49" t="n"/>
      <c r="U165" s="47" t="inlineStr">
        <is>
          <t>This episode is sponsored by MeUndies – To get exclusive deals up to 50% off, go to MeUndies.com/brother and enter promo code BROTHER. Today J and Ben face off once again to find out who knows more about the Wizarding World of Harry Potter and in particular everyone’s favorite family the Weasley’s! Play Along with us :: #SuperCarlinBrothers #harrypottermagicawakened Huge thanks to the Patrons who submitted today’s questions: M. Casarico, Fizzz, Elfish Princess, Nathan Morgan, Eniko August, Christina Jarbou, Danielle Carlson, DumbleDad, IrishRoyalty, magicalmisfires, LawNinja, Oryan’s Wizard Parts, PrepoSTORMte, Dola, Bradferd, Tara Walker, Wangoballwime, Drawing Xaos, Teghan Denlinger, Elizabeth Potter Written by: The Quiz Masters Hosted by: Ethan Edghill</t>
        </is>
      </c>
      <c r="V165" s="47">
        <f>IF(AND(P165&gt;=Calendar!$K$2,P165&lt;EDATE(Calendar!$K$2,1),OR(Calendar!$K$4="*",N165=Calendar!$K$4)),P165*100+COUNTIFS($P$6:$P$3267,P165,$Q$6:$Q$3267,"&lt;="&amp;Q165,$N$6:$N$3267,Calendar!$K$4),"")</f>
        <v/>
      </c>
      <c r="W165" s="47">
        <f>IF(AND(B165=Queue!$C$4,OR(Queue!$K$4="*",N165=Queue!$K$4)),Q165,"")</f>
        <v/>
      </c>
    </row>
    <row r="166">
      <c r="A166" s="38">
        <f>IF(M166="","",HYPERLINK("https://www.youtube.com/watch?v="&amp;M166,"▶"))</f>
        <v/>
      </c>
      <c r="B166" s="39">
        <f>IF(C166&lt;&gt;"",C166,IF(P166&lt;=IFERROR(INDEX(tblChannels[Watched Through],MATCH(N166,tblChannels[Channel ID],0)),0),"Watched","Unwatched"))</f>
        <v/>
      </c>
      <c r="C166" s="40" t="n"/>
      <c r="D166" s="41" t="n"/>
      <c r="E166" s="42" t="n">
        <v>46047.41666666666</v>
      </c>
      <c r="F166" s="51" t="inlineStr">
        <is>
          <t>Through The Griffin Door</t>
        </is>
      </c>
      <c r="G166" t="inlineStr">
        <is>
          <t>Chapter 21: The Eye of the Snake | Order of the Phoenix</t>
        </is>
      </c>
      <c r="H166" s="44" t="n">
        <v>0.06494212962962963</v>
      </c>
      <c r="I166" s="45" t="n">
        <v>40410</v>
      </c>
      <c r="J166" s="45" t="n">
        <v>1081</v>
      </c>
      <c r="K166" s="45" t="n">
        <v>329</v>
      </c>
      <c r="L166" s="46" t="n"/>
      <c r="M166" s="47" t="n"/>
      <c r="N166" s="47" t="inlineStr">
        <is>
          <t>UCEscP6ETYXWSSvsNrDHekMQ</t>
        </is>
      </c>
      <c r="O166" s="48" t="n">
        <v>46047.625</v>
      </c>
      <c r="P166" s="49" t="n">
        <v>46047</v>
      </c>
      <c r="Q166" s="47" t="n">
        <v>3102</v>
      </c>
      <c r="R166" s="47" t="inlineStr">
        <is>
          <t>No Video ID yet</t>
        </is>
      </c>
      <c r="S166" s="49" t="n"/>
      <c r="T166" s="49" t="n"/>
      <c r="U166" s="47" t="inlineStr">
        <is>
          <t>Join J and Ben as they dive into Chapter 21 of the Order of the Phoenix and discuss Lee Jordan owning an Acromantula, Theodore Knott lore, Umbridge being the worst per yooj, the last DA meeting before break, Harry and Cho’s awkward kiss, Hermione’s emotional intelligence, and Harry’s dream. 02:53 - Chapter Breakdown 43:39 - Ad Break (Shopify) 44:53 - More Chapter Breakdown 1:27:04 - Closing Thoughts and Review</t>
        </is>
      </c>
      <c r="V166" s="47">
        <f>IF(AND(P166&gt;=Calendar!$K$2,P166&lt;EDATE(Calendar!$K$2,1),OR(Calendar!$K$4="*",N166=Calendar!$K$4)),P166*100+COUNTIFS($P$6:$P$3267,P166,$Q$6:$Q$3267,"&lt;="&amp;Q166,$N$6:$N$3267,Calendar!$K$4),"")</f>
        <v/>
      </c>
      <c r="W166" s="47">
        <f>IF(AND(B166=Queue!$C$4,OR(Queue!$K$4="*",N166=Queue!$K$4)),Q166,"")</f>
        <v/>
      </c>
    </row>
    <row r="167">
      <c r="A167" s="38">
        <f>IF(M167="","",HYPERLINK("https://www.youtube.com/watch?v="&amp;M167,"▶"))</f>
        <v/>
      </c>
      <c r="B167" s="39">
        <f>IF(C167&lt;&gt;"",C167,IF(P167&lt;=IFERROR(INDEX(tblChannels[Watched Through],MATCH(N167,tblChannels[Channel ID],0)),0),"Watched","Unwatched"))</f>
        <v/>
      </c>
      <c r="C167" s="40" t="n"/>
      <c r="D167" s="41" t="n"/>
      <c r="E167" s="42" t="n">
        <v>46045.71805555555</v>
      </c>
      <c r="F167" s="50" t="inlineStr">
        <is>
          <t>Super Carlin Brothers</t>
        </is>
      </c>
      <c r="G167" t="inlineStr">
        <is>
          <t>Thy Mysterious Case of Lupin's Case | Harry Potter Theory</t>
        </is>
      </c>
      <c r="H167" s="44" t="n">
        <v>0.01362268518518519</v>
      </c>
      <c r="I167" s="45" t="n">
        <v>129562</v>
      </c>
      <c r="J167" s="45" t="n">
        <v>5116</v>
      </c>
      <c r="K167" s="45" t="n">
        <v>445</v>
      </c>
      <c r="L167" s="46" t="n"/>
      <c r="M167" s="47" t="n"/>
      <c r="N167" s="47" t="inlineStr">
        <is>
          <t>UCKZo4N0lVPccBkSiuyVh4yg</t>
        </is>
      </c>
      <c r="O167" s="48" t="n">
        <v>46045.92638888889</v>
      </c>
      <c r="P167" s="49" t="n">
        <v>46045</v>
      </c>
      <c r="Q167" s="47" t="n">
        <v>3101</v>
      </c>
      <c r="R167" s="47" t="inlineStr">
        <is>
          <t>No Video ID yet</t>
        </is>
      </c>
      <c r="S167" s="49" t="n"/>
      <c r="T167" s="49" t="n"/>
      <c r="U167" s="47" t="inlineStr">
        <is>
          <t>Remus Lupin is one of the most beloved — and most underrated — characters in Harry Potter. But there’s one small detail about him that raises a huge question: why does his battered suitcase already say “Professor R. J. Lupin” when he’s only just been hired? Today, Ben dives into the Wizarding World of Harry Potter to investigate the mysterious case of Lupin’s case — and uncover a theory that connects werewolves, prejudice, Newt Scamander, Dumbledore, and one very magical suitcase.</t>
        </is>
      </c>
      <c r="V167" s="47">
        <f>IF(AND(P167&gt;=Calendar!$K$2,P167&lt;EDATE(Calendar!$K$2,1),OR(Calendar!$K$4="*",N167=Calendar!$K$4)),P167*100+COUNTIFS($P$6:$P$3267,P167,$Q$6:$Q$3267,"&lt;="&amp;Q167,$N$6:$N$3267,Calendar!$K$4),"")</f>
        <v/>
      </c>
      <c r="W167" s="47">
        <f>IF(AND(B167=Queue!$C$4,OR(Queue!$K$4="*",N167=Queue!$K$4)),Q167,"")</f>
        <v/>
      </c>
    </row>
    <row r="168">
      <c r="A168" s="38">
        <f>IF(M168="","",HYPERLINK("https://www.youtube.com/watch?v="&amp;M168,"▶"))</f>
        <v/>
      </c>
      <c r="B168" s="39">
        <f>IF(C168&lt;&gt;"",C168,IF(P168&lt;=IFERROR(INDEX(tblChannels[Watched Through],MATCH(N168,tblChannels[Channel ID],0)),0),"Watched","Unwatched"))</f>
        <v/>
      </c>
      <c r="C168" s="40" t="n"/>
      <c r="D168" s="41" t="n"/>
      <c r="E168" s="42" t="n">
        <v>46045.41666666666</v>
      </c>
      <c r="F168" s="43" t="inlineStr">
        <is>
          <t>Popcorn Culture</t>
        </is>
      </c>
      <c r="G168" t="inlineStr">
        <is>
          <t>Mezmerized at MoMA | Popcorn Culture</t>
        </is>
      </c>
      <c r="H168" s="44" t="n">
        <v>0.04775462962962963</v>
      </c>
      <c r="I168" s="45" t="n">
        <v>2526</v>
      </c>
      <c r="J168" s="45" t="n">
        <v>131</v>
      </c>
      <c r="K168" s="45" t="n">
        <v>21</v>
      </c>
      <c r="L168" s="46" t="n"/>
      <c r="M168" s="47" t="n"/>
      <c r="N168" s="47" t="inlineStr">
        <is>
          <t>UCHfIbq9thHPC8yrKjAdJgDA</t>
        </is>
      </c>
      <c r="O168" s="48" t="n">
        <v>46045.625</v>
      </c>
      <c r="P168" s="49" t="n">
        <v>46045</v>
      </c>
      <c r="Q168" s="47" t="n">
        <v>3100</v>
      </c>
      <c r="R168" s="47" t="inlineStr">
        <is>
          <t>No Video ID yet</t>
        </is>
      </c>
      <c r="S168" s="49" t="n"/>
      <c r="T168" s="49" t="n"/>
      <c r="U168" s="47" t="inlineStr">
        <is>
          <t>In the 320th episode of the Pop, Ben and J discuss neck tendons, being regulars, angry New Yorkers, throwing the first pitch, NYC museums, Winnie the Pooh and Tom Felton as Malfoy. The MoMA - New York Public Library - Pluribus - Why Is He Called Winnie the Pooh? - Denver, CO - 03/07/2026 (sold out) Salt Lake City, UT - 03/09/2026 (sold out) 00:00 - Intro, Neck Muscles 05:23 - Bagel Places 21:27 - First Pitch 29:26 - NYC Trip!</t>
        </is>
      </c>
      <c r="V168" s="47">
        <f>IF(AND(P168&gt;=Calendar!$K$2,P168&lt;EDATE(Calendar!$K$2,1),OR(Calendar!$K$4="*",N168=Calendar!$K$4)),P168*100+COUNTIFS($P$6:$P$3267,P168,$Q$6:$Q$3267,"&lt;="&amp;Q168,$N$6:$N$3267,Calendar!$K$4),"")</f>
        <v/>
      </c>
      <c r="W168" s="47">
        <f>IF(AND(B168=Queue!$C$4,OR(Queue!$K$4="*",N168=Queue!$K$4)),Q168,"")</f>
        <v/>
      </c>
    </row>
    <row r="169">
      <c r="A169" s="38">
        <f>IF(M169="","",HYPERLINK("https://www.youtube.com/watch?v="&amp;M169,"▶"))</f>
        <v/>
      </c>
      <c r="B169" s="39">
        <f>IF(C169&lt;&gt;"",C169,IF(P169&lt;=IFERROR(INDEX(tblChannels[Watched Through],MATCH(N169,tblChannels[Channel ID],0)),0),"Watched","Unwatched"))</f>
        <v/>
      </c>
      <c r="C169" s="40" t="n"/>
      <c r="D169" s="41" t="n"/>
      <c r="E169" s="42" t="n">
        <v>46043.71388888889</v>
      </c>
      <c r="F169" s="50" t="inlineStr">
        <is>
          <t>Super Carlin Brothers</t>
        </is>
      </c>
      <c r="G169" t="inlineStr">
        <is>
          <t>How to Watch Every Pixar Movie in Chronological Order</t>
        </is>
      </c>
      <c r="H169" s="44" t="n">
        <v>0.02267361111111111</v>
      </c>
      <c r="I169" s="45" t="n">
        <v>82910</v>
      </c>
      <c r="J169" s="45" t="n">
        <v>3157</v>
      </c>
      <c r="K169" s="45" t="n">
        <v>344</v>
      </c>
      <c r="L169" s="46" t="n"/>
      <c r="M169" s="47" t="n"/>
      <c r="N169" s="47" t="inlineStr">
        <is>
          <t>UCKZo4N0lVPccBkSiuyVh4yg</t>
        </is>
      </c>
      <c r="O169" s="48" t="n">
        <v>46043.92222222222</v>
      </c>
      <c r="P169" s="49" t="n">
        <v>46043</v>
      </c>
      <c r="Q169" s="47" t="n">
        <v>3099</v>
      </c>
      <c r="R169" s="47" t="inlineStr">
        <is>
          <t>No Video ID yet</t>
        </is>
      </c>
      <c r="S169" s="49" t="n"/>
      <c r="T169" s="49" t="n"/>
      <c r="U169" s="47" t="inlineStr">
        <is>
          <t>This episode is sponsored by BetterHelp. Go to for 10% off your first month. Download your Carlin Order Checklist here: Pixar movies aren’t just connected — they exist on one giant timeline. In this video, we break down the exact order you should watch every Pixar movie if you want to experience the full Pixar Theory the way it was meant to be seen. Welcome to The Carlin Order. From The Good Dinosaur to Monsters Inc., from Toy Story to Wall-E, this chronological Pixar timeline connects magic, memory, AI, souls, and evolution into one cohesive story — including where movies like Elemental, Soul, and Cars ACTUALLY belong. If you try watching Pixar this way please let us know — does the Carlin Order change how you see these movies forever? 0:10 – The Pixar Timeline Problem 1:22 – What Is The Carlin Order? 2:26 – The Good Dinosaur (65 Million Years Ago) 3:13 – Brave &amp; Ancient Magic 4:48 – The Incredibles Era 6:58 – Luca &amp; Sea Monsters 8:08 – Lightyear &amp; Toy Story 9:55 – A Bug’s Life Placement 10:54 – Turning Red &amp; Bear Magic 12:36 – Up &amp; Ratatouille 16:50 – Finding Nemo &amp; Dory 20:02 – Elemental Explained 21:31 – Inside Out &amp; Memory 22:29 – Coco &amp; The Second Death 23:30 – Elio Changes E</t>
        </is>
      </c>
      <c r="V169" s="47">
        <f>IF(AND(P169&gt;=Calendar!$K$2,P169&lt;EDATE(Calendar!$K$2,1),OR(Calendar!$K$4="*",N169=Calendar!$K$4)),P169*100+COUNTIFS($P$6:$P$3267,P169,$Q$6:$Q$3267,"&lt;="&amp;Q169,$N$6:$N$3267,Calendar!$K$4),"")</f>
        <v/>
      </c>
      <c r="W169" s="47">
        <f>IF(AND(B169=Queue!$C$4,OR(Queue!$K$4="*",N169=Queue!$K$4)),Q169,"")</f>
        <v/>
      </c>
    </row>
    <row r="170">
      <c r="A170" s="38">
        <f>IF(M170="","",HYPERLINK("https://www.youtube.com/watch?v="&amp;M170,"▶"))</f>
        <v/>
      </c>
      <c r="B170" s="39">
        <f>IF(C170&lt;&gt;"",C170,IF(P170&lt;=IFERROR(INDEX(tblChannels[Watched Through],MATCH(N170,tblChannels[Channel ID],0)),0),"Watched","Unwatched"))</f>
        <v/>
      </c>
      <c r="C170" s="40" t="n"/>
      <c r="D170" s="41" t="n"/>
      <c r="E170" s="42" t="n">
        <v>46040.41666666666</v>
      </c>
      <c r="F170" s="51" t="inlineStr">
        <is>
          <t>Through The Griffin Door</t>
        </is>
      </c>
      <c r="G170" t="inlineStr">
        <is>
          <t>Chapter 20: Hagrid's Tale | Order of the Phoenix</t>
        </is>
      </c>
      <c r="H170" s="44" t="n">
        <v>0.06888888888888889</v>
      </c>
      <c r="I170" s="45" t="n">
        <v>41037</v>
      </c>
      <c r="J170" s="45" t="n">
        <v>1087</v>
      </c>
      <c r="K170" s="45" t="n">
        <v>292</v>
      </c>
      <c r="L170" s="46" t="n"/>
      <c r="M170" s="47" t="n"/>
      <c r="N170" s="47" t="inlineStr">
        <is>
          <t>UCEscP6ETYXWSSvsNrDHekMQ</t>
        </is>
      </c>
      <c r="O170" s="48" t="n">
        <v>46040.625</v>
      </c>
      <c r="P170" s="49" t="n">
        <v>46040</v>
      </c>
      <c r="Q170" s="47" t="n">
        <v>3098</v>
      </c>
      <c r="R170" s="47" t="inlineStr">
        <is>
          <t>No Video ID yet</t>
        </is>
      </c>
      <c r="S170" s="49" t="n"/>
      <c r="T170" s="49" t="n"/>
      <c r="U170" s="47" t="inlineStr">
        <is>
          <t>Join J and Ben as they dive into Chapter 20 of the Order of the Phoenix and discuss the THE SIZE OF THIS DRAGON STEAK OH EM GOODNESS, why the meat from said dragon is green, where Hagrid GOT said dragon, whether or not Grawp killed said dragon, whether or not Hagrid got the steak from the dragon that turned itself into Hogwarts, some math on how long the journey takes, I mean. It’s Hagrid’s tale. Let him tell it. Hogwarts is a DRAGON?! - Watch on Youtube: Want more Harry Potter Content? Harry Potter Theories: Dumbledore’s Big Plan: What If Harry Was in Slytherin: Chapters 11:19 - Dragons Arrive 1:29:03 - Closing Thoughts and Review</t>
        </is>
      </c>
      <c r="V170" s="47">
        <f>IF(AND(P170&gt;=Calendar!$K$2,P170&lt;EDATE(Calendar!$K$2,1),OR(Calendar!$K$4="*",N170=Calendar!$K$4)),P170*100+COUNTIFS($P$6:$P$3267,P170,$Q$6:$Q$3267,"&lt;="&amp;Q170,$N$6:$N$3267,Calendar!$K$4),"")</f>
        <v/>
      </c>
      <c r="W170" s="47">
        <f>IF(AND(B170=Queue!$C$4,OR(Queue!$K$4="*",N170=Queue!$K$4)),Q170,"")</f>
        <v/>
      </c>
    </row>
    <row r="171">
      <c r="A171" s="38">
        <f>IF(M171="","",HYPERLINK("https://www.youtube.com/watch?v="&amp;M171,"▶"))</f>
        <v/>
      </c>
      <c r="B171" s="39">
        <f>IF(C171&lt;&gt;"",C171,IF(P171&lt;=IFERROR(INDEX(tblChannels[Watched Through],MATCH(N171,tblChannels[Channel ID],0)),0),"Watched","Unwatched"))</f>
        <v/>
      </c>
      <c r="C171" s="40" t="n"/>
      <c r="D171" s="41" t="n"/>
      <c r="E171" s="42" t="n">
        <v>46038.625</v>
      </c>
      <c r="F171" s="50" t="inlineStr">
        <is>
          <t>Super Carlin Brothers</t>
        </is>
      </c>
      <c r="G171" t="inlineStr">
        <is>
          <t>J vs Ben: Harry Potter Jeopardy Challenge</t>
        </is>
      </c>
      <c r="H171" s="44" t="n">
        <v>0.03423611111111111</v>
      </c>
      <c r="I171" s="45" t="n">
        <v>153433</v>
      </c>
      <c r="J171" s="45" t="n">
        <v>6017</v>
      </c>
      <c r="K171" s="45" t="n">
        <v>813</v>
      </c>
      <c r="L171" s="46" t="n"/>
      <c r="M171" s="47" t="n"/>
      <c r="N171" s="47" t="inlineStr">
        <is>
          <t>UCKZo4N0lVPccBkSiuyVh4yg</t>
        </is>
      </c>
      <c r="O171" s="48" t="n">
        <v>46038.83333333334</v>
      </c>
      <c r="P171" s="49" t="n">
        <v>46038</v>
      </c>
      <c r="Q171" s="47" t="n">
        <v>3097</v>
      </c>
      <c r="R171" s="47" t="inlineStr">
        <is>
          <t>No Video ID yet</t>
        </is>
      </c>
      <c r="S171" s="49" t="n"/>
      <c r="T171" s="49" t="n"/>
      <c r="U171" s="47" t="inlineStr">
        <is>
          <t>Head to factormeals dot com slash jvsb50off and use code jvsb50off to get 50% off your first Factor box PLUS free breakfast for 1 year. Join us for our Rocket City Trash Pandas x Through the Griffin Door Collab! Tickets available here: Today J and Ben face off once more to find out who knows more about the Wizarding World of Harry Potter, but with a new Jeopardy style twist that will have the boys questioning each press of the buzzer! Special Thanks to these Quiz Masters: Oryan, Morgan Warner, Teghan Denlinger, Fis, Tara Walker, LawNinja, Michaela Henry, Rowena R., Elfish Princess, Amanda B., GenKenobi, CJ, Peyton Connor, Crafty Liz, Bradferd, Dola, IrishRoyalty, Katarina A., Julie Sherwood, Magoo, Pfunkpoet, Sarah Makiyama, HallbjornTFB, Bunny, Ryan Silveira and JennaMarbles Written by: The Quiz Masters! Hosted by: Isybelle Christley &amp; Kat Stine &amp; Ethan Edghill</t>
        </is>
      </c>
      <c r="V171" s="47">
        <f>IF(AND(P171&gt;=Calendar!$K$2,P171&lt;EDATE(Calendar!$K$2,1),OR(Calendar!$K$4="*",N171=Calendar!$K$4)),P171*100+COUNTIFS($P$6:$P$3267,P171,$Q$6:$Q$3267,"&lt;="&amp;Q171,$N$6:$N$3267,Calendar!$K$4),"")</f>
        <v/>
      </c>
      <c r="W171" s="47">
        <f>IF(AND(B171=Queue!$C$4,OR(Queue!$K$4="*",N171=Queue!$K$4)),Q171,"")</f>
        <v/>
      </c>
    </row>
    <row r="172">
      <c r="A172" s="38">
        <f>IF(M172="","",HYPERLINK("https://www.youtube.com/watch?v="&amp;M172,"▶"))</f>
        <v/>
      </c>
      <c r="B172" s="39">
        <f>IF(C172&lt;&gt;"",C172,IF(P172&lt;=IFERROR(INDEX(tblChannels[Watched Through],MATCH(N172,tblChannels[Channel ID],0)),0),"Watched","Unwatched"))</f>
        <v/>
      </c>
      <c r="C172" s="40" t="n"/>
      <c r="D172" s="41" t="n"/>
      <c r="E172" s="42" t="n">
        <v>46038.41666666666</v>
      </c>
      <c r="F172" s="43" t="inlineStr">
        <is>
          <t>Popcorn Culture</t>
        </is>
      </c>
      <c r="G172" t="inlineStr">
        <is>
          <t>The Thin Line Between Love and Hate | Popcorn Culture</t>
        </is>
      </c>
      <c r="H172" s="44" t="n">
        <v>0.04991898148148148</v>
      </c>
      <c r="I172" s="45" t="n">
        <v>2846</v>
      </c>
      <c r="J172" s="45" t="n">
        <v>142</v>
      </c>
      <c r="K172" s="45" t="n">
        <v>20</v>
      </c>
      <c r="L172" s="46" t="n"/>
      <c r="M172" s="47" t="n"/>
      <c r="N172" s="47" t="inlineStr">
        <is>
          <t>UCHfIbq9thHPC8yrKjAdJgDA</t>
        </is>
      </c>
      <c r="O172" s="48" t="n">
        <v>46038.625</v>
      </c>
      <c r="P172" s="49" t="n">
        <v>46038</v>
      </c>
      <c r="Q172" s="47" t="n">
        <v>3096</v>
      </c>
      <c r="R172" s="47" t="inlineStr">
        <is>
          <t>No Video ID yet</t>
        </is>
      </c>
      <c r="S172" s="49" t="n"/>
      <c r="T172" s="49" t="n"/>
      <c r="U172" s="47" t="inlineStr">
        <is>
          <t>In the 319th episode of the Pop, Ben and J discuss Luke's basketball skills, an exciting new announcement and the relationship we have to learning new ways of thinking.</t>
        </is>
      </c>
      <c r="V172" s="47">
        <f>IF(AND(P172&gt;=Calendar!$K$2,P172&lt;EDATE(Calendar!$K$2,1),OR(Calendar!$K$4="*",N172=Calendar!$K$4)),P172*100+COUNTIFS($P$6:$P$3267,P172,$Q$6:$Q$3267,"&lt;="&amp;Q172,$N$6:$N$3267,Calendar!$K$4),"")</f>
        <v/>
      </c>
      <c r="W172" s="47">
        <f>IF(AND(B172=Queue!$C$4,OR(Queue!$K$4="*",N172=Queue!$K$4)),Q172,"")</f>
        <v/>
      </c>
    </row>
    <row r="173">
      <c r="A173" s="38">
        <f>IF(M173="","",HYPERLINK("https://www.youtube.com/watch?v="&amp;M173,"▶"))</f>
        <v/>
      </c>
      <c r="B173" s="39">
        <f>IF(C173&lt;&gt;"",C173,IF(P173&lt;=IFERROR(INDEX(tblChannels[Watched Through],MATCH(N173,tblChannels[Channel ID],0)),0),"Watched","Unwatched"))</f>
        <v/>
      </c>
      <c r="C173" s="40" t="n"/>
      <c r="D173" s="41" t="n"/>
      <c r="E173" s="42" t="n">
        <v>46036.67569444444</v>
      </c>
      <c r="F173" s="50" t="inlineStr">
        <is>
          <t>Super Carlin Brothers</t>
        </is>
      </c>
      <c r="G173" t="inlineStr">
        <is>
          <t>How Voldemort Learned To Fly (It's Darker Than You Think) | Harry Potter Theory</t>
        </is>
      </c>
      <c r="H173" s="44" t="n">
        <v>0.01168981481481481</v>
      </c>
      <c r="I173" s="45" t="n">
        <v>170896</v>
      </c>
      <c r="J173" s="45" t="n">
        <v>6223</v>
      </c>
      <c r="K173" s="45" t="n">
        <v>924</v>
      </c>
      <c r="L173" s="46" t="n"/>
      <c r="M173" s="47" t="n"/>
      <c r="N173" s="47" t="inlineStr">
        <is>
          <t>UCKZo4N0lVPccBkSiuyVh4yg</t>
        </is>
      </c>
      <c r="O173" s="48" t="n">
        <v>46036.88402777778</v>
      </c>
      <c r="P173" s="49" t="n">
        <v>46036</v>
      </c>
      <c r="Q173" s="47" t="n">
        <v>3095</v>
      </c>
      <c r="R173" s="47" t="inlineStr">
        <is>
          <t>No Video ID yet</t>
        </is>
      </c>
      <c r="S173" s="49" t="n"/>
      <c r="T173" s="49" t="n"/>
      <c r="U173" s="47" t="inlineStr">
        <is>
          <t>This episode is sponsored by BetterHelp. Go to for 10% off your first month. Go to and use code super50off to get 50% off your first box, plus Free Breakfast for 1 Year. How does Voldemort fly without a broom? It’s one of the most shocking moments in Harry Potter and the Deathly Hallows—and it’s never explained. In this video, we uncover how unsupported flight works, why it horrified the Order of the Phoenix, and how it connects directly to Occlumency, emotional detachment, and Voldemort’s inability to love. By comparing Voldemort, Snape, and Harry, we reveal why only two wizards ever achieve this ability—and why it’s not a power Harry should want.</t>
        </is>
      </c>
      <c r="V173" s="47">
        <f>IF(AND(P173&gt;=Calendar!$K$2,P173&lt;EDATE(Calendar!$K$2,1),OR(Calendar!$K$4="*",N173=Calendar!$K$4)),P173*100+COUNTIFS($P$6:$P$3267,P173,$Q$6:$Q$3267,"&lt;="&amp;Q173,$N$6:$N$3267,Calendar!$K$4),"")</f>
        <v/>
      </c>
      <c r="W173" s="47">
        <f>IF(AND(B173=Queue!$C$4,OR(Queue!$K$4="*",N173=Queue!$K$4)),Q173,"")</f>
        <v/>
      </c>
    </row>
    <row r="174">
      <c r="A174" s="38">
        <f>IF(M174="","",HYPERLINK("https://www.youtube.com/watch?v="&amp;M174,"▶"))</f>
        <v/>
      </c>
      <c r="B174" s="39">
        <f>IF(C174&lt;&gt;"",C174,IF(P174&lt;=IFERROR(INDEX(tblChannels[Watched Through],MATCH(N174,tblChannels[Channel ID],0)),0),"Watched","Unwatched"))</f>
        <v/>
      </c>
      <c r="C174" s="40" t="n"/>
      <c r="D174" s="41" t="n"/>
      <c r="E174" s="42" t="n">
        <v>46033.41736111111</v>
      </c>
      <c r="F174" s="51" t="inlineStr">
        <is>
          <t>Through The Griffin Door</t>
        </is>
      </c>
      <c r="G174" t="inlineStr">
        <is>
          <t>Chapter 19: The Lion and the Serpent | Order of the Phoenix</t>
        </is>
      </c>
      <c r="H174" s="44" t="n">
        <v>0.07553240740740741</v>
      </c>
      <c r="I174" s="45" t="n">
        <v>43788</v>
      </c>
      <c r="J174" s="45" t="n">
        <v>1103</v>
      </c>
      <c r="K174" s="45" t="n">
        <v>343</v>
      </c>
      <c r="L174" s="46" t="n"/>
      <c r="M174" s="47" t="n"/>
      <c r="N174" s="47" t="inlineStr">
        <is>
          <t>UCEscP6ETYXWSSvsNrDHekMQ</t>
        </is>
      </c>
      <c r="O174" s="48" t="n">
        <v>46033.62569444445</v>
      </c>
      <c r="P174" s="49" t="n">
        <v>46033</v>
      </c>
      <c r="Q174" s="47" t="n">
        <v>3094</v>
      </c>
      <c r="R174" s="47" t="inlineStr">
        <is>
          <t>No Video ID yet</t>
        </is>
      </c>
      <c r="S174" s="49" t="n"/>
      <c r="T174" s="49" t="n"/>
      <c r="U174" s="47" t="inlineStr">
        <is>
          <t>Join J and Ben as they dive into Chapter 19 of the Order of the Phoenix and discuss the protean charm, the pacing, Fred and George being adopted, Ron’s anticipation, a great RedMoon moment, Lee Jordan’s commentary, Draco goading the Griffindoors, decree number 25 and Hagrid being back! Fred &amp; George Are Actually Adopted?! - 10:23 - Chapter Breakdown 58:17 - Ad Break (Shopify) 59:20 - More Chapter Breakdown 1:34:05 - Closing Thoughts and Review</t>
        </is>
      </c>
      <c r="V174" s="47">
        <f>IF(AND(P174&gt;=Calendar!$K$2,P174&lt;EDATE(Calendar!$K$2,1),OR(Calendar!$K$4="*",N174=Calendar!$K$4)),P174*100+COUNTIFS($P$6:$P$3267,P174,$Q$6:$Q$3267,"&lt;="&amp;Q174,$N$6:$N$3267,Calendar!$K$4),"")</f>
        <v/>
      </c>
      <c r="W174" s="47">
        <f>IF(AND(B174=Queue!$C$4,OR(Queue!$K$4="*",N174=Queue!$K$4)),Q174,"")</f>
        <v/>
      </c>
    </row>
    <row r="175">
      <c r="A175" s="38">
        <f>IF(M175="","",HYPERLINK("https://www.youtube.com/watch?v="&amp;M175,"▶"))</f>
        <v/>
      </c>
      <c r="B175" s="39">
        <f>IF(C175&lt;&gt;"",C175,IF(P175&lt;=IFERROR(INDEX(tblChannels[Watched Through],MATCH(N175,tblChannels[Channel ID],0)),0),"Watched","Unwatched"))</f>
        <v/>
      </c>
      <c r="C175" s="40" t="n"/>
      <c r="D175" s="41" t="n"/>
      <c r="E175" s="42" t="n">
        <v>46031.66388888889</v>
      </c>
      <c r="F175" s="50" t="inlineStr">
        <is>
          <t>Super Carlin Brothers</t>
        </is>
      </c>
      <c r="G175" t="inlineStr">
        <is>
          <t>Fred &amp; George Are Actually Adopted?! | Harry Potter Theory</t>
        </is>
      </c>
      <c r="H175" s="44" t="n">
        <v>0.009780092592592592</v>
      </c>
      <c r="I175" s="45" t="n">
        <v>52790</v>
      </c>
      <c r="J175" s="45" t="n">
        <v>2853</v>
      </c>
      <c r="K175" s="45" t="n">
        <v>293</v>
      </c>
      <c r="L175" s="46" t="n"/>
      <c r="M175" s="47" t="n"/>
      <c r="N175" s="47" t="inlineStr">
        <is>
          <t>UCKZo4N0lVPccBkSiuyVh4yg</t>
        </is>
      </c>
      <c r="O175" s="48" t="n">
        <v>46031.87222222222</v>
      </c>
      <c r="P175" s="49" t="n">
        <v>46031</v>
      </c>
      <c r="Q175" s="47" t="n">
        <v>3093</v>
      </c>
      <c r="R175" s="47" t="inlineStr">
        <is>
          <t>No Video ID yet</t>
        </is>
      </c>
      <c r="S175" s="49" t="n"/>
      <c r="T175" s="49" t="n"/>
      <c r="U175" s="47" t="inlineStr">
        <is>
          <t>This episode is sponsored by This episode is sponsored by Shopify - Go to to sign up for your $1-per-month trial period. Are Fred and George Weasley actually adopted?! 🤯 This started as a joke in our new “Theories Out of a Hat” concept—where we pull bad theories out of a hat and try to defend them—but the deeper we looked… the more unsettling it became. From strange lines in Order of the Phoenix, to Molly Weasley’s emotional blind spots, to shocking connections involving Fabian &amp; Gideon Prewett, Marlene McKinnon, and even Harry Potter himself, this theory uncovers a hidden pattern of found family, war-time loss, and chosen love at the heart of the Wizarding World. This theory may have started as a joke… …but it ends somewhere devastating.</t>
        </is>
      </c>
      <c r="V175" s="47">
        <f>IF(AND(P175&gt;=Calendar!$K$2,P175&lt;EDATE(Calendar!$K$2,1),OR(Calendar!$K$4="*",N175=Calendar!$K$4)),P175*100+COUNTIFS($P$6:$P$3267,P175,$Q$6:$Q$3267,"&lt;="&amp;Q175,$N$6:$N$3267,Calendar!$K$4),"")</f>
        <v/>
      </c>
      <c r="W175" s="47">
        <f>IF(AND(B175=Queue!$C$4,OR(Queue!$K$4="*",N175=Queue!$K$4)),Q175,"")</f>
        <v/>
      </c>
    </row>
    <row r="176">
      <c r="A176" s="38">
        <f>IF(M176="","",HYPERLINK("https://www.youtube.com/watch?v="&amp;M176,"▶"))</f>
        <v/>
      </c>
      <c r="B176" s="39">
        <f>IF(C176&lt;&gt;"",C176,IF(P176&lt;=IFERROR(INDEX(tblChannels[Watched Through],MATCH(N176,tblChannels[Channel ID],0)),0),"Watched","Unwatched"))</f>
        <v/>
      </c>
      <c r="C176" s="40" t="n"/>
      <c r="D176" s="41" t="n"/>
      <c r="E176" s="42" t="n">
        <v>46031.41666666666</v>
      </c>
      <c r="F176" s="43" t="inlineStr">
        <is>
          <t>Popcorn Culture</t>
        </is>
      </c>
      <c r="G176" t="inlineStr">
        <is>
          <t>The Walmart Chicken Debacle  | Popcorn Culture</t>
        </is>
      </c>
      <c r="H176" s="44" t="n">
        <v>0.05715277777777777</v>
      </c>
      <c r="I176" s="45" t="n">
        <v>2919</v>
      </c>
      <c r="J176" s="45" t="n">
        <v>148</v>
      </c>
      <c r="K176" s="45" t="n">
        <v>23</v>
      </c>
      <c r="L176" s="46" t="n"/>
      <c r="M176" s="47" t="n"/>
      <c r="N176" s="47" t="inlineStr">
        <is>
          <t>UCHfIbq9thHPC8yrKjAdJgDA</t>
        </is>
      </c>
      <c r="O176" s="48" t="n">
        <v>46031.625</v>
      </c>
      <c r="P176" s="49" t="n">
        <v>46031</v>
      </c>
      <c r="Q176" s="47" t="n">
        <v>3092</v>
      </c>
      <c r="R176" s="47" t="inlineStr">
        <is>
          <t>No Video ID yet</t>
        </is>
      </c>
      <c r="S176" s="49" t="n"/>
      <c r="T176" s="49" t="n"/>
      <c r="U176" s="47" t="inlineStr">
        <is>
          <t>In the 318th episode of the Pop, Ben and J discuss new year cleaning, a 12 piece chicken tender, the Dude Perfect board game, more Christmas gifts, and flat tires. How It’s Made - Ben’s Anchors - Dude Perfect Board Game - Garmin Watch - Denver, CO - 03/07/2026 (sold out) Salt Lake City, UT - 03/09/2026 (sold out) 00:00 - Intro, Cleaning House 18:31 - The Walmart Hot-To-Go Counter 36:18 - Board Games 56:56 - More Christmas Gifts</t>
        </is>
      </c>
      <c r="V176" s="47">
        <f>IF(AND(P176&gt;=Calendar!$K$2,P176&lt;EDATE(Calendar!$K$2,1),OR(Calendar!$K$4="*",N176=Calendar!$K$4)),P176*100+COUNTIFS($P$6:$P$3267,P176,$Q$6:$Q$3267,"&lt;="&amp;Q176,$N$6:$N$3267,Calendar!$K$4),"")</f>
        <v/>
      </c>
      <c r="W176" s="47">
        <f>IF(AND(B176=Queue!$C$4,OR(Queue!$K$4="*",N176=Queue!$K$4)),Q176,"")</f>
        <v/>
      </c>
    </row>
    <row r="177">
      <c r="A177" s="38">
        <f>IF(M177="","",HYPERLINK("https://www.youtube.com/watch?v="&amp;M177,"▶"))</f>
        <v/>
      </c>
      <c r="B177" s="39">
        <f>IF(C177&lt;&gt;"",C177,IF(P177&lt;=IFERROR(INDEX(tblChannels[Watched Through],MATCH(N177,tblChannels[Channel ID],0)),0),"Watched","Unwatched"))</f>
        <v/>
      </c>
      <c r="C177" s="40" t="n"/>
      <c r="D177" s="41" t="n"/>
      <c r="E177" s="42" t="n">
        <v>46029.71527777778</v>
      </c>
      <c r="F177" s="50" t="inlineStr">
        <is>
          <t>Super Carlin Brothers</t>
        </is>
      </c>
      <c r="G177" t="inlineStr">
        <is>
          <t>The One Hagrid Question That Never Gets Answered | Harry Potter Theory</t>
        </is>
      </c>
      <c r="H177" s="44" t="n">
        <v>0.01265046296296296</v>
      </c>
      <c r="I177" s="45" t="n">
        <v>106922</v>
      </c>
      <c r="J177" s="45" t="n">
        <v>4815</v>
      </c>
      <c r="K177" s="45" t="n">
        <v>884</v>
      </c>
      <c r="L177" s="46" t="n"/>
      <c r="M177" s="47" t="n"/>
      <c r="N177" s="47" t="inlineStr">
        <is>
          <t>UCKZo4N0lVPccBkSiuyVh4yg</t>
        </is>
      </c>
      <c r="O177" s="48" t="n">
        <v>46029.92361111111</v>
      </c>
      <c r="P177" s="49" t="n">
        <v>46029</v>
      </c>
      <c r="Q177" s="47" t="n">
        <v>3091</v>
      </c>
      <c r="R177" s="47" t="inlineStr">
        <is>
          <t>No Video ID yet</t>
        </is>
      </c>
      <c r="S177" s="49" t="n"/>
      <c r="T177" s="49" t="n"/>
      <c r="U177" s="47" t="inlineStr">
        <is>
          <t>This episode is sponsored by BetterHelp. Go to for 10% off your first month. From the very first pages of Harry Potter, Hagrid is full of mysteries — his size, his umbrella, his expulsion… but there’s one moment that has quietly confused readers for decades. When Hagrid retrieves Harry from the Hut on the Rock, he claims he “flew” there. But… how? In this video, we break down every possible way Hagrid could have reached the island, using only canon evidence from across all seven books. We examine flying motorbikes, broomsticks, Thestrals, magic carpets, Floo Powder, dragons, and even some of the wizarding world’s rarest magical creatures.. This is the one Hagrid question that never gets answered on the page… until now! Special Thanks to @jakob_henkel for this video suggestion!</t>
        </is>
      </c>
      <c r="V177" s="47">
        <f>IF(AND(P177&gt;=Calendar!$K$2,P177&lt;EDATE(Calendar!$K$2,1),OR(Calendar!$K$4="*",N177=Calendar!$K$4)),P177*100+COUNTIFS($P$6:$P$3267,P177,$Q$6:$Q$3267,"&lt;="&amp;Q177,$N$6:$N$3267,Calendar!$K$4),"")</f>
        <v/>
      </c>
      <c r="W177" s="47">
        <f>IF(AND(B177=Queue!$C$4,OR(Queue!$K$4="*",N177=Queue!$K$4)),Q177,"")</f>
        <v/>
      </c>
    </row>
    <row r="178">
      <c r="A178" s="38">
        <f>IF(M178="","",HYPERLINK("https://www.youtube.com/watch?v="&amp;M178,"▶"))</f>
        <v/>
      </c>
      <c r="B178" s="39">
        <f>IF(C178&lt;&gt;"",C178,IF(P178&lt;=IFERROR(INDEX(tblChannels[Watched Through],MATCH(N178,tblChannels[Channel ID],0)),0),"Watched","Unwatched"))</f>
        <v/>
      </c>
      <c r="C178" s="40" t="n"/>
      <c r="D178" s="41" t="n"/>
      <c r="E178" s="42" t="n">
        <v>46027.47708333333</v>
      </c>
      <c r="F178" s="50" t="inlineStr">
        <is>
          <t>Super Carlin Brothers</t>
        </is>
      </c>
      <c r="G178" t="inlineStr">
        <is>
          <t>Through the Griffin Door Supercut: Order of the Phoenix Chapters 16-18</t>
        </is>
      </c>
      <c r="H178" s="44" t="n">
        <v>0.1888078703703704</v>
      </c>
      <c r="I178" s="45" t="n">
        <v>7221</v>
      </c>
      <c r="J178" s="45" t="n">
        <v>130</v>
      </c>
      <c r="K178" s="45" t="n">
        <v>29</v>
      </c>
      <c r="L178" s="46" t="n"/>
      <c r="M178" s="47" t="n"/>
      <c r="N178" s="47" t="inlineStr">
        <is>
          <t>UCKZo4N0lVPccBkSiuyVh4yg</t>
        </is>
      </c>
      <c r="O178" s="48" t="n">
        <v>46027.68541666667</v>
      </c>
      <c r="P178" s="49" t="n">
        <v>46027</v>
      </c>
      <c r="Q178" s="47" t="n">
        <v>3090</v>
      </c>
      <c r="R178" s="47" t="inlineStr">
        <is>
          <t>No Video ID yet</t>
        </is>
      </c>
      <c r="S178" s="49" t="n"/>
      <c r="T178" s="49" t="n"/>
      <c r="U178" s="47" t="inlineStr">
        <is>
          <t>0:00:00 - Chapter 16: In the Hogs Head 1:29:23 - Chapter 17: Educational Decree Number Twenty-Four 2:55:39 - Chapter 18: Dumbledore's Army</t>
        </is>
      </c>
      <c r="V178" s="47">
        <f>IF(AND(P178&gt;=Calendar!$K$2,P178&lt;EDATE(Calendar!$K$2,1),OR(Calendar!$K$4="*",N178=Calendar!$K$4)),P178*100+COUNTIFS($P$6:$P$3267,P178,$Q$6:$Q$3267,"&lt;="&amp;Q178,$N$6:$N$3267,Calendar!$K$4),"")</f>
        <v/>
      </c>
      <c r="W178" s="47">
        <f>IF(AND(B178=Queue!$C$4,OR(Queue!$K$4="*",N178=Queue!$K$4)),Q178,"")</f>
        <v/>
      </c>
    </row>
    <row r="179">
      <c r="A179" s="38">
        <f>IF(M179="","",HYPERLINK("https://www.youtube.com/watch?v="&amp;M179,"▶"))</f>
        <v/>
      </c>
      <c r="B179" s="39">
        <f>IF(C179&lt;&gt;"",C179,IF(P179&lt;=IFERROR(INDEX(tblChannels[Watched Through],MATCH(N179,tblChannels[Channel ID],0)),0),"Watched","Unwatched"))</f>
        <v/>
      </c>
      <c r="C179" s="40" t="n"/>
      <c r="D179" s="41" t="n"/>
      <c r="E179" s="42" t="n">
        <v>46026.41736111111</v>
      </c>
      <c r="F179" s="51" t="inlineStr">
        <is>
          <t>Through The Griffin Door</t>
        </is>
      </c>
      <c r="G179" t="inlineStr">
        <is>
          <t>The Owlery Special Part 3!</t>
        </is>
      </c>
      <c r="H179" s="44" t="n">
        <v>0.08253472222222222</v>
      </c>
      <c r="I179" s="45" t="n">
        <v>21563</v>
      </c>
      <c r="J179" s="45" t="n">
        <v>673</v>
      </c>
      <c r="K179" s="45" t="n">
        <v>305</v>
      </c>
      <c r="L179" s="46" t="n"/>
      <c r="M179" s="47" t="n"/>
      <c r="N179" s="47" t="inlineStr">
        <is>
          <t>UCEscP6ETYXWSSvsNrDHekMQ</t>
        </is>
      </c>
      <c r="O179" s="48" t="n">
        <v>46026.62569444445</v>
      </c>
      <c r="P179" s="49" t="n">
        <v>46026</v>
      </c>
      <c r="Q179" s="47" t="n">
        <v>3089</v>
      </c>
      <c r="R179" s="47" t="inlineStr">
        <is>
          <t>No Video ID yet</t>
        </is>
      </c>
      <c r="S179" s="49" t="n"/>
      <c r="T179" s="49" t="n"/>
      <c r="U179" s="47" t="inlineStr">
        <is>
          <t>Join J and Ben as they dive into YOUR QUESTIONS and answer the questions: Did Grindelwald DEFINITELY kill Ariana? What if Regulus didn’t die? What if Merope kept giving Tom Riddle Sr. the love potion? And what if Draco stole the cloak of invisibility? Do you want to have your questions answered on a future episode of The Owlery? Support us on Patreon: 00:00 - Grindelwald vs. Ariana 21:13 - Regulus 55:47 - Merope (Ben’s Version) 1:09:26 - Merope (J’s Version) 1:31:01 - Draco</t>
        </is>
      </c>
      <c r="V179" s="47">
        <f>IF(AND(P179&gt;=Calendar!$K$2,P179&lt;EDATE(Calendar!$K$2,1),OR(Calendar!$K$4="*",N179=Calendar!$K$4)),P179*100+COUNTIFS($P$6:$P$3267,P179,$Q$6:$Q$3267,"&lt;="&amp;Q179,$N$6:$N$3267,Calendar!$K$4),"")</f>
        <v/>
      </c>
      <c r="W179" s="47">
        <f>IF(AND(B179=Queue!$C$4,OR(Queue!$K$4="*",N179=Queue!$K$4)),Q179,"")</f>
        <v/>
      </c>
    </row>
    <row r="180">
      <c r="A180" s="38">
        <f>IF(M180="","",HYPERLINK("https://www.youtube.com/watch?v="&amp;M180,"▶"))</f>
        <v/>
      </c>
      <c r="B180" s="39">
        <f>IF(C180&lt;&gt;"",C180,IF(P180&lt;=IFERROR(INDEX(tblChannels[Watched Through],MATCH(N180,tblChannels[Channel ID],0)),0),"Watched","Unwatched"))</f>
        <v/>
      </c>
      <c r="C180" s="40" t="n"/>
      <c r="D180" s="41" t="n"/>
      <c r="E180" s="42" t="n">
        <v>46024.58333333334</v>
      </c>
      <c r="F180" s="50" t="inlineStr">
        <is>
          <t>Super Carlin Brothers</t>
        </is>
      </c>
      <c r="G180" t="inlineStr">
        <is>
          <t>J vs Ben: 2025 FULL YEAR SHOWDOWN! (Part 2)</t>
        </is>
      </c>
      <c r="H180" s="44" t="n">
        <v>0.4293287037037037</v>
      </c>
      <c r="I180" s="45" t="n">
        <v>72449</v>
      </c>
      <c r="J180" s="45" t="n">
        <v>1115</v>
      </c>
      <c r="K180" s="45" t="n">
        <v>227</v>
      </c>
      <c r="L180" s="46" t="n"/>
      <c r="M180" s="47" t="n"/>
      <c r="N180" s="47" t="inlineStr">
        <is>
          <t>UCKZo4N0lVPccBkSiuyVh4yg</t>
        </is>
      </c>
      <c r="O180" s="48" t="n">
        <v>46024.79166666666</v>
      </c>
      <c r="P180" s="49" t="n">
        <v>46024</v>
      </c>
      <c r="Q180" s="47" t="n">
        <v>3088</v>
      </c>
      <c r="R180" s="47" t="inlineStr">
        <is>
          <t>No Video ID yet</t>
        </is>
      </c>
      <c r="S180" s="49" t="n"/>
      <c r="T180" s="49" t="n"/>
      <c r="U180" s="47" t="inlineStr">
        <is>
          <t>Welcome to PART 2 the GRAND FINALE of the 2025 J vs Ben season! We have clipped together every J vs Ben for the entire year so you can relive it all and find out who the grand champion is! From the “In the Movies,” “Quotes Quizes,” and “Open Book,” formats we had a lot of curve balls this year. Huge thanks to all the quiz masters throughout the year! We could not make the show without you and look forward to all of your questions next year!</t>
        </is>
      </c>
      <c r="V180" s="47">
        <f>IF(AND(P180&gt;=Calendar!$K$2,P180&lt;EDATE(Calendar!$K$2,1),OR(Calendar!$K$4="*",N180=Calendar!$K$4)),P180*100+COUNTIFS($P$6:$P$3267,P180,$Q$6:$Q$3267,"&lt;="&amp;Q180,$N$6:$N$3267,Calendar!$K$4),"")</f>
        <v/>
      </c>
      <c r="W180" s="47">
        <f>IF(AND(B180=Queue!$C$4,OR(Queue!$K$4="*",N180=Queue!$K$4)),Q180,"")</f>
        <v/>
      </c>
    </row>
    <row r="181">
      <c r="A181" s="38">
        <f>IF(M181="","",HYPERLINK("https://www.youtube.com/watch?v="&amp;M181,"▶"))</f>
        <v/>
      </c>
      <c r="B181" s="39">
        <f>IF(C181&lt;&gt;"",C181,IF(P181&lt;=IFERROR(INDEX(tblChannels[Watched Through],MATCH(N181,tblChannels[Channel ID],0)),0),"Watched","Unwatched"))</f>
        <v/>
      </c>
      <c r="C181" s="40" t="n"/>
      <c r="D181" s="41" t="n"/>
      <c r="E181" s="42" t="n">
        <v>46024.41666666666</v>
      </c>
      <c r="F181" s="43" t="inlineStr">
        <is>
          <t>Popcorn Culture</t>
        </is>
      </c>
      <c r="G181" t="inlineStr">
        <is>
          <t>New Year, RE-Popped! | Popcorn Culture</t>
        </is>
      </c>
      <c r="H181" s="44" t="n">
        <v>0.04833333333333333</v>
      </c>
      <c r="I181" s="45" t="n">
        <v>2481</v>
      </c>
      <c r="J181" s="45" t="n">
        <v>121</v>
      </c>
      <c r="K181" s="45" t="n">
        <v>7</v>
      </c>
      <c r="L181" s="46" t="n"/>
      <c r="M181" s="47" t="n"/>
      <c r="N181" s="47" t="inlineStr">
        <is>
          <t>UCHfIbq9thHPC8yrKjAdJgDA</t>
        </is>
      </c>
      <c r="O181" s="48" t="n">
        <v>46024.625</v>
      </c>
      <c r="P181" s="49" t="n">
        <v>46024</v>
      </c>
      <c r="Q181" s="47" t="n">
        <v>3087</v>
      </c>
      <c r="R181" s="47" t="inlineStr">
        <is>
          <t>No Video ID yet</t>
        </is>
      </c>
      <c r="S181" s="49" t="n"/>
      <c r="T181" s="49" t="n"/>
      <c r="U181" s="47" t="inlineStr">
        <is>
          <t>In previous ATFPs, Ben and J discussed the Beer Mile, Brock Brockington and powerwashing! 06:00 - ATFP 1 25:31 - ATFP 2 41:02 - ATFP 3 1:08:38 - Outro</t>
        </is>
      </c>
      <c r="V181" s="47">
        <f>IF(AND(P181&gt;=Calendar!$K$2,P181&lt;EDATE(Calendar!$K$2,1),OR(Calendar!$K$4="*",N181=Calendar!$K$4)),P181*100+COUNTIFS($P$6:$P$3267,P181,$Q$6:$Q$3267,"&lt;="&amp;Q181,$N$6:$N$3267,Calendar!$K$4),"")</f>
        <v/>
      </c>
      <c r="W181" s="47">
        <f>IF(AND(B181=Queue!$C$4,OR(Queue!$K$4="*",N181=Queue!$K$4)),Q181,"")</f>
        <v/>
      </c>
    </row>
    <row r="182">
      <c r="A182" s="38">
        <f>IF(M182="","",HYPERLINK("https://www.youtube.com/watch?v="&amp;M182,"▶"))</f>
        <v/>
      </c>
      <c r="B182" s="39">
        <f>IF(C182&lt;&gt;"",C182,IF(P182&lt;=IFERROR(INDEX(tblChannels[Watched Through],MATCH(N182,tblChannels[Channel ID],0)),0),"Watched","Unwatched"))</f>
        <v/>
      </c>
      <c r="C182" s="40" t="n"/>
      <c r="D182" s="41" t="n"/>
      <c r="E182" s="42" t="n">
        <v>46022.58333333334</v>
      </c>
      <c r="F182" s="50" t="inlineStr">
        <is>
          <t>Super Carlin Brothers</t>
        </is>
      </c>
      <c r="G182" t="inlineStr">
        <is>
          <t>J vs Ben: 2025 FULL YEAR SHOWDOWN! (Part 1)</t>
        </is>
      </c>
      <c r="H182" s="44" t="n">
        <v>0.3844444444444444</v>
      </c>
      <c r="I182" s="45" t="n">
        <v>89287</v>
      </c>
      <c r="J182" s="45" t="n">
        <v>1400</v>
      </c>
      <c r="K182" s="45" t="n">
        <v>290</v>
      </c>
      <c r="L182" s="46" t="n"/>
      <c r="M182" s="47" t="n"/>
      <c r="N182" s="47" t="inlineStr">
        <is>
          <t>UCKZo4N0lVPccBkSiuyVh4yg</t>
        </is>
      </c>
      <c r="O182" s="48" t="n">
        <v>46022.79166666666</v>
      </c>
      <c r="P182" s="49" t="n">
        <v>46022</v>
      </c>
      <c r="Q182" s="47" t="n">
        <v>3086</v>
      </c>
      <c r="R182" s="47" t="inlineStr">
        <is>
          <t>No Video ID yet</t>
        </is>
      </c>
      <c r="S182" s="49" t="n"/>
      <c r="T182" s="49" t="n"/>
      <c r="U182" s="47" t="inlineStr">
        <is>
          <t>Welcome to the GRAND FINALE of the 2025 J vs Ben season! We have clipped together every J vs Ben for the entire year so you can relive it all and find out who the grand champion is! From the “In the Movies,” “Quotes Quizes,” and “Open Book,” formats we had a lot of curve balls this year. We actually had so much footage this year we had to break it into 2 parts, so be on the look out for part 2 in a couple of days! (if you have finished this one by then!) Huge thanks to all the quiz masters throughout the year! We could not make the show without you and look forward to all of your questions next year!</t>
        </is>
      </c>
      <c r="V182" s="47">
        <f>IF(AND(P182&gt;=Calendar!$K$2,P182&lt;EDATE(Calendar!$K$2,1),OR(Calendar!$K$4="*",N182=Calendar!$K$4)),P182*100+COUNTIFS($P$6:$P$3267,P182,$Q$6:$Q$3267,"&lt;="&amp;Q182,$N$6:$N$3267,Calendar!$K$4),"")</f>
        <v/>
      </c>
      <c r="W182" s="47">
        <f>IF(AND(B182=Queue!$C$4,OR(Queue!$K$4="*",N182=Queue!$K$4)),Q182,"")</f>
        <v/>
      </c>
    </row>
    <row r="183">
      <c r="A183" s="38">
        <f>IF(M183="","",HYPERLINK("https://www.youtube.com/watch?v="&amp;M183,"▶"))</f>
        <v/>
      </c>
      <c r="B183" s="39">
        <f>IF(C183&lt;&gt;"",C183,IF(P183&lt;=IFERROR(INDEX(tblChannels[Watched Through],MATCH(N183,tblChannels[Channel ID],0)),0),"Watched","Unwatched"))</f>
        <v/>
      </c>
      <c r="C183" s="40" t="n"/>
      <c r="D183" s="41" t="n"/>
      <c r="E183" s="42" t="n">
        <v>46019.41736111111</v>
      </c>
      <c r="F183" s="51" t="inlineStr">
        <is>
          <t>Through The Griffin Door</t>
        </is>
      </c>
      <c r="G183" t="inlineStr">
        <is>
          <t>Chapter 18: Dumbledore’s Army | Order of the Phoenix</t>
        </is>
      </c>
      <c r="H183" s="44" t="n">
        <v>0.06682870370370371</v>
      </c>
      <c r="I183" s="45" t="n">
        <v>44359</v>
      </c>
      <c r="J183" s="45" t="n">
        <v>1159</v>
      </c>
      <c r="K183" s="45" t="n">
        <v>299</v>
      </c>
      <c r="L183" s="46" t="n"/>
      <c r="M183" s="47" t="n"/>
      <c r="N183" s="47" t="inlineStr">
        <is>
          <t>UCEscP6ETYXWSSvsNrDHekMQ</t>
        </is>
      </c>
      <c r="O183" s="48" t="n">
        <v>46019.62569444445</v>
      </c>
      <c r="P183" s="49" t="n">
        <v>46019</v>
      </c>
      <c r="Q183" s="47" t="n">
        <v>3085</v>
      </c>
      <c r="R183" s="47" t="inlineStr">
        <is>
          <t>No Video ID yet</t>
        </is>
      </c>
      <c r="S183" s="49" t="n"/>
      <c r="T183" s="49" t="n"/>
      <c r="U183" s="47" t="inlineStr">
        <is>
          <t>Join J and Ben as they dive into Chapter 18 of the Order of the Phoenix and discuss silencing spells, Hermione’s doubt, Harry’s bridge to Voldemort’s emotions, Dobby’s midnight appearance, selecting the DA name and Harry’s first time teaching. The TRUTH About Hogwarts Origins - 04:18 - Chapter Breakdown 1:27:44 - Closing Thoughts and Review</t>
        </is>
      </c>
      <c r="V183" s="47">
        <f>IF(AND(P183&gt;=Calendar!$K$2,P183&lt;EDATE(Calendar!$K$2,1),OR(Calendar!$K$4="*",N183=Calendar!$K$4)),P183*100+COUNTIFS($P$6:$P$3267,P183,$Q$6:$Q$3267,"&lt;="&amp;Q183,$N$6:$N$3267,Calendar!$K$4),"")</f>
        <v/>
      </c>
      <c r="W183" s="47">
        <f>IF(AND(B183=Queue!$C$4,OR(Queue!$K$4="*",N183=Queue!$K$4)),Q183,"")</f>
        <v/>
      </c>
    </row>
    <row r="184">
      <c r="A184" s="38">
        <f>IF(M184="","",HYPERLINK("https://www.youtube.com/watch?v="&amp;M184,"▶"))</f>
        <v/>
      </c>
      <c r="B184" s="39">
        <f>IF(C184&lt;&gt;"",C184,IF(P184&lt;=IFERROR(INDEX(tblChannels[Watched Through],MATCH(N184,tblChannels[Channel ID],0)),0),"Watched","Unwatched"))</f>
        <v/>
      </c>
      <c r="C184" s="40" t="n"/>
      <c r="D184" s="41" t="n"/>
      <c r="E184" s="42" t="n">
        <v>46017.58333333334</v>
      </c>
      <c r="F184" s="50" t="inlineStr">
        <is>
          <t>Super Carlin Brothers</t>
        </is>
      </c>
      <c r="G184" t="inlineStr">
        <is>
          <t>2 MORE Hours of Harry Potter Theories to Binge</t>
        </is>
      </c>
      <c r="H184" s="44" t="n">
        <v>0.06545138888888889</v>
      </c>
      <c r="I184" s="45" t="n">
        <v>136170</v>
      </c>
      <c r="J184" s="45" t="n">
        <v>1883</v>
      </c>
      <c r="K184" s="45" t="n">
        <v>220</v>
      </c>
      <c r="L184" s="46" t="n"/>
      <c r="M184" s="47" t="n"/>
      <c r="N184" s="47" t="inlineStr">
        <is>
          <t>UCKZo4N0lVPccBkSiuyVh4yg</t>
        </is>
      </c>
      <c r="O184" s="48" t="n">
        <v>46017.79166666666</v>
      </c>
      <c r="P184" s="49" t="n">
        <v>46017</v>
      </c>
      <c r="Q184" s="47" t="n">
        <v>3084</v>
      </c>
      <c r="R184" s="47" t="inlineStr">
        <is>
          <t>No Video ID yet</t>
        </is>
      </c>
      <c r="S184" s="49" t="n"/>
      <c r="T184" s="49" t="n"/>
      <c r="U184" s="47" t="inlineStr">
        <is>
          <t>Grab your butterbeers and Chocolate Frogs and settle in — we’ve stitched together ANOTHER 2 hours Harry Potter Theories to Binge! What’s the Sorting hat’s big secret? Why does Hermione never visit her parents? Is Death a Dementor? What’s the deal with Thestrals? Is Hagrid secretly a millionaire?! We tackle them all and MORE!</t>
        </is>
      </c>
      <c r="V184" s="47">
        <f>IF(AND(P184&gt;=Calendar!$K$2,P184&lt;EDATE(Calendar!$K$2,1),OR(Calendar!$K$4="*",N184=Calendar!$K$4)),P184*100+COUNTIFS($P$6:$P$3267,P184,$Q$6:$Q$3267,"&lt;="&amp;Q184,$N$6:$N$3267,Calendar!$K$4),"")</f>
        <v/>
      </c>
      <c r="W184" s="47">
        <f>IF(AND(B184=Queue!$C$4,OR(Queue!$K$4="*",N184=Queue!$K$4)),Q184,"")</f>
        <v/>
      </c>
    </row>
    <row r="185">
      <c r="A185" s="38">
        <f>IF(M185="","",HYPERLINK("https://www.youtube.com/watch?v="&amp;M185,"▶"))</f>
        <v/>
      </c>
      <c r="B185" s="39">
        <f>IF(C185&lt;&gt;"",C185,IF(P185&lt;=IFERROR(INDEX(tblChannels[Watched Through],MATCH(N185,tblChannels[Channel ID],0)),0),"Watched","Unwatched"))</f>
        <v/>
      </c>
      <c r="C185" s="40" t="n"/>
      <c r="D185" s="41" t="n"/>
      <c r="E185" s="42" t="n">
        <v>46017.41666666666</v>
      </c>
      <c r="F185" s="43" t="inlineStr">
        <is>
          <t>Popcorn Culture</t>
        </is>
      </c>
      <c r="G185" t="inlineStr">
        <is>
          <t>2025 WRAPPED | Popcorn Culture</t>
        </is>
      </c>
      <c r="H185" s="44" t="n">
        <v>0.04592592592592593</v>
      </c>
      <c r="I185" s="45" t="n">
        <v>2321</v>
      </c>
      <c r="J185" s="45" t="n">
        <v>134</v>
      </c>
      <c r="K185" s="45" t="n">
        <v>21</v>
      </c>
      <c r="L185" s="46" t="n"/>
      <c r="M185" s="47" t="n"/>
      <c r="N185" s="47" t="inlineStr">
        <is>
          <t>UCHfIbq9thHPC8yrKjAdJgDA</t>
        </is>
      </c>
      <c r="O185" s="48" t="n">
        <v>46017.625</v>
      </c>
      <c r="P185" s="49" t="n">
        <v>46017</v>
      </c>
      <c r="Q185" s="47" t="n">
        <v>3083</v>
      </c>
      <c r="R185" s="47" t="inlineStr">
        <is>
          <t>No Video ID yet</t>
        </is>
      </c>
      <c r="S185" s="49" t="n"/>
      <c r="T185" s="49" t="n"/>
      <c r="U185" s="47" t="inlineStr">
        <is>
          <t>In the 316th episode of the Pop, Ben and J discuss artificial intelligence, the various trips of this year, drink competitions, microplastics, childhood whimsy, and social media strategy The Matrix - Go Pin Pro - 00:00 - Intro, What 2050 Might Look Like 25:45 - 2025 Quick Review</t>
        </is>
      </c>
      <c r="V185" s="47">
        <f>IF(AND(P185&gt;=Calendar!$K$2,P185&lt;EDATE(Calendar!$K$2,1),OR(Calendar!$K$4="*",N185=Calendar!$K$4)),P185*100+COUNTIFS($P$6:$P$3267,P185,$Q$6:$Q$3267,"&lt;="&amp;Q185,$N$6:$N$3267,Calendar!$K$4),"")</f>
        <v/>
      </c>
      <c r="W185" s="47">
        <f>IF(AND(B185=Queue!$C$4,OR(Queue!$K$4="*",N185=Queue!$K$4)),Q185,"")</f>
        <v/>
      </c>
    </row>
    <row r="186">
      <c r="A186" s="38">
        <f>IF(M186="","",HYPERLINK("https://www.youtube.com/watch?v="&amp;M186,"▶"))</f>
        <v/>
      </c>
      <c r="B186" s="39">
        <f>IF(C186&lt;&gt;"",C186,IF(P186&lt;=IFERROR(INDEX(tblChannels[Watched Through],MATCH(N186,tblChannels[Channel ID],0)),0),"Watched","Unwatched"))</f>
        <v/>
      </c>
      <c r="C186" s="40" t="n"/>
      <c r="D186" s="41" t="n"/>
      <c r="E186" s="42" t="n">
        <v>46015.58333333334</v>
      </c>
      <c r="F186" s="50" t="inlineStr">
        <is>
          <t>Super Carlin Brothers</t>
        </is>
      </c>
      <c r="G186" t="inlineStr">
        <is>
          <t>Theories Out of a Hat: Defending the WORST Harry Potter Theories</t>
        </is>
      </c>
      <c r="H186" s="44" t="n">
        <v>0.02840277777777778</v>
      </c>
      <c r="I186" s="45" t="n">
        <v>207448</v>
      </c>
      <c r="J186" s="45" t="n">
        <v>6348</v>
      </c>
      <c r="K186" s="45" t="n">
        <v>818</v>
      </c>
      <c r="L186" s="46" t="n"/>
      <c r="M186" s="47" t="n"/>
      <c r="N186" s="47" t="inlineStr">
        <is>
          <t>UCKZo4N0lVPccBkSiuyVh4yg</t>
        </is>
      </c>
      <c r="O186" s="48" t="n">
        <v>46015.79166666666</v>
      </c>
      <c r="P186" s="49" t="n">
        <v>46015</v>
      </c>
      <c r="Q186" s="47" t="n">
        <v>3082</v>
      </c>
      <c r="R186" s="47" t="inlineStr">
        <is>
          <t>No Video ID yet</t>
        </is>
      </c>
      <c r="S186" s="49" t="n"/>
      <c r="T186" s="49" t="n"/>
      <c r="U186" s="47" t="inlineStr">
        <is>
          <t>Today, J and Ben are drawing crazy Harry Potter theories out of a hat and must defend them as if they were real! This episode is sponsored by BetterHelp. Go to for 10% off your first month. Go to and use code super50off to get 50% off your first box, plus Free Breakfast for 1 Year. Can they source info to prove Hermione is a Death Eater? Kreacher is Dobby’s Father? That the Weasley twins were adopted? And What if Neville actually IS the chosen one..?</t>
        </is>
      </c>
      <c r="V186" s="47">
        <f>IF(AND(P186&gt;=Calendar!$K$2,P186&lt;EDATE(Calendar!$K$2,1),OR(Calendar!$K$4="*",N186=Calendar!$K$4)),P186*100+COUNTIFS($P$6:$P$3267,P186,$Q$6:$Q$3267,"&lt;="&amp;Q186,$N$6:$N$3267,Calendar!$K$4),"")</f>
        <v/>
      </c>
      <c r="W186" s="47">
        <f>IF(AND(B186=Queue!$C$4,OR(Queue!$K$4="*",N186=Queue!$K$4)),Q186,"")</f>
        <v/>
      </c>
    </row>
    <row r="187">
      <c r="A187" s="38">
        <f>IF(M187="","",HYPERLINK("https://www.youtube.com/watch?v="&amp;M187,"▶"))</f>
        <v/>
      </c>
      <c r="B187" s="39">
        <f>IF(C187&lt;&gt;"",C187,IF(P187&lt;=IFERROR(INDEX(tblChannels[Watched Through],MATCH(N187,tblChannels[Channel ID],0)),0),"Watched","Unwatched"))</f>
        <v/>
      </c>
      <c r="C187" s="40" t="n"/>
      <c r="D187" s="41" t="n"/>
      <c r="E187" s="42" t="n">
        <v>46012.41666666666</v>
      </c>
      <c r="F187" s="51" t="inlineStr">
        <is>
          <t>Through The Griffin Door</t>
        </is>
      </c>
      <c r="G187" t="inlineStr">
        <is>
          <t>Chapter 17: Educational Decree Number Twenty-Four | Order of the Phoenix</t>
        </is>
      </c>
      <c r="H187" s="44" t="n">
        <v>0.06214120370370371</v>
      </c>
      <c r="I187" s="45" t="n">
        <v>39915</v>
      </c>
      <c r="J187" s="45" t="n">
        <v>1128</v>
      </c>
      <c r="K187" s="45" t="n">
        <v>293</v>
      </c>
      <c r="L187" s="46" t="n"/>
      <c r="M187" s="47" t="n"/>
      <c r="N187" s="47" t="inlineStr">
        <is>
          <t>UCEscP6ETYXWSSvsNrDHekMQ</t>
        </is>
      </c>
      <c r="O187" s="48" t="n">
        <v>46012.625</v>
      </c>
      <c r="P187" s="49" t="n">
        <v>46012</v>
      </c>
      <c r="Q187" s="47" t="n">
        <v>3081</v>
      </c>
      <c r="R187" s="47" t="inlineStr">
        <is>
          <t>No Video ID yet</t>
        </is>
      </c>
      <c r="S187" s="49" t="n"/>
      <c r="T187" s="49" t="n"/>
      <c r="U187" s="47" t="inlineStr">
        <is>
          <t>This episode is sponsored by AuraFrames - Exclusive $35 off Carver Mat at Promo Code GRIFFIN Join J and Ben as they dive into Chapter 17 of the Order of the Phoenix and discuss Harry’s fleeting good mood, the decree, slide stairs,Hedwig being hurt, the enigma that is Professor Grubbly-Plank, Potions class with Umbridge, talking to Sirius an almost getting caught 04:07 - Chapter Breakdown 41:51 - Ad Break (Shopify and Aura Frames) 44:55 - More Chapter Breakdown 1:15:56 - Closing Thoughts and Review</t>
        </is>
      </c>
      <c r="V187" s="47">
        <f>IF(AND(P187&gt;=Calendar!$K$2,P187&lt;EDATE(Calendar!$K$2,1),OR(Calendar!$K$4="*",N187=Calendar!$K$4)),P187*100+COUNTIFS($P$6:$P$3267,P187,$Q$6:$Q$3267,"&lt;="&amp;Q187,$N$6:$N$3267,Calendar!$K$4),"")</f>
        <v/>
      </c>
      <c r="W187" s="47">
        <f>IF(AND(B187=Queue!$C$4,OR(Queue!$K$4="*",N187=Queue!$K$4)),Q187,"")</f>
        <v/>
      </c>
    </row>
    <row r="188">
      <c r="A188" s="38">
        <f>IF(M188="","",HYPERLINK("https://www.youtube.com/watch?v="&amp;M188,"▶"))</f>
        <v/>
      </c>
      <c r="B188" s="39">
        <f>IF(C188&lt;&gt;"",C188,IF(P188&lt;=IFERROR(INDEX(tblChannels[Watched Through],MATCH(N188,tblChannels[Channel ID],0)),0),"Watched","Unwatched"))</f>
        <v/>
      </c>
      <c r="C188" s="40" t="n"/>
      <c r="D188" s="41" t="n"/>
      <c r="E188" s="42" t="n">
        <v>46010.78125</v>
      </c>
      <c r="F188" s="50" t="inlineStr">
        <is>
          <t>Super Carlin Brothers</t>
        </is>
      </c>
      <c r="G188" t="inlineStr">
        <is>
          <t>The COMPLETE Pixar Theory 2025</t>
        </is>
      </c>
      <c r="H188" s="44" t="n">
        <v>0.05269675925925926</v>
      </c>
      <c r="I188" s="45" t="n">
        <v>445925</v>
      </c>
      <c r="J188" s="45" t="n">
        <v>10238</v>
      </c>
      <c r="K188" s="45" t="n">
        <v>741</v>
      </c>
      <c r="L188" s="46" t="n"/>
      <c r="M188" s="47" t="n"/>
      <c r="N188" s="47" t="inlineStr">
        <is>
          <t>UCKZo4N0lVPccBkSiuyVh4yg</t>
        </is>
      </c>
      <c r="O188" s="48" t="n">
        <v>46010.98958333334</v>
      </c>
      <c r="P188" s="49" t="n">
        <v>46010</v>
      </c>
      <c r="Q188" s="47" t="n">
        <v>3080</v>
      </c>
      <c r="R188" s="47" t="inlineStr">
        <is>
          <t>No Video ID yet</t>
        </is>
      </c>
      <c r="S188" s="49" t="n"/>
      <c r="T188" s="49" t="n"/>
      <c r="U188" s="47" t="inlineStr">
        <is>
          <t>From Toy Story to Elio this is the COMPLETE Pixar Theory This episode is sponsored by BetterHelp. Go to for 10% off your first month. It’s been over 13 years since we first posted The Pixar Theory… and since then Pixar has released a LOT of movies. So today, we’re doing the impossible: one single UPDATED Pixar Theory that connects every Pixar feature film from Toy Story all the way through Elio into one massive timeline. We’ll break down the key turning points that shape the universe, how human memory is the hidden fuel powering the entire Pixar world, how magic and belief connect movies like Brave, Onward, Coco, Inside Out, and Monsters, Inc., and why Elio might finally help explain one of the biggest Pixar Theory mysteries of all time… Where do the Cars come from? The Pixar Theory Song: Huge shoutout to Jon Negroni, who originally introduced the Pixar Theory to the world. Jon’s Blog :: #SuperCarlinBrothers #Pixar Edited by: Ethan Edghill &amp; Isybelle Christley Production Assistance: Kat Stine</t>
        </is>
      </c>
      <c r="V188" s="47">
        <f>IF(AND(P188&gt;=Calendar!$K$2,P188&lt;EDATE(Calendar!$K$2,1),OR(Calendar!$K$4="*",N188=Calendar!$K$4)),P188*100+COUNTIFS($P$6:$P$3267,P188,$Q$6:$Q$3267,"&lt;="&amp;Q188,$N$6:$N$3267,Calendar!$K$4),"")</f>
        <v/>
      </c>
      <c r="W188" s="47">
        <f>IF(AND(B188=Queue!$C$4,OR(Queue!$K$4="*",N188=Queue!$K$4)),Q188,"")</f>
        <v/>
      </c>
    </row>
    <row r="189">
      <c r="A189" s="38">
        <f>IF(M189="","",HYPERLINK("https://www.youtube.com/watch?v="&amp;M189,"▶"))</f>
        <v/>
      </c>
      <c r="B189" s="39">
        <f>IF(C189&lt;&gt;"",C189,IF(P189&lt;=IFERROR(INDEX(tblChannels[Watched Through],MATCH(N189,tblChannels[Channel ID],0)),0),"Watched","Unwatched"))</f>
        <v/>
      </c>
      <c r="C189" s="40" t="n"/>
      <c r="D189" s="41" t="n"/>
      <c r="E189" s="42" t="n">
        <v>46010.41666666666</v>
      </c>
      <c r="F189" s="43" t="inlineStr">
        <is>
          <t>Popcorn Culture</t>
        </is>
      </c>
      <c r="G189" t="inlineStr">
        <is>
          <t>Piping Hot Tea | Popcorn Culture</t>
        </is>
      </c>
      <c r="H189" s="44" t="n">
        <v>0.04577546296296296</v>
      </c>
      <c r="I189" s="45" t="n">
        <v>3111</v>
      </c>
      <c r="J189" s="45" t="n">
        <v>132</v>
      </c>
      <c r="K189" s="45" t="n">
        <v>17</v>
      </c>
      <c r="L189" s="46" t="n"/>
      <c r="M189" s="47" t="n"/>
      <c r="N189" s="47" t="inlineStr">
        <is>
          <t>UCHfIbq9thHPC8yrKjAdJgDA</t>
        </is>
      </c>
      <c r="O189" s="48" t="n">
        <v>46010.625</v>
      </c>
      <c r="P189" s="49" t="n">
        <v>46010</v>
      </c>
      <c r="Q189" s="47" t="n">
        <v>3079</v>
      </c>
      <c r="R189" s="47" t="inlineStr">
        <is>
          <t>No Video ID yet</t>
        </is>
      </c>
      <c r="S189" s="49" t="n"/>
      <c r="T189" s="49" t="n"/>
      <c r="U189" s="47" t="inlineStr">
        <is>
          <t>In the 315th episode of the Pop, Ben and J discuss wearing clothes out, piping hot tea, emotional canisters and running. The Dilemma - Liar, Liar - Heavyweight - 00:00 - Intro, Cold Weather; Hot Tea 46:35 - Emotional Cannisters</t>
        </is>
      </c>
      <c r="V189" s="47">
        <f>IF(AND(P189&gt;=Calendar!$K$2,P189&lt;EDATE(Calendar!$K$2,1),OR(Calendar!$K$4="*",N189=Calendar!$K$4)),P189*100+COUNTIFS($P$6:$P$3267,P189,$Q$6:$Q$3267,"&lt;="&amp;Q189,$N$6:$N$3267,Calendar!$K$4),"")</f>
        <v/>
      </c>
      <c r="W189" s="47">
        <f>IF(AND(B189=Queue!$C$4,OR(Queue!$K$4="*",N189=Queue!$K$4)),Q189,"")</f>
        <v/>
      </c>
    </row>
    <row r="190">
      <c r="A190" s="38">
        <f>IF(M190="","",HYPERLINK("https://www.youtube.com/watch?v="&amp;M190,"▶"))</f>
        <v/>
      </c>
      <c r="B190" s="39">
        <f>IF(C190&lt;&gt;"",C190,IF(P190&lt;=IFERROR(INDEX(tblChannels[Watched Through],MATCH(N190,tblChannels[Channel ID],0)),0),"Watched","Unwatched"))</f>
        <v/>
      </c>
      <c r="C190" s="40" t="n"/>
      <c r="D190" s="41" t="n"/>
      <c r="E190" s="42" t="n">
        <v>46008.70972222222</v>
      </c>
      <c r="F190" s="50" t="inlineStr">
        <is>
          <t>Super Carlin Brothers</t>
        </is>
      </c>
      <c r="G190" t="inlineStr">
        <is>
          <t>J vs Ben: MAX DIFFICULTY Deathly Hallows Open Book Harry Potter TRIVIA</t>
        </is>
      </c>
      <c r="H190" s="44" t="n">
        <v>0.04344907407407408</v>
      </c>
      <c r="I190" s="45" t="n">
        <v>77456</v>
      </c>
      <c r="J190" s="45" t="n">
        <v>2500</v>
      </c>
      <c r="K190" s="45" t="n">
        <v>382</v>
      </c>
      <c r="L190" s="46" t="n"/>
      <c r="M190" s="47" t="n"/>
      <c r="N190" s="47" t="inlineStr">
        <is>
          <t>UCKZo4N0lVPccBkSiuyVh4yg</t>
        </is>
      </c>
      <c r="O190" s="48" t="n">
        <v>46008.91805555556</v>
      </c>
      <c r="P190" s="49" t="n">
        <v>46008</v>
      </c>
      <c r="Q190" s="47" t="n">
        <v>3078</v>
      </c>
      <c r="R190" s="47" t="inlineStr">
        <is>
          <t>No Video ID yet</t>
        </is>
      </c>
      <c r="S190" s="49" t="n"/>
      <c r="T190" s="49" t="n"/>
      <c r="U190" s="47" t="inlineStr">
        <is>
          <t>Get your books ready, it's time for some Harry Potter Deathly Hallows Trivia! This episode is sponsored by Hello Fresh – Go to now to Get 10 Free Meals + a Free breakfast for Life! This episode is brought to you by Aura Frames – Exclusive $35 off Carver Mat at Promo Code SCB In today's J vs Ben the boys face off once more to find out who knows more trivia about Harry Potter and the Deathly Hallows! The twist is they can actually look up answers in the book… if they can find it within 30 seconds.. Hope the Quiz Masters were nice… Play Along With Us :: Special thanks to these Quiz Masters: Jessica Theirault, Crafty Liz, Dorian R., Looncall, Teghan - Den-linger, Bunny, Elfish Princess, Tinas_Hotdog_Sophie, Tara Walker, Bradferd, Cam of the Math Budget, Curtis Okerman, Becca, kyuubibob, magicalmisfires, Mechaela, Dola and Jordan Shefsky #SuperCarlinBrothers #harrypotter #jvsben Written by: The Quiz Masters Hosted by: Ethan Edghill</t>
        </is>
      </c>
      <c r="V190" s="47">
        <f>IF(AND(P190&gt;=Calendar!$K$2,P190&lt;EDATE(Calendar!$K$2,1),OR(Calendar!$K$4="*",N190=Calendar!$K$4)),P190*100+COUNTIFS($P$6:$P$3267,P190,$Q$6:$Q$3267,"&lt;="&amp;Q190,$N$6:$N$3267,Calendar!$K$4),"")</f>
        <v/>
      </c>
      <c r="W190" s="47">
        <f>IF(AND(B190=Queue!$C$4,OR(Queue!$K$4="*",N190=Queue!$K$4)),Q190,"")</f>
        <v/>
      </c>
    </row>
    <row r="191">
      <c r="A191" s="38">
        <f>IF(M191="","",HYPERLINK("https://www.youtube.com/watch?v="&amp;M191,"▶"))</f>
        <v/>
      </c>
      <c r="B191" s="39">
        <f>IF(C191&lt;&gt;"",C191,IF(P191&lt;=IFERROR(INDEX(tblChannels[Watched Through],MATCH(N191,tblChannels[Channel ID],0)),0),"Watched","Unwatched"))</f>
        <v/>
      </c>
      <c r="C191" s="40" t="n"/>
      <c r="D191" s="41" t="n"/>
      <c r="E191" s="42" t="n">
        <v>46005.41666666666</v>
      </c>
      <c r="F191" s="51" t="inlineStr">
        <is>
          <t>Through The Griffin Door</t>
        </is>
      </c>
      <c r="G191" t="inlineStr">
        <is>
          <t>Chapter 16: In the Hogs Head | Order of the Phoenix</t>
        </is>
      </c>
      <c r="H191" s="44" t="n">
        <v>0.0650462962962963</v>
      </c>
      <c r="I191" s="45" t="n">
        <v>42568</v>
      </c>
      <c r="J191" s="45" t="n">
        <v>1160</v>
      </c>
      <c r="K191" s="45" t="n">
        <v>352</v>
      </c>
      <c r="L191" s="46" t="n"/>
      <c r="M191" s="47" t="n"/>
      <c r="N191" s="47" t="inlineStr">
        <is>
          <t>UCEscP6ETYXWSSvsNrDHekMQ</t>
        </is>
      </c>
      <c r="O191" s="48" t="n">
        <v>46005.625</v>
      </c>
      <c r="P191" s="49" t="n">
        <v>46005</v>
      </c>
      <c r="Q191" s="47" t="n">
        <v>3077</v>
      </c>
      <c r="R191" s="47" t="inlineStr">
        <is>
          <t>No Video ID yet</t>
        </is>
      </c>
      <c r="S191" s="49" t="n"/>
      <c r="T191" s="49" t="n"/>
      <c r="U191" s="47" t="inlineStr">
        <is>
          <t>This episode is sponsored by AuraFrames - Exclusive $35 off Carver Mat at Promo Code GRIFFIN Join J and Ben as they dive into Chapter 16 of the Order of the Phoenix and discuss the vanishing cabinet, convincing Harry to lead the DADA “club”, the dirty Hogs Head, the students that come, and signing the contract. Saw Movies - Aberforth’s Goats Explained - 6:07 - Chapter Breakdown 36:32 - Ad Break (Aura Frames and Shopify) 40:39 - More Chapter Breakdown 1:26:27 - Closing Thoughts and Review</t>
        </is>
      </c>
      <c r="V191" s="47">
        <f>IF(AND(P191&gt;=Calendar!$K$2,P191&lt;EDATE(Calendar!$K$2,1),OR(Calendar!$K$4="*",N191=Calendar!$K$4)),P191*100+COUNTIFS($P$6:$P$3267,P191,$Q$6:$Q$3267,"&lt;="&amp;Q191,$N$6:$N$3267,Calendar!$K$4),"")</f>
        <v/>
      </c>
      <c r="W191" s="47">
        <f>IF(AND(B191=Queue!$C$4,OR(Queue!$K$4="*",N191=Queue!$K$4)),Q191,"")</f>
        <v/>
      </c>
    </row>
    <row r="192">
      <c r="A192" s="38">
        <f>IF(M192="","",HYPERLINK("https://www.youtube.com/watch?v="&amp;M192,"▶"))</f>
        <v/>
      </c>
      <c r="B192" s="39">
        <f>IF(C192&lt;&gt;"",C192,IF(P192&lt;=IFERROR(INDEX(tblChannels[Watched Through],MATCH(N192,tblChannels[Channel ID],0)),0),"Watched","Unwatched"))</f>
        <v/>
      </c>
      <c r="C192" s="40" t="n"/>
      <c r="D192" s="41" t="n"/>
      <c r="E192" s="42" t="n">
        <v>46004.41736111111</v>
      </c>
      <c r="F192" s="50" t="inlineStr">
        <is>
          <t>Super Carlin Brothers</t>
        </is>
      </c>
      <c r="G192" t="inlineStr">
        <is>
          <t>Through the Griffin Door Supercut: Order of the Phoenix Chapters 13-15</t>
        </is>
      </c>
      <c r="H192" s="44" t="n">
        <v>0.2364583333333333</v>
      </c>
      <c r="I192" s="45" t="n">
        <v>9559</v>
      </c>
      <c r="J192" s="45" t="n">
        <v>163</v>
      </c>
      <c r="K192" s="45" t="n">
        <v>35</v>
      </c>
      <c r="L192" s="46" t="n"/>
      <c r="M192" s="47" t="n"/>
      <c r="N192" s="47" t="inlineStr">
        <is>
          <t>UCKZo4N0lVPccBkSiuyVh4yg</t>
        </is>
      </c>
      <c r="O192" s="48" t="n">
        <v>46004.62569444445</v>
      </c>
      <c r="P192" s="49" t="n">
        <v>46004</v>
      </c>
      <c r="Q192" s="47" t="n">
        <v>3076</v>
      </c>
      <c r="R192" s="47" t="inlineStr">
        <is>
          <t>No Video ID yet</t>
        </is>
      </c>
      <c r="S192" s="49" t="n"/>
      <c r="T192" s="49" t="n"/>
      <c r="U192" s="47" t="inlineStr">
        <is>
          <t>00:00:00 - Chapter 13: Detention with Dolores 2:10:21 - Chapter 14: Percy and Padfoot 3:59:44 - Chapter 15: The Hogwarts High Inquisitor</t>
        </is>
      </c>
      <c r="V192" s="47">
        <f>IF(AND(P192&gt;=Calendar!$K$2,P192&lt;EDATE(Calendar!$K$2,1),OR(Calendar!$K$4="*",N192=Calendar!$K$4)),P192*100+COUNTIFS($P$6:$P$3267,P192,$Q$6:$Q$3267,"&lt;="&amp;Q192,$N$6:$N$3267,Calendar!$K$4),"")</f>
        <v/>
      </c>
      <c r="W192" s="47">
        <f>IF(AND(B192=Queue!$C$4,OR(Queue!$K$4="*",N192=Queue!$K$4)),Q192,"")</f>
        <v/>
      </c>
    </row>
    <row r="193">
      <c r="A193" s="38">
        <f>IF(M193="","",HYPERLINK("https://www.youtube.com/watch?v="&amp;M193,"▶"))</f>
        <v/>
      </c>
      <c r="B193" s="39">
        <f>IF(C193&lt;&gt;"",C193,IF(P193&lt;=IFERROR(INDEX(tblChannels[Watched Through],MATCH(N193,tblChannels[Channel ID],0)),0),"Watched","Unwatched"))</f>
        <v/>
      </c>
      <c r="C193" s="40" t="n"/>
      <c r="D193" s="41" t="n"/>
      <c r="E193" s="42" t="n">
        <v>46003.69305555556</v>
      </c>
      <c r="F193" s="50" t="inlineStr">
        <is>
          <t>Super Carlin Brothers</t>
        </is>
      </c>
      <c r="G193" t="inlineStr">
        <is>
          <t>Yue Was SUPPOSED To Be The Avatar | The Last Airbender</t>
        </is>
      </c>
      <c r="H193" s="44" t="n">
        <v>0.01269675925925926</v>
      </c>
      <c r="I193" s="45" t="n">
        <v>51541</v>
      </c>
      <c r="J193" s="45" t="n">
        <v>2797</v>
      </c>
      <c r="K193" s="45" t="n">
        <v>483</v>
      </c>
      <c r="L193" s="46" t="n"/>
      <c r="M193" s="47" t="n"/>
      <c r="N193" s="47" t="inlineStr">
        <is>
          <t>UCKZo4N0lVPccBkSiuyVh4yg</t>
        </is>
      </c>
      <c r="O193" s="48" t="n">
        <v>46003.90138888889</v>
      </c>
      <c r="P193" s="49" t="n">
        <v>46003</v>
      </c>
      <c r="Q193" s="47" t="n">
        <v>3075</v>
      </c>
      <c r="R193" s="47" t="inlineStr">
        <is>
          <t>No Video ID yet</t>
        </is>
      </c>
      <c r="S193" s="49" t="n"/>
      <c r="T193" s="49" t="n"/>
      <c r="U193" s="47" t="inlineStr">
        <is>
          <t>Was Princess Yue supposed to be the next Avatar? This episode is sponsored by BetterHelp. Go to for 10% off your first month. Exclusive $35 off Carver Mat at Promo Code SCB Today J dives into the world of Avatar the Last Airbender to reveal the Avatar that wasn’t: Princess Yue of the Northern Water Tribe. Did Aang’s prolonged life force the Avatar cycle to skip over her? Did this cause the sickness she was born with? #atla #avatar #TheLastAirbender #SuperCarlinBrothers</t>
        </is>
      </c>
      <c r="V193" s="47">
        <f>IF(AND(P193&gt;=Calendar!$K$2,P193&lt;EDATE(Calendar!$K$2,1),OR(Calendar!$K$4="*",N193=Calendar!$K$4)),P193*100+COUNTIFS($P$6:$P$3267,P193,$Q$6:$Q$3267,"&lt;="&amp;Q193,$N$6:$N$3267,Calendar!$K$4),"")</f>
        <v/>
      </c>
      <c r="W193" s="47">
        <f>IF(AND(B193=Queue!$C$4,OR(Queue!$K$4="*",N193=Queue!$K$4)),Q193,"")</f>
        <v/>
      </c>
    </row>
    <row r="194">
      <c r="A194" s="38">
        <f>IF(M194="","",HYPERLINK("https://www.youtube.com/watch?v="&amp;M194,"▶"))</f>
        <v/>
      </c>
      <c r="B194" s="39">
        <f>IF(C194&lt;&gt;"",C194,IF(P194&lt;=IFERROR(INDEX(tblChannels[Watched Through],MATCH(N194,tblChannels[Channel ID],0)),0),"Watched","Unwatched"))</f>
        <v/>
      </c>
      <c r="C194" s="40" t="n"/>
      <c r="D194" s="41" t="n"/>
      <c r="E194" s="42" t="n">
        <v>46003.41666666666</v>
      </c>
      <c r="F194" s="43" t="inlineStr">
        <is>
          <t>Popcorn Culture</t>
        </is>
      </c>
      <c r="G194" t="inlineStr">
        <is>
          <t>Stains of Tears and Salt | Popcorn Culture</t>
        </is>
      </c>
      <c r="H194" s="44" t="n">
        <v>0.04491898148148148</v>
      </c>
      <c r="I194" s="45" t="n">
        <v>2845</v>
      </c>
      <c r="J194" s="45" t="n">
        <v>138</v>
      </c>
      <c r="K194" s="45" t="n">
        <v>23</v>
      </c>
      <c r="L194" s="46" t="n"/>
      <c r="M194" s="47" t="n"/>
      <c r="N194" s="47" t="inlineStr">
        <is>
          <t>UCHfIbq9thHPC8yrKjAdJgDA</t>
        </is>
      </c>
      <c r="O194" s="48" t="n">
        <v>46003.625</v>
      </c>
      <c r="P194" s="49" t="n">
        <v>46003</v>
      </c>
      <c r="Q194" s="47" t="n">
        <v>3074</v>
      </c>
      <c r="R194" s="47" t="inlineStr">
        <is>
          <t>No Video ID yet</t>
        </is>
      </c>
      <c r="S194" s="49" t="n"/>
      <c r="T194" s="49" t="n"/>
      <c r="U194" s="47" t="inlineStr">
        <is>
          <t>In the 314th episode of the Pop, Ben and J discuss December snow, relaxation, Cincinnatus leadership, and a bunch of crazy sports events this weekend. Lucius Quinctius Cincinnatus - 00:00 - Intro, Snow Day 28:49 - Crazy Sports Weekend</t>
        </is>
      </c>
      <c r="V194" s="47">
        <f>IF(AND(P194&gt;=Calendar!$K$2,P194&lt;EDATE(Calendar!$K$2,1),OR(Calendar!$K$4="*",N194=Calendar!$K$4)),P194*100+COUNTIFS($P$6:$P$3267,P194,$Q$6:$Q$3267,"&lt;="&amp;Q194,$N$6:$N$3267,Calendar!$K$4),"")</f>
        <v/>
      </c>
      <c r="W194" s="47">
        <f>IF(AND(B194=Queue!$C$4,OR(Queue!$K$4="*",N194=Queue!$K$4)),Q194,"")</f>
        <v/>
      </c>
    </row>
    <row r="195">
      <c r="A195" s="38">
        <f>IF(M195="","",HYPERLINK("https://www.youtube.com/watch?v="&amp;M195,"▶"))</f>
        <v/>
      </c>
      <c r="B195" s="39">
        <f>IF(C195&lt;&gt;"",C195,IF(P195&lt;=IFERROR(INDEX(tblChannels[Watched Through],MATCH(N195,tblChannels[Channel ID],0)),0),"Watched","Unwatched"))</f>
        <v/>
      </c>
      <c r="C195" s="40" t="n"/>
      <c r="D195" s="41" t="n"/>
      <c r="E195" s="42" t="n">
        <v>46001.70694444444</v>
      </c>
      <c r="F195" s="50" t="inlineStr">
        <is>
          <t>Super Carlin Brothers</t>
        </is>
      </c>
      <c r="G195" t="inlineStr">
        <is>
          <t>Harry Potter and the 1,000-Year War | Gryffindor vs Slytherin</t>
        </is>
      </c>
      <c r="H195" s="44" t="n">
        <v>0.01365740740740741</v>
      </c>
      <c r="I195" s="45" t="n">
        <v>86547</v>
      </c>
      <c r="J195" s="45" t="n">
        <v>3760</v>
      </c>
      <c r="K195" s="45" t="n">
        <v>349</v>
      </c>
      <c r="L195" s="46" t="n"/>
      <c r="M195" s="47" t="n"/>
      <c r="N195" s="47" t="inlineStr">
        <is>
          <t>UCKZo4N0lVPccBkSiuyVh4yg</t>
        </is>
      </c>
      <c r="O195" s="48" t="n">
        <v>46001.91527777778</v>
      </c>
      <c r="P195" s="49" t="n">
        <v>46001</v>
      </c>
      <c r="Q195" s="47" t="n">
        <v>3073</v>
      </c>
      <c r="R195" s="47" t="inlineStr">
        <is>
          <t>No Video ID yet</t>
        </is>
      </c>
      <c r="S195" s="49" t="n"/>
      <c r="T195" s="49" t="n"/>
      <c r="U195" s="47" t="inlineStr">
        <is>
          <t>Go to to sign up for your $1-per-month trial period. Harry Potter and the 1000-Year War — a secret conflict that began with Godric Gryffindor and Salazar Slytherin and ended with Harry Potter and Lord Voldemort in the Great Hall of Hogwarts. Today, we’re diving deep into a massive Wizarding World theory that connects the Founders of Hogwarts, the Deathly Hallows, the Peverell Brothers, and the final duel of the series in a way you have NEVER heard before. For years, fans have debated whether the Deathly Hallows were created by the Peverells… or given to them by Death. But what if the bigger twist is that the Peverells didn’t exist at all? What if Ignotus and Cadmus were never “brothers,” but secret identities used by Godric and Salazar themselves during a millennium-long magical feud?.</t>
        </is>
      </c>
      <c r="V195" s="47">
        <f>IF(AND(P195&gt;=Calendar!$K$2,P195&lt;EDATE(Calendar!$K$2,1),OR(Calendar!$K$4="*",N195=Calendar!$K$4)),P195*100+COUNTIFS($P$6:$P$3267,P195,$Q$6:$Q$3267,"&lt;="&amp;Q195,$N$6:$N$3267,Calendar!$K$4),"")</f>
        <v/>
      </c>
      <c r="W195" s="47">
        <f>IF(AND(B195=Queue!$C$4,OR(Queue!$K$4="*",N195=Queue!$K$4)),Q195,"")</f>
        <v/>
      </c>
    </row>
    <row r="196">
      <c r="A196" s="38">
        <f>IF(M196="","",HYPERLINK("https://www.youtube.com/watch?v="&amp;M196,"▶"))</f>
        <v/>
      </c>
      <c r="B196" s="39">
        <f>IF(C196&lt;&gt;"",C196,IF(P196&lt;=IFERROR(INDEX(tblChannels[Watched Through],MATCH(N196,tblChannels[Channel ID],0)),0),"Watched","Unwatched"))</f>
        <v/>
      </c>
      <c r="C196" s="40" t="n"/>
      <c r="D196" s="41" t="n"/>
      <c r="E196" s="42" t="n">
        <v>45998.41736111111</v>
      </c>
      <c r="F196" s="51" t="inlineStr">
        <is>
          <t>Through The Griffin Door</t>
        </is>
      </c>
      <c r="G196" t="inlineStr">
        <is>
          <t>Chapter 15: The Hogwarts High Inquisitor | Order of the Phoenix</t>
        </is>
      </c>
      <c r="H196" s="44" t="n">
        <v>0.07233796296296297</v>
      </c>
      <c r="I196" s="45" t="n">
        <v>42891</v>
      </c>
      <c r="J196" s="45" t="n">
        <v>1138</v>
      </c>
      <c r="K196" s="45" t="n">
        <v>345</v>
      </c>
      <c r="L196" s="46" t="n"/>
      <c r="M196" s="47" t="n"/>
      <c r="N196" s="47" t="inlineStr">
        <is>
          <t>UCEscP6ETYXWSSvsNrDHekMQ</t>
        </is>
      </c>
      <c r="O196" s="48" t="n">
        <v>45998.62569444445</v>
      </c>
      <c r="P196" s="49" t="n">
        <v>45998</v>
      </c>
      <c r="Q196" s="47" t="n">
        <v>3072</v>
      </c>
      <c r="R196" s="47" t="inlineStr">
        <is>
          <t>No Video ID yet</t>
        </is>
      </c>
      <c r="S196" s="49" t="n"/>
      <c r="T196" s="49" t="n"/>
      <c r="U196" s="47" t="inlineStr">
        <is>
          <t>This episode is sponsored by MasterClass – Our listeners get an additional 15% off any annual membership at This episode is sponsored by AuraFrames - Exclusive $35 off Carver Mat at Promo Code GRIFFIN Join J and Ben as they dive into Chapter 15 of the Order of the Phoenix and discuss the inquisitor announcement in the Daily Prophet, the Hogwarts grading scale, Harry getting detention AGAIN, Hermione and Ron’s support and all of Harry’s accomplishments. Trelawney's Actually ALWAYS Right? - The TRUTH About Professor McGonagall - 09:08 - Chapter Breakdown 50:01 - Ad Break (Masterclass and Aura Frames) 53:17 - More Chapter Breakdown 1:36:32 - Closing Thoughts and Review</t>
        </is>
      </c>
      <c r="V196" s="47">
        <f>IF(AND(P196&gt;=Calendar!$K$2,P196&lt;EDATE(Calendar!$K$2,1),OR(Calendar!$K$4="*",N196=Calendar!$K$4)),P196*100+COUNTIFS($P$6:$P$3267,P196,$Q$6:$Q$3267,"&lt;="&amp;Q196,$N$6:$N$3267,Calendar!$K$4),"")</f>
        <v/>
      </c>
      <c r="W196" s="47">
        <f>IF(AND(B196=Queue!$C$4,OR(Queue!$K$4="*",N196=Queue!$K$4)),Q196,"")</f>
        <v/>
      </c>
    </row>
    <row r="197">
      <c r="A197" s="38">
        <f>IF(M197="","",HYPERLINK("https://www.youtube.com/watch?v="&amp;M197,"▶"))</f>
        <v/>
      </c>
      <c r="B197" s="39">
        <f>IF(C197&lt;&gt;"",C197,IF(P197&lt;=IFERROR(INDEX(tblChannels[Watched Through],MATCH(N197,tblChannels[Channel ID],0)),0),"Watched","Unwatched"))</f>
        <v/>
      </c>
      <c r="C197" s="40" t="n"/>
      <c r="D197" s="41" t="n"/>
      <c r="E197" s="42" t="n">
        <v>45996.63263888889</v>
      </c>
      <c r="F197" s="50" t="inlineStr">
        <is>
          <t>Super Carlin Brothers</t>
        </is>
      </c>
      <c r="G197" t="inlineStr">
        <is>
          <t>Dumbledore Was Snape’s Secret Keeper?! | Harry Potter Theory</t>
        </is>
      </c>
      <c r="H197" s="44" t="n">
        <v>0.01260416666666667</v>
      </c>
      <c r="I197" s="45" t="n">
        <v>79068</v>
      </c>
      <c r="J197" s="45" t="n">
        <v>3717</v>
      </c>
      <c r="K197" s="45" t="n">
        <v>401</v>
      </c>
      <c r="L197" s="46" t="n"/>
      <c r="M197" s="47" t="n"/>
      <c r="N197" s="47" t="inlineStr">
        <is>
          <t>UCKZo4N0lVPccBkSiuyVh4yg</t>
        </is>
      </c>
      <c r="O197" s="48" t="n">
        <v>45996.84097222222</v>
      </c>
      <c r="P197" s="49" t="n">
        <v>45996</v>
      </c>
      <c r="Q197" s="47" t="n">
        <v>3071</v>
      </c>
      <c r="R197" s="47" t="inlineStr">
        <is>
          <t>No Video ID yet</t>
        </is>
      </c>
      <c r="S197" s="49" t="n"/>
      <c r="T197" s="49" t="n"/>
      <c r="U197" s="47" t="inlineStr">
        <is>
          <t>This episode is sponsored by BetterHelp - go to to get 10% off your first month. Was Snape’s love for Lily literally hidden by a Fidelius Charm? Today we dive into one of the wildest (and most convincing!) Harry Potter theories ever. In today’s episode, Ben explores a massive revelation about Severus Snape, Albus Dumbledore, and the Fidelius Charm — and how one magically concealed secret may have shaped the entire wizarding war. Why did nobody — not the Marauders, not McGonagall, not Voldemort himself — ever put together Snape’s obvious love for Lily?</t>
        </is>
      </c>
      <c r="V197" s="47">
        <f>IF(AND(P197&gt;=Calendar!$K$2,P197&lt;EDATE(Calendar!$K$2,1),OR(Calendar!$K$4="*",N197=Calendar!$K$4)),P197*100+COUNTIFS($P$6:$P$3267,P197,$Q$6:$Q$3267,"&lt;="&amp;Q197,$N$6:$N$3267,Calendar!$K$4),"")</f>
        <v/>
      </c>
      <c r="W197" s="47">
        <f>IF(AND(B197=Queue!$C$4,OR(Queue!$K$4="*",N197=Queue!$K$4)),Q197,"")</f>
        <v/>
      </c>
    </row>
    <row r="198">
      <c r="A198" s="38">
        <f>IF(M198="","",HYPERLINK("https://www.youtube.com/watch?v="&amp;M198,"▶"))</f>
        <v/>
      </c>
      <c r="B198" s="39">
        <f>IF(C198&lt;&gt;"",C198,IF(P198&lt;=IFERROR(INDEX(tblChannels[Watched Through],MATCH(N198,tblChannels[Channel ID],0)),0),"Watched","Unwatched"))</f>
        <v/>
      </c>
      <c r="C198" s="40" t="n"/>
      <c r="D198" s="41" t="n"/>
      <c r="E198" s="42" t="n">
        <v>45996.41666666666</v>
      </c>
      <c r="F198" s="43" t="inlineStr">
        <is>
          <t>Popcorn Culture</t>
        </is>
      </c>
      <c r="G198" t="inlineStr">
        <is>
          <t>J’s Worst Memory | Popcorn Culture</t>
        </is>
      </c>
      <c r="H198" s="44" t="n">
        <v>0.05589120370370371</v>
      </c>
      <c r="I198" s="45" t="n">
        <v>3283</v>
      </c>
      <c r="J198" s="45" t="n">
        <v>170</v>
      </c>
      <c r="K198" s="45" t="n">
        <v>35</v>
      </c>
      <c r="L198" s="46" t="n"/>
      <c r="M198" s="47" t="n"/>
      <c r="N198" s="47" t="inlineStr">
        <is>
          <t>UCHfIbq9thHPC8yrKjAdJgDA</t>
        </is>
      </c>
      <c r="O198" s="48" t="n">
        <v>45996.625</v>
      </c>
      <c r="P198" s="49" t="n">
        <v>45996</v>
      </c>
      <c r="Q198" s="47" t="n">
        <v>3070</v>
      </c>
      <c r="R198" s="47" t="inlineStr">
        <is>
          <t>No Video ID yet</t>
        </is>
      </c>
      <c r="S198" s="49" t="n"/>
      <c r="T198" s="49" t="n"/>
      <c r="U198" s="47" t="inlineStr">
        <is>
          <t>In the 313th episode of the Pop, Ben and J discuss adulting, popcorn, Pizza Hut Personal Pan Pizza, dumpster squishing, Luke’s Birthday, and secrets of the heart. You - 00:00 - Intro, Adulting 32:08 - Luke’s Birthday</t>
        </is>
      </c>
      <c r="V198" s="47">
        <f>IF(AND(P198&gt;=Calendar!$K$2,P198&lt;EDATE(Calendar!$K$2,1),OR(Calendar!$K$4="*",N198=Calendar!$K$4)),P198*100+COUNTIFS($P$6:$P$3267,P198,$Q$6:$Q$3267,"&lt;="&amp;Q198,$N$6:$N$3267,Calendar!$K$4),"")</f>
        <v/>
      </c>
      <c r="W198" s="47">
        <f>IF(AND(B198=Queue!$C$4,OR(Queue!$K$4="*",N198=Queue!$K$4)),Q198,"")</f>
        <v/>
      </c>
    </row>
    <row r="199">
      <c r="A199" s="38">
        <f>IF(M199="","",HYPERLINK("https://www.youtube.com/watch?v="&amp;M199,"▶"))</f>
        <v/>
      </c>
      <c r="B199" s="39">
        <f>IF(C199&lt;&gt;"",C199,IF(P199&lt;=IFERROR(INDEX(tblChannels[Watched Through],MATCH(N199,tblChannels[Channel ID],0)),0),"Watched","Unwatched"))</f>
        <v/>
      </c>
      <c r="C199" s="40" t="n"/>
      <c r="D199" s="41" t="n"/>
      <c r="E199" s="42" t="n">
        <v>45994.71180555555</v>
      </c>
      <c r="F199" s="50" t="inlineStr">
        <is>
          <t>Super Carlin Brothers</t>
        </is>
      </c>
      <c r="G199" t="inlineStr">
        <is>
          <t>J vs Ben: MAX DIFFICULTY Half-Blood Prince Open Book Harry Potter TRIVIA</t>
        </is>
      </c>
      <c r="H199" s="44" t="n">
        <v>0.03773148148148148</v>
      </c>
      <c r="I199" s="45" t="n">
        <v>82337</v>
      </c>
      <c r="J199" s="45" t="n">
        <v>2717</v>
      </c>
      <c r="K199" s="45" t="n">
        <v>302</v>
      </c>
      <c r="L199" s="46" t="n"/>
      <c r="M199" s="47" t="n"/>
      <c r="N199" s="47" t="inlineStr">
        <is>
          <t>UCKZo4N0lVPccBkSiuyVh4yg</t>
        </is>
      </c>
      <c r="O199" s="48" t="n">
        <v>45994.92013888889</v>
      </c>
      <c r="P199" s="49" t="n">
        <v>45994</v>
      </c>
      <c r="Q199" s="47" t="n">
        <v>3069</v>
      </c>
      <c r="R199" s="47" t="inlineStr">
        <is>
          <t>No Video ID yet</t>
        </is>
      </c>
      <c r="S199" s="49" t="n"/>
      <c r="T199" s="49" t="n"/>
      <c r="U199" s="47" t="inlineStr">
        <is>
          <t>Who is ready for some Harry Potter Trivia!? Exclusive $35 off Carver Mat at Promo Code SCB Go to and use code jvsb50off to get 50% off your first box, plus Free Breakfast for 1 Year. In today's J vs Ben the boys face off once more to find out who knows more trivia about Harry Potter and the Half-blood Prince! The twist is they can actually look up answers in the book… if they can find it within 30 seconds.. Hope the Quiz Masters were nice… Play Along With Us :: Thanks to our Quiz Masters: Oryan’s Wizard Parts, Crafty Liz, LawNinja, MaddstheHatter, CJ, Teagan Steffen, Jordan Shefsky, Bradferd, Elfish Princess and Sam Shunpike, Teghan-Denlinger, Annalee, Dorian R, GooeyChewie, Fis, magicalmisfires and Tara Walker</t>
        </is>
      </c>
      <c r="V199" s="47">
        <f>IF(AND(P199&gt;=Calendar!$K$2,P199&lt;EDATE(Calendar!$K$2,1),OR(Calendar!$K$4="*",N199=Calendar!$K$4)),P199*100+COUNTIFS($P$6:$P$3267,P199,$Q$6:$Q$3267,"&lt;="&amp;Q199,$N$6:$N$3267,Calendar!$K$4),"")</f>
        <v/>
      </c>
      <c r="W199" s="47">
        <f>IF(AND(B199=Queue!$C$4,OR(Queue!$K$4="*",N199=Queue!$K$4)),Q199,"")</f>
        <v/>
      </c>
    </row>
    <row r="200">
      <c r="A200" s="38">
        <f>IF(M200="","",HYPERLINK("https://www.youtube.com/watch?v="&amp;M200,"▶"))</f>
        <v/>
      </c>
      <c r="B200" s="39">
        <f>IF(C200&lt;&gt;"",C200,IF(P200&lt;=IFERROR(INDEX(tblChannels[Watched Through],MATCH(N200,tblChannels[Channel ID],0)),0),"Watched","Unwatched"))</f>
        <v/>
      </c>
      <c r="C200" s="40" t="n"/>
      <c r="D200" s="41" t="n"/>
      <c r="E200" s="42" t="n">
        <v>45991.41736111111</v>
      </c>
      <c r="F200" s="51" t="inlineStr">
        <is>
          <t>Through The Griffin Door</t>
        </is>
      </c>
      <c r="G200" t="inlineStr">
        <is>
          <t>Chapter 14: Percy and Padfoot | Order of the Phoenix</t>
        </is>
      </c>
      <c r="H200" s="44" t="n">
        <v>0.07606481481481482</v>
      </c>
      <c r="I200" s="45" t="n">
        <v>47202</v>
      </c>
      <c r="J200" s="45" t="n">
        <v>1179</v>
      </c>
      <c r="K200" s="45" t="n">
        <v>331</v>
      </c>
      <c r="L200" s="46" t="n"/>
      <c r="M200" s="47" t="n"/>
      <c r="N200" s="47" t="inlineStr">
        <is>
          <t>UCEscP6ETYXWSSvsNrDHekMQ</t>
        </is>
      </c>
      <c r="O200" s="48" t="n">
        <v>45991.62569444445</v>
      </c>
      <c r="P200" s="49" t="n">
        <v>45991</v>
      </c>
      <c r="Q200" s="47" t="n">
        <v>3068</v>
      </c>
      <c r="R200" s="47" t="inlineStr">
        <is>
          <t>No Video ID yet</t>
        </is>
      </c>
      <c r="S200" s="49" t="n"/>
      <c r="T200" s="49" t="n"/>
      <c r="U200" s="47" t="inlineStr">
        <is>
          <t>Join J and Ben as they dive into Chapter 14 of the Order of the Phoenix and discuss writer’s block, bad code, awkward interactions with Cho, Sturgis Podmore being arrested, the first quidditch practice, Percy’s horrible letter, and talking to Sirius in the fire. Was Percy Under The Imperius Curse? - 09:47 - Chapter Breakdown 1:41:48 - Closing Thoughts and Review</t>
        </is>
      </c>
      <c r="V200" s="47">
        <f>IF(AND(P200&gt;=Calendar!$K$2,P200&lt;EDATE(Calendar!$K$2,1),OR(Calendar!$K$4="*",N200=Calendar!$K$4)),P200*100+COUNTIFS($P$6:$P$3267,P200,$Q$6:$Q$3267,"&lt;="&amp;Q200,$N$6:$N$3267,Calendar!$K$4),"")</f>
        <v/>
      </c>
      <c r="W200" s="47">
        <f>IF(AND(B200=Queue!$C$4,OR(Queue!$K$4="*",N200=Queue!$K$4)),Q200,"")</f>
        <v/>
      </c>
    </row>
    <row r="201">
      <c r="A201" s="38">
        <f>IF(M201="","",HYPERLINK("https://www.youtube.com/watch?v="&amp;M201,"▶"))</f>
        <v/>
      </c>
      <c r="B201" s="39">
        <f>IF(C201&lt;&gt;"",C201,IF(P201&lt;=IFERROR(INDEX(tblChannels[Watched Through],MATCH(N201,tblChannels[Channel ID],0)),0),"Watched","Unwatched"))</f>
        <v/>
      </c>
      <c r="C201" s="40" t="n"/>
      <c r="D201" s="41" t="n"/>
      <c r="E201" s="42" t="n">
        <v>45989.41666666666</v>
      </c>
      <c r="F201" s="43" t="inlineStr">
        <is>
          <t>Popcorn Culture</t>
        </is>
      </c>
      <c r="G201" t="inlineStr">
        <is>
          <t>Find Your Tribe | Popcorn Culture</t>
        </is>
      </c>
      <c r="H201" s="44" t="n">
        <v>0.05231481481481481</v>
      </c>
      <c r="I201" s="45" t="n">
        <v>2599</v>
      </c>
      <c r="J201" s="45" t="n">
        <v>126</v>
      </c>
      <c r="K201" s="45" t="n">
        <v>16</v>
      </c>
      <c r="L201" s="46" t="n"/>
      <c r="M201" s="47" t="n"/>
      <c r="N201" s="47" t="inlineStr">
        <is>
          <t>UCHfIbq9thHPC8yrKjAdJgDA</t>
        </is>
      </c>
      <c r="O201" s="48" t="n">
        <v>45989.625</v>
      </c>
      <c r="P201" s="49" t="n">
        <v>45989</v>
      </c>
      <c r="Q201" s="47" t="n">
        <v>3067</v>
      </c>
      <c r="R201" s="47" t="inlineStr">
        <is>
          <t>No Video ID yet</t>
        </is>
      </c>
      <c r="S201" s="49" t="n"/>
      <c r="T201" s="49" t="n"/>
      <c r="U201" s="47" t="inlineStr">
        <is>
          <t>In the 312th episode of the Pop, Ben and J discuss F1, college football, the SCB community, the most recent Goblet of FIRE, swim equipment, KPop, and holding space. Drive to Survive - Hot Ones - J vs Ben: Goblet of Fire QUIZ Returns! (THERMAGEDDON 🔥 2.6 Million Scovilles!) - Holding Space Interview - 00:00 - Intro, Formula 1 15:37 - Hokie Game! 35:09 - HOT WINGS 44:42 - Triatholon 59:49 - Listening to KPop</t>
        </is>
      </c>
      <c r="V201" s="47">
        <f>IF(AND(P201&gt;=Calendar!$K$2,P201&lt;EDATE(Calendar!$K$2,1),OR(Calendar!$K$4="*",N201=Calendar!$K$4)),P201*100+COUNTIFS($P$6:$P$3267,P201,$Q$6:$Q$3267,"&lt;="&amp;Q201,$N$6:$N$3267,Calendar!$K$4),"")</f>
        <v/>
      </c>
      <c r="W201" s="47">
        <f>IF(AND(B201=Queue!$C$4,OR(Queue!$K$4="*",N201=Queue!$K$4)),Q201,"")</f>
        <v/>
      </c>
    </row>
    <row r="202">
      <c r="A202" s="38">
        <f>IF(M202="","",HYPERLINK("https://www.youtube.com/watch?v="&amp;M202,"▶"))</f>
        <v/>
      </c>
      <c r="B202" s="39">
        <f>IF(C202&lt;&gt;"",C202,IF(P202&lt;=IFERROR(INDEX(tblChannels[Watched Through],MATCH(N202,tblChannels[Channel ID],0)),0),"Watched","Unwatched"))</f>
        <v/>
      </c>
      <c r="C202" s="40" t="n"/>
      <c r="D202" s="41" t="n"/>
      <c r="E202" s="42" t="n">
        <v>45988.54166666666</v>
      </c>
      <c r="F202" s="50" t="inlineStr">
        <is>
          <t>Super Carlin Brothers</t>
        </is>
      </c>
      <c r="G202" t="inlineStr">
        <is>
          <t>J vs Ben: Goblet of Fire QUIZ Returns! (THERMAGEDDON 🔥 2.6 Million Scovilles!)</t>
        </is>
      </c>
      <c r="H202" s="44" t="n">
        <v>0.04445601851851852</v>
      </c>
      <c r="I202" s="45" t="n">
        <v>103849</v>
      </c>
      <c r="J202" s="45" t="n">
        <v>3904</v>
      </c>
      <c r="K202" s="45" t="n">
        <v>513</v>
      </c>
      <c r="L202" s="46" t="n"/>
      <c r="M202" s="47" t="n"/>
      <c r="N202" s="47" t="inlineStr">
        <is>
          <t>UCKZo4N0lVPccBkSiuyVh4yg</t>
        </is>
      </c>
      <c r="O202" s="48" t="n">
        <v>45988.75</v>
      </c>
      <c r="P202" s="49" t="n">
        <v>45988</v>
      </c>
      <c r="Q202" s="47" t="n">
        <v>3066</v>
      </c>
      <c r="R202" s="47" t="inlineStr">
        <is>
          <t>No Video ID yet</t>
        </is>
      </c>
      <c r="S202" s="49" t="n"/>
      <c r="T202" s="49" t="n"/>
      <c r="U202" s="47" t="inlineStr">
        <is>
          <t>Exclusive $45-off Carver Mat at Promo Code SCB Happy Thanksgiving, everyone! It’s time again for the annual Super Carlin Brothers Goblet of Fire Quiz — but this year we’ve turned the heat ALL the way up. Every wrong answer? Eat a wing covered in over 2.6 million Scovilles of molten thermageddon. Think you know Harry Potter and the Goblet of Fire? Play along and see if YOU can answer these questions before J &amp; Ben melt into puddles of spicy regret.. #HarryPotter #SuperCarlinBrothers #JvsBen Written by: The Quizmasters! Hosted by: Kat Stine, Isybelle Christley and Ethan Edghill 🎟️ Through the Griffin Door LIVE Tour— Southwest 2025</t>
        </is>
      </c>
      <c r="V202" s="47">
        <f>IF(AND(P202&gt;=Calendar!$K$2,P202&lt;EDATE(Calendar!$K$2,1),OR(Calendar!$K$4="*",N202=Calendar!$K$4)),P202*100+COUNTIFS($P$6:$P$3267,P202,$Q$6:$Q$3267,"&lt;="&amp;Q202,$N$6:$N$3267,Calendar!$K$4),"")</f>
        <v/>
      </c>
      <c r="W202" s="47">
        <f>IF(AND(B202=Queue!$C$4,OR(Queue!$K$4="*",N202=Queue!$K$4)),Q202,"")</f>
        <v/>
      </c>
    </row>
    <row r="203">
      <c r="A203" s="38">
        <f>IF(M203="","",HYPERLINK("https://www.youtube.com/watch?v="&amp;M203,"▶"))</f>
        <v/>
      </c>
      <c r="B203" s="39">
        <f>IF(C203&lt;&gt;"",C203,IF(P203&lt;=IFERROR(INDEX(tblChannels[Watched Through],MATCH(N203,tblChannels[Channel ID],0)),0),"Watched","Unwatched"))</f>
        <v/>
      </c>
      <c r="C203" s="40" t="n"/>
      <c r="D203" s="41" t="n"/>
      <c r="E203" s="42" t="n">
        <v>45987.63125</v>
      </c>
      <c r="F203" s="50" t="inlineStr">
        <is>
          <t>Super Carlin Brothers</t>
        </is>
      </c>
      <c r="G203" t="inlineStr">
        <is>
          <t>The VEIL Created the Deathly Hallows?! | Harry Potter Theory</t>
        </is>
      </c>
      <c r="H203" s="44" t="n">
        <v>0.01195601851851852</v>
      </c>
      <c r="I203" s="45" t="n">
        <v>91853</v>
      </c>
      <c r="J203" s="45" t="n">
        <v>4079</v>
      </c>
      <c r="K203" s="45" t="n">
        <v>438</v>
      </c>
      <c r="L203" s="46" t="n"/>
      <c r="M203" s="47" t="n"/>
      <c r="N203" s="47" t="inlineStr">
        <is>
          <t>UCKZo4N0lVPccBkSiuyVh4yg</t>
        </is>
      </c>
      <c r="O203" s="48" t="n">
        <v>45987.83958333333</v>
      </c>
      <c r="P203" s="49" t="n">
        <v>45987</v>
      </c>
      <c r="Q203" s="47" t="n">
        <v>3065</v>
      </c>
      <c r="R203" s="47" t="inlineStr">
        <is>
          <t>No Video ID yet</t>
        </is>
      </c>
      <c r="S203" s="49" t="n"/>
      <c r="T203" s="49" t="n"/>
      <c r="U203" s="47" t="n"/>
      <c r="V203" s="47">
        <f>IF(AND(P203&gt;=Calendar!$K$2,P203&lt;EDATE(Calendar!$K$2,1),OR(Calendar!$K$4="*",N203=Calendar!$K$4)),P203*100+COUNTIFS($P$6:$P$3267,P203,$Q$6:$Q$3267,"&lt;="&amp;Q203,$N$6:$N$3267,Calendar!$K$4),"")</f>
        <v/>
      </c>
      <c r="W203" s="47">
        <f>IF(AND(B203=Queue!$C$4,OR(Queue!$K$4="*",N203=Queue!$K$4)),Q203,"")</f>
        <v/>
      </c>
    </row>
    <row r="204">
      <c r="A204" s="38">
        <f>IF(M204="","",HYPERLINK("https://www.youtube.com/watch?v="&amp;M204,"▶"))</f>
        <v/>
      </c>
      <c r="B204" s="39">
        <f>IF(C204&lt;&gt;"",C204,IF(P204&lt;=IFERROR(INDEX(tblChannels[Watched Through],MATCH(N204,tblChannels[Channel ID],0)),0),"Watched","Unwatched"))</f>
        <v/>
      </c>
      <c r="C204" s="40" t="n"/>
      <c r="D204" s="41" t="n"/>
      <c r="E204" s="42" t="n">
        <v>45987.625</v>
      </c>
      <c r="F204" s="51" t="inlineStr">
        <is>
          <t>Through The Griffin Door</t>
        </is>
      </c>
      <c r="G204" t="inlineStr">
        <is>
          <t>Live in Cleveland - Chapter 13: Detention with Dolores | Order of the Phoenix</t>
        </is>
      </c>
      <c r="H204" s="44" t="n">
        <v>0.05125</v>
      </c>
      <c r="I204" s="45" t="n">
        <v>6440</v>
      </c>
      <c r="J204" s="45" t="n">
        <v>254</v>
      </c>
      <c r="K204" s="45" t="n">
        <v>79</v>
      </c>
      <c r="L204" s="46" t="n"/>
      <c r="M204" s="47" t="n"/>
      <c r="N204" s="47" t="inlineStr">
        <is>
          <t>UCEscP6ETYXWSSvsNrDHekMQ</t>
        </is>
      </c>
      <c r="O204" s="48" t="n">
        <v>45987.83333333334</v>
      </c>
      <c r="P204" s="49" t="n">
        <v>45987</v>
      </c>
      <c r="Q204" s="47" t="n">
        <v>3064</v>
      </c>
      <c r="R204" s="47" t="inlineStr">
        <is>
          <t>No Video ID yet</t>
        </is>
      </c>
      <c r="S204" s="49" t="n"/>
      <c r="T204" s="49" t="n"/>
      <c r="U204" s="47" t="inlineStr">
        <is>
          <t>Join J and Ben as they dive BACK into Chapter 13 of Order of the Phoenix LIVE IN CLEVELAND! Harry jumping down EVERYONE'S throats (again), the RIDICULOUS amount of information Draco has compared to Harry, and the literal torture session Umbridge puts him through.</t>
        </is>
      </c>
      <c r="V204" s="47">
        <f>IF(AND(P204&gt;=Calendar!$K$2,P204&lt;EDATE(Calendar!$K$2,1),OR(Calendar!$K$4="*",N204=Calendar!$K$4)),P204*100+COUNTIFS($P$6:$P$3267,P204,$Q$6:$Q$3267,"&lt;="&amp;Q204,$N$6:$N$3267,Calendar!$K$4),"")</f>
        <v/>
      </c>
      <c r="W204" s="47">
        <f>IF(AND(B204=Queue!$C$4,OR(Queue!$K$4="*",N204=Queue!$K$4)),Q204,"")</f>
        <v/>
      </c>
    </row>
    <row r="205">
      <c r="A205" s="38">
        <f>IF(M205="","",HYPERLINK("https://www.youtube.com/watch?v="&amp;M205,"▶"))</f>
        <v/>
      </c>
      <c r="B205" s="39">
        <f>IF(C205&lt;&gt;"",C205,IF(P205&lt;=IFERROR(INDEX(tblChannels[Watched Through],MATCH(N205,tblChannels[Channel ID],0)),0),"Watched","Unwatched"))</f>
        <v/>
      </c>
      <c r="C205" s="40" t="n"/>
      <c r="D205" s="41" t="n"/>
      <c r="E205" s="42" t="n">
        <v>45984.41736111111</v>
      </c>
      <c r="F205" s="51" t="inlineStr">
        <is>
          <t>Through The Griffin Door</t>
        </is>
      </c>
      <c r="G205" t="inlineStr">
        <is>
          <t>Chapter 13: Detention with Dolores | Order of the Phoenix</t>
        </is>
      </c>
      <c r="H205" s="44" t="n">
        <v>0.09174768518518518</v>
      </c>
      <c r="I205" s="45" t="n">
        <v>53370</v>
      </c>
      <c r="J205" s="45" t="n">
        <v>1250</v>
      </c>
      <c r="K205" s="45" t="n">
        <v>475</v>
      </c>
      <c r="L205" s="46" t="n"/>
      <c r="M205" s="47" t="n"/>
      <c r="N205" s="47" t="inlineStr">
        <is>
          <t>UCEscP6ETYXWSSvsNrDHekMQ</t>
        </is>
      </c>
      <c r="O205" s="48" t="n">
        <v>45984.62569444445</v>
      </c>
      <c r="P205" s="49" t="n">
        <v>45984</v>
      </c>
      <c r="Q205" s="47" t="n">
        <v>3063</v>
      </c>
      <c r="R205" s="47" t="inlineStr">
        <is>
          <t>No Video ID yet</t>
        </is>
      </c>
      <c r="S205" s="49" t="n"/>
      <c r="T205" s="49" t="n"/>
      <c r="U205" s="47" t="inlineStr">
        <is>
          <t>This episode is sponsored by MasterClass – Our listeners get an additional 15% off any annual membership at Join J and Ben as they dive into Chapter 13 of the Order of the Phoenix and discuss Hermione’s perspective, the twins testing on first years, Ronmione moments, better teachers, bowtruckles, Draco knowing about Hagrid, Angelina freaking out about tryouts, the detention from hell and Harry finally finding out about Ron wanting to play Quidditch. Why Neville is ACTUALLY a Samurai - Last Year’s Goblet of FIRE - 09:08 - Chapter Breakdown 1:04:41 - Ad Break (Masterclass) 1:06:16 - More Chapter Breakdown 2:01:01 - Closing Thoughts and Review</t>
        </is>
      </c>
      <c r="V205" s="47">
        <f>IF(AND(P205&gt;=Calendar!$K$2,P205&lt;EDATE(Calendar!$K$2,1),OR(Calendar!$K$4="*",N205=Calendar!$K$4)),P205*100+COUNTIFS($P$6:$P$3267,P205,$Q$6:$Q$3267,"&lt;="&amp;Q205,$N$6:$N$3267,Calendar!$K$4),"")</f>
        <v/>
      </c>
      <c r="W205" s="47">
        <f>IF(AND(B205=Queue!$C$4,OR(Queue!$K$4="*",N205=Queue!$K$4)),Q205,"")</f>
        <v/>
      </c>
    </row>
    <row r="206">
      <c r="A206" s="38">
        <f>IF(M206="","",HYPERLINK("https://www.youtube.com/watch?v="&amp;M206,"▶"))</f>
        <v/>
      </c>
      <c r="B206" s="39">
        <f>IF(C206&lt;&gt;"",C206,IF(P206&lt;=IFERROR(INDEX(tblChannels[Watched Through],MATCH(N206,tblChannels[Channel ID],0)),0),"Watched","Unwatched"))</f>
        <v/>
      </c>
      <c r="C206" s="40" t="n"/>
      <c r="D206" s="41" t="n"/>
      <c r="E206" s="42" t="n">
        <v>45982.68541666667</v>
      </c>
      <c r="F206" s="50" t="inlineStr">
        <is>
          <t>Super Carlin Brothers</t>
        </is>
      </c>
      <c r="G206" t="inlineStr">
        <is>
          <t>The Defense Against the Dark Arts Curse EXPLAINED | Harry Potter</t>
        </is>
      </c>
      <c r="H206" s="44" t="n">
        <v>0.01092592592592593</v>
      </c>
      <c r="I206" s="45" t="n">
        <v>85056</v>
      </c>
      <c r="J206" s="45" t="n">
        <v>3669</v>
      </c>
      <c r="K206" s="45" t="n">
        <v>448</v>
      </c>
      <c r="L206" s="46" t="n"/>
      <c r="M206" s="47" t="n"/>
      <c r="N206" s="47" t="inlineStr">
        <is>
          <t>UCKZo4N0lVPccBkSiuyVh4yg</t>
        </is>
      </c>
      <c r="O206" s="48" t="n">
        <v>45982.89375</v>
      </c>
      <c r="P206" s="49" t="n">
        <v>45982</v>
      </c>
      <c r="Q206" s="47" t="n">
        <v>3062</v>
      </c>
      <c r="R206" s="47" t="inlineStr">
        <is>
          <t>No Video ID yet</t>
        </is>
      </c>
      <c r="S206" s="49" t="n"/>
      <c r="T206" s="49" t="n"/>
      <c r="U206" s="47" t="inlineStr">
        <is>
          <t>This episode is sponsored by BetterHelp – Go to to get 10% off your first month. Today Ben dives into the Wizarding World of Harry Potter to break down one of the most quietly devastating moves Tom Riddle ever made: the infamous Defense Against the Dark Arts Curse. From the snowy night he returned to Hogwarts to hide the diadem, to the ripple effects that shaped entire generations of undertrained witches and wizards, this “petty revenge curse” may actually be Voldemort’s most effective long-term strategy in the entire series. #HarryPotter #SuperCarlinBrothers #JvsBen</t>
        </is>
      </c>
      <c r="V206" s="47">
        <f>IF(AND(P206&gt;=Calendar!$K$2,P206&lt;EDATE(Calendar!$K$2,1),OR(Calendar!$K$4="*",N206=Calendar!$K$4)),P206*100+COUNTIFS($P$6:$P$3267,P206,$Q$6:$Q$3267,"&lt;="&amp;Q206,$N$6:$N$3267,Calendar!$K$4),"")</f>
        <v/>
      </c>
      <c r="W206" s="47">
        <f>IF(AND(B206=Queue!$C$4,OR(Queue!$K$4="*",N206=Queue!$K$4)),Q206,"")</f>
        <v/>
      </c>
    </row>
    <row r="207">
      <c r="A207" s="38">
        <f>IF(M207="","",HYPERLINK("https://www.youtube.com/watch?v="&amp;M207,"▶"))</f>
        <v/>
      </c>
      <c r="B207" s="39">
        <f>IF(C207&lt;&gt;"",C207,IF(P207&lt;=IFERROR(INDEX(tblChannels[Watched Through],MATCH(N207,tblChannels[Channel ID],0)),0),"Watched","Unwatched"))</f>
        <v/>
      </c>
      <c r="C207" s="40" t="n"/>
      <c r="D207" s="41" t="n"/>
      <c r="E207" s="42" t="n">
        <v>45982.41666666666</v>
      </c>
      <c r="F207" s="43" t="inlineStr">
        <is>
          <t>Popcorn Culture</t>
        </is>
      </c>
      <c r="G207" t="inlineStr">
        <is>
          <t>Casually Castle Shopping | Popcorn Culture</t>
        </is>
      </c>
      <c r="H207" s="44" t="n">
        <v>0.05760416666666666</v>
      </c>
      <c r="I207" s="45" t="n">
        <v>3375</v>
      </c>
      <c r="J207" s="45" t="n">
        <v>145</v>
      </c>
      <c r="K207" s="45" t="n">
        <v>19</v>
      </c>
      <c r="L207" s="46" t="n"/>
      <c r="M207" s="47" t="n"/>
      <c r="N207" s="47" t="inlineStr">
        <is>
          <t>UCHfIbq9thHPC8yrKjAdJgDA</t>
        </is>
      </c>
      <c r="O207" s="48" t="n">
        <v>45982.625</v>
      </c>
      <c r="P207" s="49" t="n">
        <v>45982</v>
      </c>
      <c r="Q207" s="47" t="n">
        <v>3061</v>
      </c>
      <c r="R207" s="47" t="inlineStr">
        <is>
          <t>No Video ID yet</t>
        </is>
      </c>
      <c r="S207" s="49" t="n"/>
      <c r="T207" s="49" t="n"/>
      <c r="U207" s="47" t="inlineStr">
        <is>
          <t>In the 311th episode of the Pop, Ben and J discuss Ben’s new ink, the CRAZY economy of scale in California, iron ore hunting, techno-babble, and rental car woes. The Social Network -</t>
        </is>
      </c>
      <c r="V207" s="47">
        <f>IF(AND(P207&gt;=Calendar!$K$2,P207&lt;EDATE(Calendar!$K$2,1),OR(Calendar!$K$4="*",N207=Calendar!$K$4)),P207*100+COUNTIFS($P$6:$P$3267,P207,$Q$6:$Q$3267,"&lt;="&amp;Q207,$N$6:$N$3267,Calendar!$K$4),"")</f>
        <v/>
      </c>
      <c r="W207" s="47">
        <f>IF(AND(B207=Queue!$C$4,OR(Queue!$K$4="*",N207=Queue!$K$4)),Q207,"")</f>
        <v/>
      </c>
    </row>
    <row r="208">
      <c r="A208" s="38">
        <f>IF(M208="","",HYPERLINK("https://www.youtube.com/watch?v="&amp;M208,"▶"))</f>
        <v/>
      </c>
      <c r="B208" s="39">
        <f>IF(C208&lt;&gt;"",C208,IF(P208&lt;=IFERROR(INDEX(tblChannels[Watched Through],MATCH(N208,tblChannels[Channel ID],0)),0),"Watched","Unwatched"))</f>
        <v/>
      </c>
      <c r="C208" s="40" t="n"/>
      <c r="D208" s="41" t="n"/>
      <c r="E208" s="42" t="n">
        <v>45980.70208333333</v>
      </c>
      <c r="F208" s="50" t="inlineStr">
        <is>
          <t>Super Carlin Brothers</t>
        </is>
      </c>
      <c r="G208" t="inlineStr">
        <is>
          <t>J vs Ben: MAX DIFFICULTY Order of the Phoenix Open Book Harry Potter Trivia</t>
        </is>
      </c>
      <c r="H208" s="44" t="n">
        <v>0.03584490740740741</v>
      </c>
      <c r="I208" s="45" t="n">
        <v>82201</v>
      </c>
      <c r="J208" s="45" t="n">
        <v>2839</v>
      </c>
      <c r="K208" s="45" t="n">
        <v>345</v>
      </c>
      <c r="L208" s="46" t="n"/>
      <c r="M208" s="47" t="n"/>
      <c r="N208" s="47" t="inlineStr">
        <is>
          <t>UCKZo4N0lVPccBkSiuyVh4yg</t>
        </is>
      </c>
      <c r="O208" s="48" t="n">
        <v>45980.91041666667</v>
      </c>
      <c r="P208" s="49" t="n">
        <v>45980</v>
      </c>
      <c r="Q208" s="47" t="n">
        <v>3060</v>
      </c>
      <c r="R208" s="47" t="inlineStr">
        <is>
          <t>No Video ID yet</t>
        </is>
      </c>
      <c r="S208" s="49" t="n"/>
      <c r="T208" s="49" t="n"/>
      <c r="U208" s="47" t="inlineStr">
        <is>
          <t>Go to now to Get 10 Free Meals + a Free Item for Life! Today J and Ben go head-to-head in a MAX DIFFICULTY Order of the Phoenix Open Book Harry Potter Quiz — and this one is BRUTAL. From Tonks’ broomstick to the Black Family motto, giants, Sturgis Podmore, and MORE… this quiz goes deeper into OOTP than ever before. Think YOU can beat us? Grab your copy of Order of the Phoenix and play along — and don’t forget to submit YOUR questions for next week’s quiz! Special Thanks to our Quiz Masters: Ryan Silveira, Sam Shunpike, magicalmisfires, GooeyChewie, GenKenobi, tinas_hotdog_sophie, Big D aka the Songwriter, Bracelet Liz, Oryan’s Wizard Parts, CJ, MaddstheHatter, Teghan - Denlinger, Bunny, Mia Likes Nougat, Jessica Theirault, Bradferd, Captain Hawk, Drawing Xaos, and Tara Walker. #HarryPotter #SuperCarlinBrothers #JvsBen</t>
        </is>
      </c>
      <c r="V208" s="47">
        <f>IF(AND(P208&gt;=Calendar!$K$2,P208&lt;EDATE(Calendar!$K$2,1),OR(Calendar!$K$4="*",N208=Calendar!$K$4)),P208*100+COUNTIFS($P$6:$P$3267,P208,$Q$6:$Q$3267,"&lt;="&amp;Q208,$N$6:$N$3267,Calendar!$K$4),"")</f>
        <v/>
      </c>
      <c r="W208" s="47">
        <f>IF(AND(B208=Queue!$C$4,OR(Queue!$K$4="*",N208=Queue!$K$4)),Q208,"")</f>
        <v/>
      </c>
    </row>
    <row r="209">
      <c r="A209" s="38">
        <f>IF(M209="","",HYPERLINK("https://www.youtube.com/watch?v="&amp;M209,"▶"))</f>
        <v/>
      </c>
      <c r="B209" s="39">
        <f>IF(C209&lt;&gt;"",C209,IF(P209&lt;=IFERROR(INDEX(tblChannels[Watched Through],MATCH(N209,tblChannels[Channel ID],0)),0),"Watched","Unwatched"))</f>
        <v/>
      </c>
      <c r="C209" s="40" t="n"/>
      <c r="D209" s="41" t="n"/>
      <c r="E209" s="42" t="n">
        <v>45977.41736111111</v>
      </c>
      <c r="F209" s="51" t="inlineStr">
        <is>
          <t>Through The Griffin Door</t>
        </is>
      </c>
      <c r="G209" t="inlineStr">
        <is>
          <t>Live in Detroit - Chapter 12: Professor Umbridge | Order Of The Phoenix</t>
        </is>
      </c>
      <c r="H209" s="44" t="n">
        <v>0.05498842592592593</v>
      </c>
      <c r="I209" s="45" t="n">
        <v>10837</v>
      </c>
      <c r="J209" s="45" t="n">
        <v>442</v>
      </c>
      <c r="K209" s="45" t="n">
        <v>117</v>
      </c>
      <c r="L209" s="46" t="n"/>
      <c r="M209" s="47" t="n"/>
      <c r="N209" s="47" t="inlineStr">
        <is>
          <t>UCEscP6ETYXWSSvsNrDHekMQ</t>
        </is>
      </c>
      <c r="O209" s="48" t="n">
        <v>45977.62569444445</v>
      </c>
      <c r="P209" s="49" t="n">
        <v>45977</v>
      </c>
      <c r="Q209" s="47" t="n">
        <v>3059</v>
      </c>
      <c r="R209" s="47" t="inlineStr">
        <is>
          <t>No Video ID yet</t>
        </is>
      </c>
      <c r="S209" s="49" t="n"/>
      <c r="T209" s="49" t="n"/>
      <c r="U209" s="47" t="inlineStr">
        <is>
          <t>Join J and Ben as they dive BACK into Chapter 12 of Order of the Phoenix LIVE IN DETROIT! You’re getting the live on Sunday this week cause Ben is ILL. But in this episode J and Ben discuss why Harry is being a real pr… I mean Mimbulus Mimbletonia, Ron’s poor attempts to drop hints about wanting to play quidditch, and how Harry gets just SO much detention… that we don’t even get to read about until next week!!</t>
        </is>
      </c>
      <c r="V209" s="47">
        <f>IF(AND(P209&gt;=Calendar!$K$2,P209&lt;EDATE(Calendar!$K$2,1),OR(Calendar!$K$4="*",N209=Calendar!$K$4)),P209*100+COUNTIFS($P$6:$P$3267,P209,$Q$6:$Q$3267,"&lt;="&amp;Q209,$N$6:$N$3267,Calendar!$K$4),"")</f>
        <v/>
      </c>
      <c r="W209" s="47">
        <f>IF(AND(B209=Queue!$C$4,OR(Queue!$K$4="*",N209=Queue!$K$4)),Q209,"")</f>
        <v/>
      </c>
    </row>
    <row r="210">
      <c r="A210" s="38">
        <f>IF(M210="","",HYPERLINK("https://www.youtube.com/watch?v="&amp;M210,"▶"))</f>
        <v/>
      </c>
      <c r="B210" s="39">
        <f>IF(C210&lt;&gt;"",C210,IF(P210&lt;=IFERROR(INDEX(tblChannels[Watched Through],MATCH(N210,tblChannels[Channel ID],0)),0),"Watched","Unwatched"))</f>
        <v/>
      </c>
      <c r="C210" s="40" t="n"/>
      <c r="D210" s="41" t="n"/>
      <c r="E210" s="42" t="n">
        <v>45976.41666666666</v>
      </c>
      <c r="F210" s="50" t="inlineStr">
        <is>
          <t>Super Carlin Brothers</t>
        </is>
      </c>
      <c r="G210" t="inlineStr">
        <is>
          <t>Through the Griffin Door Supercut: Order of the Phoenix Chapters 10-12</t>
        </is>
      </c>
      <c r="H210" s="44" t="n">
        <v>0.2289467592592593</v>
      </c>
      <c r="I210" s="45" t="n">
        <v>10206</v>
      </c>
      <c r="J210" s="45" t="n">
        <v>206</v>
      </c>
      <c r="K210" s="45" t="n">
        <v>24</v>
      </c>
      <c r="L210" s="46" t="n"/>
      <c r="M210" s="47" t="n"/>
      <c r="N210" s="47" t="inlineStr">
        <is>
          <t>UCKZo4N0lVPccBkSiuyVh4yg</t>
        </is>
      </c>
      <c r="O210" s="48" t="n">
        <v>45976.625</v>
      </c>
      <c r="P210" s="49" t="n">
        <v>45976</v>
      </c>
      <c r="Q210" s="47" t="n">
        <v>3058</v>
      </c>
      <c r="R210" s="47" t="inlineStr">
        <is>
          <t>No Video ID yet</t>
        </is>
      </c>
      <c r="S210" s="49" t="n"/>
      <c r="T210" s="49" t="n"/>
      <c r="U210" s="47" t="inlineStr">
        <is>
          <t>00:00:00 - Chapter 10: Luna Lovegood 1:46:34 - Chapter 11: The Sorting Hat's New Song 3:41:18 - Chapter 12: Professor Umbridge</t>
        </is>
      </c>
      <c r="V210" s="47">
        <f>IF(AND(P210&gt;=Calendar!$K$2,P210&lt;EDATE(Calendar!$K$2,1),OR(Calendar!$K$4="*",N210=Calendar!$K$4)),P210*100+COUNTIFS($P$6:$P$3267,P210,$Q$6:$Q$3267,"&lt;="&amp;Q210,$N$6:$N$3267,Calendar!$K$4),"")</f>
        <v/>
      </c>
      <c r="W210" s="47">
        <f>IF(AND(B210=Queue!$C$4,OR(Queue!$K$4="*",N210=Queue!$K$4)),Q210,"")</f>
        <v/>
      </c>
    </row>
    <row r="211">
      <c r="A211" s="38">
        <f>IF(M211="","",HYPERLINK("https://www.youtube.com/watch?v="&amp;M211,"▶"))</f>
        <v/>
      </c>
      <c r="B211" s="39">
        <f>IF(C211&lt;&gt;"",C211,IF(P211&lt;=IFERROR(INDEX(tblChannels[Watched Through],MATCH(N211,tblChannels[Channel ID],0)),0),"Watched","Unwatched"))</f>
        <v/>
      </c>
      <c r="C211" s="40" t="n"/>
      <c r="D211" s="41" t="n"/>
      <c r="E211" s="42" t="n">
        <v>45975.69166666667</v>
      </c>
      <c r="F211" s="50" t="inlineStr">
        <is>
          <t>Super Carlin Brothers</t>
        </is>
      </c>
      <c r="G211" t="inlineStr">
        <is>
          <t>A SCATHING Review of The Order of the Phoenix | Harry Potter</t>
        </is>
      </c>
      <c r="H211" s="44" t="n">
        <v>0.0143287037037037</v>
      </c>
      <c r="I211" s="45" t="n">
        <v>186695</v>
      </c>
      <c r="J211" s="45" t="n">
        <v>6080</v>
      </c>
      <c r="K211" s="45" t="n">
        <v>766</v>
      </c>
      <c r="L211" s="46" t="n"/>
      <c r="M211" s="47" t="n"/>
      <c r="N211" s="47" t="inlineStr">
        <is>
          <t>UCKZo4N0lVPccBkSiuyVh4yg</t>
        </is>
      </c>
      <c r="O211" s="48" t="n">
        <v>45975.9</v>
      </c>
      <c r="P211" s="49" t="n">
        <v>45975</v>
      </c>
      <c r="Q211" s="47" t="n">
        <v>3057</v>
      </c>
      <c r="R211" s="47" t="inlineStr">
        <is>
          <t>No Video ID yet</t>
        </is>
      </c>
      <c r="S211" s="49" t="n"/>
      <c r="T211" s="49" t="n"/>
      <c r="U211" s="47" t="inlineStr">
        <is>
          <t>Head on over to to get 15% off! Today J dives into the Wizarding World of Harry Potter to give a SCATHING review of the Order of the Phoenix From losing both Wizarding Wars, to missing obvious clues, to wasting their greatest assets (TONKS!!), to forcing a teenage boy to run an illegal, underground Defense club—this organization fumbles the bag spectacularly at every turn. Let’s dive into the most savage performance review Hogwarts has ever seen.</t>
        </is>
      </c>
      <c r="V211" s="47">
        <f>IF(AND(P211&gt;=Calendar!$K$2,P211&lt;EDATE(Calendar!$K$2,1),OR(Calendar!$K$4="*",N211=Calendar!$K$4)),P211*100+COUNTIFS($P$6:$P$3267,P211,$Q$6:$Q$3267,"&lt;="&amp;Q211,$N$6:$N$3267,Calendar!$K$4),"")</f>
        <v/>
      </c>
      <c r="W211" s="47">
        <f>IF(AND(B211=Queue!$C$4,OR(Queue!$K$4="*",N211=Queue!$K$4)),Q211,"")</f>
        <v/>
      </c>
    </row>
    <row r="212">
      <c r="A212" s="38">
        <f>IF(M212="","",HYPERLINK("https://www.youtube.com/watch?v="&amp;M212,"▶"))</f>
        <v/>
      </c>
      <c r="B212" s="39">
        <f>IF(C212&lt;&gt;"",C212,IF(P212&lt;=IFERROR(INDEX(tblChannels[Watched Through],MATCH(N212,tblChannels[Channel ID],0)),0),"Watched","Unwatched"))</f>
        <v/>
      </c>
      <c r="C212" s="40" t="n"/>
      <c r="D212" s="41" t="n"/>
      <c r="E212" s="42" t="n">
        <v>45975.41666666666</v>
      </c>
      <c r="F212" s="43" t="inlineStr">
        <is>
          <t>Popcorn Culture</t>
        </is>
      </c>
      <c r="G212" t="inlineStr">
        <is>
          <t>"Yes, And..." | Popcorn Culture</t>
        </is>
      </c>
      <c r="H212" s="44" t="n">
        <v>0.04606481481481482</v>
      </c>
      <c r="I212" s="45" t="n">
        <v>2939</v>
      </c>
      <c r="J212" s="45" t="n">
        <v>138</v>
      </c>
      <c r="K212" s="45" t="n">
        <v>15</v>
      </c>
      <c r="L212" s="46" t="n"/>
      <c r="M212" s="47" t="n"/>
      <c r="N212" s="47" t="inlineStr">
        <is>
          <t>UCHfIbq9thHPC8yrKjAdJgDA</t>
        </is>
      </c>
      <c r="O212" s="48" t="n">
        <v>45975.625</v>
      </c>
      <c r="P212" s="49" t="n">
        <v>45975</v>
      </c>
      <c r="Q212" s="47" t="n">
        <v>3056</v>
      </c>
      <c r="R212" s="47" t="inlineStr">
        <is>
          <t>No Video ID yet</t>
        </is>
      </c>
      <c r="S212" s="49" t="n"/>
      <c r="T212" s="49" t="n"/>
      <c r="U212" s="47" t="inlineStr">
        <is>
          <t>In the 310th episode of the Pop, Ben and J discuss “yes, and” improv, a new coined phrase, “A-Pop”, 67, music trivia, wall art, and tattoo complexities. Fool Me Once… - Bluey - KPop Demon Hunters - Spider-Man: Into the Spider-Verse - Klaus - Talladega Nights: The Ballad of Ricky Bobby - Will Gay - 00:00 - Intro, Hostmanship 06:32 - Yes, And-ing 11:51 - A-Pop 44:42 - Wall Art</t>
        </is>
      </c>
      <c r="V212" s="47">
        <f>IF(AND(P212&gt;=Calendar!$K$2,P212&lt;EDATE(Calendar!$K$2,1),OR(Calendar!$K$4="*",N212=Calendar!$K$4)),P212*100+COUNTIFS($P$6:$P$3267,P212,$Q$6:$Q$3267,"&lt;="&amp;Q212,$N$6:$N$3267,Calendar!$K$4),"")</f>
        <v/>
      </c>
      <c r="W212" s="47">
        <f>IF(AND(B212=Queue!$C$4,OR(Queue!$K$4="*",N212=Queue!$K$4)),Q212,"")</f>
        <v/>
      </c>
    </row>
    <row r="213">
      <c r="A213" s="38">
        <f>IF(M213="","",HYPERLINK("https://www.youtube.com/watch?v="&amp;M213,"▶"))</f>
        <v/>
      </c>
      <c r="B213" s="39">
        <f>IF(C213&lt;&gt;"",C213,IF(P213&lt;=IFERROR(INDEX(tblChannels[Watched Through],MATCH(N213,tblChannels[Channel ID],0)),0),"Watched","Unwatched"))</f>
        <v/>
      </c>
      <c r="C213" s="40" t="n"/>
      <c r="D213" s="41" t="n"/>
      <c r="E213" s="42" t="n">
        <v>45973.71944444445</v>
      </c>
      <c r="F213" s="50" t="inlineStr">
        <is>
          <t>Super Carlin Brothers</t>
        </is>
      </c>
      <c r="G213" t="inlineStr">
        <is>
          <t>The Invisibility Cloak’s SECRET Power | Harry Potter Theory</t>
        </is>
      </c>
      <c r="H213" s="44" t="n">
        <v>0.01297453703703704</v>
      </c>
      <c r="I213" s="45" t="n">
        <v>132393</v>
      </c>
      <c r="J213" s="45" t="n">
        <v>5518</v>
      </c>
      <c r="K213" s="45" t="n">
        <v>612</v>
      </c>
      <c r="L213" s="46" t="n"/>
      <c r="M213" s="47" t="n"/>
      <c r="N213" s="47" t="inlineStr">
        <is>
          <t>UCKZo4N0lVPccBkSiuyVh4yg</t>
        </is>
      </c>
      <c r="O213" s="48" t="n">
        <v>45973.92777777778</v>
      </c>
      <c r="P213" s="49" t="n">
        <v>45973</v>
      </c>
      <c r="Q213" s="47" t="n">
        <v>3055</v>
      </c>
      <c r="R213" s="47" t="inlineStr">
        <is>
          <t>No Video ID yet</t>
        </is>
      </c>
      <c r="S213" s="49" t="n"/>
      <c r="T213" s="49" t="n"/>
      <c r="U213" s="47" t="inlineStr">
        <is>
          <t>This episode is sponsored by BetterHelp. Go to to get 10% off your first month. Go to to sign up for your $1-per-month trial period. What makes Harry Potter’s Invisibility Cloak truly special? Sure, it’s one of the legendary Deathly Hallows — indestructible, eternal, and able to render its wearer perfectly invisible. But Dumbledore tells Harry that it only ever worked fully for him, its rightful master. So what’s the secret power hidden inside the Cloak? In this video, J dives deep into the theory that the Cloak’s magic isn’t about invisibility at all — it’s about protection. From Moody’s enchanted eye to the Marauder’s Map and even Nagini at Godric’s Hollow, every moment the Cloak “fails” actually proves it’s doing something more powerful… 😉 Because sometimes, to stay hidden… you have to be seen.</t>
        </is>
      </c>
      <c r="V213" s="47">
        <f>IF(AND(P213&gt;=Calendar!$K$2,P213&lt;EDATE(Calendar!$K$2,1),OR(Calendar!$K$4="*",N213=Calendar!$K$4)),P213*100+COUNTIFS($P$6:$P$3267,P213,$Q$6:$Q$3267,"&lt;="&amp;Q213,$N$6:$N$3267,Calendar!$K$4),"")</f>
        <v/>
      </c>
      <c r="W213" s="47">
        <f>IF(AND(B213=Queue!$C$4,OR(Queue!$K$4="*",N213=Queue!$K$4)),Q213,"")</f>
        <v/>
      </c>
    </row>
    <row r="214">
      <c r="A214" s="38">
        <f>IF(M214="","",HYPERLINK("https://www.youtube.com/watch?v="&amp;M214,"▶"))</f>
        <v/>
      </c>
      <c r="B214" s="39">
        <f>IF(C214&lt;&gt;"",C214,IF(P214&lt;=IFERROR(INDEX(tblChannels[Watched Through],MATCH(N214,tblChannels[Channel ID],0)),0),"Watched","Unwatched"))</f>
        <v/>
      </c>
      <c r="C214" s="40" t="n"/>
      <c r="D214" s="41" t="n"/>
      <c r="E214" s="42" t="n">
        <v>45973.2125</v>
      </c>
      <c r="F214" s="52" t="inlineStr">
        <is>
          <t>Super Carlin Gaming</t>
        </is>
      </c>
      <c r="G214" t="inlineStr">
        <is>
          <t>BEN PLAYS DIABLO 2 FOR NO REASON ON A TUESDAY DIABLO 2SDAY ANYONE?</t>
        </is>
      </c>
      <c r="H214" s="44" t="n">
        <v>0.05857638888888889</v>
      </c>
      <c r="I214" s="45" t="n">
        <v>1344</v>
      </c>
      <c r="J214" s="45" t="n">
        <v>73</v>
      </c>
      <c r="K214" s="45" t="n">
        <v>13</v>
      </c>
      <c r="L214" s="46" t="n"/>
      <c r="M214" s="47" t="n"/>
      <c r="N214" s="47" t="inlineStr">
        <is>
          <t>UCor_9jRnNNZVzTuQ92PKsaQ</t>
        </is>
      </c>
      <c r="O214" s="48" t="n">
        <v>45973.42083333333</v>
      </c>
      <c r="P214" s="49" t="n">
        <v>45973</v>
      </c>
      <c r="Q214" s="47" t="n">
        <v>3054</v>
      </c>
      <c r="R214" s="47" t="inlineStr">
        <is>
          <t>No Video ID yet</t>
        </is>
      </c>
      <c r="S214" s="49" t="n"/>
      <c r="T214" s="49" t="n"/>
      <c r="U214" s="47" t="inlineStr">
        <is>
          <t>Hey. The gaming channel is getting a reboot. We have a new computer and stuff and we're working out the kinks. So come say hello. ask questions. be feisty. but not too feisty. look you're already overthinking it. just be yourself. wow.</t>
        </is>
      </c>
      <c r="V214" s="47">
        <f>IF(AND(P214&gt;=Calendar!$K$2,P214&lt;EDATE(Calendar!$K$2,1),OR(Calendar!$K$4="*",N214=Calendar!$K$4)),P214*100+COUNTIFS($P$6:$P$3267,P214,$Q$6:$Q$3267,"&lt;="&amp;Q214,$N$6:$N$3267,Calendar!$K$4),"")</f>
        <v/>
      </c>
      <c r="W214" s="47">
        <f>IF(AND(B214=Queue!$C$4,OR(Queue!$K$4="*",N214=Queue!$K$4)),Q214,"")</f>
        <v/>
      </c>
    </row>
    <row r="215">
      <c r="A215" s="38">
        <f>IF(M215="","",HYPERLINK("https://www.youtube.com/watch?v="&amp;M215,"▶"))</f>
        <v/>
      </c>
      <c r="B215" s="39">
        <f>IF(C215&lt;&gt;"",C215,IF(P215&lt;=IFERROR(INDEX(tblChannels[Watched Through],MATCH(N215,tblChannels[Channel ID],0)),0),"Watched","Unwatched"))</f>
        <v/>
      </c>
      <c r="C215" s="40" t="n"/>
      <c r="D215" s="41" t="n"/>
      <c r="E215" s="42" t="n">
        <v>45970.41666666666</v>
      </c>
      <c r="F215" s="51" t="inlineStr">
        <is>
          <t>Through The Griffin Door</t>
        </is>
      </c>
      <c r="G215" t="inlineStr">
        <is>
          <t>Chapter 12: Professor Umbridge | Order of the Phoenix</t>
        </is>
      </c>
      <c r="H215" s="44" t="n">
        <v>0.07526620370370371</v>
      </c>
      <c r="I215" s="45" t="n">
        <v>49505</v>
      </c>
      <c r="J215" s="45" t="n">
        <v>1243</v>
      </c>
      <c r="K215" s="45" t="n">
        <v>462</v>
      </c>
      <c r="L215" s="46" t="n"/>
      <c r="M215" s="47" t="n"/>
      <c r="N215" s="47" t="inlineStr">
        <is>
          <t>UCEscP6ETYXWSSvsNrDHekMQ</t>
        </is>
      </c>
      <c r="O215" s="48" t="n">
        <v>45970.625</v>
      </c>
      <c r="P215" s="49" t="n">
        <v>45970</v>
      </c>
      <c r="Q215" s="47" t="n">
        <v>3053</v>
      </c>
      <c r="R215" s="47" t="inlineStr">
        <is>
          <t>No Video ID yet</t>
        </is>
      </c>
      <c r="S215" s="49" t="n"/>
      <c r="T215" s="49" t="n"/>
      <c r="U215" s="47" t="inlineStr">
        <is>
          <t>Join J and Ben as they dive into Chapter 12 of the Order of the Phoenix and discuss Dean being Switzerland, Fred and George’s flyer, Ron’s subtle Quidditch hints, OWLs, Snape still being a bad Potions teacher, Divination class, and every infuriating moment of Umbridge’s class. 06:14 - Chapter Breakdown 1:39:46 - Closing Thoughts and Review</t>
        </is>
      </c>
      <c r="V215" s="47">
        <f>IF(AND(P215&gt;=Calendar!$K$2,P215&lt;EDATE(Calendar!$K$2,1),OR(Calendar!$K$4="*",N215=Calendar!$K$4)),P215*100+COUNTIFS($P$6:$P$3267,P215,$Q$6:$Q$3267,"&lt;="&amp;Q215,$N$6:$N$3267,Calendar!$K$4),"")</f>
        <v/>
      </c>
      <c r="W215" s="47">
        <f>IF(AND(B215=Queue!$C$4,OR(Queue!$K$4="*",N215=Queue!$K$4)),Q215,"")</f>
        <v/>
      </c>
    </row>
    <row r="216">
      <c r="A216" s="38">
        <f>IF(M216="","",HYPERLINK("https://www.youtube.com/watch?v="&amp;M216,"▶"))</f>
        <v/>
      </c>
      <c r="B216" s="39">
        <f>IF(C216&lt;&gt;"",C216,IF(P216&lt;=IFERROR(INDEX(tblChannels[Watched Through],MATCH(N216,tblChannels[Channel ID],0)),0),"Watched","Unwatched"))</f>
        <v/>
      </c>
      <c r="C216" s="40" t="n"/>
      <c r="D216" s="41" t="n"/>
      <c r="E216" s="42" t="n">
        <v>45968.70208333333</v>
      </c>
      <c r="F216" s="50" t="inlineStr">
        <is>
          <t>Super Carlin Brothers</t>
        </is>
      </c>
      <c r="G216" t="inlineStr">
        <is>
          <t>J vs Ben: Wheel of Punishment RETURNS - Harry Potter Trivia Quiz</t>
        </is>
      </c>
      <c r="H216" s="44" t="n">
        <v>0.03971064814814815</v>
      </c>
      <c r="I216" s="45" t="n">
        <v>106246</v>
      </c>
      <c r="J216" s="45" t="n">
        <v>3706</v>
      </c>
      <c r="K216" s="45" t="n">
        <v>464</v>
      </c>
      <c r="L216" s="46" t="n"/>
      <c r="M216" s="47" t="n"/>
      <c r="N216" s="47" t="inlineStr">
        <is>
          <t>UCKZo4N0lVPccBkSiuyVh4yg</t>
        </is>
      </c>
      <c r="O216" s="48" t="n">
        <v>45968.91041666667</v>
      </c>
      <c r="P216" s="49" t="n">
        <v>45968</v>
      </c>
      <c r="Q216" s="47" t="n">
        <v>3052</v>
      </c>
      <c r="R216" s="47" t="inlineStr">
        <is>
          <t>No Video ID yet</t>
        </is>
      </c>
      <c r="S216" s="49" t="n"/>
      <c r="T216" s="49" t="n"/>
      <c r="U216" s="47" t="inlineStr">
        <is>
          <t>Go to and use code super50off to get 50% off your first box, plus Free Breakfast for 1 Year. Tickets for Through The Griffin Tour South West are ON SALE NOW! Get Tix at The Wheel of Punishment is back with more Tricks and Treats - will the boys enjoy some Nerds clusters? Or Suffer the dreaded cinnamon challenge? Maybe even sample a Lil Nitro?! #harrypotter #SuperCarlinBrothers #JvsBen Written by :: The Quiz Masters Hosted by :: Ethan Edghill, Isybelle Christley &amp; Kat Stine THROUGH THE GRIFFIN TOUR SOUTHWEST 3/07: Denver, CO - Chapter 33 - Fight and Flight 3/09: Salt Lake City, UT - Chapter 34 - The Dept of Mysteries 3/11: Las Vegas, NV - Chapter 35 - Beyond the Veil 3/12: Phoenix, AZ- Chapter 36 - The Only One He Ever Feared 3/14: Houston, TX - Chapter 37 - The Lost Prophecy 3/15: Dallas, TX - Chapter 38 - The Second War Begins</t>
        </is>
      </c>
      <c r="V216" s="47">
        <f>IF(AND(P216&gt;=Calendar!$K$2,P216&lt;EDATE(Calendar!$K$2,1),OR(Calendar!$K$4="*",N216=Calendar!$K$4)),P216*100+COUNTIFS($P$6:$P$3267,P216,$Q$6:$Q$3267,"&lt;="&amp;Q216,$N$6:$N$3267,Calendar!$K$4),"")</f>
        <v/>
      </c>
      <c r="W216" s="47">
        <f>IF(AND(B216=Queue!$C$4,OR(Queue!$K$4="*",N216=Queue!$K$4)),Q216,"")</f>
        <v/>
      </c>
    </row>
    <row r="217">
      <c r="A217" s="38">
        <f>IF(M217="","",HYPERLINK("https://www.youtube.com/watch?v="&amp;M217,"▶"))</f>
        <v/>
      </c>
      <c r="B217" s="39">
        <f>IF(C217&lt;&gt;"",C217,IF(P217&lt;=IFERROR(INDEX(tblChannels[Watched Through],MATCH(N217,tblChannels[Channel ID],0)),0),"Watched","Unwatched"))</f>
        <v/>
      </c>
      <c r="C217" s="40" t="n"/>
      <c r="D217" s="41" t="n"/>
      <c r="E217" s="42" t="n">
        <v>45968.65972222222</v>
      </c>
      <c r="F217" s="51" t="inlineStr">
        <is>
          <t>Through The Griffin Door</t>
        </is>
      </c>
      <c r="G217" t="inlineStr">
        <is>
          <t>Live In Chicago - Chapter 11: The Sorting Hat's New Song | Order of the Phoenix</t>
        </is>
      </c>
      <c r="H217" s="44" t="n">
        <v>0.05263888888888889</v>
      </c>
      <c r="I217" s="45" t="n">
        <v>7417</v>
      </c>
      <c r="J217" s="45" t="n">
        <v>320</v>
      </c>
      <c r="K217" s="45" t="n">
        <v>58</v>
      </c>
      <c r="L217" s="46" t="n"/>
      <c r="M217" s="47" t="n"/>
      <c r="N217" s="47" t="inlineStr">
        <is>
          <t>UCEscP6ETYXWSSvsNrDHekMQ</t>
        </is>
      </c>
      <c r="O217" s="48" t="n">
        <v>45968.86805555555</v>
      </c>
      <c r="P217" s="49" t="n">
        <v>45968</v>
      </c>
      <c r="Q217" s="47" t="n">
        <v>3051</v>
      </c>
      <c r="R217" s="47" t="inlineStr">
        <is>
          <t>No Video ID yet</t>
        </is>
      </c>
      <c r="S217" s="49" t="n"/>
      <c r="T217" s="49" t="n"/>
      <c r="U217" s="47" t="inlineStr">
        <is>
          <t>Join J and Ben as they dive BACK into Chapter 11 of Order of the Phoenix LIVE IN CHICAGO! and honestly you just have to watch this one because J sings THE ENTIRE SONG and it is worth the price of admission</t>
        </is>
      </c>
      <c r="V217" s="47">
        <f>IF(AND(P217&gt;=Calendar!$K$2,P217&lt;EDATE(Calendar!$K$2,1),OR(Calendar!$K$4="*",N217=Calendar!$K$4)),P217*100+COUNTIFS($P$6:$P$3267,P217,$Q$6:$Q$3267,"&lt;="&amp;Q217,$N$6:$N$3267,Calendar!$K$4),"")</f>
        <v/>
      </c>
      <c r="W217" s="47">
        <f>IF(AND(B217=Queue!$C$4,OR(Queue!$K$4="*",N217=Queue!$K$4)),Q217,"")</f>
        <v/>
      </c>
    </row>
    <row r="218">
      <c r="A218" s="38">
        <f>IF(M218="","",HYPERLINK("https://www.youtube.com/watch?v="&amp;M218,"▶"))</f>
        <v/>
      </c>
      <c r="B218" s="39">
        <f>IF(C218&lt;&gt;"",C218,IF(P218&lt;=IFERROR(INDEX(tblChannels[Watched Through],MATCH(N218,tblChannels[Channel ID],0)),0),"Watched","Unwatched"))</f>
        <v/>
      </c>
      <c r="C218" s="40" t="n"/>
      <c r="D218" s="41" t="n"/>
      <c r="E218" s="42" t="n">
        <v>45968.54097222222</v>
      </c>
      <c r="F218" s="43" t="inlineStr">
        <is>
          <t>Popcorn Culture</t>
        </is>
      </c>
      <c r="G218" t="inlineStr">
        <is>
          <t>ARE WE LIVE?! | Popcorn Culture</t>
        </is>
      </c>
      <c r="H218" s="44" t="n">
        <v>0.04623842592592593</v>
      </c>
      <c r="I218" s="45" t="n">
        <v>2453</v>
      </c>
      <c r="J218" s="45" t="n">
        <v>120</v>
      </c>
      <c r="K218" s="45" t="n">
        <v>16</v>
      </c>
      <c r="L218" s="46" t="n"/>
      <c r="M218" s="47" t="n"/>
      <c r="N218" s="47" t="inlineStr">
        <is>
          <t>UCHfIbq9thHPC8yrKjAdJgDA</t>
        </is>
      </c>
      <c r="O218" s="48" t="n">
        <v>45968.74930555555</v>
      </c>
      <c r="P218" s="49" t="n">
        <v>45968</v>
      </c>
      <c r="Q218" s="47" t="n">
        <v>3050</v>
      </c>
      <c r="R218" s="47" t="inlineStr">
        <is>
          <t>No Video ID yet</t>
        </is>
      </c>
      <c r="S218" s="49" t="n"/>
      <c r="T218" s="49" t="n"/>
      <c r="U218" s="47" t="n"/>
      <c r="V218" s="47">
        <f>IF(AND(P218&gt;=Calendar!$K$2,P218&lt;EDATE(Calendar!$K$2,1),OR(Calendar!$K$4="*",N218=Calendar!$K$4)),P218*100+COUNTIFS($P$6:$P$3267,P218,$Q$6:$Q$3267,"&lt;="&amp;Q218,$N$6:$N$3267,Calendar!$K$4),"")</f>
        <v/>
      </c>
      <c r="W218" s="47">
        <f>IF(AND(B218=Queue!$C$4,OR(Queue!$K$4="*",N218=Queue!$K$4)),Q218,"")</f>
        <v/>
      </c>
    </row>
    <row r="219">
      <c r="A219" s="38">
        <f>IF(M219="","",HYPERLINK("https://www.youtube.com/watch?v="&amp;M219,"▶"))</f>
        <v/>
      </c>
      <c r="B219" s="39">
        <f>IF(C219&lt;&gt;"",C219,IF(P219&lt;=IFERROR(INDEX(tblChannels[Watched Through],MATCH(N219,tblChannels[Channel ID],0)),0),"Watched","Unwatched"))</f>
        <v/>
      </c>
      <c r="C219" s="40" t="n"/>
      <c r="D219" s="41" t="n"/>
      <c r="E219" s="42" t="n">
        <v>45968.48402777778</v>
      </c>
      <c r="F219" s="43" t="inlineStr">
        <is>
          <t>Popcorn Culture</t>
        </is>
      </c>
      <c r="G219" t="inlineStr">
        <is>
          <t>POP Question and A with Benjamin and J - 11/07/2025 - GETCHER TAQUITOS</t>
        </is>
      </c>
      <c r="H219" s="44" t="n">
        <v>0.00119212962962963</v>
      </c>
      <c r="I219" s="45" t="n">
        <v>452</v>
      </c>
      <c r="J219" s="45" t="n">
        <v>22</v>
      </c>
      <c r="K219" s="45" t="n">
        <v>3</v>
      </c>
      <c r="L219" s="46" t="n"/>
      <c r="M219" s="47" t="n"/>
      <c r="N219" s="47" t="inlineStr">
        <is>
          <t>UCHfIbq9thHPC8yrKjAdJgDA</t>
        </is>
      </c>
      <c r="O219" s="48" t="n">
        <v>45968.69236111111</v>
      </c>
      <c r="P219" s="49" t="n">
        <v>45968</v>
      </c>
      <c r="Q219" s="47" t="n">
        <v>3049</v>
      </c>
      <c r="R219" s="47" t="inlineStr">
        <is>
          <t>No Video ID yet</t>
        </is>
      </c>
      <c r="S219" s="49" t="n"/>
      <c r="T219" s="49" t="n"/>
      <c r="U219" s="47" t="inlineStr">
        <is>
          <t>Hello Patrons! As ever thank you for your support! Excited to chat with everyone and answer all the questions!</t>
        </is>
      </c>
      <c r="V219" s="47">
        <f>IF(AND(P219&gt;=Calendar!$K$2,P219&lt;EDATE(Calendar!$K$2,1),OR(Calendar!$K$4="*",N219=Calendar!$K$4)),P219*100+COUNTIFS($P$6:$P$3267,P219,$Q$6:$Q$3267,"&lt;="&amp;Q219,$N$6:$N$3267,Calendar!$K$4),"")</f>
        <v/>
      </c>
      <c r="W219" s="47">
        <f>IF(AND(B219=Queue!$C$4,OR(Queue!$K$4="*",N219=Queue!$K$4)),Q219,"")</f>
        <v/>
      </c>
    </row>
    <row r="220">
      <c r="A220" s="38">
        <f>IF(M220="","",HYPERLINK("https://www.youtube.com/watch?v="&amp;M220,"▶"))</f>
        <v/>
      </c>
      <c r="B220" s="39">
        <f>IF(C220&lt;&gt;"",C220,IF(P220&lt;=IFERROR(INDEX(tblChannels[Watched Through],MATCH(N220,tblChannels[Channel ID],0)),0),"Watched","Unwatched"))</f>
        <v/>
      </c>
      <c r="C220" s="40" t="n"/>
      <c r="D220" s="41" t="n"/>
      <c r="E220" s="42" t="n">
        <v>45968.41666666666</v>
      </c>
      <c r="F220" s="43" t="inlineStr">
        <is>
          <t>Popcorn Culture</t>
        </is>
      </c>
      <c r="G220" t="inlineStr">
        <is>
          <t>The BIGGEST NYC Marathon! | Popcorn Culture</t>
        </is>
      </c>
      <c r="H220" s="44" t="n">
        <v>0.04396990740740741</v>
      </c>
      <c r="I220" s="45" t="n">
        <v>2537</v>
      </c>
      <c r="J220" s="45" t="n">
        <v>125</v>
      </c>
      <c r="K220" s="45" t="n">
        <v>12</v>
      </c>
      <c r="L220" s="46" t="n"/>
      <c r="M220" s="47" t="n"/>
      <c r="N220" s="47" t="inlineStr">
        <is>
          <t>UCHfIbq9thHPC8yrKjAdJgDA</t>
        </is>
      </c>
      <c r="O220" s="48" t="n">
        <v>45968.625</v>
      </c>
      <c r="P220" s="49" t="n">
        <v>45968</v>
      </c>
      <c r="Q220" s="47" t="n">
        <v>3048</v>
      </c>
      <c r="R220" s="47" t="inlineStr">
        <is>
          <t>No Video ID yet</t>
        </is>
      </c>
      <c r="S220" s="49" t="n"/>
      <c r="T220" s="49" t="n"/>
      <c r="U220" s="47" t="inlineStr">
        <is>
          <t>In the 309th episode of the Pop, Ben and J discuss more travel woes, carboloading, The Great Gatsby, THE Marathon, cheering sprints, and future triathlons. Without Limits - Go Pin Pro HQ - The Great Gatsby -</t>
        </is>
      </c>
      <c r="V220" s="47">
        <f>IF(AND(P220&gt;=Calendar!$K$2,P220&lt;EDATE(Calendar!$K$2,1),OR(Calendar!$K$4="*",N220=Calendar!$K$4)),P220*100+COUNTIFS($P$6:$P$3267,P220,$Q$6:$Q$3267,"&lt;="&amp;Q220,$N$6:$N$3267,Calendar!$K$4),"")</f>
        <v/>
      </c>
      <c r="W220" s="47">
        <f>IF(AND(B220=Queue!$C$4,OR(Queue!$K$4="*",N220=Queue!$K$4)),Q220,"")</f>
        <v/>
      </c>
    </row>
    <row r="221">
      <c r="A221" s="38">
        <f>IF(M221="","",HYPERLINK("https://www.youtube.com/watch?v="&amp;M221,"▶"))</f>
        <v/>
      </c>
      <c r="B221" s="39">
        <f>IF(C221&lt;&gt;"",C221,IF(P221&lt;=IFERROR(INDEX(tblChannels[Watched Through],MATCH(N221,tblChannels[Channel ID],0)),0),"Watched","Unwatched"))</f>
        <v/>
      </c>
      <c r="C221" s="40" t="n"/>
      <c r="D221" s="41" t="n"/>
      <c r="E221" s="42" t="n">
        <v>45966.68263888889</v>
      </c>
      <c r="F221" s="50" t="inlineStr">
        <is>
          <t>Super Carlin Brothers</t>
        </is>
      </c>
      <c r="G221" t="inlineStr">
        <is>
          <t>Was Voldemort Planning to Eradicate ALL Wizards? | Harry Potter Theory</t>
        </is>
      </c>
      <c r="H221" s="44" t="n">
        <v>0.01060185185185185</v>
      </c>
      <c r="I221" s="45" t="n">
        <v>101211</v>
      </c>
      <c r="J221" s="45" t="n">
        <v>4529</v>
      </c>
      <c r="K221" s="45" t="n">
        <v>558</v>
      </c>
      <c r="L221" s="46" t="n"/>
      <c r="M221" s="47" t="n"/>
      <c r="N221" s="47" t="inlineStr">
        <is>
          <t>UCKZo4N0lVPccBkSiuyVh4yg</t>
        </is>
      </c>
      <c r="O221" s="48" t="n">
        <v>45966.89097222222</v>
      </c>
      <c r="P221" s="49" t="n">
        <v>45966</v>
      </c>
      <c r="Q221" s="47" t="n">
        <v>3047</v>
      </c>
      <c r="R221" s="47" t="inlineStr">
        <is>
          <t>No Video ID yet</t>
        </is>
      </c>
      <c r="S221" s="49" t="n"/>
      <c r="T221" s="49" t="n"/>
      <c r="U221" s="47" t="inlineStr">
        <is>
          <t>This episode is sponsored by BetterHelp – Go to to get 10% off your first month. Was Voldemort’s obsession with “purebloods” and immortality a front for something even darker? From the Gaunt family’s collapse to the twisted irony of his own half-blood heritage, this theory explores how Voldemort’s perfect world may have ended in the extinction of wizardkind itself. Join us as we explore what might’ve happened if the Boy Who Lived… hadn’t.</t>
        </is>
      </c>
      <c r="V221" s="47">
        <f>IF(AND(P221&gt;=Calendar!$K$2,P221&lt;EDATE(Calendar!$K$2,1),OR(Calendar!$K$4="*",N221=Calendar!$K$4)),P221*100+COUNTIFS($P$6:$P$3267,P221,$Q$6:$Q$3267,"&lt;="&amp;Q221,$N$6:$N$3267,Calendar!$K$4),"")</f>
        <v/>
      </c>
      <c r="W221" s="47">
        <f>IF(AND(B221=Queue!$C$4,OR(Queue!$K$4="*",N221=Queue!$K$4)),Q221,"")</f>
        <v/>
      </c>
    </row>
    <row r="222">
      <c r="A222" s="38">
        <f>IF(M222="","",HYPERLINK("https://www.youtube.com/watch?v="&amp;M222,"▶"))</f>
        <v/>
      </c>
      <c r="B222" s="39">
        <f>IF(C222&lt;&gt;"",C222,IF(P222&lt;=IFERROR(INDEX(tblChannels[Watched Through],MATCH(N222,tblChannels[Channel ID],0)),0),"Watched","Unwatched"))</f>
        <v/>
      </c>
      <c r="C222" s="40" t="n"/>
      <c r="D222" s="41" t="n"/>
      <c r="E222" s="42" t="n">
        <v>45966.45833333334</v>
      </c>
      <c r="F222" s="51" t="inlineStr">
        <is>
          <t>Through The Griffin Door</t>
        </is>
      </c>
      <c r="G222" t="inlineStr">
        <is>
          <t>THROUGH THE GRIFFIN TOUR - SOUTHWEST</t>
        </is>
      </c>
      <c r="H222" s="44" t="n">
        <v>0.001747685185185185</v>
      </c>
      <c r="I222" s="45" t="n">
        <v>2476</v>
      </c>
      <c r="J222" s="45" t="n">
        <v>158</v>
      </c>
      <c r="K222" s="45" t="n">
        <v>38</v>
      </c>
      <c r="L222" s="46" t="n"/>
      <c r="M222" s="47" t="n"/>
      <c r="N222" s="47" t="inlineStr">
        <is>
          <t>UCEscP6ETYXWSSvsNrDHekMQ</t>
        </is>
      </c>
      <c r="O222" s="48" t="n">
        <v>45966.66666666666</v>
      </c>
      <c r="P222" s="49" t="n">
        <v>45966</v>
      </c>
      <c r="Q222" s="47" t="n">
        <v>3046</v>
      </c>
      <c r="R222" s="47" t="inlineStr">
        <is>
          <t>No Video ID yet</t>
        </is>
      </c>
      <c r="S222" s="49" t="n"/>
      <c r="T222" s="49" t="n"/>
      <c r="U222" s="47" t="inlineStr">
        <is>
          <t>Calling All Griffin Doorks! We are so excited to announce that we will be continuing the Through the Griffin TOUR in the Southwest this March! Tickets go on sale THIS FRIDAY, November 7th at 10:00am LOCAL TIME. You can find the links to each location here on our website! Denver, CO - 03/07 Salt Lake City, UT - 03/09 Las Vegas, NV - 03/11 Phoenix, AZ - 03/12 Houston, TX - 03/14 Dallas, TX - 03/15 VIP tickets will be available yet again for this tour as well for an additional $50! These will include a VIP meet and greet with J and Ben, a signed tour poster and early/premium seating. Each of the websites does their VIP ticket add ons differently so be sure to pay attention to how to add that before you check out! Again, you can get your tickets here: on Friday, November 7th at 10:00am LOCAL TIME. We can’t wait to see you in real life, brother! Denver, CO - 03/07/2026: Salt Lake City, UT - 03/09/2026: Las Vegas, NV - 03/11/2026: Phoenix, AZ - 03/12/2026: Houston, TX - 03/14/2026: Dallas, TX - 03/15/2026:</t>
        </is>
      </c>
      <c r="V222" s="47">
        <f>IF(AND(P222&gt;=Calendar!$K$2,P222&lt;EDATE(Calendar!$K$2,1),OR(Calendar!$K$4="*",N222=Calendar!$K$4)),P222*100+COUNTIFS($P$6:$P$3267,P222,$Q$6:$Q$3267,"&lt;="&amp;Q222,$N$6:$N$3267,Calendar!$K$4),"")</f>
        <v/>
      </c>
      <c r="W222" s="47">
        <f>IF(AND(B222=Queue!$C$4,OR(Queue!$K$4="*",N222=Queue!$K$4)),Q222,"")</f>
        <v/>
      </c>
    </row>
    <row r="223">
      <c r="A223" s="38">
        <f>IF(M223="","",HYPERLINK("https://www.youtube.com/watch?v="&amp;M223,"▶"))</f>
        <v/>
      </c>
      <c r="B223" s="39">
        <f>IF(C223&lt;&gt;"",C223,IF(P223&lt;=IFERROR(INDEX(tblChannels[Watched Through],MATCH(N223,tblChannels[Channel ID],0)),0),"Watched","Unwatched"))</f>
        <v/>
      </c>
      <c r="C223" s="40" t="n"/>
      <c r="D223" s="41" t="n"/>
      <c r="E223" s="42" t="n">
        <v>45966.45833333334</v>
      </c>
      <c r="F223" s="50" t="inlineStr">
        <is>
          <t>Super Carlin Brothers</t>
        </is>
      </c>
      <c r="G223" t="inlineStr">
        <is>
          <t>THROUGH THE GRIFFIN TOUR - SOUTHWEST</t>
        </is>
      </c>
      <c r="H223" s="44" t="n">
        <v>0.0008564814814814815</v>
      </c>
      <c r="I223" s="45" t="n">
        <v>3913</v>
      </c>
      <c r="J223" s="45" t="n">
        <v>204</v>
      </c>
      <c r="K223" s="45" t="n">
        <v>70</v>
      </c>
      <c r="L223" s="46" t="n"/>
      <c r="M223" s="47" t="n"/>
      <c r="N223" s="47" t="inlineStr">
        <is>
          <t>UCKZo4N0lVPccBkSiuyVh4yg</t>
        </is>
      </c>
      <c r="O223" s="48" t="n">
        <v>45966.66666666666</v>
      </c>
      <c r="P223" s="49" t="n">
        <v>45966</v>
      </c>
      <c r="Q223" s="47" t="n">
        <v>3045</v>
      </c>
      <c r="R223" s="47" t="inlineStr">
        <is>
          <t>No Video ID yet</t>
        </is>
      </c>
      <c r="S223" s="49" t="n"/>
      <c r="T223" s="49" t="n"/>
      <c r="U223" s="47" t="inlineStr">
        <is>
          <t>Calling All Griffin Doorks! We are so excited to announce that we will be continuing the Through the Griffin TOUR in the Southwest this March! Tickets go on sale THIS FRIDAY, November 7th at 10:00am LOCAL TIME. You can find the links to each location here on our website! Denver, CO - 03/07 Salt Lake City, UT - 03/09 Las Vegas, NV - 03/11 Phoenix, AZ - 03/12 Houston, TX - 03/14 Dallas, TX - 03/15 VIP tickets will be available yet again for this tour as well for an additional $50! These will include a VIP meet and greet with J and Ben, a signed tour poster and early/premium seating. Each of the websites does their VIP ticket add ons differently so be sure to pay attention to how to add that before you check out! Again, you can get your tickets here: on Friday, November 7th at 10:00am LOCAL TIME. We can’t wait to see you in real life, brother! Denver, CO - 03/07/2026: Salt Lake City, UT - 03/09/2026: Las Vegas, NV - 03/11/2026: Phoenix, AZ - 03/12/2026: Houston, TX - 03/14/2026: Dallas, TX - 03/15/2026:</t>
        </is>
      </c>
      <c r="V223" s="47">
        <f>IF(AND(P223&gt;=Calendar!$K$2,P223&lt;EDATE(Calendar!$K$2,1),OR(Calendar!$K$4="*",N223=Calendar!$K$4)),P223*100+COUNTIFS($P$6:$P$3267,P223,$Q$6:$Q$3267,"&lt;="&amp;Q223,$N$6:$N$3267,Calendar!$K$4),"")</f>
        <v/>
      </c>
      <c r="W223" s="47">
        <f>IF(AND(B223=Queue!$C$4,OR(Queue!$K$4="*",N223=Queue!$K$4)),Q223,"")</f>
        <v/>
      </c>
    </row>
    <row r="224">
      <c r="A224" s="38">
        <f>IF(M224="","",HYPERLINK("https://www.youtube.com/watch?v="&amp;M224,"▶"))</f>
        <v/>
      </c>
      <c r="B224" s="39">
        <f>IF(C224&lt;&gt;"",C224,IF(P224&lt;=IFERROR(INDEX(tblChannels[Watched Through],MATCH(N224,tblChannels[Channel ID],0)),0),"Watched","Unwatched"))</f>
        <v/>
      </c>
      <c r="C224" s="40" t="n"/>
      <c r="D224" s="41" t="n"/>
      <c r="E224" s="42" t="n">
        <v>45963.41736111111</v>
      </c>
      <c r="F224" s="51" t="inlineStr">
        <is>
          <t>Through The Griffin Door</t>
        </is>
      </c>
      <c r="G224" t="inlineStr">
        <is>
          <t>Chapter 11: The Sorting Hat’s New Song | Order of the Phoenix</t>
        </is>
      </c>
      <c r="H224" s="44" t="n">
        <v>0.08046296296296296</v>
      </c>
      <c r="I224" s="45" t="n">
        <v>49858</v>
      </c>
      <c r="J224" s="45" t="n">
        <v>1232</v>
      </c>
      <c r="K224" s="45" t="n">
        <v>384</v>
      </c>
      <c r="L224" s="46" t="n"/>
      <c r="M224" s="47" t="n"/>
      <c r="N224" s="47" t="inlineStr">
        <is>
          <t>UCEscP6ETYXWSSvsNrDHekMQ</t>
        </is>
      </c>
      <c r="O224" s="48" t="n">
        <v>45963.62569444445</v>
      </c>
      <c r="P224" s="49" t="n">
        <v>45963</v>
      </c>
      <c r="Q224" s="47" t="n">
        <v>3044</v>
      </c>
      <c r="R224" s="47" t="inlineStr">
        <is>
          <t>No Video ID yet</t>
        </is>
      </c>
      <c r="S224" s="49" t="n"/>
      <c r="T224" s="49" t="n"/>
      <c r="U224" s="47" t="inlineStr">
        <is>
          <t>Join J and Ben as they dive into Chapter 11 of the Order of the Phoenix and discuss Luna’s thoughts on Hagrid, students whispering about Harry, Hagrid’s vegetarianism, the Hat’s song, the Founders, Umbridge’s speech and the ramifications of it. 07:25 - Chapter Breakdown 1:09:58 - Ad Break (Shopify) 1:11:23 - More Chapter Breakdown 1:41:47 - Closing Thoughts and Review</t>
        </is>
      </c>
      <c r="V224" s="47">
        <f>IF(AND(P224&gt;=Calendar!$K$2,P224&lt;EDATE(Calendar!$K$2,1),OR(Calendar!$K$4="*",N224=Calendar!$K$4)),P224*100+COUNTIFS($P$6:$P$3267,P224,$Q$6:$Q$3267,"&lt;="&amp;Q224,$N$6:$N$3267,Calendar!$K$4),"")</f>
        <v/>
      </c>
      <c r="W224" s="47">
        <f>IF(AND(B224=Queue!$C$4,OR(Queue!$K$4="*",N224=Queue!$K$4)),Q224,"")</f>
        <v/>
      </c>
    </row>
    <row r="225">
      <c r="A225" s="38">
        <f>IF(M225="","",HYPERLINK("https://www.youtube.com/watch?v="&amp;M225,"▶"))</f>
        <v/>
      </c>
      <c r="B225" s="39">
        <f>IF(C225&lt;&gt;"",C225,IF(P225&lt;=IFERROR(INDEX(tblChannels[Watched Through],MATCH(N225,tblChannels[Channel ID],0)),0),"Watched","Unwatched"))</f>
        <v/>
      </c>
      <c r="C225" s="40" t="n"/>
      <c r="D225" s="41" t="n"/>
      <c r="E225" s="42" t="n">
        <v>45961.67361111111</v>
      </c>
      <c r="F225" s="50" t="inlineStr">
        <is>
          <t>Super Carlin Brothers</t>
        </is>
      </c>
      <c r="G225" t="inlineStr">
        <is>
          <t>Why Dumbledore REALLY Says He See Socks In The Mirror | Harry Potter Theory</t>
        </is>
      </c>
      <c r="H225" s="44" t="n">
        <v>0.01108796296296296</v>
      </c>
      <c r="I225" s="45" t="n">
        <v>125461</v>
      </c>
      <c r="J225" s="45" t="n">
        <v>5312</v>
      </c>
      <c r="K225" s="45" t="n">
        <v>568</v>
      </c>
      <c r="L225" s="46" t="n"/>
      <c r="M225" s="47" t="n"/>
      <c r="N225" s="47" t="inlineStr">
        <is>
          <t>UCKZo4N0lVPccBkSiuyVh4yg</t>
        </is>
      </c>
      <c r="O225" s="48" t="n">
        <v>45961.84027777778</v>
      </c>
      <c r="P225" s="49" t="n">
        <v>45961</v>
      </c>
      <c r="Q225" s="47" t="n">
        <v>3043</v>
      </c>
      <c r="R225" s="47" t="inlineStr">
        <is>
          <t>No Video ID yet</t>
        </is>
      </c>
      <c r="S225" s="49" t="n"/>
      <c r="T225" s="49" t="n"/>
      <c r="U225" s="47" t="inlineStr">
        <is>
          <t>Today J dives into the Wizarding World of Harry Potter to reveal WHY Dumbledore claims to see himself holding socks in the Mirror of Erised. Go to and use code super50off to get 50% off your first box, plus Free Breakfast for 1 Year. It goes way deeper than you think. Today we break down the symbolism of socks across the entire Harry Potter series — from Dobby’s freedom to Hermione’s knitted S.P.E.W. gifts — and reveal how Dumbledore’s “joke” about socks actually hides his most profound regret: the family he lost and the freedom he never found. Go Check out Katy for more fun HP thoughts!</t>
        </is>
      </c>
      <c r="V225" s="47">
        <f>IF(AND(P225&gt;=Calendar!$K$2,P225&lt;EDATE(Calendar!$K$2,1),OR(Calendar!$K$4="*",N225=Calendar!$K$4)),P225*100+COUNTIFS($P$6:$P$3267,P225,$Q$6:$Q$3267,"&lt;="&amp;Q225,$N$6:$N$3267,Calendar!$K$4),"")</f>
        <v/>
      </c>
      <c r="W225" s="47">
        <f>IF(AND(B225=Queue!$C$4,OR(Queue!$K$4="*",N225=Queue!$K$4)),Q225,"")</f>
        <v/>
      </c>
    </row>
    <row r="226">
      <c r="A226" s="38">
        <f>IF(M226="","",HYPERLINK("https://www.youtube.com/watch?v="&amp;M226,"▶"))</f>
        <v/>
      </c>
      <c r="B226" s="39">
        <f>IF(C226&lt;&gt;"",C226,IF(P226&lt;=IFERROR(INDEX(tblChannels[Watched Through],MATCH(N226,tblChannels[Channel ID],0)),0),"Watched","Unwatched"))</f>
        <v/>
      </c>
      <c r="C226" s="40" t="n"/>
      <c r="D226" s="41" t="n"/>
      <c r="E226" s="42" t="n">
        <v>45961.41666666666</v>
      </c>
      <c r="F226" s="43" t="inlineStr">
        <is>
          <t>Popcorn Culture</t>
        </is>
      </c>
      <c r="G226" t="inlineStr">
        <is>
          <t>Luke’s Toy Empathy | Popcorn Culture</t>
        </is>
      </c>
      <c r="H226" s="44" t="n">
        <v>0.04458333333333334</v>
      </c>
      <c r="I226" s="45" t="n">
        <v>2770</v>
      </c>
      <c r="J226" s="45" t="n">
        <v>153</v>
      </c>
      <c r="K226" s="45" t="n">
        <v>23</v>
      </c>
      <c r="L226" s="46" t="n"/>
      <c r="M226" s="47" t="n"/>
      <c r="N226" s="47" t="inlineStr">
        <is>
          <t>UCHfIbq9thHPC8yrKjAdJgDA</t>
        </is>
      </c>
      <c r="O226" s="48" t="n">
        <v>45961.58333333334</v>
      </c>
      <c r="P226" s="49" t="n">
        <v>45961</v>
      </c>
      <c r="Q226" s="47" t="n">
        <v>3042</v>
      </c>
      <c r="R226" s="47" t="inlineStr">
        <is>
          <t>No Video ID yet</t>
        </is>
      </c>
      <c r="S226" s="49" t="n"/>
      <c r="T226" s="49" t="n"/>
      <c r="U226" s="47" t="inlineStr">
        <is>
          <t>In the 308th episode of the Pop, Ben and J discuss swimming in cold weather, BIG CHAP, KPop, Luke’s empathy, the Reverse Golden Rule, and analogies. KPop Demon Hunters - BLACKPINK - Elemental - Max Verstappen Song - Green Day - Nobody Wants This - BIG CHAP Chapless Benjamin 00:00 - Intro, Swimming 16:24 - An Embarrassing Story 28:33 - Luke’s Empathy</t>
        </is>
      </c>
      <c r="V226" s="47">
        <f>IF(AND(P226&gt;=Calendar!$K$2,P226&lt;EDATE(Calendar!$K$2,1),OR(Calendar!$K$4="*",N226=Calendar!$K$4)),P226*100+COUNTIFS($P$6:$P$3267,P226,$Q$6:$Q$3267,"&lt;="&amp;Q226,$N$6:$N$3267,Calendar!$K$4),"")</f>
        <v/>
      </c>
      <c r="W226" s="47">
        <f>IF(AND(B226=Queue!$C$4,OR(Queue!$K$4="*",N226=Queue!$K$4)),Q226,"")</f>
        <v/>
      </c>
    </row>
    <row r="227">
      <c r="A227" s="38">
        <f>IF(M227="","",HYPERLINK("https://www.youtube.com/watch?v="&amp;M227,"▶"))</f>
        <v/>
      </c>
      <c r="B227" s="39">
        <f>IF(C227&lt;&gt;"",C227,IF(P227&lt;=IFERROR(INDEX(tblChannels[Watched Through],MATCH(N227,tblChannels[Channel ID],0)),0),"Watched","Unwatched"))</f>
        <v/>
      </c>
      <c r="C227" s="40" t="n"/>
      <c r="D227" s="41" t="n"/>
      <c r="E227" s="42" t="n">
        <v>45960.70833333334</v>
      </c>
      <c r="F227" s="51" t="inlineStr">
        <is>
          <t>Through The Griffin Door</t>
        </is>
      </c>
      <c r="G227" t="inlineStr">
        <is>
          <t>Live In Milwaukee - Chapter 10: Luna Lovegood | Order of the Phoenix</t>
        </is>
      </c>
      <c r="H227" s="44" t="n">
        <v>0.0497337962962963</v>
      </c>
      <c r="I227" s="45" t="n">
        <v>7555</v>
      </c>
      <c r="J227" s="45" t="n">
        <v>319</v>
      </c>
      <c r="K227" s="45" t="n">
        <v>39</v>
      </c>
      <c r="L227" s="46" t="n"/>
      <c r="M227" s="47" t="n"/>
      <c r="N227" s="47" t="inlineStr">
        <is>
          <t>UCEscP6ETYXWSSvsNrDHekMQ</t>
        </is>
      </c>
      <c r="O227" s="48" t="n">
        <v>45960.875</v>
      </c>
      <c r="P227" s="49" t="n">
        <v>45960</v>
      </c>
      <c r="Q227" s="47" t="n">
        <v>3041</v>
      </c>
      <c r="R227" s="47" t="inlineStr">
        <is>
          <t>No Video ID yet</t>
        </is>
      </c>
      <c r="S227" s="49" t="n"/>
      <c r="T227" s="49" t="n"/>
      <c r="U227" s="47" t="inlineStr">
        <is>
          <t>Join J and Ben as they dive BACK into Chapter 10 of Order of the Phoenix LIVE IN MILWAUKEE! and discuss the merits of various highlighter colors, why Molly and Sirius are always bickering, and who the heck the extra Gryffindor girl is!</t>
        </is>
      </c>
      <c r="V227" s="47">
        <f>IF(AND(P227&gt;=Calendar!$K$2,P227&lt;EDATE(Calendar!$K$2,1),OR(Calendar!$K$4="*",N227=Calendar!$K$4)),P227*100+COUNTIFS($P$6:$P$3267,P227,$Q$6:$Q$3267,"&lt;="&amp;Q227,$N$6:$N$3267,Calendar!$K$4),"")</f>
        <v/>
      </c>
      <c r="W227" s="47">
        <f>IF(AND(B227=Queue!$C$4,OR(Queue!$K$4="*",N227=Queue!$K$4)),Q227,"")</f>
        <v/>
      </c>
    </row>
    <row r="228">
      <c r="A228" s="38">
        <f>IF(M228="","",HYPERLINK("https://www.youtube.com/watch?v="&amp;M228,"▶"))</f>
        <v/>
      </c>
      <c r="B228" s="39">
        <f>IF(C228&lt;&gt;"",C228,IF(P228&lt;=IFERROR(INDEX(tblChannels[Watched Through],MATCH(N228,tblChannels[Channel ID],0)),0),"Watched","Unwatched"))</f>
        <v/>
      </c>
      <c r="C228" s="40" t="n"/>
      <c r="D228" s="41" t="n"/>
      <c r="E228" s="42" t="n">
        <v>45959.7125</v>
      </c>
      <c r="F228" s="50" t="inlineStr">
        <is>
          <t>Super Carlin Brothers</t>
        </is>
      </c>
      <c r="G228" t="inlineStr">
        <is>
          <t>Could Draco Malfoy Have Become Master of Death?! | Harry Potter Theory</t>
        </is>
      </c>
      <c r="H228" s="44" t="n">
        <v>0.01446759259259259</v>
      </c>
      <c r="I228" s="45" t="n">
        <v>99118</v>
      </c>
      <c r="J228" s="45" t="n">
        <v>3371</v>
      </c>
      <c r="K228" s="45" t="n">
        <v>368</v>
      </c>
      <c r="L228" s="46" t="n"/>
      <c r="M228" s="47" t="n"/>
      <c r="N228" s="47" t="inlineStr">
        <is>
          <t>UCKZo4N0lVPccBkSiuyVh4yg</t>
        </is>
      </c>
      <c r="O228" s="48" t="n">
        <v>45959.87916666667</v>
      </c>
      <c r="P228" s="49" t="n">
        <v>45959</v>
      </c>
      <c r="Q228" s="47" t="n">
        <v>3040</v>
      </c>
      <c r="R228" s="47" t="inlineStr">
        <is>
          <t>No Video ID yet</t>
        </is>
      </c>
      <c r="S228" s="49" t="n"/>
      <c r="T228" s="49" t="n"/>
      <c r="U228" s="47" t="inlineStr">
        <is>
          <t>Today J dives into the Wizarding World of Harry Potter to ask What If Draco kept the invisibility cloak when he takes it from Harry on the Train? This episode is sponsored by BetterHelp – Go to to get 10% off your first month. This episode is sponsored by Uncommon Goods – Go to for 15% off your next gift. Could Draco have used it to unwittingly become master of Death? What does it take to Master the Cloak? Could Draco have defeated Voldemort if he had united the Deathly Hallows?</t>
        </is>
      </c>
      <c r="V228" s="47">
        <f>IF(AND(P228&gt;=Calendar!$K$2,P228&lt;EDATE(Calendar!$K$2,1),OR(Calendar!$K$4="*",N228=Calendar!$K$4)),P228*100+COUNTIFS($P$6:$P$3267,P228,$Q$6:$Q$3267,"&lt;="&amp;Q228,$N$6:$N$3267,Calendar!$K$4),"")</f>
        <v/>
      </c>
      <c r="W228" s="47">
        <f>IF(AND(B228=Queue!$C$4,OR(Queue!$K$4="*",N228=Queue!$K$4)),Q228,"")</f>
        <v/>
      </c>
    </row>
    <row r="229">
      <c r="A229" s="38">
        <f>IF(M229="","",HYPERLINK("https://www.youtube.com/watch?v="&amp;M229,"▶"))</f>
        <v/>
      </c>
      <c r="B229" s="39">
        <f>IF(C229&lt;&gt;"",C229,IF(P229&lt;=IFERROR(INDEX(tblChannels[Watched Through],MATCH(N229,tblChannels[Channel ID],0)),0),"Watched","Unwatched"))</f>
        <v/>
      </c>
      <c r="C229" s="40" t="n"/>
      <c r="D229" s="41" t="n"/>
      <c r="E229" s="42" t="n">
        <v>45956.41736111111</v>
      </c>
      <c r="F229" s="51" t="inlineStr">
        <is>
          <t>Through The Griffin Door</t>
        </is>
      </c>
      <c r="G229" t="inlineStr">
        <is>
          <t>Chapter 10: Luna Lovegood | Order of the Phoenix</t>
        </is>
      </c>
      <c r="H229" s="44" t="n">
        <v>0.07400462962962963</v>
      </c>
      <c r="I229" s="45" t="n">
        <v>49702</v>
      </c>
      <c r="J229" s="45" t="n">
        <v>1305</v>
      </c>
      <c r="K229" s="45" t="n">
        <v>457</v>
      </c>
      <c r="L229" s="46" t="n"/>
      <c r="M229" s="47" t="n"/>
      <c r="N229" s="47" t="inlineStr">
        <is>
          <t>UCEscP6ETYXWSSvsNrDHekMQ</t>
        </is>
      </c>
      <c r="O229" s="48" t="n">
        <v>45956.58402777778</v>
      </c>
      <c r="P229" s="49" t="n">
        <v>45956</v>
      </c>
      <c r="Q229" s="47" t="n">
        <v>3039</v>
      </c>
      <c r="R229" s="47" t="inlineStr">
        <is>
          <t>No Video ID yet</t>
        </is>
      </c>
      <c r="S229" s="49" t="n"/>
      <c r="T229" s="49" t="n"/>
      <c r="U229" s="47" t="inlineStr">
        <is>
          <t>Join J and Ben as they dive into Chapter 10 of the Order of the Phoenix and discuss Harry’s Dream, hurriedly leaving Grimmauld Place, the different Hogwarts Express ride, the Mimbulus Mimbletonia, RedMoon, and Hagrid missing and the Thestrals. The Jumper - 07:09 - Chapter Breakdown 1:35:02 - Closing Thoughts and Review</t>
        </is>
      </c>
      <c r="V229" s="47">
        <f>IF(AND(P229&gt;=Calendar!$K$2,P229&lt;EDATE(Calendar!$K$2,1),OR(Calendar!$K$4="*",N229=Calendar!$K$4)),P229*100+COUNTIFS($P$6:$P$3267,P229,$Q$6:$Q$3267,"&lt;="&amp;Q229,$N$6:$N$3267,Calendar!$K$4),"")</f>
        <v/>
      </c>
      <c r="W229" s="47">
        <f>IF(AND(B229=Queue!$C$4,OR(Queue!$K$4="*",N229=Queue!$K$4)),Q229,"")</f>
        <v/>
      </c>
    </row>
    <row r="230">
      <c r="A230" s="38">
        <f>IF(M230="","",HYPERLINK("https://www.youtube.com/watch?v="&amp;M230,"▶"))</f>
        <v/>
      </c>
      <c r="B230" s="39">
        <f>IF(C230&lt;&gt;"",C230,IF(P230&lt;=IFERROR(INDEX(tblChannels[Watched Through],MATCH(N230,tblChannels[Channel ID],0)),0),"Watched","Unwatched"))</f>
        <v/>
      </c>
      <c r="C230" s="40" t="n"/>
      <c r="D230" s="41" t="n"/>
      <c r="E230" s="42" t="n">
        <v>45955.41666666666</v>
      </c>
      <c r="F230" s="50" t="inlineStr">
        <is>
          <t>Super Carlin Brothers</t>
        </is>
      </c>
      <c r="G230" t="inlineStr">
        <is>
          <t>Through the Griffin Door Supercut: Order of the Phoenix Chapters 7-9</t>
        </is>
      </c>
      <c r="H230" s="44" t="n">
        <v>0.2155555555555556</v>
      </c>
      <c r="I230" s="45" t="n">
        <v>9813</v>
      </c>
      <c r="J230" s="45" t="n">
        <v>202</v>
      </c>
      <c r="K230" s="45" t="n">
        <v>38</v>
      </c>
      <c r="L230" s="46" t="n"/>
      <c r="M230" s="47" t="n"/>
      <c r="N230" s="47" t="inlineStr">
        <is>
          <t>UCKZo4N0lVPccBkSiuyVh4yg</t>
        </is>
      </c>
      <c r="O230" s="48" t="n">
        <v>45955.58333333334</v>
      </c>
      <c r="P230" s="49" t="n">
        <v>45955</v>
      </c>
      <c r="Q230" s="47" t="n">
        <v>3038</v>
      </c>
      <c r="R230" s="47" t="inlineStr">
        <is>
          <t>No Video ID yet</t>
        </is>
      </c>
      <c r="S230" s="49" t="n"/>
      <c r="T230" s="49" t="n"/>
      <c r="U230" s="47" t="inlineStr">
        <is>
          <t>00:00:00 - Chapter 7: The Ministry of Magic 1:32:40 - Chapter 8: The Hearing 3:15:38 - Chapter 9: The Woes of Mrs. Weasley</t>
        </is>
      </c>
      <c r="V230" s="47">
        <f>IF(AND(P230&gt;=Calendar!$K$2,P230&lt;EDATE(Calendar!$K$2,1),OR(Calendar!$K$4="*",N230=Calendar!$K$4)),P230*100+COUNTIFS($P$6:$P$3267,P230,$Q$6:$Q$3267,"&lt;="&amp;Q230,$N$6:$N$3267,Calendar!$K$4),"")</f>
        <v/>
      </c>
      <c r="W230" s="47">
        <f>IF(AND(B230=Queue!$C$4,OR(Queue!$K$4="*",N230=Queue!$K$4)),Q230,"")</f>
        <v/>
      </c>
    </row>
    <row r="231">
      <c r="A231" s="38">
        <f>IF(M231="","",HYPERLINK("https://www.youtube.com/watch?v="&amp;M231,"▶"))</f>
        <v/>
      </c>
      <c r="B231" s="39">
        <f>IF(C231&lt;&gt;"",C231,IF(P231&lt;=IFERROR(INDEX(tblChannels[Watched Through],MATCH(N231,tblChannels[Channel ID],0)),0),"Watched","Unwatched"))</f>
        <v/>
      </c>
      <c r="C231" s="40" t="n"/>
      <c r="D231" s="41" t="n"/>
      <c r="E231" s="42" t="n">
        <v>45955.23819444444</v>
      </c>
      <c r="F231" s="52" t="inlineStr">
        <is>
          <t>Super Carlin Gaming</t>
        </is>
      </c>
      <c r="G231" t="inlineStr">
        <is>
          <t>PRISMATIC EVOLUTIONS - Box Breakers SEASON 16 - THE Finale - 10/24/2025</t>
        </is>
      </c>
      <c r="H231" s="44" t="n">
        <v>0.1302199074074074</v>
      </c>
      <c r="I231" s="45" t="n">
        <v>832</v>
      </c>
      <c r="J231" s="45" t="n">
        <v>40</v>
      </c>
      <c r="K231" s="45" t="n">
        <v>4</v>
      </c>
      <c r="L231" s="46" t="n"/>
      <c r="M231" s="47" t="n"/>
      <c r="N231" s="47" t="inlineStr">
        <is>
          <t>UCor_9jRnNNZVzTuQ92PKsaQ</t>
        </is>
      </c>
      <c r="O231" s="48" t="n">
        <v>45955.40486111111</v>
      </c>
      <c r="P231" s="49" t="n">
        <v>45955</v>
      </c>
      <c r="Q231" s="47" t="n">
        <v>3037</v>
      </c>
      <c r="R231" s="47" t="inlineStr">
        <is>
          <t>No Video ID yet</t>
        </is>
      </c>
      <c r="S231" s="49" t="n"/>
      <c r="T231" s="49" t="n"/>
      <c r="U231" s="47" t="inlineStr">
        <is>
          <t>(no acoustic set included that was a joke) Also this is Ben. Let me know if you see this. I feel like I'm writing a 21st century message in a bottle. Just wondering who finds it. Apparently you. A job well done to say the least. Anyway - I know you need to hear this today. You're killing it. And 'it' is your goals and accomplishments. anyway, happy holidays. in october.</t>
        </is>
      </c>
      <c r="V231" s="47">
        <f>IF(AND(P231&gt;=Calendar!$K$2,P231&lt;EDATE(Calendar!$K$2,1),OR(Calendar!$K$4="*",N231=Calendar!$K$4)),P231*100+COUNTIFS($P$6:$P$3267,P231,$Q$6:$Q$3267,"&lt;="&amp;Q231,$N$6:$N$3267,Calendar!$K$4),"")</f>
        <v/>
      </c>
      <c r="W231" s="47">
        <f>IF(AND(B231=Queue!$C$4,OR(Queue!$K$4="*",N231=Queue!$K$4)),Q231,"")</f>
        <v/>
      </c>
    </row>
    <row r="232">
      <c r="A232" s="38">
        <f>IF(M232="","",HYPERLINK("https://www.youtube.com/watch?v="&amp;M232,"▶"))</f>
        <v/>
      </c>
      <c r="B232" s="39">
        <f>IF(C232&lt;&gt;"",C232,IF(P232&lt;=IFERROR(INDEX(tblChannels[Watched Through],MATCH(N232,tblChannels[Channel ID],0)),0),"Watched","Unwatched"))</f>
        <v/>
      </c>
      <c r="C232" s="40" t="n"/>
      <c r="D232" s="41" t="n"/>
      <c r="E232" s="42" t="n">
        <v>45954.72361111111</v>
      </c>
      <c r="F232" s="50" t="inlineStr">
        <is>
          <t>Super Carlin Brothers</t>
        </is>
      </c>
      <c r="G232" t="inlineStr">
        <is>
          <t>J vs Ben: MAX DIFFICULTY Goblet of Fire Open Book Harry Potter Quiz</t>
        </is>
      </c>
      <c r="H232" s="44" t="n">
        <v>0.03657407407407407</v>
      </c>
      <c r="I232" s="45" t="n">
        <v>92786</v>
      </c>
      <c r="J232" s="45" t="n">
        <v>3000</v>
      </c>
      <c r="K232" s="45" t="n">
        <v>342</v>
      </c>
      <c r="L232" s="46" t="n"/>
      <c r="M232" s="47" t="n"/>
      <c r="N232" s="47" t="inlineStr">
        <is>
          <t>UCKZo4N0lVPccBkSiuyVh4yg</t>
        </is>
      </c>
      <c r="O232" s="48" t="n">
        <v>45954.89027777778</v>
      </c>
      <c r="P232" s="49" t="n">
        <v>45954</v>
      </c>
      <c r="Q232" s="47" t="n">
        <v>3036</v>
      </c>
      <c r="R232" s="47" t="inlineStr">
        <is>
          <t>No Video ID yet</t>
        </is>
      </c>
      <c r="S232" s="49" t="n"/>
      <c r="T232" s="49" t="n"/>
      <c r="U232" s="47" t="inlineStr">
        <is>
          <t>Go to now to Get 10 Free Meals + a Free Item for Life! Join the Wizarding Candle Club :: Today J and Ben face off once more to find out who knows more about Harry Potter and the Goblet of Fire, but this time, IT’S OPEN BOOK! The Quiz Masters have pulled out all the stops and found the craziest details, now its up to the brothers to track them down… in under 30 sec. Think you can beat the SuperCarlinBrothers at their own game? Grab your copy and play along! Become a Quiz Master :: Huge thanks to our amazing patrons for submitting questions :: Katrina A., Sam Shunpike, Drawing Xaos, Angela Merkel, Dorian R., Patch McStuffins, Tara Walker, Jessica Theriault, Jamie :), Cam of the Math Budget, Dola (Big D), kyuubibob, Teghan Denlinger, SweaterBrothers and The Other Ben C #HarryPotter #SuperCarlinBrothers #JvsBen #GobletOfFIre Written by :: The Quiz Masters! Hosted by :: Ethan Edghil</t>
        </is>
      </c>
      <c r="V232" s="47">
        <f>IF(AND(P232&gt;=Calendar!$K$2,P232&lt;EDATE(Calendar!$K$2,1),OR(Calendar!$K$4="*",N232=Calendar!$K$4)),P232*100+COUNTIFS($P$6:$P$3267,P232,$Q$6:$Q$3267,"&lt;="&amp;Q232,$N$6:$N$3267,Calendar!$K$4),"")</f>
        <v/>
      </c>
      <c r="W232" s="47">
        <f>IF(AND(B232=Queue!$C$4,OR(Queue!$K$4="*",N232=Queue!$K$4)),Q232,"")</f>
        <v/>
      </c>
    </row>
    <row r="233">
      <c r="A233" s="38">
        <f>IF(M233="","",HYPERLINK("https://www.youtube.com/watch?v="&amp;M233,"▶"))</f>
        <v/>
      </c>
      <c r="B233" s="39">
        <f>IF(C233&lt;&gt;"",C233,IF(P233&lt;=IFERROR(INDEX(tblChannels[Watched Through],MATCH(N233,tblChannels[Channel ID],0)),0),"Watched","Unwatched"))</f>
        <v/>
      </c>
      <c r="C233" s="40" t="n"/>
      <c r="D233" s="41" t="n"/>
      <c r="E233" s="42" t="n">
        <v>45954.41666666666</v>
      </c>
      <c r="F233" s="43" t="inlineStr">
        <is>
          <t>Popcorn Culture</t>
        </is>
      </c>
      <c r="G233" t="inlineStr">
        <is>
          <t>Ben’s WORST Week EVER! | Popcorn Culture</t>
        </is>
      </c>
      <c r="H233" s="44" t="n">
        <v>0.04984953703703704</v>
      </c>
      <c r="I233" s="45" t="n">
        <v>3416</v>
      </c>
      <c r="J233" s="45" t="n">
        <v>232</v>
      </c>
      <c r="K233" s="45" t="n">
        <v>93</v>
      </c>
      <c r="L233" s="46" t="n"/>
      <c r="M233" s="47" t="n"/>
      <c r="N233" s="47" t="inlineStr">
        <is>
          <t>UCHfIbq9thHPC8yrKjAdJgDA</t>
        </is>
      </c>
      <c r="O233" s="48" t="n">
        <v>45954.58333333334</v>
      </c>
      <c r="P233" s="49" t="n">
        <v>45954</v>
      </c>
      <c r="Q233" s="47" t="n">
        <v>3035</v>
      </c>
      <c r="R233" s="47" t="inlineStr">
        <is>
          <t>No Video ID yet</t>
        </is>
      </c>
      <c r="S233" s="49" t="n"/>
      <c r="T233" s="49" t="n"/>
      <c r="U233" s="47" t="inlineStr">
        <is>
          <t>Trigger Warning: This episode contains discussion of infertility and pregnancy loss (at 53:35 through the end of the episode) In the 307th episode of the Pop, Ben and J discuss strep tests, eye floaters, crashed cars, back pain, the Beer Mile, and the catalyst of the worst week. The Secret 4th Member of HUNTR/X Revealed! - BLACKPINK - Miracle on Ice -</t>
        </is>
      </c>
      <c r="V233" s="47">
        <f>IF(AND(P233&gt;=Calendar!$K$2,P233&lt;EDATE(Calendar!$K$2,1),OR(Calendar!$K$4="*",N233=Calendar!$K$4)),P233*100+COUNTIFS($P$6:$P$3267,P233,$Q$6:$Q$3267,"&lt;="&amp;Q233,$N$6:$N$3267,Calendar!$K$4),"")</f>
        <v/>
      </c>
      <c r="W233" s="47">
        <f>IF(AND(B233=Queue!$C$4,OR(Queue!$K$4="*",N233=Queue!$K$4)),Q233,"")</f>
        <v/>
      </c>
    </row>
    <row r="234">
      <c r="A234" s="38">
        <f>IF(M234="","",HYPERLINK("https://www.youtube.com/watch?v="&amp;M234,"▶"))</f>
        <v/>
      </c>
      <c r="B234" s="39">
        <f>IF(C234&lt;&gt;"",C234,IF(P234&lt;=IFERROR(INDEX(tblChannels[Watched Through],MATCH(N234,tblChannels[Channel ID],0)),0),"Watched","Unwatched"))</f>
        <v/>
      </c>
      <c r="C234" s="40" t="n"/>
      <c r="D234" s="41" t="n"/>
      <c r="E234" s="42" t="n">
        <v>45952.70833333334</v>
      </c>
      <c r="F234" s="51" t="inlineStr">
        <is>
          <t>Through The Griffin Door</t>
        </is>
      </c>
      <c r="G234" t="inlineStr">
        <is>
          <t>Live in St. Paul - Chapter 9: The Woes of Mrs. Weasley | Order of the Phoenix</t>
        </is>
      </c>
      <c r="H234" s="44" t="n">
        <v>0.05753472222222222</v>
      </c>
      <c r="I234" s="45" t="n">
        <v>9222</v>
      </c>
      <c r="J234" s="45" t="n">
        <v>385</v>
      </c>
      <c r="K234" s="45" t="n">
        <v>67</v>
      </c>
      <c r="L234" s="46" t="n"/>
      <c r="M234" s="47" t="n"/>
      <c r="N234" s="47" t="inlineStr">
        <is>
          <t>UCEscP6ETYXWSSvsNrDHekMQ</t>
        </is>
      </c>
      <c r="O234" s="48" t="n">
        <v>45952.875</v>
      </c>
      <c r="P234" s="49" t="n">
        <v>45952</v>
      </c>
      <c r="Q234" s="47" t="n">
        <v>3034</v>
      </c>
      <c r="R234" s="47" t="inlineStr">
        <is>
          <t>No Video ID yet</t>
        </is>
      </c>
      <c r="S234" s="49" t="n"/>
      <c r="T234" s="49" t="n"/>
      <c r="U234" s="47" t="inlineStr">
        <is>
          <t>Join J and Ben as they dive BACK into Chapter 9 of Order of the Phoenix LIVE IN ST. PAUL!! and discuss Harry not really being a prefect, He Got Off, Ron actually being the prefect, HE GOT OFF, how depressing the original Order of the Phoenix picture is, and H E G O T O F F. And then the Dragons Arrived T-Shirt - Posters -</t>
        </is>
      </c>
      <c r="V234" s="47">
        <f>IF(AND(P234&gt;=Calendar!$K$2,P234&lt;EDATE(Calendar!$K$2,1),OR(Calendar!$K$4="*",N234=Calendar!$K$4)),P234*100+COUNTIFS($P$6:$P$3267,P234,$Q$6:$Q$3267,"&lt;="&amp;Q234,$N$6:$N$3267,Calendar!$K$4),"")</f>
        <v/>
      </c>
      <c r="W234" s="47">
        <f>IF(AND(B234=Queue!$C$4,OR(Queue!$K$4="*",N234=Queue!$K$4)),Q234,"")</f>
        <v/>
      </c>
    </row>
    <row r="235">
      <c r="A235" s="38">
        <f>IF(M235="","",HYPERLINK("https://www.youtube.com/watch?v="&amp;M235,"▶"))</f>
        <v/>
      </c>
      <c r="B235" s="39">
        <f>IF(C235&lt;&gt;"",C235,IF(P235&lt;=IFERROR(INDEX(tblChannels[Watched Through],MATCH(N235,tblChannels[Channel ID],0)),0),"Watched","Unwatched"))</f>
        <v/>
      </c>
      <c r="C235" s="40" t="n"/>
      <c r="D235" s="41" t="n"/>
      <c r="E235" s="42" t="n">
        <v>45952.70625</v>
      </c>
      <c r="F235" s="50" t="inlineStr">
        <is>
          <t>Super Carlin Brothers</t>
        </is>
      </c>
      <c r="G235" t="inlineStr">
        <is>
          <t>The FOURTH HUNTER Theory | KPop Demon Hunters</t>
        </is>
      </c>
      <c r="H235" s="44" t="n">
        <v>0.01166666666666667</v>
      </c>
      <c r="I235" s="45" t="n">
        <v>36633</v>
      </c>
      <c r="J235" s="45" t="n">
        <v>2511</v>
      </c>
      <c r="K235" s="45" t="n">
        <v>441</v>
      </c>
      <c r="L235" s="46" t="n"/>
      <c r="M235" s="47" t="n"/>
      <c r="N235" s="47" t="inlineStr">
        <is>
          <t>UCKZo4N0lVPccBkSiuyVh4yg</t>
        </is>
      </c>
      <c r="O235" s="48" t="n">
        <v>45952.87291666667</v>
      </c>
      <c r="P235" s="49" t="n">
        <v>45952</v>
      </c>
      <c r="Q235" s="47" t="n">
        <v>3033</v>
      </c>
      <c r="R235" s="47" t="inlineStr">
        <is>
          <t>No Video ID yet</t>
        </is>
      </c>
      <c r="S235" s="49" t="n"/>
      <c r="T235" s="49" t="n"/>
      <c r="U235" s="47" t="inlineStr">
        <is>
          <t>This episode is sponsored by BetterHelp – Go to to get 10% off your first month. Today J dives into the musical world of HUNTR/X and KPop Demon Hunters to break down the hidden mythology, real-world K-Pop inspirations, and ancient Korean lore that might reveal the identity of the missing Hunter. From Rumi’s White Tiger symbolism 🐅 to Zoe’s Dragon motifs 🐉 and Mara’s Tortoise armor 🐢 — there’s one Guardian left unaccounted for… the Vermilion Bird of the South. 🔥 Could this missing Phoenix represent a new girl yet to debut? Or maybe someone we already know.. BLACKPINK: DDU-DU DDU-DU: Thanks to the redditors: Sources: Minhwah :: The Korean Tiger :: Why the tiger is prominent in Korean Culture :: Four Symbols :: Korean Dragon :: BlackPink :: The Kim Sisters :: Insooni :: S.E.S. :: #KPOPDemonHunters #SuperCarlinBrothers</t>
        </is>
      </c>
      <c r="V235" s="47">
        <f>IF(AND(P235&gt;=Calendar!$K$2,P235&lt;EDATE(Calendar!$K$2,1),OR(Calendar!$K$4="*",N235=Calendar!$K$4)),P235*100+COUNTIFS($P$6:$P$3267,P235,$Q$6:$Q$3267,"&lt;="&amp;Q235,$N$6:$N$3267,Calendar!$K$4),"")</f>
        <v/>
      </c>
      <c r="W235" s="47">
        <f>IF(AND(B235=Queue!$C$4,OR(Queue!$K$4="*",N235=Queue!$K$4)),Q235,"")</f>
        <v/>
      </c>
    </row>
    <row r="236">
      <c r="A236" s="38">
        <f>IF(M236="","",HYPERLINK("https://www.youtube.com/watch?v="&amp;M236,"▶"))</f>
        <v/>
      </c>
      <c r="B236" s="39">
        <f>IF(C236&lt;&gt;"",C236,IF(P236&lt;=IFERROR(INDEX(tblChannels[Watched Through],MATCH(N236,tblChannels[Channel ID],0)),0),"Watched","Unwatched"))</f>
        <v/>
      </c>
      <c r="C236" s="40" t="n"/>
      <c r="D236" s="41" t="n"/>
      <c r="E236" s="42" t="n">
        <v>45951.58194444444</v>
      </c>
      <c r="F236" s="50" t="inlineStr">
        <is>
          <t>Super Carlin Brothers</t>
        </is>
      </c>
      <c r="G236" t="inlineStr">
        <is>
          <t>Fred &amp; George POISONED Cormac McClaggen! | Harry Potter</t>
        </is>
      </c>
      <c r="H236" s="44" t="n">
        <v>0.00130787037037037</v>
      </c>
      <c r="I236" s="45" t="n">
        <v>86182</v>
      </c>
      <c r="J236" s="45" t="n">
        <v>2983</v>
      </c>
      <c r="K236" s="45" t="n">
        <v>48</v>
      </c>
      <c r="L236" s="46" t="n"/>
      <c r="M236" s="47" t="n"/>
      <c r="N236" s="47" t="inlineStr">
        <is>
          <t>UCKZo4N0lVPccBkSiuyVh4yg</t>
        </is>
      </c>
      <c r="O236" s="48" t="n">
        <v>45951.74861111111</v>
      </c>
      <c r="P236" s="49" t="n">
        <v>45951</v>
      </c>
      <c r="Q236" s="47" t="n">
        <v>3032</v>
      </c>
      <c r="R236" s="47" t="inlineStr">
        <is>
          <t>No Video ID yet</t>
        </is>
      </c>
      <c r="S236" s="49" t="n"/>
      <c r="T236" s="49" t="n"/>
      <c r="U236" s="47" t="inlineStr">
        <is>
          <t>Ron’s Quidditch career might not be as lucky as it seems — and it’s not because of Felix Felicis! Turns out, Fred and George may have accidentally cleared the competition long before Ron’s tryout even began.</t>
        </is>
      </c>
      <c r="V236" s="47">
        <f>IF(AND(P236&gt;=Calendar!$K$2,P236&lt;EDATE(Calendar!$K$2,1),OR(Calendar!$K$4="*",N236=Calendar!$K$4)),P236*100+COUNTIFS($P$6:$P$3267,P236,$Q$6:$Q$3267,"&lt;="&amp;Q236,$N$6:$N$3267,Calendar!$K$4),"")</f>
        <v/>
      </c>
      <c r="W236" s="47">
        <f>IF(AND(B236=Queue!$C$4,OR(Queue!$K$4="*",N236=Queue!$K$4)),Q236,"")</f>
        <v/>
      </c>
    </row>
    <row r="237">
      <c r="A237" s="38">
        <f>IF(M237="","",HYPERLINK("https://www.youtube.com/watch?v="&amp;M237,"▶"))</f>
        <v/>
      </c>
      <c r="B237" s="39">
        <f>IF(C237&lt;&gt;"",C237,IF(P237&lt;=IFERROR(INDEX(tblChannels[Watched Through],MATCH(N237,tblChannels[Channel ID],0)),0),"Watched","Unwatched"))</f>
        <v/>
      </c>
      <c r="C237" s="40" t="n"/>
      <c r="D237" s="41" t="n"/>
      <c r="E237" s="42" t="n">
        <v>45949.41666666666</v>
      </c>
      <c r="F237" s="51" t="inlineStr">
        <is>
          <t>Through The Griffin Door</t>
        </is>
      </c>
      <c r="G237" t="inlineStr">
        <is>
          <t>Chapter 9: The Woes of Mrs. Weasley | Order of the Phoenix</t>
        </is>
      </c>
      <c r="H237" s="44" t="n">
        <v>0.07969907407407407</v>
      </c>
      <c r="I237" s="45" t="n">
        <v>52446</v>
      </c>
      <c r="J237" s="45" t="n">
        <v>1343</v>
      </c>
      <c r="K237" s="45" t="n">
        <v>523</v>
      </c>
      <c r="L237" s="46" t="n"/>
      <c r="M237" s="47" t="n"/>
      <c r="N237" s="47" t="inlineStr">
        <is>
          <t>UCEscP6ETYXWSSvsNrDHekMQ</t>
        </is>
      </c>
      <c r="O237" s="48" t="n">
        <v>45949.58333333334</v>
      </c>
      <c r="P237" s="49" t="n">
        <v>45949</v>
      </c>
      <c r="Q237" s="47" t="n">
        <v>3031</v>
      </c>
      <c r="R237" s="47" t="inlineStr">
        <is>
          <t>No Video ID yet</t>
        </is>
      </c>
      <c r="S237" s="49" t="n"/>
      <c r="T237" s="49" t="n"/>
      <c r="U237" s="47" t="inlineStr">
        <is>
          <t>Join J and Ben as they dive into Chapter 9 of the Order of the Phoenix and discuss, the end of the hearing, chanting, Ron getting prefect, the OG Order picture, and the Boggart And then the Dragons Arrived T-Shirt - Posters - Was Percy Under The Imperius Curse? - 06:35 - Chapter Breakdown</t>
        </is>
      </c>
      <c r="V237" s="47">
        <f>IF(AND(P237&gt;=Calendar!$K$2,P237&lt;EDATE(Calendar!$K$2,1),OR(Calendar!$K$4="*",N237=Calendar!$K$4)),P237*100+COUNTIFS($P$6:$P$3267,P237,$Q$6:$Q$3267,"&lt;="&amp;Q237,$N$6:$N$3267,Calendar!$K$4),"")</f>
        <v/>
      </c>
      <c r="W237" s="47">
        <f>IF(AND(B237=Queue!$C$4,OR(Queue!$K$4="*",N237=Queue!$K$4)),Q237,"")</f>
        <v/>
      </c>
    </row>
    <row r="238">
      <c r="A238" s="38">
        <f>IF(M238="","",HYPERLINK("https://www.youtube.com/watch?v="&amp;M238,"▶"))</f>
        <v/>
      </c>
      <c r="B238" s="39">
        <f>IF(C238&lt;&gt;"",C238,IF(P238&lt;=IFERROR(INDEX(tblChannels[Watched Through],MATCH(N238,tblChannels[Channel ID],0)),0),"Watched","Unwatched"))</f>
        <v/>
      </c>
      <c r="C238" s="40" t="n"/>
      <c r="D238" s="41" t="n"/>
      <c r="E238" s="42" t="n">
        <v>45947.66875</v>
      </c>
      <c r="F238" s="50" t="inlineStr">
        <is>
          <t>Super Carlin Brothers</t>
        </is>
      </c>
      <c r="G238" t="inlineStr">
        <is>
          <t>Plots That Never Panned Out In Harry Potter</t>
        </is>
      </c>
      <c r="H238" s="44" t="n">
        <v>0.009652777777777777</v>
      </c>
      <c r="I238" s="45" t="n">
        <v>88633</v>
      </c>
      <c r="J238" s="45" t="n">
        <v>3584</v>
      </c>
      <c r="K238" s="45" t="n">
        <v>322</v>
      </c>
      <c r="L238" s="46" t="n"/>
      <c r="M238" s="47" t="n"/>
      <c r="N238" s="47" t="inlineStr">
        <is>
          <t>UCKZo4N0lVPccBkSiuyVh4yg</t>
        </is>
      </c>
      <c r="O238" s="48" t="n">
        <v>45947.83541666667</v>
      </c>
      <c r="P238" s="49" t="n">
        <v>45947</v>
      </c>
      <c r="Q238" s="47" t="n">
        <v>3030</v>
      </c>
      <c r="R238" s="47" t="inlineStr">
        <is>
          <t>No Video ID yet</t>
        </is>
      </c>
      <c r="S238" s="49" t="n"/>
      <c r="T238" s="49" t="n"/>
      <c r="U238" s="47" t="inlineStr">
        <is>
          <t>This Episode is sponsored by Aura Frames - Exclusive $20-off Carver Mat at Use code AURA20 at checkout to save! What happened to Florean Fortescue?! You know — the ice cream guy in Diagon Alley who gave Harry free sundaes every half hour? Turns out, he wasn’t just a friendly dessert dealer. In today’s video, we’re diving deep into one of Harry Potters’s strangest ghost plots — the character who was originally meant to help Harry find the Deathly Hallows… before being cut entirely from the story. From his connection to Hogwarts Headmaster Dexter Fortescue, to his mysterious kidnapping and tragic fate, Florean’s story is way darker (and colder 🍦) than anyone realized.</t>
        </is>
      </c>
      <c r="V238" s="47">
        <f>IF(AND(P238&gt;=Calendar!$K$2,P238&lt;EDATE(Calendar!$K$2,1),OR(Calendar!$K$4="*",N238=Calendar!$K$4)),P238*100+COUNTIFS($P$6:$P$3267,P238,$Q$6:$Q$3267,"&lt;="&amp;Q238,$N$6:$N$3267,Calendar!$K$4),"")</f>
        <v/>
      </c>
      <c r="W238" s="47">
        <f>IF(AND(B238=Queue!$C$4,OR(Queue!$K$4="*",N238=Queue!$K$4)),Q238,"")</f>
        <v/>
      </c>
    </row>
    <row r="239">
      <c r="A239" s="38">
        <f>IF(M239="","",HYPERLINK("https://www.youtube.com/watch?v="&amp;M239,"▶"))</f>
        <v/>
      </c>
      <c r="B239" s="39">
        <f>IF(C239&lt;&gt;"",C239,IF(P239&lt;=IFERROR(INDEX(tblChannels[Watched Through],MATCH(N239,tblChannels[Channel ID],0)),0),"Watched","Unwatched"))</f>
        <v/>
      </c>
      <c r="C239" s="40" t="n"/>
      <c r="D239" s="41" t="n"/>
      <c r="E239" s="42" t="n">
        <v>45947.41666666666</v>
      </c>
      <c r="F239" s="43" t="inlineStr">
        <is>
          <t>Popcorn Culture</t>
        </is>
      </c>
      <c r="G239" t="inlineStr">
        <is>
          <t>The Lore of the Blades | Popcorn Culture</t>
        </is>
      </c>
      <c r="H239" s="44" t="n">
        <v>0.04983796296296297</v>
      </c>
      <c r="I239" s="45" t="n">
        <v>2745</v>
      </c>
      <c r="J239" s="45" t="n">
        <v>112</v>
      </c>
      <c r="K239" s="45" t="n">
        <v>15</v>
      </c>
      <c r="L239" s="46" t="n"/>
      <c r="M239" s="47" t="n"/>
      <c r="N239" s="47" t="inlineStr">
        <is>
          <t>UCHfIbq9thHPC8yrKjAdJgDA</t>
        </is>
      </c>
      <c r="O239" s="48" t="n">
        <v>45947.58333333334</v>
      </c>
      <c r="P239" s="49" t="n">
        <v>45947</v>
      </c>
      <c r="Q239" s="47" t="n">
        <v>3029</v>
      </c>
      <c r="R239" s="47" t="inlineStr">
        <is>
          <t>No Video ID yet</t>
        </is>
      </c>
      <c r="S239" s="49" t="n"/>
      <c r="T239" s="49" t="n"/>
      <c r="U239" s="47" t="inlineStr">
        <is>
          <t>In the 306th episode of the Pop, Ben and J discuss J’s most recent Beyblade tournament, prodigies and “Actually Romantic.” Dodgeball - Bring It On - Ratatouille - EJ Lagasse - The Life of a Showgirl - Are Prodigies Still Possible? 00:00 - Intro, Beyblades 35:06 - Prodigies 59:46 - The Life of a Showgirl</t>
        </is>
      </c>
      <c r="V239" s="47">
        <f>IF(AND(P239&gt;=Calendar!$K$2,P239&lt;EDATE(Calendar!$K$2,1),OR(Calendar!$K$4="*",N239=Calendar!$K$4)),P239*100+COUNTIFS($P$6:$P$3267,P239,$Q$6:$Q$3267,"&lt;="&amp;Q239,$N$6:$N$3267,Calendar!$K$4),"")</f>
        <v/>
      </c>
      <c r="W239" s="47">
        <f>IF(AND(B239=Queue!$C$4,OR(Queue!$K$4="*",N239=Queue!$K$4)),Q239,"")</f>
        <v/>
      </c>
    </row>
    <row r="240">
      <c r="A240" s="38">
        <f>IF(M240="","",HYPERLINK("https://www.youtube.com/watch?v="&amp;M240,"▶"))</f>
        <v/>
      </c>
      <c r="B240" s="39">
        <f>IF(C240&lt;&gt;"",C240,IF(P240&lt;=IFERROR(INDEX(tblChannels[Watched Through],MATCH(N240,tblChannels[Channel ID],0)),0),"Watched","Unwatched"))</f>
        <v/>
      </c>
      <c r="C240" s="40" t="n"/>
      <c r="D240" s="41" t="n"/>
      <c r="E240" s="42" t="n">
        <v>45946.70833333334</v>
      </c>
      <c r="F240" s="51" t="inlineStr">
        <is>
          <t>Through The Griffin Door</t>
        </is>
      </c>
      <c r="G240" t="inlineStr">
        <is>
          <t>Live In Des Moines - Chapter 8: The Hearing | Order of the Phoenix</t>
        </is>
      </c>
      <c r="H240" s="44" t="n">
        <v>0.04975694444444444</v>
      </c>
      <c r="I240" s="45" t="n">
        <v>7652</v>
      </c>
      <c r="J240" s="45" t="n">
        <v>319</v>
      </c>
      <c r="K240" s="45" t="n">
        <v>83</v>
      </c>
      <c r="L240" s="46" t="n"/>
      <c r="M240" s="47" t="n"/>
      <c r="N240" s="47" t="inlineStr">
        <is>
          <t>UCEscP6ETYXWSSvsNrDHekMQ</t>
        </is>
      </c>
      <c r="O240" s="48" t="n">
        <v>45946.875</v>
      </c>
      <c r="P240" s="49" t="n">
        <v>45946</v>
      </c>
      <c r="Q240" s="47" t="n">
        <v>3028</v>
      </c>
      <c r="R240" s="47" t="inlineStr">
        <is>
          <t>No Video ID yet</t>
        </is>
      </c>
      <c r="S240" s="49" t="n"/>
      <c r="T240" s="49" t="n"/>
      <c r="U240" s="47" t="inlineStr">
        <is>
          <t>Well folks. Sometimes touring demands a sacrifice. And this time the sacrifice was the video file from Des, Moines. Sorry Iowa you were truly incredible! Join J and Ben as they dive BACK into Chapter 8 of Order of the Phoenix LIVE IN DES MOINES!! and discuss the scary dark underbelly of the ministry, whether or not werewolves would fetch, and who exactly BRIAN could be? And then the Dragons Arrived T-Shirt - Posters -</t>
        </is>
      </c>
      <c r="V240" s="47">
        <f>IF(AND(P240&gt;=Calendar!$K$2,P240&lt;EDATE(Calendar!$K$2,1),OR(Calendar!$K$4="*",N240=Calendar!$K$4)),P240*100+COUNTIFS($P$6:$P$3267,P240,$Q$6:$Q$3267,"&lt;="&amp;Q240,$N$6:$N$3267,Calendar!$K$4),"")</f>
        <v/>
      </c>
      <c r="W240" s="47">
        <f>IF(AND(B240=Queue!$C$4,OR(Queue!$K$4="*",N240=Queue!$K$4)),Q240,"")</f>
        <v/>
      </c>
    </row>
    <row r="241">
      <c r="A241" s="38">
        <f>IF(M241="","",HYPERLINK("https://www.youtube.com/watch?v="&amp;M241,"▶"))</f>
        <v/>
      </c>
      <c r="B241" s="39">
        <f>IF(C241&lt;&gt;"",C241,IF(P241&lt;=IFERROR(INDEX(tblChannels[Watched Through],MATCH(N241,tblChannels[Channel ID],0)),0),"Watched","Unwatched"))</f>
        <v/>
      </c>
      <c r="C241" s="40" t="n"/>
      <c r="D241" s="41" t="n"/>
      <c r="E241" s="42" t="n">
        <v>45945.71458333333</v>
      </c>
      <c r="F241" s="50" t="inlineStr">
        <is>
          <t>Super Carlin Brothers</t>
        </is>
      </c>
      <c r="G241" t="inlineStr">
        <is>
          <t>Voldemort’s Top 7 WORST Plans Ever | Harry Potter Theory</t>
        </is>
      </c>
      <c r="H241" s="44" t="n">
        <v>0.01395833333333333</v>
      </c>
      <c r="I241" s="45" t="n">
        <v>161500</v>
      </c>
      <c r="J241" s="45" t="n">
        <v>5116</v>
      </c>
      <c r="K241" s="45" t="n">
        <v>657</v>
      </c>
      <c r="L241" s="46" t="n"/>
      <c r="M241" s="47" t="n"/>
      <c r="N241" s="47" t="inlineStr">
        <is>
          <t>UCKZo4N0lVPccBkSiuyVh4yg</t>
        </is>
      </c>
      <c r="O241" s="48" t="n">
        <v>45945.88125</v>
      </c>
      <c r="P241" s="49" t="n">
        <v>45945</v>
      </c>
      <c r="Q241" s="47" t="n">
        <v>3027</v>
      </c>
      <c r="R241" s="47" t="inlineStr">
        <is>
          <t>No Video ID yet</t>
        </is>
      </c>
      <c r="S241" s="49" t="n"/>
      <c r="T241" s="49" t="n"/>
      <c r="U241" s="47" t="inlineStr">
        <is>
          <t>This episode is sponsored by Better Help – This episode is sponsored by BetterHelp. Go to to get 10% off your first month. This episode is sponsored by Shopify – Go to to sign up for your $1-per-month trial period. Today we’re breaking down Lord Voldemort’s absolute worst plans — from “let’s murder a baby” to splitting his soul into seven parts because, honestly? The biggest obstacle to Voldemort’s success… was Voldemort. From Prophecy blunders to Triwizard tragedies, we’re ranking all the times He-Who-Must-Not-Be-Named fumbled harder than a Hufflepuff at Quidditch practice.</t>
        </is>
      </c>
      <c r="V241" s="47">
        <f>IF(AND(P241&gt;=Calendar!$K$2,P241&lt;EDATE(Calendar!$K$2,1),OR(Calendar!$K$4="*",N241=Calendar!$K$4)),P241*100+COUNTIFS($P$6:$P$3267,P241,$Q$6:$Q$3267,"&lt;="&amp;Q241,$N$6:$N$3267,Calendar!$K$4),"")</f>
        <v/>
      </c>
      <c r="W241" s="47">
        <f>IF(AND(B241=Queue!$C$4,OR(Queue!$K$4="*",N241=Queue!$K$4)),Q241,"")</f>
        <v/>
      </c>
    </row>
    <row r="242">
      <c r="A242" s="38">
        <f>IF(M242="","",HYPERLINK("https://www.youtube.com/watch?v="&amp;M242,"▶"))</f>
        <v/>
      </c>
      <c r="B242" s="39">
        <f>IF(C242&lt;&gt;"",C242,IF(P242&lt;=IFERROR(INDEX(tblChannels[Watched Through],MATCH(N242,tblChannels[Channel ID],0)),0),"Watched","Unwatched"))</f>
        <v/>
      </c>
      <c r="C242" s="40" t="n"/>
      <c r="D242" s="41" t="n"/>
      <c r="E242" s="42" t="n">
        <v>45945.52569444444</v>
      </c>
      <c r="F242" s="50" t="inlineStr">
        <is>
          <t>Super Carlin Brothers</t>
        </is>
      </c>
      <c r="G242" t="inlineStr">
        <is>
          <t>We Found Newt Scamander’s SECRET Daughter?! 😱 #harrypotter</t>
        </is>
      </c>
      <c r="H242" s="44" t="n">
        <v>0.001736111111111111</v>
      </c>
      <c r="I242" s="45" t="n">
        <v>84988</v>
      </c>
      <c r="J242" s="45" t="n">
        <v>4017</v>
      </c>
      <c r="K242" s="45" t="n">
        <v>91</v>
      </c>
      <c r="L242" s="46" t="n"/>
      <c r="M242" s="47" t="n"/>
      <c r="N242" s="47" t="inlineStr">
        <is>
          <t>UCKZo4N0lVPccBkSiuyVh4yg</t>
        </is>
      </c>
      <c r="O242" s="48" t="n">
        <v>45945.69236111111</v>
      </c>
      <c r="P242" s="49" t="n">
        <v>45945</v>
      </c>
      <c r="Q242" s="47" t="n">
        <v>3026</v>
      </c>
      <c r="R242" s="47" t="inlineStr">
        <is>
          <t>No Video ID yet</t>
        </is>
      </c>
      <c r="S242" s="49" t="n"/>
      <c r="T242" s="49" t="n"/>
      <c r="U242" s="47" t="inlineStr">
        <is>
          <t>Did Newt Scamander have a SECRET daughter hiding in plain sight this whole time?! 👀 Today we connect the dots between Fantastic Beasts, Mrs. Figg, and Crookshanks to reveal a wild theory that might just tie Newt directly into Harry Potter’s story. Could Arabella Figg actually be Arabella Scamander? Let’s find out! ⚡ #HarryPotter #FantasticBeasts #SuperCarlinBrothers #NewtScamander #WizardingWorld #HarryPotterTheory #Shorts</t>
        </is>
      </c>
      <c r="V242" s="47">
        <f>IF(AND(P242&gt;=Calendar!$K$2,P242&lt;EDATE(Calendar!$K$2,1),OR(Calendar!$K$4="*",N242=Calendar!$K$4)),P242*100+COUNTIFS($P$6:$P$3267,P242,$Q$6:$Q$3267,"&lt;="&amp;Q242,$N$6:$N$3267,Calendar!$K$4),"")</f>
        <v/>
      </c>
      <c r="W242" s="47">
        <f>IF(AND(B242=Queue!$C$4,OR(Queue!$K$4="*",N242=Queue!$K$4)),Q242,"")</f>
        <v/>
      </c>
    </row>
    <row r="243">
      <c r="A243" s="38">
        <f>IF(M243="","",HYPERLINK("https://www.youtube.com/watch?v="&amp;M243,"▶"))</f>
        <v/>
      </c>
      <c r="B243" s="39">
        <f>IF(C243&lt;&gt;"",C243,IF(P243&lt;=IFERROR(INDEX(tblChannels[Watched Through],MATCH(N243,tblChannels[Channel ID],0)),0),"Watched","Unwatched"))</f>
        <v/>
      </c>
      <c r="C243" s="40" t="n"/>
      <c r="D243" s="41" t="n"/>
      <c r="E243" s="42" t="n">
        <v>45942.41736111111</v>
      </c>
      <c r="F243" s="51" t="inlineStr">
        <is>
          <t>Through The Griffin Door</t>
        </is>
      </c>
      <c r="G243" t="inlineStr">
        <is>
          <t>Chapter 8: The Hearing | Order of the Phoenix</t>
        </is>
      </c>
      <c r="H243" s="44" t="n">
        <v>0.07292824074074074</v>
      </c>
      <c r="I243" s="45" t="n">
        <v>49163</v>
      </c>
      <c r="J243" s="45" t="n">
        <v>1287</v>
      </c>
      <c r="K243" s="45" t="n">
        <v>471</v>
      </c>
      <c r="L243" s="46" t="n"/>
      <c r="M243" s="47" t="n"/>
      <c r="N243" s="47" t="inlineStr">
        <is>
          <t>UCEscP6ETYXWSSvsNrDHekMQ</t>
        </is>
      </c>
      <c r="O243" s="48" t="n">
        <v>45942.58402777778</v>
      </c>
      <c r="P243" s="49" t="n">
        <v>45942</v>
      </c>
      <c r="Q243" s="47" t="n">
        <v>3025</v>
      </c>
      <c r="R243" s="47" t="inlineStr">
        <is>
          <t>No Video ID yet</t>
        </is>
      </c>
      <c r="S243" s="49" t="n"/>
      <c r="T243" s="49" t="n"/>
      <c r="U243" s="47" t="inlineStr">
        <is>
          <t>This episode is sponsored by MasterClass – Our listeners get an additional 15% off any annual membership at Join J and Ben as they dive into Chapter 8 of the Order of the Phoenix and discuss Fudge’s intimidation tactics, Percy’s involvement, middle names, rapidfire questioning Harry, Mrs. Figg’s parentage, And then the Dragons Arrived T-Shirt - Posters - Lost - Was Percy Under The Imperius Curse? - Dumbledore’s Names - Monty Python - Aberforth's Goats EXPLAINED - 06:09 - Chapter Breakdown 52:42 - Ad Break (MasterClass) 54:13 - More Chapter Breakdown 1:35:31- Closing Thoughts and Review</t>
        </is>
      </c>
      <c r="V243" s="47">
        <f>IF(AND(P243&gt;=Calendar!$K$2,P243&lt;EDATE(Calendar!$K$2,1),OR(Calendar!$K$4="*",N243=Calendar!$K$4)),P243*100+COUNTIFS($P$6:$P$3267,P243,$Q$6:$Q$3267,"&lt;="&amp;Q243,$N$6:$N$3267,Calendar!$K$4),"")</f>
        <v/>
      </c>
      <c r="W243" s="47">
        <f>IF(AND(B243=Queue!$C$4,OR(Queue!$K$4="*",N243=Queue!$K$4)),Q243,"")</f>
        <v/>
      </c>
    </row>
    <row r="244">
      <c r="A244" s="38">
        <f>IF(M244="","",HYPERLINK("https://www.youtube.com/watch?v="&amp;M244,"▶"))</f>
        <v/>
      </c>
      <c r="B244" s="39">
        <f>IF(C244&lt;&gt;"",C244,IF(P244&lt;=IFERROR(INDEX(tblChannels[Watched Through],MATCH(N244,tblChannels[Channel ID],0)),0),"Watched","Unwatched"))</f>
        <v/>
      </c>
      <c r="C244" s="40" t="n"/>
      <c r="D244" s="41" t="n"/>
      <c r="E244" s="42" t="n">
        <v>45941.20902777778</v>
      </c>
      <c r="F244" s="52" t="inlineStr">
        <is>
          <t>Super Carlin Gaming</t>
        </is>
      </c>
      <c r="G244" t="inlineStr">
        <is>
          <t>PRISMATIC EVOLUTIONS - Box Breakers SEASON 16 - Bonus Acoustic Set -  Episode 2 - 10/10/2025</t>
        </is>
      </c>
      <c r="H244" s="44" t="n">
        <v>0.1150462962962963</v>
      </c>
      <c r="I244" s="45" t="n">
        <v>857</v>
      </c>
      <c r="J244" s="45" t="n">
        <v>34</v>
      </c>
      <c r="K244" s="45" t="n">
        <v>7</v>
      </c>
      <c r="L244" s="46" t="n"/>
      <c r="M244" s="47" t="n"/>
      <c r="N244" s="47" t="inlineStr">
        <is>
          <t>UCor_9jRnNNZVzTuQ92PKsaQ</t>
        </is>
      </c>
      <c r="O244" s="48" t="n">
        <v>45941.37569444445</v>
      </c>
      <c r="P244" s="49" t="n">
        <v>45941</v>
      </c>
      <c r="Q244" s="47" t="n">
        <v>3024</v>
      </c>
      <c r="R244" s="47" t="inlineStr">
        <is>
          <t>No Video ID yet</t>
        </is>
      </c>
      <c r="S244" s="49" t="n"/>
      <c r="T244" s="49" t="n"/>
      <c r="U244" s="47" t="inlineStr">
        <is>
          <t>(no acoustic set included that was a joke) Also this is Ben. Let me know if you see this. I feel like I'm writing a 21st century message in a bottle. Just wondering who finds it. Apparently you. A job well done to say the least. Anyway - I know you need to hear this today. You're killing it. And 'it' is your goals and accomplishments. anyway, happy holidays. in october.</t>
        </is>
      </c>
      <c r="V244" s="47">
        <f>IF(AND(P244&gt;=Calendar!$K$2,P244&lt;EDATE(Calendar!$K$2,1),OR(Calendar!$K$4="*",N244=Calendar!$K$4)),P244*100+COUNTIFS($P$6:$P$3267,P244,$Q$6:$Q$3267,"&lt;="&amp;Q244,$N$6:$N$3267,Calendar!$K$4),"")</f>
        <v/>
      </c>
      <c r="W244" s="47">
        <f>IF(AND(B244=Queue!$C$4,OR(Queue!$K$4="*",N244=Queue!$K$4)),Q244,"")</f>
        <v/>
      </c>
    </row>
    <row r="245">
      <c r="A245" s="38">
        <f>IF(M245="","",HYPERLINK("https://www.youtube.com/watch?v="&amp;M245,"▶"))</f>
        <v/>
      </c>
      <c r="B245" s="39">
        <f>IF(C245&lt;&gt;"",C245,IF(P245&lt;=IFERROR(INDEX(tblChannels[Watched Through],MATCH(N245,tblChannels[Channel ID],0)),0),"Watched","Unwatched"))</f>
        <v/>
      </c>
      <c r="C245" s="40" t="n"/>
      <c r="D245" s="41" t="n"/>
      <c r="E245" s="42" t="n">
        <v>45940.71736111111</v>
      </c>
      <c r="F245" s="50" t="inlineStr">
        <is>
          <t>Super Carlin Brothers</t>
        </is>
      </c>
      <c r="G245" t="inlineStr">
        <is>
          <t>Newt Scamander Has A SECRET Daughter | Harry Potter Theory</t>
        </is>
      </c>
      <c r="H245" s="44" t="n">
        <v>0.01115740740740741</v>
      </c>
      <c r="I245" s="45" t="n">
        <v>71283</v>
      </c>
      <c r="J245" s="45" t="n">
        <v>3484</v>
      </c>
      <c r="K245" s="45" t="n">
        <v>279</v>
      </c>
      <c r="L245" s="46" t="n"/>
      <c r="M245" s="47" t="n"/>
      <c r="N245" s="47" t="inlineStr">
        <is>
          <t>UCKZo4N0lVPccBkSiuyVh4yg</t>
        </is>
      </c>
      <c r="O245" s="48" t="n">
        <v>45940.88402777778</v>
      </c>
      <c r="P245" s="49" t="n">
        <v>45940</v>
      </c>
      <c r="Q245" s="47" t="n">
        <v>3023</v>
      </c>
      <c r="R245" s="47" t="inlineStr">
        <is>
          <t>No Video ID yet</t>
        </is>
      </c>
      <c r="S245" s="49" t="n"/>
      <c r="T245" s="49" t="n"/>
      <c r="U245" s="47" t="inlineStr">
        <is>
          <t>This episode is sponsored by BetterHelp - go to to get 10% off your first month. What if one of Newt Scamander’s own children has been hiding in plain sight this whole time?! In today’s theory, we dive deep into the Fantastic Beasts lore, trace the Scamander family tree, and uncover how a familiar face from Privet Drive might secretly be Newt’s long-lost daughter. 👀 From Kneazles to Crookshanks, from Dumbledore’s “old crowd” to Luna Lovegood’s marriage, the dots line up surprisingly well. #harrypotter #SuperCarlinBrother</t>
        </is>
      </c>
      <c r="V245" s="47">
        <f>IF(AND(P245&gt;=Calendar!$K$2,P245&lt;EDATE(Calendar!$K$2,1),OR(Calendar!$K$4="*",N245=Calendar!$K$4)),P245*100+COUNTIFS($P$6:$P$3267,P245,$Q$6:$Q$3267,"&lt;="&amp;Q245,$N$6:$N$3267,Calendar!$K$4),"")</f>
        <v/>
      </c>
      <c r="W245" s="47">
        <f>IF(AND(B245=Queue!$C$4,OR(Queue!$K$4="*",N245=Queue!$K$4)),Q245,"")</f>
        <v/>
      </c>
    </row>
    <row r="246">
      <c r="A246" s="38">
        <f>IF(M246="","",HYPERLINK("https://www.youtube.com/watch?v="&amp;M246,"▶"))</f>
        <v/>
      </c>
      <c r="B246" s="39">
        <f>IF(C246&lt;&gt;"",C246,IF(P246&lt;=IFERROR(INDEX(tblChannels[Watched Through],MATCH(N246,tblChannels[Channel ID],0)),0),"Watched","Unwatched"))</f>
        <v/>
      </c>
      <c r="C246" s="40" t="n"/>
      <c r="D246" s="41" t="n"/>
      <c r="E246" s="42" t="n">
        <v>45940.41666666666</v>
      </c>
      <c r="F246" s="43" t="inlineStr">
        <is>
          <t>Popcorn Culture</t>
        </is>
      </c>
      <c r="G246" t="inlineStr">
        <is>
          <t>WE BOUGHT A DOCK!! | Popcorn Culture</t>
        </is>
      </c>
      <c r="H246" s="44" t="n">
        <v>0.04921296296296297</v>
      </c>
      <c r="I246" s="45" t="n">
        <v>2784</v>
      </c>
      <c r="J246" s="45" t="n">
        <v>137</v>
      </c>
      <c r="K246" s="45" t="n">
        <v>20</v>
      </c>
      <c r="L246" s="46" t="n"/>
      <c r="M246" s="47" t="n"/>
      <c r="N246" s="47" t="inlineStr">
        <is>
          <t>UCHfIbq9thHPC8yrKjAdJgDA</t>
        </is>
      </c>
      <c r="O246" s="48" t="n">
        <v>45940.58333333334</v>
      </c>
      <c r="P246" s="49" t="n">
        <v>45940</v>
      </c>
      <c r="Q246" s="47" t="n">
        <v>3022</v>
      </c>
      <c r="R246" s="47" t="inlineStr">
        <is>
          <t>No Video ID yet</t>
        </is>
      </c>
      <c r="S246" s="49" t="n"/>
      <c r="T246" s="49" t="n"/>
      <c r="U246" s="47" t="inlineStr">
        <is>
          <t>In the 305th Ben and J discuss their dock, driveways and garages, old small businesses, Post-DCC Blues, and grey hair. Dungeon Crawler Carl - Post-DCC Blues 00:00 - Intro, The Lake Property 46:59 - Post-DCC Blues</t>
        </is>
      </c>
      <c r="V246" s="47">
        <f>IF(AND(P246&gt;=Calendar!$K$2,P246&lt;EDATE(Calendar!$K$2,1),OR(Calendar!$K$4="*",N246=Calendar!$K$4)),P246*100+COUNTIFS($P$6:$P$3267,P246,$Q$6:$Q$3267,"&lt;="&amp;Q246,$N$6:$N$3267,Calendar!$K$4),"")</f>
        <v/>
      </c>
      <c r="W246" s="47">
        <f>IF(AND(B246=Queue!$C$4,OR(Queue!$K$4="*",N246=Queue!$K$4)),Q246,"")</f>
        <v/>
      </c>
    </row>
    <row r="247">
      <c r="A247" s="38">
        <f>IF(M247="","",HYPERLINK("https://www.youtube.com/watch?v="&amp;M247,"▶"))</f>
        <v/>
      </c>
      <c r="B247" s="39">
        <f>IF(C247&lt;&gt;"",C247,IF(P247&lt;=IFERROR(INDEX(tblChannels[Watched Through],MATCH(N247,tblChannels[Channel ID],0)),0),"Watched","Unwatched"))</f>
        <v/>
      </c>
      <c r="C247" s="40" t="n"/>
      <c r="D247" s="41" t="n"/>
      <c r="E247" s="42" t="n">
        <v>45939.70833333334</v>
      </c>
      <c r="F247" s="51" t="inlineStr">
        <is>
          <t>Through The Griffin Door</t>
        </is>
      </c>
      <c r="G247" t="inlineStr">
        <is>
          <t>Live In St. Louis - Chapter 7: The Ministry of Magic | Order of the Phoenix</t>
        </is>
      </c>
      <c r="H247" s="44" t="n">
        <v>0.04685185185185185</v>
      </c>
      <c r="I247" s="45" t="n">
        <v>9237</v>
      </c>
      <c r="J247" s="45" t="n">
        <v>364</v>
      </c>
      <c r="K247" s="45" t="n">
        <v>55</v>
      </c>
      <c r="L247" s="46" t="n"/>
      <c r="M247" s="47" t="n"/>
      <c r="N247" s="47" t="inlineStr">
        <is>
          <t>UCEscP6ETYXWSSvsNrDHekMQ</t>
        </is>
      </c>
      <c r="O247" s="48" t="n">
        <v>45939.875</v>
      </c>
      <c r="P247" s="49" t="n">
        <v>45939</v>
      </c>
      <c r="Q247" s="47" t="n">
        <v>3021</v>
      </c>
      <c r="R247" s="47" t="inlineStr">
        <is>
          <t>No Video ID yet</t>
        </is>
      </c>
      <c r="S247" s="49" t="n"/>
      <c r="T247" s="49" t="n"/>
      <c r="U247" s="47" t="inlineStr">
        <is>
          <t>Join J and Ben as they dive BACK into Chapter 7 of Order of the Phoenix LIVE IN ST. LOUIS!! and discuss Harry's Best T-Shirt, A Fountain That Isn't Very Good, Why Harry Insists On Eating Toast That Tastes Like Carpet, and The True Reason For Tonx's Clumsiness! And then the Dragons Arrived T-Shirt - Posters -</t>
        </is>
      </c>
      <c r="V247" s="47">
        <f>IF(AND(P247&gt;=Calendar!$K$2,P247&lt;EDATE(Calendar!$K$2,1),OR(Calendar!$K$4="*",N247=Calendar!$K$4)),P247*100+COUNTIFS($P$6:$P$3267,P247,$Q$6:$Q$3267,"&lt;="&amp;Q247,$N$6:$N$3267,Calendar!$K$4),"")</f>
        <v/>
      </c>
      <c r="W247" s="47">
        <f>IF(AND(B247=Queue!$C$4,OR(Queue!$K$4="*",N247=Queue!$K$4)),Q247,"")</f>
        <v/>
      </c>
    </row>
    <row r="248">
      <c r="A248" s="38">
        <f>IF(M248="","",HYPERLINK("https://www.youtube.com/watch?v="&amp;M248,"▶"))</f>
        <v/>
      </c>
      <c r="B248" s="39">
        <f>IF(C248&lt;&gt;"",C248,IF(P248&lt;=IFERROR(INDEX(tblChannels[Watched Through],MATCH(N248,tblChannels[Channel ID],0)),0),"Watched","Unwatched"))</f>
        <v/>
      </c>
      <c r="C248" s="40" t="n"/>
      <c r="D248" s="41" t="n"/>
      <c r="E248" s="42" t="n">
        <v>45938.76041666666</v>
      </c>
      <c r="F248" s="50" t="inlineStr">
        <is>
          <t>Super Carlin Brothers</t>
        </is>
      </c>
      <c r="G248" t="inlineStr">
        <is>
          <t>J vs Ben: MAX DIFFICULTY Prisoner of Azkaban Open Book Quiz</t>
        </is>
      </c>
      <c r="H248" s="44" t="n">
        <v>0.0337037037037037</v>
      </c>
      <c r="I248" s="45" t="n">
        <v>87630</v>
      </c>
      <c r="J248" s="45" t="n">
        <v>3093</v>
      </c>
      <c r="K248" s="45" t="n">
        <v>287</v>
      </c>
      <c r="L248" s="46" t="n"/>
      <c r="M248" s="47" t="n"/>
      <c r="N248" s="47" t="inlineStr">
        <is>
          <t>UCKZo4N0lVPccBkSiuyVh4yg</t>
        </is>
      </c>
      <c r="O248" s="48" t="n">
        <v>45938.92708333334</v>
      </c>
      <c r="P248" s="49" t="n">
        <v>45938</v>
      </c>
      <c r="Q248" s="47" t="n">
        <v>3020</v>
      </c>
      <c r="R248" s="47" t="inlineStr">
        <is>
          <t>No Video ID yet</t>
        </is>
      </c>
      <c r="S248" s="49" t="n"/>
      <c r="T248" s="49" t="n"/>
      <c r="U248" s="47" t="inlineStr">
        <is>
          <t>This episode is sponsored by Factor – Eat smart at and use code jvsb50off to get 50% off your first box, plus Free Breakfast for 1 Year. Get your “And Then The Dragons Arrived” Shirts and Tour Posters here!! Today we’re diving into the MAX DIFFICULTY Prisoner of Azkaban Open Book Quiz — and this one is absolutely brutal. We’re talking deep cuts, obscure details, and those blink-and-you-miss-it book moments that separate the casual readers from the true Marauders. Think you can beat our score? Grab your copy of Prisoner of Azkaban, play along, and let us know how many you got right in the comments! Want to play along with us :: Thanks to all our Patrons who submitted these mind-bending questions: law ninja, distitch626, gooeychewie, ben c. teghan denlinger, tara walker, sammi rae, storm, gaylen sedai, katrina a, sweaterbrothers, thehufflepuffpancakechef, hassle the hoff, dola, bradferd, ben henderson, oryans wizard parts, jaryd r, voted on by patrons #HarryPotter #SuperCarlinBrother #JvsBen Written by :: Our Quiz Masters Hosted by: Kat Stine</t>
        </is>
      </c>
      <c r="V248" s="47">
        <f>IF(AND(P248&gt;=Calendar!$K$2,P248&lt;EDATE(Calendar!$K$2,1),OR(Calendar!$K$4="*",N248=Calendar!$K$4)),P248*100+COUNTIFS($P$6:$P$3267,P248,$Q$6:$Q$3267,"&lt;="&amp;Q248,$N$6:$N$3267,Calendar!$K$4),"")</f>
        <v/>
      </c>
      <c r="W248" s="47">
        <f>IF(AND(B248=Queue!$C$4,OR(Queue!$K$4="*",N248=Queue!$K$4)),Q248,"")</f>
        <v/>
      </c>
    </row>
    <row r="249">
      <c r="A249" s="38">
        <f>IF(M249="","",HYPERLINK("https://www.youtube.com/watch?v="&amp;M249,"▶"))</f>
        <v/>
      </c>
      <c r="B249" s="39">
        <f>IF(C249&lt;&gt;"",C249,IF(P249&lt;=IFERROR(INDEX(tblChannels[Watched Through],MATCH(N249,tblChannels[Channel ID],0)),0),"Watched","Unwatched"))</f>
        <v/>
      </c>
      <c r="C249" s="40" t="n"/>
      <c r="D249" s="41" t="n"/>
      <c r="E249" s="42" t="n">
        <v>45935.41666666666</v>
      </c>
      <c r="F249" s="51" t="inlineStr">
        <is>
          <t>Through The Griffin Door</t>
        </is>
      </c>
      <c r="G249" t="inlineStr">
        <is>
          <t>Chapter 7: The Ministry of Magic | Order of the Phoenix</t>
        </is>
      </c>
      <c r="H249" s="44" t="n">
        <v>0.06565972222222222</v>
      </c>
      <c r="I249" s="45" t="n">
        <v>49793</v>
      </c>
      <c r="J249" s="45" t="n">
        <v>1291</v>
      </c>
      <c r="K249" s="45" t="n">
        <v>246</v>
      </c>
      <c r="L249" s="46" t="n"/>
      <c r="M249" s="47" t="n"/>
      <c r="N249" s="47" t="inlineStr">
        <is>
          <t>UCEscP6ETYXWSSvsNrDHekMQ</t>
        </is>
      </c>
      <c r="O249" s="48" t="n">
        <v>45935.58333333334</v>
      </c>
      <c r="P249" s="49" t="n">
        <v>45935</v>
      </c>
      <c r="Q249" s="47" t="n">
        <v>3019</v>
      </c>
      <c r="R249" s="47" t="inlineStr">
        <is>
          <t>No Video ID yet</t>
        </is>
      </c>
      <c r="S249" s="49" t="n"/>
      <c r="T249" s="49" t="n"/>
      <c r="U249" s="47" t="inlineStr">
        <is>
          <t>This episode is sponsored by Mint Mobile – Get your 3-month Unlimited wireless plan for just 15 bucks a month at Join J and Ben as they dive into Chapter 7 of the Order of the Phoenix and discuss the overstimulation and claustrophobia of the chapter, traveling with Mr. Weasley, the Fountain of Magical Brethren, the firebreathing chicken, Arthur’s office, and the hearing time change. And then the Dragons Arrived T-Shirt - Posters - The Bear - The Fountain of Magical Brethren Explained - Wizards Unite - 07:15 - Chapter Breakdown 31:29 - Ad Break (Mint Mobile) 32:48 - More Chapter Breakdown 1:20:34 - Closing Thoughts and Review</t>
        </is>
      </c>
      <c r="V249" s="47">
        <f>IF(AND(P249&gt;=Calendar!$K$2,P249&lt;EDATE(Calendar!$K$2,1),OR(Calendar!$K$4="*",N249=Calendar!$K$4)),P249*100+COUNTIFS($P$6:$P$3267,P249,$Q$6:$Q$3267,"&lt;="&amp;Q249,$N$6:$N$3267,Calendar!$K$4),"")</f>
        <v/>
      </c>
      <c r="W249" s="47">
        <f>IF(AND(B249=Queue!$C$4,OR(Queue!$K$4="*",N249=Queue!$K$4)),Q249,"")</f>
        <v/>
      </c>
    </row>
    <row r="250">
      <c r="A250" s="38">
        <f>IF(M250="","",HYPERLINK("https://www.youtube.com/watch?v="&amp;M250,"▶"))</f>
        <v/>
      </c>
      <c r="B250" s="39">
        <f>IF(C250&lt;&gt;"",C250,IF(P250&lt;=IFERROR(INDEX(tblChannels[Watched Through],MATCH(N250,tblChannels[Channel ID],0)),0),"Watched","Unwatched"))</f>
        <v/>
      </c>
      <c r="C250" s="40" t="n"/>
      <c r="D250" s="41" t="n"/>
      <c r="E250" s="42" t="n">
        <v>45934.41666666666</v>
      </c>
      <c r="F250" s="50" t="inlineStr">
        <is>
          <t>Super Carlin Brothers</t>
        </is>
      </c>
      <c r="G250" t="inlineStr">
        <is>
          <t>Through the Griffin Door Supercut: Order of the Phoenix Chapters 4-6</t>
        </is>
      </c>
      <c r="H250" s="44" t="n">
        <v>0.2233796296296296</v>
      </c>
      <c r="I250" s="45" t="n">
        <v>11758</v>
      </c>
      <c r="J250" s="45" t="n">
        <v>209</v>
      </c>
      <c r="K250" s="45" t="n">
        <v>37</v>
      </c>
      <c r="L250" s="46" t="n"/>
      <c r="M250" s="47" t="n"/>
      <c r="N250" s="47" t="inlineStr">
        <is>
          <t>UCKZo4N0lVPccBkSiuyVh4yg</t>
        </is>
      </c>
      <c r="O250" s="48" t="n">
        <v>45934.58333333334</v>
      </c>
      <c r="P250" s="49" t="n">
        <v>45934</v>
      </c>
      <c r="Q250" s="47" t="n">
        <v>3018</v>
      </c>
      <c r="R250" s="47" t="inlineStr">
        <is>
          <t>No Video ID yet</t>
        </is>
      </c>
      <c r="S250" s="49" t="n"/>
      <c r="T250" s="49" t="n"/>
      <c r="U250" s="47" t="inlineStr">
        <is>
          <t>0:00:00 - Chapter 4: Number Twelve, Grimmauld Place 1:35:15 - Chapter 5: The Order of the Phoenix 3:30:08 - Chapter 6: The Noble and Most Ancient House of Black</t>
        </is>
      </c>
      <c r="V250" s="47">
        <f>IF(AND(P250&gt;=Calendar!$K$2,P250&lt;EDATE(Calendar!$K$2,1),OR(Calendar!$K$4="*",N250=Calendar!$K$4)),P250*100+COUNTIFS($P$6:$P$3267,P250,$Q$6:$Q$3267,"&lt;="&amp;Q250,$N$6:$N$3267,Calendar!$K$4),"")</f>
        <v/>
      </c>
      <c r="W250" s="47">
        <f>IF(AND(B250=Queue!$C$4,OR(Queue!$K$4="*",N250=Queue!$K$4)),Q250,"")</f>
        <v/>
      </c>
    </row>
    <row r="251">
      <c r="A251" s="38">
        <f>IF(M251="","",HYPERLINK("https://www.youtube.com/watch?v="&amp;M251,"▶"))</f>
        <v/>
      </c>
      <c r="B251" s="39">
        <f>IF(C251&lt;&gt;"",C251,IF(P251&lt;=IFERROR(INDEX(tblChannels[Watched Through],MATCH(N251,tblChannels[Channel ID],0)),0),"Watched","Unwatched"))</f>
        <v/>
      </c>
      <c r="C251" s="40" t="n"/>
      <c r="D251" s="41" t="n"/>
      <c r="E251" s="42" t="n">
        <v>45933.70277777778</v>
      </c>
      <c r="F251" s="50" t="inlineStr">
        <is>
          <t>Super Carlin Brothers</t>
        </is>
      </c>
      <c r="G251" t="inlineStr">
        <is>
          <t>Fred &amp; George POISONED Cormac McClaggen?! | Harry Potter Theory</t>
        </is>
      </c>
      <c r="H251" s="44" t="n">
        <v>0.00863425925925926</v>
      </c>
      <c r="I251" s="45" t="n">
        <v>61415</v>
      </c>
      <c r="J251" s="45" t="n">
        <v>3210</v>
      </c>
      <c r="K251" s="45" t="n">
        <v>228</v>
      </c>
      <c r="L251" s="46" t="n"/>
      <c r="M251" s="47" t="n"/>
      <c r="N251" s="47" t="inlineStr">
        <is>
          <t>UCKZo4N0lVPccBkSiuyVh4yg</t>
        </is>
      </c>
      <c r="O251" s="48" t="n">
        <v>45933.86944444444</v>
      </c>
      <c r="P251" s="49" t="n">
        <v>45933</v>
      </c>
      <c r="Q251" s="47" t="n">
        <v>3017</v>
      </c>
      <c r="R251" s="47" t="inlineStr">
        <is>
          <t>No Video ID yet</t>
        </is>
      </c>
      <c r="S251" s="49" t="n"/>
      <c r="T251" s="49" t="n"/>
      <c r="U251" s="47" t="inlineStr">
        <is>
          <t>Quidditch isn’t just a game — it’s one of Harry’s greatest joys, and for Ron, one of his biggest dreams. But here’s the twist: what if Ron Weasley didn’t make the Gryffindor Quidditch team thanks to Harry or Hermione… but because of Fred and George?! In today’s theory, we dive deep into the Weasley twins’ mischievous genius, a suspicious bowl of doxy eggs, and how their subtle sabotage may have kept Cormac McLaggen off the pitch — opening the door for Ron to finally become Gryffindor’s Keeper. #HarryPotter #SuperCarlinBrother #WizardingWorld</t>
        </is>
      </c>
      <c r="V251" s="47">
        <f>IF(AND(P251&gt;=Calendar!$K$2,P251&lt;EDATE(Calendar!$K$2,1),OR(Calendar!$K$4="*",N251=Calendar!$K$4)),P251*100+COUNTIFS($P$6:$P$3267,P251,$Q$6:$Q$3267,"&lt;="&amp;Q251,$N$6:$N$3267,Calendar!$K$4),"")</f>
        <v/>
      </c>
      <c r="W251" s="47">
        <f>IF(AND(B251=Queue!$C$4,OR(Queue!$K$4="*",N251=Queue!$K$4)),Q251,"")</f>
        <v/>
      </c>
    </row>
    <row r="252">
      <c r="A252" s="38">
        <f>IF(M252="","",HYPERLINK("https://www.youtube.com/watch?v="&amp;M252,"▶"))</f>
        <v/>
      </c>
      <c r="B252" s="39">
        <f>IF(C252&lt;&gt;"",C252,IF(P252&lt;=IFERROR(INDEX(tblChannels[Watched Through],MATCH(N252,tblChannels[Channel ID],0)),0),"Watched","Unwatched"))</f>
        <v/>
      </c>
      <c r="C252" s="40" t="n"/>
      <c r="D252" s="41" t="n"/>
      <c r="E252" s="42" t="n">
        <v>45933.41666666666</v>
      </c>
      <c r="F252" s="43" t="inlineStr">
        <is>
          <t>Popcorn Culture</t>
        </is>
      </c>
      <c r="G252" t="inlineStr">
        <is>
          <t>The Magic of Tour | Popcorn Culture</t>
        </is>
      </c>
      <c r="H252" s="44" t="n">
        <v>0.04387731481481481</v>
      </c>
      <c r="I252" s="45" t="n">
        <v>2703</v>
      </c>
      <c r="J252" s="45" t="n">
        <v>157</v>
      </c>
      <c r="K252" s="45" t="n">
        <v>29</v>
      </c>
      <c r="L252" s="46" t="n"/>
      <c r="M252" s="47" t="n"/>
      <c r="N252" s="47" t="inlineStr">
        <is>
          <t>UCHfIbq9thHPC8yrKjAdJgDA</t>
        </is>
      </c>
      <c r="O252" s="48" t="n">
        <v>45933.58333333334</v>
      </c>
      <c r="P252" s="49" t="n">
        <v>45933</v>
      </c>
      <c r="Q252" s="47" t="n">
        <v>3016</v>
      </c>
      <c r="R252" s="47" t="inlineStr">
        <is>
          <t>No Video ID yet</t>
        </is>
      </c>
      <c r="S252" s="49" t="n"/>
      <c r="T252" s="49" t="n"/>
      <c r="U252" s="47" t="inlineStr">
        <is>
          <t>In the 304th episode of the Pop, Ben and J discuss all things MIDWEST TOUR: hotels, the endless Taco Bell stop, the BEST day of eating ever, getting home, chants, Deadric, and their gratitude. Uncle Wolfie’s - The Bear - Al’s Beef - The Girl and the Goat - Sidecar - 00:00 - Intro, 08:02 - Taco Bell 18:05 - The Best Food 46:58 - Highlights</t>
        </is>
      </c>
      <c r="V252" s="47">
        <f>IF(AND(P252&gt;=Calendar!$K$2,P252&lt;EDATE(Calendar!$K$2,1),OR(Calendar!$K$4="*",N252=Calendar!$K$4)),P252*100+COUNTIFS($P$6:$P$3267,P252,$Q$6:$Q$3267,"&lt;="&amp;Q252,$N$6:$N$3267,Calendar!$K$4),"")</f>
        <v/>
      </c>
      <c r="W252" s="47">
        <f>IF(AND(B252=Queue!$C$4,OR(Queue!$K$4="*",N252=Queue!$K$4)),Q252,"")</f>
        <v/>
      </c>
    </row>
    <row r="253">
      <c r="A253" s="38">
        <f>IF(M253="","",HYPERLINK("https://www.youtube.com/watch?v="&amp;M253,"▶"))</f>
        <v/>
      </c>
      <c r="B253" s="39">
        <f>IF(C253&lt;&gt;"",C253,IF(P253&lt;=IFERROR(INDEX(tblChannels[Watched Through],MATCH(N253,tblChannels[Channel ID],0)),0),"Watched","Unwatched"))</f>
        <v/>
      </c>
      <c r="C253" s="40" t="n"/>
      <c r="D253" s="41" t="n"/>
      <c r="E253" s="42" t="n">
        <v>45932.70833333334</v>
      </c>
      <c r="F253" s="51" t="inlineStr">
        <is>
          <t>Through The Griffin Door</t>
        </is>
      </c>
      <c r="G253" t="inlineStr">
        <is>
          <t>Live in Indianapolis - Chapter 6: The Noble and MOST Ancient House of Black | Order of the Phoenix</t>
        </is>
      </c>
      <c r="H253" s="44" t="n">
        <v>0.05710648148148148</v>
      </c>
      <c r="I253" s="45" t="n">
        <v>10803</v>
      </c>
      <c r="J253" s="45" t="n">
        <v>424</v>
      </c>
      <c r="K253" s="45" t="n">
        <v>80</v>
      </c>
      <c r="L253" s="46" t="n"/>
      <c r="M253" s="47" t="n"/>
      <c r="N253" s="47" t="inlineStr">
        <is>
          <t>UCEscP6ETYXWSSvsNrDHekMQ</t>
        </is>
      </c>
      <c r="O253" s="48" t="n">
        <v>45932.875</v>
      </c>
      <c r="P253" s="49" t="n">
        <v>45932</v>
      </c>
      <c r="Q253" s="47" t="n">
        <v>3015</v>
      </c>
      <c r="R253" s="47" t="inlineStr">
        <is>
          <t>No Video ID yet</t>
        </is>
      </c>
      <c r="S253" s="49" t="n"/>
      <c r="T253" s="49" t="n"/>
      <c r="U253" s="47" t="inlineStr">
        <is>
          <t>Join J and Ben as they dive BACK into Chapter 6 of Order of the Phoenix LIVE IN INDIANAPOLIS and discuss Dead Rats, Swole House Elves, and Fred and George's Secret Ploy To Get Ron On The Quidditch Team.</t>
        </is>
      </c>
      <c r="V253" s="47">
        <f>IF(AND(P253&gt;=Calendar!$K$2,P253&lt;EDATE(Calendar!$K$2,1),OR(Calendar!$K$4="*",N253=Calendar!$K$4)),P253*100+COUNTIFS($P$6:$P$3267,P253,$Q$6:$Q$3267,"&lt;="&amp;Q253,$N$6:$N$3267,Calendar!$K$4),"")</f>
        <v/>
      </c>
      <c r="W253" s="47">
        <f>IF(AND(B253=Queue!$C$4,OR(Queue!$K$4="*",N253=Queue!$K$4)),Q253,"")</f>
        <v/>
      </c>
    </row>
    <row r="254">
      <c r="A254" s="38">
        <f>IF(M254="","",HYPERLINK("https://www.youtube.com/watch?v="&amp;M254,"▶"))</f>
        <v/>
      </c>
      <c r="B254" s="39">
        <f>IF(C254&lt;&gt;"",C254,IF(P254&lt;=IFERROR(INDEX(tblChannels[Watched Through],MATCH(N254,tblChannels[Channel ID],0)),0),"Watched","Unwatched"))</f>
        <v/>
      </c>
      <c r="C254" s="40" t="n"/>
      <c r="D254" s="41" t="n"/>
      <c r="E254" s="42" t="n">
        <v>45931.70833333334</v>
      </c>
      <c r="F254" s="50" t="inlineStr">
        <is>
          <t>Super Carlin Brothers</t>
        </is>
      </c>
      <c r="G254" t="inlineStr">
        <is>
          <t>The DARK TRUTH Behind the Fountain of Magical Brethren | Harry Potter Theory</t>
        </is>
      </c>
      <c r="H254" s="44" t="n">
        <v>0.01119212962962963</v>
      </c>
      <c r="I254" s="45" t="n">
        <v>95681</v>
      </c>
      <c r="J254" s="45" t="n">
        <v>4101</v>
      </c>
      <c r="K254" s="45" t="n">
        <v>321</v>
      </c>
      <c r="L254" s="46" t="n"/>
      <c r="M254" s="47" t="n"/>
      <c r="N254" s="47" t="inlineStr">
        <is>
          <t>UCKZo4N0lVPccBkSiuyVh4yg</t>
        </is>
      </c>
      <c r="O254" s="48" t="n">
        <v>45931.875</v>
      </c>
      <c r="P254" s="49" t="n">
        <v>45931</v>
      </c>
      <c r="Q254" s="47" t="n">
        <v>3014</v>
      </c>
      <c r="R254" s="47" t="inlineStr">
        <is>
          <t>No Video ID yet</t>
        </is>
      </c>
      <c r="S254" s="49" t="n"/>
      <c r="T254" s="49" t="n"/>
      <c r="U254" s="47" t="inlineStr">
        <is>
          <t>This episode is sponsored by BetterHelp – Go to to get 10% off your first month. What’s the deal with the Fountain of Magical Brethren in the Ministry of Magic? At first glance, the golden statue of a wizard, witch, centaur, goblin, and house-elf looks like a symbol of unity. But a closer look reveals it’s actually a glittering facade — a convenient lie about equality in the wizarding world. #HarryPotter #SuperCarlinBrother #WizardingWorld</t>
        </is>
      </c>
      <c r="V254" s="47">
        <f>IF(AND(P254&gt;=Calendar!$K$2,P254&lt;EDATE(Calendar!$K$2,1),OR(Calendar!$K$4="*",N254=Calendar!$K$4)),P254*100+COUNTIFS($P$6:$P$3267,P254,$Q$6:$Q$3267,"&lt;="&amp;Q254,$N$6:$N$3267,Calendar!$K$4),"")</f>
        <v/>
      </c>
      <c r="W254" s="47">
        <f>IF(AND(B254=Queue!$C$4,OR(Queue!$K$4="*",N254=Queue!$K$4)),Q254,"")</f>
        <v/>
      </c>
    </row>
    <row r="255">
      <c r="A255" s="38">
        <f>IF(M255="","",HYPERLINK("https://www.youtube.com/watch?v="&amp;M255,"▶"))</f>
        <v/>
      </c>
      <c r="B255" s="39">
        <f>IF(C255&lt;&gt;"",C255,IF(P255&lt;=IFERROR(INDEX(tblChannels[Watched Through],MATCH(N255,tblChannels[Channel ID],0)),0),"Watched","Unwatched"))</f>
        <v/>
      </c>
      <c r="C255" s="40" t="n"/>
      <c r="D255" s="41" t="n"/>
      <c r="E255" s="42" t="n">
        <v>45928.41666666666</v>
      </c>
      <c r="F255" s="51" t="inlineStr">
        <is>
          <t>Through The Griffin Door</t>
        </is>
      </c>
      <c r="G255" t="inlineStr">
        <is>
          <t>Chapter 6: The Noble and Most Ancient House of Black | Order of the Phoenix</t>
        </is>
      </c>
      <c r="H255" s="44" t="n">
        <v>0.07745370370370371</v>
      </c>
      <c r="I255" s="45" t="n">
        <v>52378</v>
      </c>
      <c r="J255" s="45" t="n">
        <v>1366</v>
      </c>
      <c r="K255" s="45" t="n">
        <v>275</v>
      </c>
      <c r="L255" s="46" t="n"/>
      <c r="M255" s="47" t="n"/>
      <c r="N255" s="47" t="inlineStr">
        <is>
          <t>UCEscP6ETYXWSSvsNrDHekMQ</t>
        </is>
      </c>
      <c r="O255" s="48" t="n">
        <v>45928.58333333334</v>
      </c>
      <c r="P255" s="49" t="n">
        <v>45928</v>
      </c>
      <c r="Q255" s="47" t="n">
        <v>3013</v>
      </c>
      <c r="R255" s="47" t="inlineStr">
        <is>
          <t>No Video ID yet</t>
        </is>
      </c>
      <c r="S255" s="49" t="n"/>
      <c r="T255" s="49" t="n"/>
      <c r="U255" s="47" t="inlineStr">
        <is>
          <t>Join J and Ben as they dive into Chapter 6 of the Order of the Phoenix and discuss, the Prophecy, cleaning the house, what Moody sees when he looks at the Boggart, the twins pocketing items in the house, bloodpacts, Kreacher, the Family Tree and the trove of artifacts. The Gilded Age - Regulus Black was the FIRST Chosen On - 06:27 - Chapter Breakdown 1:44:16 - Closing Thoughts and Review</t>
        </is>
      </c>
      <c r="V255" s="47">
        <f>IF(AND(P255&gt;=Calendar!$K$2,P255&lt;EDATE(Calendar!$K$2,1),OR(Calendar!$K$4="*",N255=Calendar!$K$4)),P255*100+COUNTIFS($P$6:$P$3267,P255,$Q$6:$Q$3267,"&lt;="&amp;Q255,$N$6:$N$3267,Calendar!$K$4),"")</f>
        <v/>
      </c>
      <c r="W255" s="47">
        <f>IF(AND(B255=Queue!$C$4,OR(Queue!$K$4="*",N255=Queue!$K$4)),Q255,"")</f>
        <v/>
      </c>
    </row>
    <row r="256">
      <c r="A256" s="38">
        <f>IF(M256="","",HYPERLINK("https://www.youtube.com/watch?v="&amp;M256,"▶"))</f>
        <v/>
      </c>
      <c r="B256" s="39">
        <f>IF(C256&lt;&gt;"",C256,IF(P256&lt;=IFERROR(INDEX(tblChannels[Watched Through],MATCH(N256,tblChannels[Channel ID],0)),0),"Watched","Unwatched"))</f>
        <v/>
      </c>
      <c r="C256" s="40" t="n"/>
      <c r="D256" s="41" t="n"/>
      <c r="E256" s="42" t="n">
        <v>45926.625</v>
      </c>
      <c r="F256" s="50" t="inlineStr">
        <is>
          <t>Super Carlin Brothers</t>
        </is>
      </c>
      <c r="G256" t="inlineStr">
        <is>
          <t>What If Snape TOLD His Secret? | Harry Potter Theory</t>
        </is>
      </c>
      <c r="H256" s="44" t="n">
        <v>0.02728009259259259</v>
      </c>
      <c r="I256" s="45" t="n">
        <v>144665</v>
      </c>
      <c r="J256" s="45" t="n">
        <v>4748</v>
      </c>
      <c r="K256" s="45" t="n">
        <v>593</v>
      </c>
      <c r="L256" s="46" t="n"/>
      <c r="M256" s="47" t="n"/>
      <c r="N256" s="47" t="inlineStr">
        <is>
          <t>UCKZo4N0lVPccBkSiuyVh4yg</t>
        </is>
      </c>
      <c r="O256" s="48" t="n">
        <v>45926.79166666666</v>
      </c>
      <c r="P256" s="49" t="n">
        <v>45926</v>
      </c>
      <c r="Q256" s="47" t="n">
        <v>3012</v>
      </c>
      <c r="R256" s="47" t="inlineStr">
        <is>
          <t>No Video ID yet</t>
        </is>
      </c>
      <c r="S256" s="49" t="n"/>
      <c r="T256" s="49" t="n"/>
      <c r="U256" s="47" t="inlineStr">
        <is>
          <t>This episode is sponsored by Better Help - go to to get 10% off your first month. Go to and use code jvsb50off to get 50% off your first box, plus Free Breakfast for 1 Year. Hello and welcome everyone to the Owlery! The show where we answer real questions delivered by a real owl! Today’s letter is sent to us from Through The Griffin Door listener: Moose, who wants to know how the story would have changed if Snape had not insisted that his love for Lily be kept a secret for all of those years Sign up for the Owlery :: #HarryPotter #SuperCarlinBrother #WhatIf</t>
        </is>
      </c>
      <c r="V256" s="47">
        <f>IF(AND(P256&gt;=Calendar!$K$2,P256&lt;EDATE(Calendar!$K$2,1),OR(Calendar!$K$4="*",N256=Calendar!$K$4)),P256*100+COUNTIFS($P$6:$P$3267,P256,$Q$6:$Q$3267,"&lt;="&amp;Q256,$N$6:$N$3267,Calendar!$K$4),"")</f>
        <v/>
      </c>
      <c r="W256" s="47">
        <f>IF(AND(B256=Queue!$C$4,OR(Queue!$K$4="*",N256=Queue!$K$4)),Q256,"")</f>
        <v/>
      </c>
    </row>
    <row r="257">
      <c r="A257" s="38">
        <f>IF(M257="","",HYPERLINK("https://www.youtube.com/watch?v="&amp;M257,"▶"))</f>
        <v/>
      </c>
      <c r="B257" s="39">
        <f>IF(C257&lt;&gt;"",C257,IF(P257&lt;=IFERROR(INDEX(tblChannels[Watched Through],MATCH(N257,tblChannels[Channel ID],0)),0),"Watched","Unwatched"))</f>
        <v/>
      </c>
      <c r="C257" s="40" t="n"/>
      <c r="D257" s="41" t="n"/>
      <c r="E257" s="42" t="n">
        <v>45926.41666666666</v>
      </c>
      <c r="F257" s="43" t="inlineStr">
        <is>
          <t>Popcorn Culture</t>
        </is>
      </c>
      <c r="G257" t="inlineStr">
        <is>
          <t>Weak Opinions About Strong Things | Popcorn Culture</t>
        </is>
      </c>
      <c r="H257" s="44" t="n">
        <v>0.05221064814814814</v>
      </c>
      <c r="I257" s="45" t="n">
        <v>2874</v>
      </c>
      <c r="J257" s="45" t="n">
        <v>138</v>
      </c>
      <c r="K257" s="45" t="n">
        <v>37</v>
      </c>
      <c r="L257" s="46" t="n"/>
      <c r="M257" s="47" t="n"/>
      <c r="N257" s="47" t="inlineStr">
        <is>
          <t>UCHfIbq9thHPC8yrKjAdJgDA</t>
        </is>
      </c>
      <c r="O257" s="48" t="n">
        <v>45926.58333333334</v>
      </c>
      <c r="P257" s="49" t="n">
        <v>45926</v>
      </c>
      <c r="Q257" s="47" t="n">
        <v>3011</v>
      </c>
      <c r="R257" s="47" t="inlineStr">
        <is>
          <t>No Video ID yet</t>
        </is>
      </c>
      <c r="S257" s="49" t="n"/>
      <c r="T257" s="49" t="n"/>
      <c r="U257" s="47" t="inlineStr">
        <is>
          <t>In the 303rd episode of the Pop Ben and J discuss the Fantasy draft update, favorite fries, tip culture, ice shapes, water bottles, participation trophies, shower beer, school uniforms, and pineapple on pizza. Madden NFL - Owala -</t>
        </is>
      </c>
      <c r="V257" s="47">
        <f>IF(AND(P257&gt;=Calendar!$K$2,P257&lt;EDATE(Calendar!$K$2,1),OR(Calendar!$K$4="*",N257=Calendar!$K$4)),P257*100+COUNTIFS($P$6:$P$3267,P257,$Q$6:$Q$3267,"&lt;="&amp;Q257,$N$6:$N$3267,Calendar!$K$4),"")</f>
        <v/>
      </c>
      <c r="W257" s="47">
        <f>IF(AND(B257=Queue!$C$4,OR(Queue!$K$4="*",N257=Queue!$K$4)),Q257,"")</f>
        <v/>
      </c>
    </row>
    <row r="258">
      <c r="A258" s="38">
        <f>IF(M258="","",HYPERLINK("https://www.youtube.com/watch?v="&amp;M258,"▶"))</f>
        <v/>
      </c>
      <c r="B258" s="39">
        <f>IF(C258&lt;&gt;"",C258,IF(P258&lt;=IFERROR(INDEX(tblChannels[Watched Through],MATCH(N258,tblChannels[Channel ID],0)),0),"Watched","Unwatched"))</f>
        <v/>
      </c>
      <c r="C258" s="40" t="n"/>
      <c r="D258" s="41" t="n"/>
      <c r="E258" s="42" t="n">
        <v>45924.625</v>
      </c>
      <c r="F258" s="50" t="inlineStr">
        <is>
          <t>Super Carlin Brothers</t>
        </is>
      </c>
      <c r="G258" t="inlineStr">
        <is>
          <t>J vs Ben: MAX DIFFICULTY Chamber of Secrets Open Book Quiz</t>
        </is>
      </c>
      <c r="H258" s="44" t="n">
        <v>0.02957175925925926</v>
      </c>
      <c r="I258" s="45" t="n">
        <v>93187</v>
      </c>
      <c r="J258" s="45" t="n">
        <v>3334</v>
      </c>
      <c r="K258" s="45" t="n">
        <v>429</v>
      </c>
      <c r="L258" s="46" t="n"/>
      <c r="M258" s="47" t="n"/>
      <c r="N258" s="47" t="inlineStr">
        <is>
          <t>UCKZo4N0lVPccBkSiuyVh4yg</t>
        </is>
      </c>
      <c r="O258" s="48" t="n">
        <v>45924.79166666666</v>
      </c>
      <c r="P258" s="49" t="n">
        <v>45924</v>
      </c>
      <c r="Q258" s="47" t="n">
        <v>3010</v>
      </c>
      <c r="R258" s="47" t="inlineStr">
        <is>
          <t>No Video ID yet</t>
        </is>
      </c>
      <c r="S258" s="49" t="n"/>
      <c r="T258" s="49" t="n"/>
      <c r="U258" s="47" t="inlineStr">
        <is>
          <t>Go to and use code jvsb50off to get 50% off your first box, plus Free Breakfast for 1 Year. J and Ben are back at it with the Quiz Masters for another MAX DIFFICULTY Open Book Quiz—this time covering Harry Potter and the Chamber of Secrets! 📖⚡ The twist? They can look up any answer they don’t know… but only if they can find it in under 30 seconds. ⏱️ Special thanks to our Patrons for submitting today’s quiz questions: Swinkey AKA Kimberly, P.C., Abby, Tara Walker, Jennifer Froh, Ben Henderson, Natalia Nalepa, Fis, Bradferd, Poison Dart Fraud, kyuubibob, Essential Escapism, Teghan Denlinger, GooeyChewie, Dola, and Julie Sherwood! Play along and let us know your score in the comments! #HarryPotter #SuperCarlinBrother #JvsBen Written by :: The Quiz Masters! Edited by :: Riley Murtaugh Hosted by :: Isybelle Christley</t>
        </is>
      </c>
      <c r="V258" s="47">
        <f>IF(AND(P258&gt;=Calendar!$K$2,P258&lt;EDATE(Calendar!$K$2,1),OR(Calendar!$K$4="*",N258=Calendar!$K$4)),P258*100+COUNTIFS($P$6:$P$3267,P258,$Q$6:$Q$3267,"&lt;="&amp;Q258,$N$6:$N$3267,Calendar!$K$4),"")</f>
        <v/>
      </c>
      <c r="W258" s="47">
        <f>IF(AND(B258=Queue!$C$4,OR(Queue!$K$4="*",N258=Queue!$K$4)),Q258,"")</f>
        <v/>
      </c>
    </row>
    <row r="259">
      <c r="A259" s="38">
        <f>IF(M259="","",HYPERLINK("https://www.youtube.com/watch?v="&amp;M259,"▶"))</f>
        <v/>
      </c>
      <c r="B259" s="39">
        <f>IF(C259&lt;&gt;"",C259,IF(P259&lt;=IFERROR(INDEX(tblChannels[Watched Through],MATCH(N259,tblChannels[Channel ID],0)),0),"Watched","Unwatched"))</f>
        <v/>
      </c>
      <c r="C259" s="40" t="n"/>
      <c r="D259" s="41" t="n"/>
      <c r="E259" s="42" t="n">
        <v>45921.41666666666</v>
      </c>
      <c r="F259" s="51" t="inlineStr">
        <is>
          <t>Through The Griffin Door</t>
        </is>
      </c>
      <c r="G259" t="inlineStr">
        <is>
          <t>Chapter 5: The Order of the Phoenix | Order of the Phoenix</t>
        </is>
      </c>
      <c r="H259" s="44" t="n">
        <v>0.080625</v>
      </c>
      <c r="I259" s="45" t="n">
        <v>56176</v>
      </c>
      <c r="J259" s="45" t="n">
        <v>1463</v>
      </c>
      <c r="K259" s="45" t="n">
        <v>353</v>
      </c>
      <c r="L259" s="46" t="n"/>
      <c r="M259" s="47" t="n"/>
      <c r="N259" s="47" t="inlineStr">
        <is>
          <t>UCEscP6ETYXWSSvsNrDHekMQ</t>
        </is>
      </c>
      <c r="O259" s="48" t="n">
        <v>45921.58333333334</v>
      </c>
      <c r="P259" s="49" t="n">
        <v>45921</v>
      </c>
      <c r="Q259" s="47" t="n">
        <v>3009</v>
      </c>
      <c r="R259" s="47" t="inlineStr">
        <is>
          <t>No Video ID yet</t>
        </is>
      </c>
      <c r="S259" s="49" t="n"/>
      <c r="T259" s="49" t="n"/>
      <c r="U259" s="47" t="inlineStr">
        <is>
          <t>This episode is sponsored by Mint Mobile – Get your 3-month Unlimited wireless plan for just 15 bucks a month at Join J and Ben as they dive into Chapter 5 of the Order of the Phoenix and discuss Sirius being stir-crazy, after the meeting, Mundungus being shady, the twins doing “too much” magic, everyone’s reaction to Harry wanting answers,them giving him non-answers and “the weapon.” Who Was Crookshanks Original Owner? - O Brother, Where Art Thou? - The Great British Bake Off - Voldemort’s MASTER PLAN Revealed! - The TRUTH About Chocolate Frog Cards - THROUGH THE GRIFFIN TOUR MIDWEST TICKETS ARE ON SALE RIGHT NOW St. Louis, MO - 9/17 (sold out) Detroit, MI - 9/24 (sold out) 09:35 - Chapter Breakdown 59:29- Ad Break (Mint Mobile) 1:00:39 - More Chapter Breakdown 1:45:53 - Closing Thoughts and Review</t>
        </is>
      </c>
      <c r="V259" s="47">
        <f>IF(AND(P259&gt;=Calendar!$K$2,P259&lt;EDATE(Calendar!$K$2,1),OR(Calendar!$K$4="*",N259=Calendar!$K$4)),P259*100+COUNTIFS($P$6:$P$3267,P259,$Q$6:$Q$3267,"&lt;="&amp;Q259,$N$6:$N$3267,Calendar!$K$4),"")</f>
        <v/>
      </c>
      <c r="W259" s="47">
        <f>IF(AND(B259=Queue!$C$4,OR(Queue!$K$4="*",N259=Queue!$K$4)),Q259,"")</f>
        <v/>
      </c>
    </row>
    <row r="260">
      <c r="A260" s="38">
        <f>IF(M260="","",HYPERLINK("https://www.youtube.com/watch?v="&amp;M260,"▶"))</f>
        <v/>
      </c>
      <c r="B260" s="39">
        <f>IF(C260&lt;&gt;"",C260,IF(P260&lt;=IFERROR(INDEX(tblChannels[Watched Through],MATCH(N260,tblChannels[Channel ID],0)),0),"Watched","Unwatched"))</f>
        <v/>
      </c>
      <c r="C260" s="40" t="n"/>
      <c r="D260" s="41" t="n"/>
      <c r="E260" s="42" t="n">
        <v>45919.625</v>
      </c>
      <c r="F260" s="50" t="inlineStr">
        <is>
          <t>Super Carlin Brothers</t>
        </is>
      </c>
      <c r="G260" t="inlineStr">
        <is>
          <t>2 Hours of Harry Potter Theories to Binge</t>
        </is>
      </c>
      <c r="H260" s="44" t="n">
        <v>0.08063657407407407</v>
      </c>
      <c r="I260" s="45" t="n">
        <v>375629</v>
      </c>
      <c r="J260" s="45" t="n">
        <v>4394</v>
      </c>
      <c r="K260" s="45" t="n">
        <v>373</v>
      </c>
      <c r="L260" s="46" t="n"/>
      <c r="M260" s="47" t="n"/>
      <c r="N260" s="47" t="inlineStr">
        <is>
          <t>UCKZo4N0lVPccBkSiuyVh4yg</t>
        </is>
      </c>
      <c r="O260" s="48" t="n">
        <v>45919.79166666666</v>
      </c>
      <c r="P260" s="49" t="n">
        <v>45919</v>
      </c>
      <c r="Q260" s="47" t="n">
        <v>3008</v>
      </c>
      <c r="R260" s="47" t="inlineStr">
        <is>
          <t>No Video ID yet</t>
        </is>
      </c>
      <c r="S260" s="49" t="n"/>
      <c r="T260" s="49" t="n"/>
      <c r="U260" s="47" t="inlineStr">
        <is>
          <t>Go to to get 20% the fan favorite Everyday Earbuds Classic! Grab your butterbeer and settle in — we’ve stitched together two full hours of our favorite Harry Potter theories! From Regulus Black secretly being the real Chosen One to Petunia’s wizarding world secrets, this is the ultimate binge watch for every Potter fan. #HarryPotter #SuperCarlinBrother #WizardingWorld Original Video’s Edited by :: Isybelle Christley, Ethan Edghill, Riley Murtaugh, &amp; Derek Knabenbaur</t>
        </is>
      </c>
      <c r="V260" s="47">
        <f>IF(AND(P260&gt;=Calendar!$K$2,P260&lt;EDATE(Calendar!$K$2,1),OR(Calendar!$K$4="*",N260=Calendar!$K$4)),P260*100+COUNTIFS($P$6:$P$3267,P260,$Q$6:$Q$3267,"&lt;="&amp;Q260,$N$6:$N$3267,Calendar!$K$4),"")</f>
        <v/>
      </c>
      <c r="W260" s="47">
        <f>IF(AND(B260=Queue!$C$4,OR(Queue!$K$4="*",N260=Queue!$K$4)),Q260,"")</f>
        <v/>
      </c>
    </row>
    <row r="261">
      <c r="A261" s="38">
        <f>IF(M261="","",HYPERLINK("https://www.youtube.com/watch?v="&amp;M261,"▶"))</f>
        <v/>
      </c>
      <c r="B261" s="39">
        <f>IF(C261&lt;&gt;"",C261,IF(P261&lt;=IFERROR(INDEX(tblChannels[Watched Through],MATCH(N261,tblChannels[Channel ID],0)),0),"Watched","Unwatched"))</f>
        <v/>
      </c>
      <c r="C261" s="40" t="n"/>
      <c r="D261" s="41" t="n"/>
      <c r="E261" s="42" t="n">
        <v>45919.41666666666</v>
      </c>
      <c r="F261" s="43" t="inlineStr">
        <is>
          <t>Popcorn Culture</t>
        </is>
      </c>
      <c r="G261" t="inlineStr">
        <is>
          <t>J’s One TRUE Co-Host | Popcorn Culture</t>
        </is>
      </c>
      <c r="H261" s="44" t="n">
        <v>0.0455787037037037</v>
      </c>
      <c r="I261" s="45" t="n">
        <v>3528</v>
      </c>
      <c r="J261" s="45" t="n">
        <v>208</v>
      </c>
      <c r="K261" s="45" t="n">
        <v>36</v>
      </c>
      <c r="L261" s="46" t="n"/>
      <c r="M261" s="47" t="n"/>
      <c r="N261" s="47" t="inlineStr">
        <is>
          <t>UCHfIbq9thHPC8yrKjAdJgDA</t>
        </is>
      </c>
      <c r="O261" s="48" t="n">
        <v>45919.58333333334</v>
      </c>
      <c r="P261" s="49" t="n">
        <v>45919</v>
      </c>
      <c r="Q261" s="47" t="n">
        <v>3007</v>
      </c>
      <c r="R261" s="47" t="inlineStr">
        <is>
          <t>No Video ID yet</t>
        </is>
      </c>
      <c r="S261" s="49" t="n"/>
      <c r="T261" s="49" t="n"/>
      <c r="U261" s="47" t="inlineStr">
        <is>
          <t>In the 302nd episode of the Pop, J and BETH discuss the transition to all the kids being in school, Facebook marketplace, mahjong, wicks of the peek, their first date, prom, and marching band. K-Pop Demon Hunters - Love is Blind UK - Dungeon Crawler Carl - Failure to Launch - J.J. Reddick - Macy’s Thanksgiving Day Parade Performance - Beth’s Favorite Marching Band Performance - Get your tickets for Through the Griffin Tour MIDWEST here: St. Louis, MO - 9/17 (sold out) Detroit, MI - 9/24 (sold out) Our First Date Marching Band Politics 00:00 - Intro, The Kids 06:11 - Plan for the Day! 12:20 - Wicks of the Peek 17:06 - Get to Know Beth!</t>
        </is>
      </c>
      <c r="V261" s="47">
        <f>IF(AND(P261&gt;=Calendar!$K$2,P261&lt;EDATE(Calendar!$K$2,1),OR(Calendar!$K$4="*",N261=Calendar!$K$4)),P261*100+COUNTIFS($P$6:$P$3267,P261,$Q$6:$Q$3267,"&lt;="&amp;Q261,$N$6:$N$3267,Calendar!$K$4),"")</f>
        <v/>
      </c>
      <c r="W261" s="47">
        <f>IF(AND(B261=Queue!$C$4,OR(Queue!$K$4="*",N261=Queue!$K$4)),Q261,"")</f>
        <v/>
      </c>
    </row>
    <row r="262">
      <c r="A262" s="38">
        <f>IF(M262="","",HYPERLINK("https://www.youtube.com/watch?v="&amp;M262,"▶"))</f>
        <v/>
      </c>
      <c r="B262" s="39">
        <f>IF(C262&lt;&gt;"",C262,IF(P262&lt;=IFERROR(INDEX(tblChannels[Watched Through],MATCH(N262,tblChannels[Channel ID],0)),0),"Watched","Unwatched"))</f>
        <v/>
      </c>
      <c r="C262" s="40" t="n"/>
      <c r="D262" s="41" t="n"/>
      <c r="E262" s="42" t="n">
        <v>45917.625</v>
      </c>
      <c r="F262" s="50" t="inlineStr">
        <is>
          <t>Super Carlin Brothers</t>
        </is>
      </c>
      <c r="G262" t="inlineStr">
        <is>
          <t>Why Weren’t Lily &amp; James Their Own Secret Keeper? | Harry Potter Theory</t>
        </is>
      </c>
      <c r="H262" s="44" t="n">
        <v>0.01240740740740741</v>
      </c>
      <c r="I262" s="45" t="n">
        <v>101115</v>
      </c>
      <c r="J262" s="45" t="n">
        <v>4834</v>
      </c>
      <c r="K262" s="45" t="n">
        <v>727</v>
      </c>
      <c r="L262" s="46" t="n"/>
      <c r="M262" s="47" t="n"/>
      <c r="N262" s="47" t="inlineStr">
        <is>
          <t>UCKZo4N0lVPccBkSiuyVh4yg</t>
        </is>
      </c>
      <c r="O262" s="48" t="n">
        <v>45917.79166666666</v>
      </c>
      <c r="P262" s="49" t="n">
        <v>45917</v>
      </c>
      <c r="Q262" s="47" t="n">
        <v>3006</v>
      </c>
      <c r="R262" s="47" t="inlineStr">
        <is>
          <t>No Video ID yet</t>
        </is>
      </c>
      <c r="S262" s="49" t="n"/>
      <c r="T262" s="49" t="n"/>
      <c r="U262" s="47" t="inlineStr">
        <is>
          <t>This episode is sponsored by BetterHelp. Go to to get 10% off your first month. Today J dives deep into one of the most puzzling questions in the Harry Potter saga: Why weren’t Lily and James Potter their own Secret Keepers? If Bill Weasley could be his own Secret Keeper at Shell Cottage, why couldn’t the Potters do the same to protect themselves from Voldemort? Was it a mistake, a plot hole, or something more? Could the Potters have saved themselves, or was their fate always sealed by prophecy? Let’s find out! #HarryPotter #SuperCarlinBrother #WizardingWorld</t>
        </is>
      </c>
      <c r="V262" s="47">
        <f>IF(AND(P262&gt;=Calendar!$K$2,P262&lt;EDATE(Calendar!$K$2,1),OR(Calendar!$K$4="*",N262=Calendar!$K$4)),P262*100+COUNTIFS($P$6:$P$3267,P262,$Q$6:$Q$3267,"&lt;="&amp;Q262,$N$6:$N$3267,Calendar!$K$4),"")</f>
        <v/>
      </c>
      <c r="W262" s="47">
        <f>IF(AND(B262=Queue!$C$4,OR(Queue!$K$4="*",N262=Queue!$K$4)),Q262,"")</f>
        <v/>
      </c>
    </row>
    <row r="263">
      <c r="A263" s="38">
        <f>IF(M263="","",HYPERLINK("https://www.youtube.com/watch?v="&amp;M263,"▶"))</f>
        <v/>
      </c>
      <c r="B263" s="39">
        <f>IF(C263&lt;&gt;"",C263,IF(P263&lt;=IFERROR(INDEX(tblChannels[Watched Through],MATCH(N263,tblChannels[Channel ID],0)),0),"Watched","Unwatched"))</f>
        <v/>
      </c>
      <c r="C263" s="40" t="n"/>
      <c r="D263" s="41" t="n"/>
      <c r="E263" s="42" t="n">
        <v>45914.41736111111</v>
      </c>
      <c r="F263" s="51" t="inlineStr">
        <is>
          <t>Through The Griffin Door</t>
        </is>
      </c>
      <c r="G263" t="inlineStr">
        <is>
          <t>Chapter 4: Number Twelve, Grimmauld Place | Order of the Phoenix</t>
        </is>
      </c>
      <c r="H263" s="44" t="n">
        <v>0.06709490740740741</v>
      </c>
      <c r="I263" s="45" t="n">
        <v>50851</v>
      </c>
      <c r="J263" s="45" t="n">
        <v>1450</v>
      </c>
      <c r="K263" s="45" t="n">
        <v>364</v>
      </c>
      <c r="L263" s="46" t="n"/>
      <c r="M263" s="47" t="n"/>
      <c r="N263" s="47" t="inlineStr">
        <is>
          <t>UCEscP6ETYXWSSvsNrDHekMQ</t>
        </is>
      </c>
      <c r="O263" s="48" t="n">
        <v>45914.58402777778</v>
      </c>
      <c r="P263" s="49" t="n">
        <v>45914</v>
      </c>
      <c r="Q263" s="47" t="n">
        <v>3005</v>
      </c>
      <c r="R263" s="47" t="inlineStr">
        <is>
          <t>No Video ID yet</t>
        </is>
      </c>
      <c r="S263" s="49" t="n"/>
      <c r="T263" s="49" t="n"/>
      <c r="U263" s="47" t="inlineStr">
        <is>
          <t>Join J and Ben as they dive into Chapter 4 of the Order of the Phoenix and discuss the house appearing, Hermione’s long hug, Harry’s turmoil of emotions, Fred and George’s entrance, extendable ears, Percy’s betrayal, and the Sirius reveal. Cruella - Inside Out - Was Percy Under the Imperius Curse? - THROUGH THE GRIFFIN TOUR MIDWEST TICKETS ARE ON SALE RIGHT NOW St. Louis, MO - 9/17 (sold out) Detroit, MI - 9/24 (sold out) 07:11 - Chapter Breakdown 43:06 - Ad Break (Shopify) 44:27 - More Chapter Breakdown 1:29:20 - Closing Thoughts and Review</t>
        </is>
      </c>
      <c r="V263" s="47">
        <f>IF(AND(P263&gt;=Calendar!$K$2,P263&lt;EDATE(Calendar!$K$2,1),OR(Calendar!$K$4="*",N263=Calendar!$K$4)),P263*100+COUNTIFS($P$6:$P$3267,P263,$Q$6:$Q$3267,"&lt;="&amp;Q263,$N$6:$N$3267,Calendar!$K$4),"")</f>
        <v/>
      </c>
      <c r="W263" s="47">
        <f>IF(AND(B263=Queue!$C$4,OR(Queue!$K$4="*",N263=Queue!$K$4)),Q263,"")</f>
        <v/>
      </c>
    </row>
    <row r="264">
      <c r="A264" s="38">
        <f>IF(M264="","",HYPERLINK("https://www.youtube.com/watch?v="&amp;M264,"▶"))</f>
        <v/>
      </c>
      <c r="B264" s="39">
        <f>IF(C264&lt;&gt;"",C264,IF(P264&lt;=IFERROR(INDEX(tblChannels[Watched Through],MATCH(N264,tblChannels[Channel ID],0)),0),"Watched","Unwatched"))</f>
        <v/>
      </c>
      <c r="C264" s="40" t="n"/>
      <c r="D264" s="41" t="n"/>
      <c r="E264" s="42" t="n">
        <v>45913.41666666666</v>
      </c>
      <c r="F264" s="50" t="inlineStr">
        <is>
          <t>Super Carlin Brothers</t>
        </is>
      </c>
      <c r="G264" t="inlineStr">
        <is>
          <t>Through the Griffin Door Supercut: Order of the Phoenix Chapters 1-3</t>
        </is>
      </c>
      <c r="H264" s="44" t="n">
        <v>0.201412037037037</v>
      </c>
      <c r="I264" s="45" t="n">
        <v>10848</v>
      </c>
      <c r="J264" s="45" t="n">
        <v>240</v>
      </c>
      <c r="K264" s="45" t="n">
        <v>73</v>
      </c>
      <c r="L264" s="46" t="n"/>
      <c r="M264" s="47" t="n"/>
      <c r="N264" s="47" t="inlineStr">
        <is>
          <t>UCKZo4N0lVPccBkSiuyVh4yg</t>
        </is>
      </c>
      <c r="O264" s="48" t="n">
        <v>45913.58333333334</v>
      </c>
      <c r="P264" s="49" t="n">
        <v>45913</v>
      </c>
      <c r="Q264" s="47" t="n">
        <v>3004</v>
      </c>
      <c r="R264" s="47" t="inlineStr">
        <is>
          <t>No Video ID yet</t>
        </is>
      </c>
      <c r="S264" s="49" t="n"/>
      <c r="T264" s="49" t="n"/>
      <c r="U264" s="47" t="inlineStr">
        <is>
          <t>0:00:00 - Chapter 1: Dudley Demented 1:28:51 - Chapter 2: A Peck of Owls 3:16:30 - Chapter 3: The Advance Guard</t>
        </is>
      </c>
      <c r="V264" s="47">
        <f>IF(AND(P264&gt;=Calendar!$K$2,P264&lt;EDATE(Calendar!$K$2,1),OR(Calendar!$K$4="*",N264=Calendar!$K$4)),P264*100+COUNTIFS($P$6:$P$3267,P264,$Q$6:$Q$3267,"&lt;="&amp;Q264,$N$6:$N$3267,Calendar!$K$4),"")</f>
        <v/>
      </c>
      <c r="W264" s="47">
        <f>IF(AND(B264=Queue!$C$4,OR(Queue!$K$4="*",N264=Queue!$K$4)),Q264,"")</f>
        <v/>
      </c>
    </row>
    <row r="265">
      <c r="A265" s="38">
        <f>IF(M265="","",HYPERLINK("https://www.youtube.com/watch?v="&amp;M265,"▶"))</f>
        <v/>
      </c>
      <c r="B265" s="39">
        <f>IF(C265&lt;&gt;"",C265,IF(P265&lt;=IFERROR(INDEX(tblChannels[Watched Through],MATCH(N265,tblChannels[Channel ID],0)),0),"Watched","Unwatched"))</f>
        <v/>
      </c>
      <c r="C265" s="40" t="n"/>
      <c r="D265" s="41" t="n"/>
      <c r="E265" s="42" t="n">
        <v>45912.65555555555</v>
      </c>
      <c r="F265" s="50" t="inlineStr">
        <is>
          <t>Super Carlin Brothers</t>
        </is>
      </c>
      <c r="G265" t="inlineStr">
        <is>
          <t>Why Are The Malfoy’s SO RICH?! | Harry Potter Film Theory</t>
        </is>
      </c>
      <c r="H265" s="44" t="n">
        <v>0.01015046296296296</v>
      </c>
      <c r="I265" s="45" t="n">
        <v>121444</v>
      </c>
      <c r="J265" s="45" t="n">
        <v>5061</v>
      </c>
      <c r="K265" s="45" t="n">
        <v>456</v>
      </c>
      <c r="L265" s="46" t="n"/>
      <c r="M265" s="47" t="n"/>
      <c r="N265" s="47" t="inlineStr">
        <is>
          <t>UCKZo4N0lVPccBkSiuyVh4yg</t>
        </is>
      </c>
      <c r="O265" s="48" t="n">
        <v>45912.82222222222</v>
      </c>
      <c r="P265" s="49" t="n">
        <v>45912</v>
      </c>
      <c r="Q265" s="47" t="n">
        <v>3003</v>
      </c>
      <c r="R265" s="47" t="inlineStr">
        <is>
          <t>No Video ID yet</t>
        </is>
      </c>
      <c r="S265" s="49" t="n"/>
      <c r="T265" s="49" t="n"/>
      <c r="U265" s="47" t="inlineStr">
        <is>
          <t>This episode is sponsored by BetterHelp – Go to to get 10% off your first month. This episode is sponsored by Shopify – Go to to sign up for your $1-per-month trial period. How did the Malfoy family get their enormous wealth in the Wizarding World? From Malfoy Manor to Quidditch Top Box tickets, the Malfoys are the ultimate example of pure-blood privilege. But where does all that gold actually come from — and are the Malfoys truly evil, or just opportunistic? Today we dive into their 1,000-year history, their “slippery” legacy, and how they managed to stay on top of wizarding society for centuries. #HarryPotter #SuperCarlinBrother #WizardingWorld Des Moines, IA - 9/19 (SOLD OUT) St. Paul, MN - 9/20 (SOLD OUT) Detroit, MI - 9/24 (SOLD OUT) Cleveland, OH - 9/25 (SOLD OUT)</t>
        </is>
      </c>
      <c r="V265" s="47">
        <f>IF(AND(P265&gt;=Calendar!$K$2,P265&lt;EDATE(Calendar!$K$2,1),OR(Calendar!$K$4="*",N265=Calendar!$K$4)),P265*100+COUNTIFS($P$6:$P$3267,P265,$Q$6:$Q$3267,"&lt;="&amp;Q265,$N$6:$N$3267,Calendar!$K$4),"")</f>
        <v/>
      </c>
      <c r="W265" s="47">
        <f>IF(AND(B265=Queue!$C$4,OR(Queue!$K$4="*",N265=Queue!$K$4)),Q265,"")</f>
        <v/>
      </c>
    </row>
    <row r="266">
      <c r="A266" s="38">
        <f>IF(M266="","",HYPERLINK("https://www.youtube.com/watch?v="&amp;M266,"▶"))</f>
        <v/>
      </c>
      <c r="B266" s="39">
        <f>IF(C266&lt;&gt;"",C266,IF(P266&lt;=IFERROR(INDEX(tblChannels[Watched Through],MATCH(N266,tblChannels[Channel ID],0)),0),"Watched","Unwatched"))</f>
        <v/>
      </c>
      <c r="C266" s="40" t="n"/>
      <c r="D266" s="41" t="n"/>
      <c r="E266" s="42" t="n">
        <v>45912.41666666666</v>
      </c>
      <c r="F266" s="43" t="inlineStr">
        <is>
          <t>Popcorn Culture</t>
        </is>
      </c>
      <c r="G266" t="inlineStr">
        <is>
          <t>Don’t Teach Fear | Popcorn Culture</t>
        </is>
      </c>
      <c r="H266" s="44" t="n">
        <v>0.04415509259259259</v>
      </c>
      <c r="I266" s="45" t="n">
        <v>2688</v>
      </c>
      <c r="J266" s="45" t="n">
        <v>127</v>
      </c>
      <c r="K266" s="45" t="n">
        <v>21</v>
      </c>
      <c r="L266" s="46" t="n"/>
      <c r="M266" s="47" t="n"/>
      <c r="N266" s="47" t="inlineStr">
        <is>
          <t>UCHfIbq9thHPC8yrKjAdJgDA</t>
        </is>
      </c>
      <c r="O266" s="48" t="n">
        <v>45912.58333333334</v>
      </c>
      <c r="P266" s="49" t="n">
        <v>45912</v>
      </c>
      <c r="Q266" s="47" t="n">
        <v>3002</v>
      </c>
      <c r="R266" s="47" t="inlineStr">
        <is>
          <t>No Video ID yet</t>
        </is>
      </c>
      <c r="S266" s="49" t="n"/>
      <c r="T266" s="49" t="n"/>
      <c r="U266" s="47" t="inlineStr">
        <is>
          <t>In the 301st episode of the Pop, Ben and J discuss draft day, the band Fun and the nature of fame, learned fear, and Mahjong. Caitlin Clark - Nate Ruess - That Thing You Do - Matthew McConaughey - Bo Burnahm - Get your tickets for Through the Griffin Tour MIDWEST here: St. Louis, MO - 9/17 (sold out) Detroit, MI - 9/24 (sold out) Taylor Grade Fame A Jong-Off 00:00 - Intro, Fantasy Football 07:16 - Fame 32:11 - Parenting Hot Take 55:15 - Mahjong Clans</t>
        </is>
      </c>
      <c r="V266" s="47">
        <f>IF(AND(P266&gt;=Calendar!$K$2,P266&lt;EDATE(Calendar!$K$2,1),OR(Calendar!$K$4="*",N266=Calendar!$K$4)),P266*100+COUNTIFS($P$6:$P$3267,P266,$Q$6:$Q$3267,"&lt;="&amp;Q266,$N$6:$N$3267,Calendar!$K$4),"")</f>
        <v/>
      </c>
      <c r="W266" s="47">
        <f>IF(AND(B266=Queue!$C$4,OR(Queue!$K$4="*",N266=Queue!$K$4)),Q266,"")</f>
        <v/>
      </c>
    </row>
    <row r="267">
      <c r="A267" s="38">
        <f>IF(M267="","",HYPERLINK("https://www.youtube.com/watch?v="&amp;M267,"▶"))</f>
        <v/>
      </c>
      <c r="B267" s="39">
        <f>IF(C267&lt;&gt;"",C267,IF(P267&lt;=IFERROR(INDEX(tblChannels[Watched Through],MATCH(N267,tblChannels[Channel ID],0)),0),"Watched","Unwatched"))</f>
        <v/>
      </c>
      <c r="C267" s="40" t="n"/>
      <c r="D267" s="41" t="n"/>
      <c r="E267" s="42" t="n">
        <v>45910.64861111111</v>
      </c>
      <c r="F267" s="50" t="inlineStr">
        <is>
          <t>Super Carlin Brothers</t>
        </is>
      </c>
      <c r="G267" t="inlineStr">
        <is>
          <t>J vs Ben: MAX DIFFICULTY Sorcerer’s Stone Open Book Harry Potter Quiz</t>
        </is>
      </c>
      <c r="H267" s="44" t="n">
        <v>0.03016203703703704</v>
      </c>
      <c r="I267" s="45" t="n">
        <v>98102</v>
      </c>
      <c r="J267" s="45" t="n">
        <v>3678</v>
      </c>
      <c r="K267" s="45" t="n">
        <v>656</v>
      </c>
      <c r="L267" s="46" t="n"/>
      <c r="M267" s="47" t="n"/>
      <c r="N267" s="47" t="inlineStr">
        <is>
          <t>UCKZo4N0lVPccBkSiuyVh4yg</t>
        </is>
      </c>
      <c r="O267" s="48" t="n">
        <v>45910.81527777778</v>
      </c>
      <c r="P267" s="49" t="n">
        <v>45910</v>
      </c>
      <c r="Q267" s="47" t="n">
        <v>3001</v>
      </c>
      <c r="R267" s="47" t="inlineStr">
        <is>
          <t>No Video ID yet</t>
        </is>
      </c>
      <c r="S267" s="49" t="n"/>
      <c r="T267" s="49" t="n"/>
      <c r="U267" s="47" t="inlineStr">
        <is>
          <t>Download the Upside app and use code JVSB to get an extra 25 cents back for every gallon on your first tank of gas. Today J and Ben and the Quiz Masters CRANK up the difficulty to a new level as they introduce the OPEN BOOK concept to the format - The guys can look up any answer they dont know… as long as they can do it in under 30 seconds.. Huge thanks to our Patrons for submitting today’s questions: Tara Walker, distitch626, Complete Crimson, Julie Sherwood, Ben Henderson, Abby, Bradferd, Natalia Nalepa, GooeyChewie, Essential Escapism, Fis, Rowena R., Dola, Kayela, Drawing Xaos, and LawNinja! Play along and let us know your score in the comments! #HarryPotter #SuperCarlinBrother #WizardingWorld Des Moines, IA - 9/19 (SOLD OUT) St. Paul, MN - 9/20 (SOLD OUT) Detroit, MI - 9/24 (SOLD OUT) Cleveland, OH - 9/25 (SOLD OUT) Written by :: The Quiz Masters! Hosted by :: Ethan Edghill</t>
        </is>
      </c>
      <c r="V267" s="47">
        <f>IF(AND(P267&gt;=Calendar!$K$2,P267&lt;EDATE(Calendar!$K$2,1),OR(Calendar!$K$4="*",N267=Calendar!$K$4)),P267*100+COUNTIFS($P$6:$P$3267,P267,$Q$6:$Q$3267,"&lt;="&amp;Q267,$N$6:$N$3267,Calendar!$K$4),"")</f>
        <v/>
      </c>
      <c r="W267" s="47">
        <f>IF(AND(B267=Queue!$C$4,OR(Queue!$K$4="*",N267=Queue!$K$4)),Q267,"")</f>
        <v/>
      </c>
    </row>
    <row r="268">
      <c r="A268" s="38">
        <f>IF(M268="","",HYPERLINK("https://www.youtube.com/watch?v="&amp;M268,"▶"))</f>
        <v/>
      </c>
      <c r="B268" s="39">
        <f>IF(C268&lt;&gt;"",C268,IF(P268&lt;=IFERROR(INDEX(tblChannels[Watched Through],MATCH(N268,tblChannels[Channel ID],0)),0),"Watched","Unwatched"))</f>
        <v/>
      </c>
      <c r="C268" s="40" t="n"/>
      <c r="D268" s="41" t="n"/>
      <c r="E268" s="42" t="n">
        <v>45907.41736111111</v>
      </c>
      <c r="F268" s="51" t="inlineStr">
        <is>
          <t>Through The Griffin Door</t>
        </is>
      </c>
      <c r="G268" t="inlineStr">
        <is>
          <t>Chapter 3: The Advance Guard | Order of the Phoenix</t>
        </is>
      </c>
      <c r="H268" s="44" t="n">
        <v>0.06600694444444444</v>
      </c>
      <c r="I268" s="45" t="n">
        <v>51647</v>
      </c>
      <c r="J268" s="45" t="n">
        <v>1428</v>
      </c>
      <c r="K268" s="45" t="n">
        <v>459</v>
      </c>
      <c r="L268" s="46" t="n"/>
      <c r="M268" s="47" t="n"/>
      <c r="N268" s="47" t="inlineStr">
        <is>
          <t>UCEscP6ETYXWSSvsNrDHekMQ</t>
        </is>
      </c>
      <c r="O268" s="48" t="n">
        <v>45907.58402777778</v>
      </c>
      <c r="P268" s="49" t="n">
        <v>45907</v>
      </c>
      <c r="Q268" s="47" t="n">
        <v>3000</v>
      </c>
      <c r="R268" s="47" t="inlineStr">
        <is>
          <t>No Video ID yet</t>
        </is>
      </c>
      <c r="S268" s="49" t="n"/>
      <c r="T268" s="49" t="n"/>
      <c r="U268" s="47" t="inlineStr">
        <is>
          <t>This episode is sponsored by MasterClass: Our listeners get an additional 15% off any annual membership at Join J and Ben as they dive into Chapter 3 of the Order of the Phoenix and discuss Harry being depressed, the guard arriving, Tonks being Moody’s protege and possibly a descendant of Helga Hufflepuff, the trace, flying to Grimmauld Place and the Deluminator. Barty Crouch Jr’s HORCRUX - Kowalski Is A Descendant Of Helga Hufflepuff - How Dumbledore Created The Deluminator - THROUGH THE GRIFFIN TOUR MIDWEST TICKETS ARE ON SALE RIGHT NOW St. Louis, MO - 9/17 (low ticket warning) Detroit, MI - 9/24 (sold out) 09:42 - Chapter Breakdown 59:54 - Ad Break (MasterClass) 1:01:26 - More Chapter Breakdown 1:27:13 - Closing Thoughts and Review</t>
        </is>
      </c>
      <c r="V268" s="47">
        <f>IF(AND(P268&gt;=Calendar!$K$2,P268&lt;EDATE(Calendar!$K$2,1),OR(Calendar!$K$4="*",N268=Calendar!$K$4)),P268*100+COUNTIFS($P$6:$P$3267,P268,$Q$6:$Q$3267,"&lt;="&amp;Q268,$N$6:$N$3267,Calendar!$K$4),"")</f>
        <v/>
      </c>
      <c r="W268" s="47">
        <f>IF(AND(B268=Queue!$C$4,OR(Queue!$K$4="*",N268=Queue!$K$4)),Q268,"")</f>
        <v/>
      </c>
    </row>
    <row r="269">
      <c r="A269" s="38">
        <f>IF(M269="","",HYPERLINK("https://www.youtube.com/watch?v="&amp;M269,"▶"))</f>
        <v/>
      </c>
      <c r="B269" s="39">
        <f>IF(C269&lt;&gt;"",C269,IF(P269&lt;=IFERROR(INDEX(tblChannels[Watched Through],MATCH(N269,tblChannels[Channel ID],0)),0),"Watched","Unwatched"))</f>
        <v/>
      </c>
      <c r="C269" s="40" t="n"/>
      <c r="D269" s="41" t="n"/>
      <c r="E269" s="42" t="n">
        <v>45905.7125</v>
      </c>
      <c r="F269" s="50" t="inlineStr">
        <is>
          <t>Super Carlin Brothers</t>
        </is>
      </c>
      <c r="G269" t="inlineStr">
        <is>
          <t>We SOLVED The Thestral Problem! | Harry Potter Film Theory</t>
        </is>
      </c>
      <c r="H269" s="44" t="n">
        <v>0.01105324074074074</v>
      </c>
      <c r="I269" s="45" t="n">
        <v>139140</v>
      </c>
      <c r="J269" s="45" t="n">
        <v>6470</v>
      </c>
      <c r="K269" s="45" t="n">
        <v>663</v>
      </c>
      <c r="L269" s="46" t="n"/>
      <c r="M269" s="47" t="n"/>
      <c r="N269" s="47" t="inlineStr">
        <is>
          <t>UCKZo4N0lVPccBkSiuyVh4yg</t>
        </is>
      </c>
      <c r="O269" s="48" t="n">
        <v>45905.87916666667</v>
      </c>
      <c r="P269" s="49" t="n">
        <v>45905</v>
      </c>
      <c r="Q269" s="47" t="n">
        <v>2999</v>
      </c>
      <c r="R269" s="47" t="inlineStr">
        <is>
          <t>No Video ID yet</t>
        </is>
      </c>
      <c r="S269" s="49" t="n"/>
      <c r="T269" s="49" t="n"/>
      <c r="U269" s="47" t="inlineStr">
        <is>
          <t>Get started with AG1 Next Gen for less than $3 a day when you subscribe! Why couldn’t Harry see the Thestrals until Order of the Phoenix? Today we finally SOLVE this Harry Potter mystery. Fans have debated this one for YEARS: why couldn’t Harry see the Thestrals sooner? After witnessing multiple deaths before Order of the Phoenix, shouldn’t they have been visible already? Today, we’re breaking it ALL down — from Harry’s earliest memories of his parents, to Quirrell, Cedric, and even the connection between Harry and Voldemort. By the end, you’ll understand the real reason Harry only sees Thestrals when he does. There’s no such thing as plot holes — just opportunities for theories! ⚡ #HarryPotter #SuperCarlinBrother #WizardingWorld Des Moines, IA - 9/19 (SOLD OUT) St. Paul, MN - 9/20 (SOLD OUT) Detroit, MI - 9/24 (SOLD OUT) Cleveland, OH - 9/25 (SOLD OUT)</t>
        </is>
      </c>
      <c r="V269" s="47">
        <f>IF(AND(P269&gt;=Calendar!$K$2,P269&lt;EDATE(Calendar!$K$2,1),OR(Calendar!$K$4="*",N269=Calendar!$K$4)),P269*100+COUNTIFS($P$6:$P$3267,P269,$Q$6:$Q$3267,"&lt;="&amp;Q269,$N$6:$N$3267,Calendar!$K$4),"")</f>
        <v/>
      </c>
      <c r="W269" s="47">
        <f>IF(AND(B269=Queue!$C$4,OR(Queue!$K$4="*",N269=Queue!$K$4)),Q269,"")</f>
        <v/>
      </c>
    </row>
    <row r="270">
      <c r="A270" s="38">
        <f>IF(M270="","",HYPERLINK("https://www.youtube.com/watch?v="&amp;M270,"▶"))</f>
        <v/>
      </c>
      <c r="B270" s="39">
        <f>IF(C270&lt;&gt;"",C270,IF(P270&lt;=IFERROR(INDEX(tblChannels[Watched Through],MATCH(N270,tblChannels[Channel ID],0)),0),"Watched","Unwatched"))</f>
        <v/>
      </c>
      <c r="C270" s="40" t="n"/>
      <c r="D270" s="41" t="n"/>
      <c r="E270" s="42" t="n">
        <v>45905.41666666666</v>
      </c>
      <c r="F270" s="43" t="inlineStr">
        <is>
          <t>Popcorn Culture</t>
        </is>
      </c>
      <c r="G270" t="inlineStr">
        <is>
          <t>EPISODE 300 - Would We Stop the Pop?? | Popcorn Culture</t>
        </is>
      </c>
      <c r="H270" s="44" t="n">
        <v>0.04819444444444444</v>
      </c>
      <c r="I270" s="45" t="n">
        <v>3126</v>
      </c>
      <c r="J270" s="45" t="n">
        <v>169</v>
      </c>
      <c r="K270" s="45" t="n">
        <v>35</v>
      </c>
      <c r="L270" s="46" t="n"/>
      <c r="M270" s="47" t="n"/>
      <c r="N270" s="47" t="inlineStr">
        <is>
          <t>UCHfIbq9thHPC8yrKjAdJgDA</t>
        </is>
      </c>
      <c r="O270" s="48" t="n">
        <v>45905.58333333334</v>
      </c>
      <c r="P270" s="49" t="n">
        <v>45905</v>
      </c>
      <c r="Q270" s="47" t="n">
        <v>2998</v>
      </c>
      <c r="R270" s="47" t="inlineStr">
        <is>
          <t>No Video ID yet</t>
        </is>
      </c>
      <c r="S270" s="49" t="n"/>
      <c r="T270" s="49" t="n"/>
      <c r="U270" s="47" t="inlineStr">
        <is>
          <t>In the THREE HUNDRETH episode of the Pop: Ben and J discuss new dock, NOTW podcast dreams, surfing, brotherhood, the numbers, and dream roller coasters. Get your tickets for Through the Griffin Tour MIDWEST here: St. Louis, MO - 9/17 (low ticket warning) Detroit, MI - 9/24 (sold out) 00:00 - Intro, 300!!! 03:20 - Q1: The Best Things? 08:24 - Q2: Sports as Adults 21:01 - Q3: Working Together 30:32 - Q4: Wish You Knew 43:37 - Q5: Stopping the Pop? 55:30 - Q6: Dream WDW Ride</t>
        </is>
      </c>
      <c r="V270" s="47">
        <f>IF(AND(P270&gt;=Calendar!$K$2,P270&lt;EDATE(Calendar!$K$2,1),OR(Calendar!$K$4="*",N270=Calendar!$K$4)),P270*100+COUNTIFS($P$6:$P$3267,P270,$Q$6:$Q$3267,"&lt;="&amp;Q270,$N$6:$N$3267,Calendar!$K$4),"")</f>
        <v/>
      </c>
      <c r="W270" s="47">
        <f>IF(AND(B270=Queue!$C$4,OR(Queue!$K$4="*",N270=Queue!$K$4)),Q270,"")</f>
        <v/>
      </c>
    </row>
    <row r="271">
      <c r="A271" s="38">
        <f>IF(M271="","",HYPERLINK("https://www.youtube.com/watch?v="&amp;M271,"▶"))</f>
        <v/>
      </c>
      <c r="B271" s="39">
        <f>IF(C271&lt;&gt;"",C271,IF(P271&lt;=IFERROR(INDEX(tblChannels[Watched Through],MATCH(N271,tblChannels[Channel ID],0)),0),"Watched","Unwatched"))</f>
        <v/>
      </c>
      <c r="C271" s="40" t="n"/>
      <c r="D271" s="41" t="n"/>
      <c r="E271" s="42" t="n">
        <v>45903.71597222222</v>
      </c>
      <c r="F271" s="50" t="inlineStr">
        <is>
          <t>Super Carlin Brothers</t>
        </is>
      </c>
      <c r="G271" t="inlineStr">
        <is>
          <t>Harry COULD Control The Basilisk?! | Harry Potter Film Theory</t>
        </is>
      </c>
      <c r="H271" s="44" t="n">
        <v>0.01159722222222222</v>
      </c>
      <c r="I271" s="45" t="n">
        <v>76753</v>
      </c>
      <c r="J271" s="45" t="n">
        <v>4015</v>
      </c>
      <c r="K271" s="45" t="n">
        <v>488</v>
      </c>
      <c r="L271" s="46" t="n"/>
      <c r="M271" s="47" t="n"/>
      <c r="N271" s="47" t="inlineStr">
        <is>
          <t>UCKZo4N0lVPccBkSiuyVh4yg</t>
        </is>
      </c>
      <c r="O271" s="48" t="n">
        <v>45903.88263888889</v>
      </c>
      <c r="P271" s="49" t="n">
        <v>45903</v>
      </c>
      <c r="Q271" s="47" t="n">
        <v>2997</v>
      </c>
      <c r="R271" s="47" t="inlineStr">
        <is>
          <t>No Video ID yet</t>
        </is>
      </c>
      <c r="S271" s="49" t="n"/>
      <c r="T271" s="49" t="n"/>
      <c r="U271" s="47" t="inlineStr">
        <is>
          <t>This episode is sponsored by BetterHelp. Go to for 10% off your first month. Could Harry have actually controlled the Basilisk in the Chamber of Secrets? 🐍 We know Harry can talk to snakes, but does that mean he could’ve commanded the giant serpent to stop listening to Tom Riddle? Today we dive deep into Parseltongue, Horcrux logic, Ginny’s possession, and some very weird “soul math” to uncover whether Harry might have had the ultimate cheat code all along.. Des Moines, IA - 9/19 (SOLD OUT) St. Paul, MN - 9/20 (SOLD OUT) Detroit, MI - 9/24 (SOLD OUT) Cleveland, OH - 9/25 (SOLD OUT) #harrypotter</t>
        </is>
      </c>
      <c r="V271" s="47">
        <f>IF(AND(P271&gt;=Calendar!$K$2,P271&lt;EDATE(Calendar!$K$2,1),OR(Calendar!$K$4="*",N271=Calendar!$K$4)),P271*100+COUNTIFS($P$6:$P$3267,P271,$Q$6:$Q$3267,"&lt;="&amp;Q271,$N$6:$N$3267,Calendar!$K$4),"")</f>
        <v/>
      </c>
      <c r="W271" s="47">
        <f>IF(AND(B271=Queue!$C$4,OR(Queue!$K$4="*",N271=Queue!$K$4)),Q271,"")</f>
        <v/>
      </c>
    </row>
    <row r="272">
      <c r="A272" s="38">
        <f>IF(M272="","",HYPERLINK("https://www.youtube.com/watch?v="&amp;M272,"▶"))</f>
        <v/>
      </c>
      <c r="B272" s="39">
        <f>IF(C272&lt;&gt;"",C272,IF(P272&lt;=IFERROR(INDEX(tblChannels[Watched Through],MATCH(N272,tblChannels[Channel ID],0)),0),"Watched","Unwatched"))</f>
        <v/>
      </c>
      <c r="C272" s="40" t="n"/>
      <c r="D272" s="41" t="n"/>
      <c r="E272" s="42" t="n">
        <v>45900.41736111111</v>
      </c>
      <c r="F272" s="51" t="inlineStr">
        <is>
          <t>Through The Griffin Door</t>
        </is>
      </c>
      <c r="G272" t="inlineStr">
        <is>
          <t>Chapter 2: A Peck of Owls | Order of the Phoenix</t>
        </is>
      </c>
      <c r="H272" s="44" t="n">
        <v>0.07597222222222222</v>
      </c>
      <c r="I272" s="45" t="n">
        <v>54028</v>
      </c>
      <c r="J272" s="45" t="n">
        <v>1447</v>
      </c>
      <c r="K272" s="45" t="n">
        <v>454</v>
      </c>
      <c r="L272" s="46" t="n"/>
      <c r="M272" s="47" t="n"/>
      <c r="N272" s="47" t="inlineStr">
        <is>
          <t>UCEscP6ETYXWSSvsNrDHekMQ</t>
        </is>
      </c>
      <c r="O272" s="48" t="n">
        <v>45900.58402777778</v>
      </c>
      <c r="P272" s="49" t="n">
        <v>45900</v>
      </c>
      <c r="Q272" s="47" t="n">
        <v>2996</v>
      </c>
      <c r="R272" s="47" t="inlineStr">
        <is>
          <t>No Video ID yet</t>
        </is>
      </c>
      <c r="S272" s="49" t="n"/>
      <c r="T272" s="49" t="n"/>
      <c r="U272" s="47" t="inlineStr">
        <is>
          <t>This episode is sponsored by Mint Mobile – Get your 3-month Unlimited wireless plan for just 15 bucks a month at Join J and Ben as they dive into Chapter 2 of the Order of the Phoenix and discuss Mrs. Figg’s lack of helpfulness, apparition, the sequence of letters, Dudley’s experience with the Dementors, arguing with the Dursleys, and the Howler. In Defense of Dudley Dursley - THROUGH THE GRIFFIN TOUR MIDWEST TICKETS ARE ON SALE RIGHT NOW St. Louis, MO - 9/17 (low ticket warning) Detroit, MI - 9/24 (sold out) 05:21 - Chapter Breakdown 1:00:11 - Ad Break (Mint Mobile) 1:01:47 - More Chapter Breakdown 1:19:12 - Closing Thoughts and Review</t>
        </is>
      </c>
      <c r="V272" s="47">
        <f>IF(AND(P272&gt;=Calendar!$K$2,P272&lt;EDATE(Calendar!$K$2,1),OR(Calendar!$K$4="*",N272=Calendar!$K$4)),P272*100+COUNTIFS($P$6:$P$3267,P272,$Q$6:$Q$3267,"&lt;="&amp;Q272,$N$6:$N$3267,Calendar!$K$4),"")</f>
        <v/>
      </c>
      <c r="W272" s="47">
        <f>IF(AND(B272=Queue!$C$4,OR(Queue!$K$4="*",N272=Queue!$K$4)),Q272,"")</f>
        <v/>
      </c>
    </row>
    <row r="273">
      <c r="A273" s="38">
        <f>IF(M273="","",HYPERLINK("https://www.youtube.com/watch?v="&amp;M273,"▶"))</f>
        <v/>
      </c>
      <c r="B273" s="39">
        <f>IF(C273&lt;&gt;"",C273,IF(P273&lt;=IFERROR(INDEX(tblChannels[Watched Through],MATCH(N273,tblChannels[Channel ID],0)),0),"Watched","Unwatched"))</f>
        <v/>
      </c>
      <c r="C273" s="40" t="n"/>
      <c r="D273" s="41" t="n"/>
      <c r="E273" s="42" t="n">
        <v>45898.70347222222</v>
      </c>
      <c r="F273" s="50" t="inlineStr">
        <is>
          <t>Super Carlin Brothers</t>
        </is>
      </c>
      <c r="G273" t="inlineStr">
        <is>
          <t>The TRUTH About Chocolate Frog Cards | Harry Potter Film Theory</t>
        </is>
      </c>
      <c r="H273" s="44" t="n">
        <v>0.008831018518518519</v>
      </c>
      <c r="I273" s="45" t="n">
        <v>84888</v>
      </c>
      <c r="J273" s="45" t="n">
        <v>4308</v>
      </c>
      <c r="K273" s="45" t="n">
        <v>507</v>
      </c>
      <c r="L273" s="46" t="n"/>
      <c r="M273" s="47" t="n"/>
      <c r="N273" s="47" t="inlineStr">
        <is>
          <t>UCKZo4N0lVPccBkSiuyVh4yg</t>
        </is>
      </c>
      <c r="O273" s="48" t="n">
        <v>45898.87013888889</v>
      </c>
      <c r="P273" s="49" t="n">
        <v>45898</v>
      </c>
      <c r="Q273" s="47" t="n">
        <v>2995</v>
      </c>
      <c r="R273" s="47" t="inlineStr">
        <is>
          <t>No Video ID yet</t>
        </is>
      </c>
      <c r="S273" s="49" t="n"/>
      <c r="T273" s="49" t="n"/>
      <c r="U273" s="47" t="inlineStr">
        <is>
          <t>This episode is sponsored by BetterHelp. Go to for 10% off your first month. Your new wardrobe awaits! Get $10 off @chubbies with the code super at #chubbiespod How does Dumbledore always seem to know what’s going on? From intercepted owls to enchanted mirrors, wizarding communication is unpredictable at best—but Dumbledore? He’s always one step ahead. Today we’re diving into a theory that might finally explain it: Chocolate Frog Cards. From suspicious clues in the books, to Bill Weasley’s grin, to Dumbledore’s candy-coated genius—could these little wizard trading cards secretly be his greatest communication tool? Des Moines, IA - 9/19 (SOLD OUT) St. Paul, MN - 9/20 (SOLD OUT) Detroit, MI - 9/24 (SOLD OUT) Cleveland, OH - 9/25 (SOLD OUT)</t>
        </is>
      </c>
      <c r="V273" s="47">
        <f>IF(AND(P273&gt;=Calendar!$K$2,P273&lt;EDATE(Calendar!$K$2,1),OR(Calendar!$K$4="*",N273=Calendar!$K$4)),P273*100+COUNTIFS($P$6:$P$3267,P273,$Q$6:$Q$3267,"&lt;="&amp;Q273,$N$6:$N$3267,Calendar!$K$4),"")</f>
        <v/>
      </c>
      <c r="W273" s="47">
        <f>IF(AND(B273=Queue!$C$4,OR(Queue!$K$4="*",N273=Queue!$K$4)),Q273,"")</f>
        <v/>
      </c>
    </row>
    <row r="274">
      <c r="A274" s="38">
        <f>IF(M274="","",HYPERLINK("https://www.youtube.com/watch?v="&amp;M274,"▶"))</f>
        <v/>
      </c>
      <c r="B274" s="39">
        <f>IF(C274&lt;&gt;"",C274,IF(P274&lt;=IFERROR(INDEX(tblChannels[Watched Through],MATCH(N274,tblChannels[Channel ID],0)),0),"Watched","Unwatched"))</f>
        <v/>
      </c>
      <c r="C274" s="40" t="n"/>
      <c r="D274" s="41" t="n"/>
      <c r="E274" s="42" t="n">
        <v>45898.41666666666</v>
      </c>
      <c r="F274" s="43" t="inlineStr">
        <is>
          <t>Popcorn Culture</t>
        </is>
      </c>
      <c r="G274" t="inlineStr">
        <is>
          <t>J WON WORLDS! | Popcorn Culture</t>
        </is>
      </c>
      <c r="H274" s="44" t="n">
        <v>0.04820601851851852</v>
      </c>
      <c r="I274" s="45" t="n">
        <v>2868</v>
      </c>
      <c r="J274" s="45" t="n">
        <v>154</v>
      </c>
      <c r="K274" s="45" t="n">
        <v>12</v>
      </c>
      <c r="L274" s="46" t="n"/>
      <c r="M274" s="47" t="n"/>
      <c r="N274" s="47" t="inlineStr">
        <is>
          <t>UCHfIbq9thHPC8yrKjAdJgDA</t>
        </is>
      </c>
      <c r="O274" s="48" t="n">
        <v>45898.58333333334</v>
      </c>
      <c r="P274" s="49" t="n">
        <v>45898</v>
      </c>
      <c r="Q274" s="47" t="n">
        <v>2994</v>
      </c>
      <c r="R274" s="47" t="inlineStr">
        <is>
          <t>No Video ID yet</t>
        </is>
      </c>
      <c r="S274" s="49" t="n"/>
      <c r="T274" s="49" t="n"/>
      <c r="U274" s="47" t="inlineStr">
        <is>
          <t>In the 299th episode of the Pop, Ben and J discuss farmers' tans, and all the wonderful things at Pokemon Worlds. Check out Through the Griffin Door Patreon to hear those Owlery Episodes - patreon.com/ThroughtheGriffinDoor Get your tickets for Through the Griffin Tour MIDWEST here: St. Louis, MO - 9/17 (low ticket warning) Detroit, MI - 9/24 (sold out) 00:00 - Intro, Tanning 05:29 - Pokemon Worlds</t>
        </is>
      </c>
      <c r="V274" s="47">
        <f>IF(AND(P274&gt;=Calendar!$K$2,P274&lt;EDATE(Calendar!$K$2,1),OR(Calendar!$K$4="*",N274=Calendar!$K$4)),P274*100+COUNTIFS($P$6:$P$3267,P274,$Q$6:$Q$3267,"&lt;="&amp;Q274,$N$6:$N$3267,Calendar!$K$4),"")</f>
        <v/>
      </c>
      <c r="W274" s="47">
        <f>IF(AND(B274=Queue!$C$4,OR(Queue!$K$4="*",N274=Queue!$K$4)),Q274,"")</f>
        <v/>
      </c>
    </row>
    <row r="275">
      <c r="A275" s="38">
        <f>IF(M275="","",HYPERLINK("https://www.youtube.com/watch?v="&amp;M275,"▶"))</f>
        <v/>
      </c>
      <c r="B275" s="39">
        <f>IF(C275&lt;&gt;"",C275,IF(P275&lt;=IFERROR(INDEX(tblChannels[Watched Through],MATCH(N275,tblChannels[Channel ID],0)),0),"Watched","Unwatched"))</f>
        <v/>
      </c>
      <c r="C275" s="40" t="n"/>
      <c r="D275" s="41" t="n"/>
      <c r="E275" s="42" t="n">
        <v>45898.20138888889</v>
      </c>
      <c r="F275" s="52" t="inlineStr">
        <is>
          <t>Super Carlin Gaming</t>
        </is>
      </c>
      <c r="G275" t="inlineStr">
        <is>
          <t>PRISMATIC EVOLUTIONS - Pokemon Box Breakers SEASON 16 -  Episode 1 - 08/28/2025</t>
        </is>
      </c>
      <c r="H275" s="44" t="n">
        <v>0.1109953703703704</v>
      </c>
      <c r="I275" s="45" t="n">
        <v>799</v>
      </c>
      <c r="J275" s="45" t="n">
        <v>34</v>
      </c>
      <c r="K275" s="45" t="n">
        <v>5</v>
      </c>
      <c r="L275" s="46" t="n"/>
      <c r="M275" s="47" t="n"/>
      <c r="N275" s="47" t="inlineStr">
        <is>
          <t>UCor_9jRnNNZVzTuQ92PKsaQ</t>
        </is>
      </c>
      <c r="O275" s="48" t="n">
        <v>45898.36805555555</v>
      </c>
      <c r="P275" s="49" t="n">
        <v>45898</v>
      </c>
      <c r="Q275" s="47" t="n">
        <v>2993</v>
      </c>
      <c r="R275" s="47" t="inlineStr">
        <is>
          <t>No Video ID yet</t>
        </is>
      </c>
      <c r="S275" s="49" t="n"/>
      <c r="T275" s="49" t="n"/>
      <c r="U275" s="47" t="n"/>
      <c r="V275" s="47">
        <f>IF(AND(P275&gt;=Calendar!$K$2,P275&lt;EDATE(Calendar!$K$2,1),OR(Calendar!$K$4="*",N275=Calendar!$K$4)),P275*100+COUNTIFS($P$6:$P$3267,P275,$Q$6:$Q$3267,"&lt;="&amp;Q275,$N$6:$N$3267,Calendar!$K$4),"")</f>
        <v/>
      </c>
      <c r="W275" s="47">
        <f>IF(AND(B275=Queue!$C$4,OR(Queue!$K$4="*",N275=Queue!$K$4)),Q275,"")</f>
        <v/>
      </c>
    </row>
    <row r="276">
      <c r="A276" s="38">
        <f>IF(M276="","",HYPERLINK("https://www.youtube.com/watch?v="&amp;M276,"▶"))</f>
        <v/>
      </c>
      <c r="B276" s="39">
        <f>IF(C276&lt;&gt;"",C276,IF(P276&lt;=IFERROR(INDEX(tblChannels[Watched Through],MATCH(N276,tblChannels[Channel ID],0)),0),"Watched","Unwatched"))</f>
        <v/>
      </c>
      <c r="C276" s="40" t="n"/>
      <c r="D276" s="41" t="n"/>
      <c r="E276" s="42" t="n">
        <v>45896.69305555556</v>
      </c>
      <c r="F276" s="50" t="inlineStr">
        <is>
          <t>Super Carlin Brothers</t>
        </is>
      </c>
      <c r="G276" t="inlineStr">
        <is>
          <t>J vs Ben: Can We Remember MORE Of Our Harry Potter Theories??</t>
        </is>
      </c>
      <c r="H276" s="44" t="n">
        <v>0.03324074074074074</v>
      </c>
      <c r="I276" s="45" t="n">
        <v>124166</v>
      </c>
      <c r="J276" s="45" t="n">
        <v>3792</v>
      </c>
      <c r="K276" s="45" t="n">
        <v>369</v>
      </c>
      <c r="L276" s="46" t="n"/>
      <c r="M276" s="47" t="n"/>
      <c r="N276" s="47" t="inlineStr">
        <is>
          <t>UCKZo4N0lVPccBkSiuyVh4yg</t>
        </is>
      </c>
      <c r="O276" s="48" t="n">
        <v>45896.85972222222</v>
      </c>
      <c r="P276" s="49" t="n">
        <v>45896</v>
      </c>
      <c r="Q276" s="47" t="n">
        <v>2992</v>
      </c>
      <c r="R276" s="47" t="inlineStr">
        <is>
          <t>No Video ID yet</t>
        </is>
      </c>
      <c r="S276" s="49" t="n"/>
      <c r="T276" s="49" t="n"/>
      <c r="U276" s="47" t="inlineStr">
        <is>
          <t>Go to and use code jvsb50off to get 50% off your first box, plus Free Breakfast for 1 Year Snag a Carlin Brothers Coffee Subscription at It’s time for another J vs Ben Quiz — but this time, it’s all about our own Harry Potter theories! After years of making wild predictions, fan theories, and “What If” scenarios, can we actually remember what we said? Or will we get stumped by our own videos? Play along and see if you can beat us! Special thanks to our Patrons who submitted today’s questions: Dorian R., Essential Escapism, Michaela Henry, Bradferd, Amanda B., Teghan Denlinger, Katrina A., Complete Crimson, Tara Walker, Fis, LawNinja, Dola, GooeyChewie, Reddrick, The Hufflepuff Pancake Chef, and Sarah Makiyama! Des Moines, IA - 9/19 (SOLD OUT) St. Paul, MN - 9/20 (SOLD OUT) Detroit, MI - 9/24 (SOLD OUT) Cleveland, OH - 9/25 (SOLD OUT) #harrypotter #SuperCarlinBrothers Written by :: Our Quiz Masters! Hosted by :: Kat Stine</t>
        </is>
      </c>
      <c r="V276" s="47">
        <f>IF(AND(P276&gt;=Calendar!$K$2,P276&lt;EDATE(Calendar!$K$2,1),OR(Calendar!$K$4="*",N276=Calendar!$K$4)),P276*100+COUNTIFS($P$6:$P$3267,P276,$Q$6:$Q$3267,"&lt;="&amp;Q276,$N$6:$N$3267,Calendar!$K$4),"")</f>
        <v/>
      </c>
      <c r="W276" s="47">
        <f>IF(AND(B276=Queue!$C$4,OR(Queue!$K$4="*",N276=Queue!$K$4)),Q276,"")</f>
        <v/>
      </c>
    </row>
    <row r="277">
      <c r="A277" s="38">
        <f>IF(M277="","",HYPERLINK("https://www.youtube.com/watch?v="&amp;M277,"▶"))</f>
        <v/>
      </c>
      <c r="B277" s="39">
        <f>IF(C277&lt;&gt;"",C277,IF(P277&lt;=IFERROR(INDEX(tblChannels[Watched Through],MATCH(N277,tblChannels[Channel ID],0)),0),"Watched","Unwatched"))</f>
        <v/>
      </c>
      <c r="C277" s="40" t="n"/>
      <c r="D277" s="41" t="n"/>
      <c r="E277" s="42" t="n">
        <v>45895.46944444445</v>
      </c>
      <c r="F277" s="50" t="inlineStr">
        <is>
          <t>Super Carlin Brothers</t>
        </is>
      </c>
      <c r="G277" t="inlineStr">
        <is>
          <t>I Built a Pokémon Skateboard! (ASMR)</t>
        </is>
      </c>
      <c r="H277" s="44" t="n">
        <v>0.001666666666666667</v>
      </c>
      <c r="I277" s="45" t="n">
        <v>14859</v>
      </c>
      <c r="J277" s="45" t="n">
        <v>589</v>
      </c>
      <c r="K277" s="45" t="n">
        <v>30</v>
      </c>
      <c r="L277" s="46" t="n"/>
      <c r="M277" s="47" t="n"/>
      <c r="N277" s="47" t="inlineStr">
        <is>
          <t>UCKZo4N0lVPccBkSiuyVh4yg</t>
        </is>
      </c>
      <c r="O277" s="48" t="n">
        <v>45895.63611111111</v>
      </c>
      <c r="P277" s="49" t="n">
        <v>45895</v>
      </c>
      <c r="Q277" s="47" t="n">
        <v>2991</v>
      </c>
      <c r="R277" s="47" t="inlineStr">
        <is>
          <t>No Video ID yet</t>
        </is>
      </c>
      <c r="S277" s="49" t="n"/>
      <c r="T277" s="49" t="n"/>
      <c r="U277" s="47" t="inlineStr">
        <is>
          <t>I built the exclusive Bear Walker Pikachu Skateboard from Pokémon Worlds 2025! ⚡ (with just absolutely zero mishaps at all, not even ONE!) #Pokemon #PokemonWorlds2025 #Pikachu #PokemonShorts #BearWalker #PokemonSkateboard #skate #skateboard #asmrsounds #asmrvideo</t>
        </is>
      </c>
      <c r="V277" s="47">
        <f>IF(AND(P277&gt;=Calendar!$K$2,P277&lt;EDATE(Calendar!$K$2,1),OR(Calendar!$K$4="*",N277=Calendar!$K$4)),P277*100+COUNTIFS($P$6:$P$3267,P277,$Q$6:$Q$3267,"&lt;="&amp;Q277,$N$6:$N$3267,Calendar!$K$4),"")</f>
        <v/>
      </c>
      <c r="W277" s="47">
        <f>IF(AND(B277=Queue!$C$4,OR(Queue!$K$4="*",N277=Queue!$K$4)),Q277,"")</f>
        <v/>
      </c>
    </row>
    <row r="278">
      <c r="A278" s="38">
        <f>IF(M278="","",HYPERLINK("https://www.youtube.com/watch?v="&amp;M278,"▶"))</f>
        <v/>
      </c>
      <c r="B278" s="39">
        <f>IF(C278&lt;&gt;"",C278,IF(P278&lt;=IFERROR(INDEX(tblChannels[Watched Through],MATCH(N278,tblChannels[Channel ID],0)),0),"Watched","Unwatched"))</f>
        <v/>
      </c>
      <c r="C278" s="40" t="n"/>
      <c r="D278" s="41" t="n"/>
      <c r="E278" s="42" t="n">
        <v>45893.41666666666</v>
      </c>
      <c r="F278" s="51" t="inlineStr">
        <is>
          <t>Through The Griffin Door</t>
        </is>
      </c>
      <c r="G278" t="inlineStr">
        <is>
          <t>Chapter 1: Dudley Demented | Order of the Phoenix</t>
        </is>
      </c>
      <c r="H278" s="44" t="n">
        <v>0.06180555555555556</v>
      </c>
      <c r="I278" s="45" t="n">
        <v>58297</v>
      </c>
      <c r="J278" s="45" t="n">
        <v>1607</v>
      </c>
      <c r="K278" s="45" t="n">
        <v>491</v>
      </c>
      <c r="L278" s="46" t="n"/>
      <c r="M278" s="47" t="n"/>
      <c r="N278" s="47" t="inlineStr">
        <is>
          <t>UCEscP6ETYXWSSvsNrDHekMQ</t>
        </is>
      </c>
      <c r="O278" s="48" t="n">
        <v>45893.58333333334</v>
      </c>
      <c r="P278" s="49" t="n">
        <v>45893</v>
      </c>
      <c r="Q278" s="47" t="n">
        <v>2990</v>
      </c>
      <c r="R278" s="47" t="inlineStr">
        <is>
          <t>No Video ID yet</t>
        </is>
      </c>
      <c r="S278" s="49" t="n"/>
      <c r="T278" s="49" t="n"/>
      <c r="U278" s="47" t="inlineStr">
        <is>
          <t>Join J and Ben as they dive into Chapter 1 of the Order of the Phoenix and discuss the muggle news, Vernon grabbing Harry, Mundungus apparating, Harry/Voldemort’s dreams, picking a fight with Dudley and the dementor attack. In Defense of Dudley Dursley - THROUGH THE GRIFFIN TOUR MIDWEST TICKETS ARE ON SALE RIGHT NOW St. Louis, MO - 9/17 (low ticket warning) Detroit, MI - 9/24 (sold out) 08:39 - Chapter Breakdown 1:19:12 - Closing Thoughts and Review</t>
        </is>
      </c>
      <c r="V278" s="47">
        <f>IF(AND(P278&gt;=Calendar!$K$2,P278&lt;EDATE(Calendar!$K$2,1),OR(Calendar!$K$4="*",N278=Calendar!$K$4)),P278*100+COUNTIFS($P$6:$P$3267,P278,$Q$6:$Q$3267,"&lt;="&amp;Q278,$N$6:$N$3267,Calendar!$K$4),"")</f>
        <v/>
      </c>
      <c r="W278" s="47">
        <f>IF(AND(B278=Queue!$C$4,OR(Queue!$K$4="*",N278=Queue!$K$4)),Q278,"")</f>
        <v/>
      </c>
    </row>
    <row r="279">
      <c r="A279" s="38">
        <f>IF(M279="","",HYPERLINK("https://www.youtube.com/watch?v="&amp;M279,"▶"))</f>
        <v/>
      </c>
      <c r="B279" s="39">
        <f>IF(C279&lt;&gt;"",C279,IF(P279&lt;=IFERROR(INDEX(tblChannels[Watched Through],MATCH(N279,tblChannels[Channel ID],0)),0),"Watched","Unwatched"))</f>
        <v/>
      </c>
      <c r="C279" s="40" t="n"/>
      <c r="D279" s="41" t="n"/>
      <c r="E279" s="42" t="n">
        <v>45891.61666666667</v>
      </c>
      <c r="F279" s="50" t="inlineStr">
        <is>
          <t>Super Carlin Brothers</t>
        </is>
      </c>
      <c r="G279" t="inlineStr">
        <is>
          <t>What If Merope Never Released Tom Riddle? | Harry Potter Theory</t>
        </is>
      </c>
      <c r="H279" s="44" t="n">
        <v>0.01303240740740741</v>
      </c>
      <c r="I279" s="45" t="n">
        <v>182226</v>
      </c>
      <c r="J279" s="45" t="n">
        <v>5538</v>
      </c>
      <c r="K279" s="45" t="n">
        <v>622</v>
      </c>
      <c r="L279" s="46" t="n"/>
      <c r="M279" s="47" t="n"/>
      <c r="N279" s="47" t="inlineStr">
        <is>
          <t>UCKZo4N0lVPccBkSiuyVh4yg</t>
        </is>
      </c>
      <c r="O279" s="48" t="n">
        <v>45891.78333333333</v>
      </c>
      <c r="P279" s="49" t="n">
        <v>45891</v>
      </c>
      <c r="Q279" s="47" t="n">
        <v>2989</v>
      </c>
      <c r="R279" s="47" t="inlineStr">
        <is>
          <t>No Video ID yet</t>
        </is>
      </c>
      <c r="S279" s="49" t="n"/>
      <c r="T279" s="49" t="n"/>
      <c r="U279" s="47" t="inlineStr">
        <is>
          <t>This episode is sponsored by BetterHelp. Get 10% off your first month at In Half-Blood Prince, we learn that Merope Gaunt used a love potion to force Tom Riddle Sr. into a relationship — but once she released him, he abandoned her, and she eventually died giving birth to Voldemort. But what if she never released him? Would Voldemort have had a “normal” childhood? Could love — even fake love — have changed the outcome? Or was Voldemort always destined for darkness? Today we explore how this alternate timeline could have unfolded, from Merope’s choices to Voldemort’s obsession with power, the Deathly Hallows, and even how it might erase Harry Potter from existence entirely. Would the Dark Lord have still risen… or might all have been saved? 🔔 Don’t forget to subscribe for more Harry Potter theories every week! Des Moines, IA - 9/19 (SOLD OUT) St. Paul, MN - 9/20 (SOLD OUT) Detroit, MI - 9/24 (SOLD OUT) Cleveland, OH - 9/25 (SOLD OUT) Written by :: J Carlin</t>
        </is>
      </c>
      <c r="V279" s="47">
        <f>IF(AND(P279&gt;=Calendar!$K$2,P279&lt;EDATE(Calendar!$K$2,1),OR(Calendar!$K$4="*",N279=Calendar!$K$4)),P279*100+COUNTIFS($P$6:$P$3267,P279,$Q$6:$Q$3267,"&lt;="&amp;Q279,$N$6:$N$3267,Calendar!$K$4),"")</f>
        <v/>
      </c>
      <c r="W279" s="47">
        <f>IF(AND(B279=Queue!$C$4,OR(Queue!$K$4="*",N279=Queue!$K$4)),Q279,"")</f>
        <v/>
      </c>
    </row>
    <row r="280">
      <c r="A280" s="38">
        <f>IF(M280="","",HYPERLINK("https://www.youtube.com/watch?v="&amp;M280,"▶"))</f>
        <v/>
      </c>
      <c r="B280" s="39">
        <f>IF(C280&lt;&gt;"",C280,IF(P280&lt;=IFERROR(INDEX(tblChannels[Watched Through],MATCH(N280,tblChannels[Channel ID],0)),0),"Watched","Unwatched"))</f>
        <v/>
      </c>
      <c r="C280" s="40" t="n"/>
      <c r="D280" s="41" t="n"/>
      <c r="E280" s="42" t="n">
        <v>45891.41666666666</v>
      </c>
      <c r="F280" s="43" t="inlineStr">
        <is>
          <t>Popcorn Culture</t>
        </is>
      </c>
      <c r="G280" t="inlineStr">
        <is>
          <t>Ben's SPECIALEST Guest| Popcorn Culture</t>
        </is>
      </c>
      <c r="H280" s="44" t="n">
        <v>0.04976851851851852</v>
      </c>
      <c r="I280" s="45" t="n">
        <v>4425</v>
      </c>
      <c r="J280" s="45" t="n">
        <v>262</v>
      </c>
      <c r="K280" s="45" t="n">
        <v>40</v>
      </c>
      <c r="L280" s="46" t="n"/>
      <c r="M280" s="47" t="n"/>
      <c r="N280" s="47" t="inlineStr">
        <is>
          <t>UCHfIbq9thHPC8yrKjAdJgDA</t>
        </is>
      </c>
      <c r="O280" s="48" t="n">
        <v>45891.58333333334</v>
      </c>
      <c r="P280" s="49" t="n">
        <v>45891</v>
      </c>
      <c r="Q280" s="47" t="n">
        <v>2988</v>
      </c>
      <c r="R280" s="47" t="inlineStr">
        <is>
          <t>No Video ID yet</t>
        </is>
      </c>
      <c r="S280" s="49" t="n"/>
      <c r="T280" s="49" t="n"/>
      <c r="U280" s="47" t="inlineStr">
        <is>
          <t>In the 298th episode of the Pop, Ben and ALYCE(!!!) discuss daily routines, Addy’s new negotiation techniques, their dogs, pageants, Alyce’s ex, star signs, and F1. The Gilded Age - Carlos Sainz - New’d - Ben and Alyce’s Wedding - Get your tickets for Through the Griffin Tour MIDWEST here: St. Louis, MO - 9/17 (low ticket warning) Detroit, MI - 9/24 (sold out) Do We Talk Too Much? Pageant Queen The Third Place 00:00 - Intro, Talking Too Much 12:24 - Negotiating and the Dogs 19:04 - Pageanting 43:13 - David 54:01 - Astrology</t>
        </is>
      </c>
      <c r="V280" s="47">
        <f>IF(AND(P280&gt;=Calendar!$K$2,P280&lt;EDATE(Calendar!$K$2,1),OR(Calendar!$K$4="*",N280=Calendar!$K$4)),P280*100+COUNTIFS($P$6:$P$3267,P280,$Q$6:$Q$3267,"&lt;="&amp;Q280,$N$6:$N$3267,Calendar!$K$4),"")</f>
        <v/>
      </c>
      <c r="W280" s="47">
        <f>IF(AND(B280=Queue!$C$4,OR(Queue!$K$4="*",N280=Queue!$K$4)),Q280,"")</f>
        <v/>
      </c>
    </row>
    <row r="281">
      <c r="A281" s="38">
        <f>IF(M281="","",HYPERLINK("https://www.youtube.com/watch?v="&amp;M281,"▶"))</f>
        <v/>
      </c>
      <c r="B281" s="39">
        <f>IF(C281&lt;&gt;"",C281,IF(P281&lt;=IFERROR(INDEX(tblChannels[Watched Through],MATCH(N281,tblChannels[Channel ID],0)),0),"Watched","Unwatched"))</f>
        <v/>
      </c>
      <c r="C281" s="40" t="n"/>
      <c r="D281" s="41" t="n"/>
      <c r="E281" s="42" t="n">
        <v>45889.67986111111</v>
      </c>
      <c r="F281" s="50" t="inlineStr">
        <is>
          <t>Super Carlin Brothers</t>
        </is>
      </c>
      <c r="G281" t="inlineStr">
        <is>
          <t>Pokémon Fossils Never Went Extinct… They EVOLVED | Pokemon Theory</t>
        </is>
      </c>
      <c r="H281" s="44" t="n">
        <v>0.0115625</v>
      </c>
      <c r="I281" s="45" t="n">
        <v>143862</v>
      </c>
      <c r="J281" s="45" t="n">
        <v>5588</v>
      </c>
      <c r="K281" s="45" t="n">
        <v>927</v>
      </c>
      <c r="L281" s="46" t="n"/>
      <c r="M281" s="47" t="n"/>
      <c r="N281" s="47" t="inlineStr">
        <is>
          <t>UCKZo4N0lVPccBkSiuyVh4yg</t>
        </is>
      </c>
      <c r="O281" s="48" t="n">
        <v>45889.84652777778</v>
      </c>
      <c r="P281" s="49" t="n">
        <v>45889</v>
      </c>
      <c r="Q281" s="47" t="n">
        <v>2987</v>
      </c>
      <c r="R281" s="47" t="inlineStr">
        <is>
          <t>No Video ID yet</t>
        </is>
      </c>
      <c r="S281" s="49" t="n"/>
      <c r="T281" s="49" t="n"/>
      <c r="U281" s="47" t="inlineStr">
        <is>
          <t>Go to to get 20% off the fan favorite Everyday Earbuds Classic! Today J dives into the Wide World of Pokemon to uncover the SECRET Pokémon Fossil Theory Game Freaks has been hiding from us! For decades we’ve been told Aerodactyl, Kabutops, and Omastar disappeared millions of years ago — but the Pokédex, habitats, and even predator-prey relationships tell a different story. Today we uncover the hidden fossil family tree that connects these prehistoric Pokémon to some of the most iconic species we know today: Scyther, Octillery, and more! From the Isle of Armor to the Safari Zone, from Kanto to Galar, from Psyduck’s evolutionary arms race to Aerodactyl’s fiery “rebirth,” the evidence is all there — and it might just change the way you see Fossil Pokémon forever! Des Moines, IA - 9/19 (SOLD OUT) St. Paul, MN - 9/20 (SOLD OUT) Detroit, MI - 9/24 (SOLD OUT) Cleveland, OH - 9/25 (SOLD OUT) Written by :: J Carlin</t>
        </is>
      </c>
      <c r="V281" s="47">
        <f>IF(AND(P281&gt;=Calendar!$K$2,P281&lt;EDATE(Calendar!$K$2,1),OR(Calendar!$K$4="*",N281=Calendar!$K$4)),P281*100+COUNTIFS($P$6:$P$3267,P281,$Q$6:$Q$3267,"&lt;="&amp;Q281,$N$6:$N$3267,Calendar!$K$4),"")</f>
        <v/>
      </c>
      <c r="W281" s="47">
        <f>IF(AND(B281=Queue!$C$4,OR(Queue!$K$4="*",N281=Queue!$K$4)),Q281,"")</f>
        <v/>
      </c>
    </row>
    <row r="282">
      <c r="A282" s="38">
        <f>IF(M282="","",HYPERLINK("https://www.youtube.com/watch?v="&amp;M282,"▶"))</f>
        <v/>
      </c>
      <c r="B282" s="39">
        <f>IF(C282&lt;&gt;"",C282,IF(P282&lt;=IFERROR(INDEX(tblChannels[Watched Through],MATCH(N282,tblChannels[Channel ID],0)),0),"Watched","Unwatched"))</f>
        <v/>
      </c>
      <c r="C282" s="40" t="n"/>
      <c r="D282" s="41" t="n"/>
      <c r="E282" s="42" t="n">
        <v>45886.41736111111</v>
      </c>
      <c r="F282" s="51" t="inlineStr">
        <is>
          <t>Through The Griffin Door</t>
        </is>
      </c>
      <c r="G282" t="inlineStr">
        <is>
          <t>Dumbledore's Big Plan: Goblet of Fire Edition</t>
        </is>
      </c>
      <c r="H282" s="44" t="n">
        <v>0.03835648148148148</v>
      </c>
      <c r="I282" s="45" t="n">
        <v>44224</v>
      </c>
      <c r="J282" s="45" t="n">
        <v>1179</v>
      </c>
      <c r="K282" s="45" t="n">
        <v>318</v>
      </c>
      <c r="L282" s="46" t="n"/>
      <c r="M282" s="47" t="n"/>
      <c r="N282" s="47" t="inlineStr">
        <is>
          <t>UCEscP6ETYXWSSvsNrDHekMQ</t>
        </is>
      </c>
      <c r="O282" s="48" t="n">
        <v>45886.58402777778</v>
      </c>
      <c r="P282" s="49" t="n">
        <v>45886</v>
      </c>
      <c r="Q282" s="47" t="n">
        <v>2986</v>
      </c>
      <c r="R282" s="47" t="inlineStr">
        <is>
          <t>No Video ID yet</t>
        </is>
      </c>
      <c r="S282" s="49" t="n"/>
      <c r="T282" s="49" t="n"/>
      <c r="U282" s="47" t="inlineStr">
        <is>
          <t>Join J and Ben as they dive into how Dumbledore’s Big Plan fits into the Goblet of Fire! THROUGH THE GRIFFIN TOUR MIDWEST TICKETS ARE ON SALE RIGHT NOW St. Louis, MO - 9/17 (low ticket warning) Detroit, MI - 9/24 (low ticket warning) 05:16 - DBP Breakdown 29:23- Ad Break (Pair Eyewear) 30:38 - More DBP Breakdown</t>
        </is>
      </c>
      <c r="V282" s="47">
        <f>IF(AND(P282&gt;=Calendar!$K$2,P282&lt;EDATE(Calendar!$K$2,1),OR(Calendar!$K$4="*",N282=Calendar!$K$4)),P282*100+COUNTIFS($P$6:$P$3267,P282,$Q$6:$Q$3267,"&lt;="&amp;Q282,$N$6:$N$3267,Calendar!$K$4),"")</f>
        <v/>
      </c>
      <c r="W282" s="47">
        <f>IF(AND(B282=Queue!$C$4,OR(Queue!$K$4="*",N282=Queue!$K$4)),Q282,"")</f>
        <v/>
      </c>
    </row>
    <row r="283">
      <c r="A283" s="38">
        <f>IF(M283="","",HYPERLINK("https://www.youtube.com/watch?v="&amp;M283,"▶"))</f>
        <v/>
      </c>
      <c r="B283" s="39">
        <f>IF(C283&lt;&gt;"",C283,IF(P283&lt;=IFERROR(INDEX(tblChannels[Watched Through],MATCH(N283,tblChannels[Channel ID],0)),0),"Watched","Unwatched"))</f>
        <v/>
      </c>
      <c r="C283" s="40" t="n"/>
      <c r="D283" s="41" t="n"/>
      <c r="E283" s="42" t="n">
        <v>45885.41736111111</v>
      </c>
      <c r="F283" s="50" t="inlineStr">
        <is>
          <t>Super Carlin Brothers</t>
        </is>
      </c>
      <c r="G283" t="inlineStr">
        <is>
          <t>Through the Griffin Door Supercut: Goblet of Fire Chapters 34-37</t>
        </is>
      </c>
      <c r="H283" s="44" t="n">
        <v>0.2760416666666667</v>
      </c>
      <c r="I283" s="45" t="n">
        <v>11281</v>
      </c>
      <c r="J283" s="45" t="n">
        <v>223</v>
      </c>
      <c r="K283" s="45" t="n">
        <v>47</v>
      </c>
      <c r="L283" s="46" t="n"/>
      <c r="M283" s="47" t="n"/>
      <c r="N283" s="47" t="inlineStr">
        <is>
          <t>UCKZo4N0lVPccBkSiuyVh4yg</t>
        </is>
      </c>
      <c r="O283" s="48" t="n">
        <v>45885.58402777778</v>
      </c>
      <c r="P283" s="49" t="n">
        <v>45885</v>
      </c>
      <c r="Q283" s="47" t="n">
        <v>2985</v>
      </c>
      <c r="R283" s="47" t="inlineStr">
        <is>
          <t>No Video ID yet</t>
        </is>
      </c>
      <c r="S283" s="49" t="n"/>
      <c r="T283" s="49" t="n"/>
      <c r="U283" s="47" t="inlineStr">
        <is>
          <t>0:00:00 - Chapter 34: Priori Incantatem 1:26:26 - Chapter 35: Veritaserum 3:08:52 - Chapter 36: The Parting of the Ways 4:51:43 - Chapter 37: The Beginning</t>
        </is>
      </c>
      <c r="V283" s="47">
        <f>IF(AND(P283&gt;=Calendar!$K$2,P283&lt;EDATE(Calendar!$K$2,1),OR(Calendar!$K$4="*",N283=Calendar!$K$4)),P283*100+COUNTIFS($P$6:$P$3267,P283,$Q$6:$Q$3267,"&lt;="&amp;Q283,$N$6:$N$3267,Calendar!$K$4),"")</f>
        <v/>
      </c>
      <c r="W283" s="47">
        <f>IF(AND(B283=Queue!$C$4,OR(Queue!$K$4="*",N283=Queue!$K$4)),Q283,"")</f>
        <v/>
      </c>
    </row>
    <row r="284">
      <c r="A284" s="38">
        <f>IF(M284="","",HYPERLINK("https://www.youtube.com/watch?v="&amp;M284,"▶"))</f>
        <v/>
      </c>
      <c r="B284" s="39">
        <f>IF(C284&lt;&gt;"",C284,IF(P284&lt;=IFERROR(INDEX(tblChannels[Watched Through],MATCH(N284,tblChannels[Channel ID],0)),0),"Watched","Unwatched"))</f>
        <v/>
      </c>
      <c r="C284" s="40" t="n"/>
      <c r="D284" s="41" t="n"/>
      <c r="E284" s="42" t="n">
        <v>45884.66736111111</v>
      </c>
      <c r="F284" s="50" t="inlineStr">
        <is>
          <t>Super Carlin Brothers</t>
        </is>
      </c>
      <c r="G284" t="inlineStr">
        <is>
          <t>The BIZARRE Reason Vernon Couldn’t Harm Harry | Harry Potter Theory</t>
        </is>
      </c>
      <c r="H284" s="44" t="n">
        <v>0.009189814814814816</v>
      </c>
      <c r="I284" s="45" t="n">
        <v>139273</v>
      </c>
      <c r="J284" s="45" t="n">
        <v>5990</v>
      </c>
      <c r="K284" s="45" t="n">
        <v>701</v>
      </c>
      <c r="L284" s="46" t="n"/>
      <c r="M284" s="47" t="n"/>
      <c r="N284" s="47" t="inlineStr">
        <is>
          <t>UCKZo4N0lVPccBkSiuyVh4yg</t>
        </is>
      </c>
      <c r="O284" s="48" t="n">
        <v>45884.83402777778</v>
      </c>
      <c r="P284" s="49" t="n">
        <v>45884</v>
      </c>
      <c r="Q284" s="47" t="n">
        <v>2984</v>
      </c>
      <c r="R284" s="47" t="inlineStr">
        <is>
          <t>No Video ID yet</t>
        </is>
      </c>
      <c r="S284" s="49" t="n"/>
      <c r="T284" s="49" t="n"/>
      <c r="U284" s="47" t="inlineStr">
        <is>
          <t>This episode is sponsored by BetterHelp - go to to get 10% off your first month. In today’s episode Ben explores a potential NEW power of the “Bond of Blood” charm that we had never previously considered. How far does its power extend? Just Voldemort? His agents? What about the Dursley’s themselves? A recent discovery may just change how we interpret this novel and obscure brand of magic. Des Moines, IA - 9/19 (SOLD OUT) St. Paul, MN - 9/20 (SOLD OUT) Detroit, MI - 9/24 (SOLD OUT) Cleveland, OH - 9/25 (SOLD OUT) Written by :: Ben Carlin</t>
        </is>
      </c>
      <c r="V284" s="47">
        <f>IF(AND(P284&gt;=Calendar!$K$2,P284&lt;EDATE(Calendar!$K$2,1),OR(Calendar!$K$4="*",N284=Calendar!$K$4)),P284*100+COUNTIFS($P$6:$P$3267,P284,$Q$6:$Q$3267,"&lt;="&amp;Q284,$N$6:$N$3267,Calendar!$K$4),"")</f>
        <v/>
      </c>
      <c r="W284" s="47">
        <f>IF(AND(B284=Queue!$C$4,OR(Queue!$K$4="*",N284=Queue!$K$4)),Q284,"")</f>
        <v/>
      </c>
    </row>
    <row r="285">
      <c r="A285" s="38">
        <f>IF(M285="","",HYPERLINK("https://www.youtube.com/watch?v="&amp;M285,"▶"))</f>
        <v/>
      </c>
      <c r="B285" s="39">
        <f>IF(C285&lt;&gt;"",C285,IF(P285&lt;=IFERROR(INDEX(tblChannels[Watched Through],MATCH(N285,tblChannels[Channel ID],0)),0),"Watched","Unwatched"))</f>
        <v/>
      </c>
      <c r="C285" s="40" t="n"/>
      <c r="D285" s="41" t="n"/>
      <c r="E285" s="42" t="n">
        <v>45884.41666666666</v>
      </c>
      <c r="F285" s="43" t="inlineStr">
        <is>
          <t>Popcorn Culture</t>
        </is>
      </c>
      <c r="G285" t="inlineStr">
        <is>
          <t>How to... Charisma? | Popcorn Culture</t>
        </is>
      </c>
      <c r="H285" s="44" t="n">
        <v>0.05803240740740741</v>
      </c>
      <c r="I285" s="45" t="n">
        <v>3171</v>
      </c>
      <c r="J285" s="45" t="n">
        <v>150</v>
      </c>
      <c r="K285" s="45" t="n">
        <v>14</v>
      </c>
      <c r="L285" s="46" t="n"/>
      <c r="M285" s="47" t="n"/>
      <c r="N285" s="47" t="inlineStr">
        <is>
          <t>UCHfIbq9thHPC8yrKjAdJgDA</t>
        </is>
      </c>
      <c r="O285" s="48" t="n">
        <v>45884.58333333334</v>
      </c>
      <c r="P285" s="49" t="n">
        <v>45884</v>
      </c>
      <c r="Q285" s="47" t="n">
        <v>2983</v>
      </c>
      <c r="R285" s="47" t="inlineStr">
        <is>
          <t>No Video ID yet</t>
        </is>
      </c>
      <c r="S285" s="49" t="n"/>
      <c r="T285" s="49" t="n"/>
      <c r="U285" s="47" t="inlineStr">
        <is>
          <t>In the 297th episode of the Pop, Ben and J discuss being charismatic, similarities between The Bear and Encanto, whether or not pressure is helpful or harmful, and taking your kids to the mall. Stitch Fix - The Bear - Encanto - Will Poulter - Get your tickets for Through the Griffin Tour MIDWEST here: St. Louis, MO - 9/17 (low ticket warning) Detroit, MI - 9/24 (sold out) 00:00 - Intro, Charisma 09:22 - Pressure 48:40 - Family Life</t>
        </is>
      </c>
      <c r="V285" s="47">
        <f>IF(AND(P285&gt;=Calendar!$K$2,P285&lt;EDATE(Calendar!$K$2,1),OR(Calendar!$K$4="*",N285=Calendar!$K$4)),P285*100+COUNTIFS($P$6:$P$3267,P285,$Q$6:$Q$3267,"&lt;="&amp;Q285,$N$6:$N$3267,Calendar!$K$4),"")</f>
        <v/>
      </c>
      <c r="W285" s="47">
        <f>IF(AND(B285=Queue!$C$4,OR(Queue!$K$4="*",N285=Queue!$K$4)),Q285,"")</f>
        <v/>
      </c>
    </row>
    <row r="286">
      <c r="A286" s="38">
        <f>IF(M286="","",HYPERLINK("https://www.youtube.com/watch?v="&amp;M286,"▶"))</f>
        <v/>
      </c>
      <c r="B286" s="39">
        <f>IF(C286&lt;&gt;"",C286,IF(P286&lt;=IFERROR(INDEX(tblChannels[Watched Through],MATCH(N286,tblChannels[Channel ID],0)),0),"Watched","Unwatched"))</f>
        <v/>
      </c>
      <c r="C286" s="40" t="n"/>
      <c r="D286" s="41" t="n"/>
      <c r="E286" s="42" t="n">
        <v>45882.70833333334</v>
      </c>
      <c r="F286" s="50" t="inlineStr">
        <is>
          <t>Super Carlin Brothers</t>
        </is>
      </c>
      <c r="G286" t="inlineStr">
        <is>
          <t>J vs. Ben: EXPERT Level Goblet of Fire Quiz | Harry Potter TRIVIA</t>
        </is>
      </c>
      <c r="H286" s="44" t="n">
        <v>0.03127314814814815</v>
      </c>
      <c r="I286" s="45" t="n">
        <v>115153</v>
      </c>
      <c r="J286" s="45" t="n">
        <v>3711</v>
      </c>
      <c r="K286" s="45" t="n">
        <v>389</v>
      </c>
      <c r="L286" s="46" t="n"/>
      <c r="M286" s="47" t="n"/>
      <c r="N286" s="47" t="inlineStr">
        <is>
          <t>UCKZo4N0lVPccBkSiuyVh4yg</t>
        </is>
      </c>
      <c r="O286" s="48" t="n">
        <v>45882.875</v>
      </c>
      <c r="P286" s="49" t="n">
        <v>45882</v>
      </c>
      <c r="Q286" s="47" t="n">
        <v>2982</v>
      </c>
      <c r="R286" s="47" t="inlineStr">
        <is>
          <t>No Video ID yet</t>
        </is>
      </c>
      <c r="S286" s="49" t="n"/>
      <c r="T286" s="49" t="n"/>
      <c r="U286" s="47" t="inlineStr">
        <is>
          <t>This episode is sponsored by Upside - Download the FREE Upside App and use promo code JVSB to get an extra 25 cents back for every gallon on your first tank of gas! This episode is sponsored by Hello Fresh - Go to now to Get 10 Free Meals + a Free Item for Life! J and Ben just wrapped the final chapter of their most thorough read-through yet of Goblet of Fire over on their podcast: Through the Griffin Door - But can they recall the book's most obscure trivia questions? Today we put them to the test with some of the most challenging book four trivia questions thanks to our Quizmasters on Patreon! Des Moines, IA - 9/19 (SOLD OUT) St. Paul, MN - 9/20 (SOLD OUT) Detroit, MI - 9/24 (SOLD OUT) Cleveland, OH - 9/25 (SOLD OUT) Written by :: QUIZMASTERS!</t>
        </is>
      </c>
      <c r="V286" s="47">
        <f>IF(AND(P286&gt;=Calendar!$K$2,P286&lt;EDATE(Calendar!$K$2,1),OR(Calendar!$K$4="*",N286=Calendar!$K$4)),P286*100+COUNTIFS($P$6:$P$3267,P286,$Q$6:$Q$3267,"&lt;="&amp;Q286,$N$6:$N$3267,Calendar!$K$4),"")</f>
        <v/>
      </c>
      <c r="W286" s="47">
        <f>IF(AND(B286=Queue!$C$4,OR(Queue!$K$4="*",N286=Queue!$K$4)),Q286,"")</f>
        <v/>
      </c>
    </row>
    <row r="287">
      <c r="A287" s="38">
        <f>IF(M287="","",HYPERLINK("https://www.youtube.com/watch?v="&amp;M287,"▶"))</f>
        <v/>
      </c>
      <c r="B287" s="39">
        <f>IF(C287&lt;&gt;"",C287,IF(P287&lt;=IFERROR(INDEX(tblChannels[Watched Through],MATCH(N287,tblChannels[Channel ID],0)),0),"Watched","Unwatched"))</f>
        <v/>
      </c>
      <c r="C287" s="40" t="n"/>
      <c r="D287" s="41" t="n"/>
      <c r="E287" s="42" t="n">
        <v>45879.41666666666</v>
      </c>
      <c r="F287" s="51" t="inlineStr">
        <is>
          <t>Through The Griffin Door</t>
        </is>
      </c>
      <c r="G287" t="inlineStr">
        <is>
          <t>Chapter 37: The Beginning | Goblet of Fire</t>
        </is>
      </c>
      <c r="H287" s="44" t="n">
        <v>0.07435185185185185</v>
      </c>
      <c r="I287" s="45" t="n">
        <v>56282</v>
      </c>
      <c r="J287" s="45" t="n">
        <v>1487</v>
      </c>
      <c r="K287" s="45" t="n">
        <v>376</v>
      </c>
      <c r="L287" s="46" t="n"/>
      <c r="M287" s="47" t="n"/>
      <c r="N287" s="47" t="inlineStr">
        <is>
          <t>UCEscP6ETYXWSSvsNrDHekMQ</t>
        </is>
      </c>
      <c r="O287" s="48" t="n">
        <v>45879.58333333334</v>
      </c>
      <c r="P287" s="49" t="n">
        <v>45879</v>
      </c>
      <c r="Q287" s="47" t="n">
        <v>2981</v>
      </c>
      <c r="R287" s="47" t="inlineStr">
        <is>
          <t>No Video ID yet</t>
        </is>
      </c>
      <c r="S287" s="49" t="n"/>
      <c r="T287" s="49" t="n"/>
      <c r="U287" s="47" t="inlineStr">
        <is>
          <t>This episode is sponsored by Pair Eyewear – Go to paireyewear.com and use code 'GRIFFIN' for 15% off your first pair. Join J and Ben as they dive into Chapter 37 (the last chapter!) of the Goblet of Fire and discuss the in-between week, visiting Hagrid, Snape’s position, Dumbledore’s speech, saying goodbye to the other schools, hexings on the train and giving the twins his prize money. THROUGH THE GRIFFIN TOUR MIDWEST TICKETS ARE ON SALE RIGHT NOW St. Louis, MO - 9/17 (low ticket warning) Detroit, MI - 9/24 (low ticket warning) 05:13 - Chapter Breakdown 32:21- Ad Break (Pair Eyewear) 33:39 - More Chapter Breakdown 1:33:41 - Closing Thoughts and Review</t>
        </is>
      </c>
      <c r="V287" s="47">
        <f>IF(AND(P287&gt;=Calendar!$K$2,P287&lt;EDATE(Calendar!$K$2,1),OR(Calendar!$K$4="*",N287=Calendar!$K$4)),P287*100+COUNTIFS($P$6:$P$3267,P287,$Q$6:$Q$3267,"&lt;="&amp;Q287,$N$6:$N$3267,Calendar!$K$4),"")</f>
        <v/>
      </c>
      <c r="W287" s="47">
        <f>IF(AND(B287=Queue!$C$4,OR(Queue!$K$4="*",N287=Queue!$K$4)),Q287,"")</f>
        <v/>
      </c>
    </row>
    <row r="288">
      <c r="A288" s="38">
        <f>IF(M288="","",HYPERLINK("https://www.youtube.com/watch?v="&amp;M288,"▶"))</f>
        <v/>
      </c>
      <c r="B288" s="39">
        <f>IF(C288&lt;&gt;"",C288,IF(P288&lt;=IFERROR(INDEX(tblChannels[Watched Through],MATCH(N288,tblChannels[Channel ID],0)),0),"Watched","Unwatched"))</f>
        <v/>
      </c>
      <c r="C288" s="40" t="n"/>
      <c r="D288" s="41" t="n"/>
      <c r="E288" s="42" t="n">
        <v>45877.67638888889</v>
      </c>
      <c r="F288" s="50" t="inlineStr">
        <is>
          <t>Super Carlin Brothers</t>
        </is>
      </c>
      <c r="G288" t="inlineStr">
        <is>
          <t>Voldemort’s CONFUSING Lineage Explained | Harry Potter Film Theory</t>
        </is>
      </c>
      <c r="H288" s="44" t="n">
        <v>0.01103009259259259</v>
      </c>
      <c r="I288" s="45" t="n">
        <v>95039</v>
      </c>
      <c r="J288" s="45" t="n">
        <v>4383</v>
      </c>
      <c r="K288" s="45" t="n">
        <v>458</v>
      </c>
      <c r="L288" s="46" t="n"/>
      <c r="M288" s="47" t="n"/>
      <c r="N288" s="47" t="inlineStr">
        <is>
          <t>UCKZo4N0lVPccBkSiuyVh4yg</t>
        </is>
      </c>
      <c r="O288" s="48" t="n">
        <v>45877.84305555555</v>
      </c>
      <c r="P288" s="49" t="n">
        <v>45877</v>
      </c>
      <c r="Q288" s="47" t="n">
        <v>2980</v>
      </c>
      <c r="R288" s="47" t="inlineStr">
        <is>
          <t>No Video ID yet</t>
        </is>
      </c>
      <c r="S288" s="49" t="n"/>
      <c r="T288" s="49" t="n"/>
      <c r="U288" s="47" t="inlineStr">
        <is>
          <t>Go to and use promo code SCB for $35 off their best-selling Carver Mat frame. Today Ben dives into the Wizarding World of Harry Potter to figure out how and/or if Voldemort is actually related to the Peverell family, known best for their creation of the Deathly Hallows. PLUS did we accidentally uncover the Bloody Baron’s identity?? Des Moines, IA - 9/19 (SOLD OUT) St. Paul, MN - 9/20 (SOLD OUT) Cleveland, OH - 9/25 (SOLD OUT) Written by :: Jonathan &amp; Ben Carlin</t>
        </is>
      </c>
      <c r="V288" s="47">
        <f>IF(AND(P288&gt;=Calendar!$K$2,P288&lt;EDATE(Calendar!$K$2,1),OR(Calendar!$K$4="*",N288=Calendar!$K$4)),P288*100+COUNTIFS($P$6:$P$3267,P288,$Q$6:$Q$3267,"&lt;="&amp;Q288,$N$6:$N$3267,Calendar!$K$4),"")</f>
        <v/>
      </c>
      <c r="W288" s="47">
        <f>IF(AND(B288=Queue!$C$4,OR(Queue!$K$4="*",N288=Queue!$K$4)),Q288,"")</f>
        <v/>
      </c>
    </row>
    <row r="289">
      <c r="A289" s="38">
        <f>IF(M289="","",HYPERLINK("https://www.youtube.com/watch?v="&amp;M289,"▶"))</f>
        <v/>
      </c>
      <c r="B289" s="39">
        <f>IF(C289&lt;&gt;"",C289,IF(P289&lt;=IFERROR(INDEX(tblChannels[Watched Through],MATCH(N289,tblChannels[Channel ID],0)),0),"Watched","Unwatched"))</f>
        <v/>
      </c>
      <c r="C289" s="40" t="n"/>
      <c r="D289" s="41" t="n"/>
      <c r="E289" s="42" t="n">
        <v>45877.41666666666</v>
      </c>
      <c r="F289" s="43" t="inlineStr">
        <is>
          <t>Popcorn Culture</t>
        </is>
      </c>
      <c r="G289" t="inlineStr">
        <is>
          <t>The Universal Shoving Phenomenon  | Popcorn Culture</t>
        </is>
      </c>
      <c r="H289" s="44" t="n">
        <v>0.0503125</v>
      </c>
      <c r="I289" s="45" t="n">
        <v>2868</v>
      </c>
      <c r="J289" s="45" t="n">
        <v>147</v>
      </c>
      <c r="K289" s="45" t="n">
        <v>40</v>
      </c>
      <c r="L289" s="46" t="n"/>
      <c r="M289" s="47" t="n"/>
      <c r="N289" s="47" t="inlineStr">
        <is>
          <t>UCHfIbq9thHPC8yrKjAdJgDA</t>
        </is>
      </c>
      <c r="O289" s="48" t="n">
        <v>45877.58333333334</v>
      </c>
      <c r="P289" s="49" t="n">
        <v>45877</v>
      </c>
      <c r="Q289" s="47" t="n">
        <v>2979</v>
      </c>
      <c r="R289" s="47" t="inlineStr">
        <is>
          <t>No Video ID yet</t>
        </is>
      </c>
      <c r="S289" s="49" t="n"/>
      <c r="T289" s="49" t="n"/>
      <c r="U289" s="47" t="inlineStr">
        <is>
          <t>In the 296th episode of the Pop, Ben and J discuss Ben’s trip to the Dominican Republic, our crazy AC issues, being “barefoot people,” fancy tweezers, taking the kids to Big Lick Comic Con, Pokémon Worlds coming up, and hot dogs. Get your tickets for Through the Griffin Tour MIDWEST here: St. Louis, MO - 9/17 (low ticket warning) Detroit, MI - 9/24 (low ticket warning) Alternate Titles Smells of Stigma Barefoot on Purpose Hot Dog Approachability 00:00 - Intro, Relaxing on Vacation 10:15 - Universal Shoving 35:15 - Tweezers 42:43 - Comic Con 56:01 - Hot Dogs</t>
        </is>
      </c>
      <c r="V289" s="47">
        <f>IF(AND(P289&gt;=Calendar!$K$2,P289&lt;EDATE(Calendar!$K$2,1),OR(Calendar!$K$4="*",N289=Calendar!$K$4)),P289*100+COUNTIFS($P$6:$P$3267,P289,$Q$6:$Q$3267,"&lt;="&amp;Q289,$N$6:$N$3267,Calendar!$K$4),"")</f>
        <v/>
      </c>
      <c r="W289" s="47">
        <f>IF(AND(B289=Queue!$C$4,OR(Queue!$K$4="*",N289=Queue!$K$4)),Q289,"")</f>
        <v/>
      </c>
    </row>
    <row r="290">
      <c r="A290" s="38">
        <f>IF(M290="","",HYPERLINK("https://www.youtube.com/watch?v="&amp;M290,"▶"))</f>
        <v/>
      </c>
      <c r="B290" s="39">
        <f>IF(C290&lt;&gt;"",C290,IF(P290&lt;=IFERROR(INDEX(tblChannels[Watched Through],MATCH(N290,tblChannels[Channel ID],0)),0),"Watched","Unwatched"))</f>
        <v/>
      </c>
      <c r="C290" s="40" t="n"/>
      <c r="D290" s="41" t="n"/>
      <c r="E290" s="42" t="n">
        <v>45875.64097222222</v>
      </c>
      <c r="F290" s="50" t="inlineStr">
        <is>
          <t>Super Carlin Brothers</t>
        </is>
      </c>
      <c r="G290" t="inlineStr">
        <is>
          <t>What If Voldemort Felt Remorse? | Harry Potter Film Theory</t>
        </is>
      </c>
      <c r="H290" s="44" t="n">
        <v>0.01107638888888889</v>
      </c>
      <c r="I290" s="45" t="n">
        <v>86460</v>
      </c>
      <c r="J290" s="45" t="n">
        <v>4102</v>
      </c>
      <c r="K290" s="45" t="n">
        <v>358</v>
      </c>
      <c r="L290" s="46" t="n"/>
      <c r="M290" s="47" t="n"/>
      <c r="N290" s="47" t="inlineStr">
        <is>
          <t>UCKZo4N0lVPccBkSiuyVh4yg</t>
        </is>
      </c>
      <c r="O290" s="48" t="n">
        <v>45875.80763888889</v>
      </c>
      <c r="P290" s="49" t="n">
        <v>45875</v>
      </c>
      <c r="Q290" s="47" t="n">
        <v>2978</v>
      </c>
      <c r="R290" s="47" t="inlineStr">
        <is>
          <t>No Video ID yet</t>
        </is>
      </c>
      <c r="S290" s="49" t="n"/>
      <c r="T290" s="49" t="n"/>
      <c r="U290" s="47" t="inlineStr">
        <is>
          <t>This episode is sponsored by BetterHelp. Go to to get 10% off your first month. What if Harry Potter’s final offer to Voldemort — to feel remorse — actually worked? 🤯 In Deathly Hallows, just before the last duel, Harry warns Voldemort to think about what he’s done… and gives him one final chance to turn back. Of course, Voldemort laughs it off — but what if he didn’t? Des Moines, IA - 9/19 (SOLD OUT) St. Paul, MN - 9/20 (SOLD OUT) Cleveland, OH - 9/25 (SOLD OUT) Written by :: Jonathan &amp; Ben Carlin</t>
        </is>
      </c>
      <c r="V290" s="47">
        <f>IF(AND(P290&gt;=Calendar!$K$2,P290&lt;EDATE(Calendar!$K$2,1),OR(Calendar!$K$4="*",N290=Calendar!$K$4)),P290*100+COUNTIFS($P$6:$P$3267,P290,$Q$6:$Q$3267,"&lt;="&amp;Q290,$N$6:$N$3267,Calendar!$K$4),"")</f>
        <v/>
      </c>
      <c r="W290" s="47">
        <f>IF(AND(B290=Queue!$C$4,OR(Queue!$K$4="*",N290=Queue!$K$4)),Q290,"")</f>
        <v/>
      </c>
    </row>
    <row r="291">
      <c r="A291" s="38">
        <f>IF(M291="","",HYPERLINK("https://www.youtube.com/watch?v="&amp;M291,"▶"))</f>
        <v/>
      </c>
      <c r="B291" s="39">
        <f>IF(C291&lt;&gt;"",C291,IF(P291&lt;=IFERROR(INDEX(tblChannels[Watched Through],MATCH(N291,tblChannels[Channel ID],0)),0),"Watched","Unwatched"))</f>
        <v/>
      </c>
      <c r="C291" s="40" t="n"/>
      <c r="D291" s="41" t="n"/>
      <c r="E291" s="42" t="n">
        <v>45874.55486111111</v>
      </c>
      <c r="F291" s="50" t="inlineStr">
        <is>
          <t>Super Carlin Brothers</t>
        </is>
      </c>
      <c r="G291" t="inlineStr">
        <is>
          <t>Why Luna Is Actually Snape</t>
        </is>
      </c>
      <c r="H291" s="44" t="n">
        <v>0.002071759259259259</v>
      </c>
      <c r="I291" s="45" t="n">
        <v>1406832</v>
      </c>
      <c r="J291" s="45" t="n">
        <v>67891</v>
      </c>
      <c r="K291" s="45" t="n">
        <v>792</v>
      </c>
      <c r="L291" s="46" t="n"/>
      <c r="M291" s="47" t="n"/>
      <c r="N291" s="47" t="inlineStr">
        <is>
          <t>UCKZo4N0lVPccBkSiuyVh4yg</t>
        </is>
      </c>
      <c r="O291" s="48" t="n">
        <v>45874.72152777778</v>
      </c>
      <c r="P291" s="49" t="n">
        <v>45874</v>
      </c>
      <c r="Q291" s="47" t="n">
        <v>2977</v>
      </c>
      <c r="R291" s="47" t="inlineStr">
        <is>
          <t>No Video ID yet</t>
        </is>
      </c>
      <c r="S291" s="49" t="n"/>
      <c r="T291" s="49" t="n"/>
      <c r="U291" s="47" t="inlineStr">
        <is>
          <t>Luna Lovegood and Severus Snape actually have a LOT more in common than you think! In fact all of Harry Potter's friends seem to have counterparts from the past.. #harrypotter #wizardingworld #snape #lunalovegood #supercarlinbrothers #shorts</t>
        </is>
      </c>
      <c r="V291" s="47">
        <f>IF(AND(P291&gt;=Calendar!$K$2,P291&lt;EDATE(Calendar!$K$2,1),OR(Calendar!$K$4="*",N291=Calendar!$K$4)),P291*100+COUNTIFS($P$6:$P$3267,P291,$Q$6:$Q$3267,"&lt;="&amp;Q291,$N$6:$N$3267,Calendar!$K$4),"")</f>
        <v/>
      </c>
      <c r="W291" s="47">
        <f>IF(AND(B291=Queue!$C$4,OR(Queue!$K$4="*",N291=Queue!$K$4)),Q291,"")</f>
        <v/>
      </c>
    </row>
    <row r="292">
      <c r="A292" s="38">
        <f>IF(M292="","",HYPERLINK("https://www.youtube.com/watch?v="&amp;M292,"▶"))</f>
        <v/>
      </c>
      <c r="B292" s="39">
        <f>IF(C292&lt;&gt;"",C292,IF(P292&lt;=IFERROR(INDEX(tblChannels[Watched Through],MATCH(N292,tblChannels[Channel ID],0)),0),"Watched","Unwatched"))</f>
        <v/>
      </c>
      <c r="C292" s="40" t="n"/>
      <c r="D292" s="41" t="n"/>
      <c r="E292" s="42" t="n">
        <v>45872.41666666666</v>
      </c>
      <c r="F292" s="51" t="inlineStr">
        <is>
          <t>Through The Griffin Door</t>
        </is>
      </c>
      <c r="G292" t="inlineStr">
        <is>
          <t>Chapter 36: The Parting of the Ways | Goblet of Fire</t>
        </is>
      </c>
      <c r="H292" s="44" t="n">
        <v>0.07143518518518518</v>
      </c>
      <c r="I292" s="45" t="n">
        <v>57111</v>
      </c>
      <c r="J292" s="45" t="n">
        <v>1477</v>
      </c>
      <c r="K292" s="45" t="n">
        <v>431</v>
      </c>
      <c r="L292" s="46" t="n"/>
      <c r="M292" s="47" t="n"/>
      <c r="N292" s="47" t="inlineStr">
        <is>
          <t>UCEscP6ETYXWSSvsNrDHekMQ</t>
        </is>
      </c>
      <c r="O292" s="48" t="n">
        <v>45872.58333333334</v>
      </c>
      <c r="P292" s="49" t="n">
        <v>45872</v>
      </c>
      <c r="Q292" s="47" t="n">
        <v>2976</v>
      </c>
      <c r="R292" s="47" t="inlineStr">
        <is>
          <t>No Video ID yet</t>
        </is>
      </c>
      <c r="S292" s="49" t="n"/>
      <c r="T292" s="49" t="n"/>
      <c r="U292" s="47" t="inlineStr">
        <is>
          <t>Join J and Ben as they dive into Chapter 36 of the Goblet of Fire and discuss why the Dark Mark’s skull is so weird, the ramifications of blood magic, why no one stopped the Dementors, and most importantly, The Gleam Of Triumph. Dumbledore Is A Phoenix - THROUGH THE GRIFFIN TOUR MIDWEST TICKETS ARE ON SALE RIGHT NOW St. Louis, MO - 9/17 (low ticket warning) Detroit, MI - 9/24 (low ticket warning) Support us on Patreon AND GET YOUR GUMPSTER FIRE PIN: Watch on Youtube: Want more Harry Potter Content? Harry Potter Theories: Dumbledore’s Big Plan: What If Harry Was in Slytherin: 03:07 - Dragons Arrive 1:34:41 - Closing Thoughts and Review</t>
        </is>
      </c>
      <c r="V292" s="47">
        <f>IF(AND(P292&gt;=Calendar!$K$2,P292&lt;EDATE(Calendar!$K$2,1),OR(Calendar!$K$4="*",N292=Calendar!$K$4)),P292*100+COUNTIFS($P$6:$P$3267,P292,$Q$6:$Q$3267,"&lt;="&amp;Q292,$N$6:$N$3267,Calendar!$K$4),"")</f>
        <v/>
      </c>
      <c r="W292" s="47">
        <f>IF(AND(B292=Queue!$C$4,OR(Queue!$K$4="*",N292=Queue!$K$4)),Q292,"")</f>
        <v/>
      </c>
    </row>
    <row r="293">
      <c r="A293" s="38">
        <f>IF(M293="","",HYPERLINK("https://www.youtube.com/watch?v="&amp;M293,"▶"))</f>
        <v/>
      </c>
      <c r="B293" s="39">
        <f>IF(C293&lt;&gt;"",C293,IF(P293&lt;=IFERROR(INDEX(tblChannels[Watched Through],MATCH(N293,tblChannels[Channel ID],0)),0),"Watched","Unwatched"))</f>
        <v/>
      </c>
      <c r="C293" s="40" t="n"/>
      <c r="D293" s="41" t="n"/>
      <c r="E293" s="42" t="n">
        <v>45870.625</v>
      </c>
      <c r="F293" s="50" t="inlineStr">
        <is>
          <t>Super Carlin Brothers</t>
        </is>
      </c>
      <c r="G293" t="inlineStr">
        <is>
          <t>What’s The Deal With Hermione’s Parents | Harry Potter Film Theory</t>
        </is>
      </c>
      <c r="H293" s="44" t="n">
        <v>0.01116898148148148</v>
      </c>
      <c r="I293" s="45" t="n">
        <v>211108</v>
      </c>
      <c r="J293" s="45" t="n">
        <v>7312</v>
      </c>
      <c r="K293" s="45" t="n">
        <v>897</v>
      </c>
      <c r="L293" s="46" t="n"/>
      <c r="M293" s="47" t="n"/>
      <c r="N293" s="47" t="inlineStr">
        <is>
          <t>UCKZo4N0lVPccBkSiuyVh4yg</t>
        </is>
      </c>
      <c r="O293" s="48" t="n">
        <v>45870.79166666666</v>
      </c>
      <c r="P293" s="49" t="n">
        <v>45870</v>
      </c>
      <c r="Q293" s="47" t="n">
        <v>2975</v>
      </c>
      <c r="R293" s="47" t="inlineStr">
        <is>
          <t>No Video ID yet</t>
        </is>
      </c>
      <c r="S293" s="49" t="n"/>
      <c r="T293" s="49" t="n"/>
      <c r="U293" s="47" t="inlineStr">
        <is>
          <t>This episode is sponsored by BetterHelp. Go to to get 10% off your first month. Today J dives into the Wizarding World of Harry Potter to talk about a character we all love, Hermione Granger. Her academic brilliance, her bravery, her books and cleverness, but there’s one part of her life that remains a complete mystery: her parents. Why do we never see them? Why does Hermione spend so little time at home? And could her strange absence from family life actually explain deeper parts of her personality, like her boggart, her struggles with the Patronus, and her passion for house-elf rights? Des Moines, IA - 9/19 (SOLD OUT) St. Paul, MN - 9/20 (SOLD OUT) Cleveland, OH - 9/25 (SOLD OUT) Written by :: Jonathan &amp; Ben Carlin</t>
        </is>
      </c>
      <c r="V293" s="47">
        <f>IF(AND(P293&gt;=Calendar!$K$2,P293&lt;EDATE(Calendar!$K$2,1),OR(Calendar!$K$4="*",N293=Calendar!$K$4)),P293*100+COUNTIFS($P$6:$P$3267,P293,$Q$6:$Q$3267,"&lt;="&amp;Q293,$N$6:$N$3267,Calendar!$K$4),"")</f>
        <v/>
      </c>
      <c r="W293" s="47">
        <f>IF(AND(B293=Queue!$C$4,OR(Queue!$K$4="*",N293=Queue!$K$4)),Q293,"")</f>
        <v/>
      </c>
    </row>
    <row r="294">
      <c r="A294" s="38">
        <f>IF(M294="","",HYPERLINK("https://www.youtube.com/watch?v="&amp;M294,"▶"))</f>
        <v/>
      </c>
      <c r="B294" s="39">
        <f>IF(C294&lt;&gt;"",C294,IF(P294&lt;=IFERROR(INDEX(tblChannels[Watched Through],MATCH(N294,tblChannels[Channel ID],0)),0),"Watched","Unwatched"))</f>
        <v/>
      </c>
      <c r="C294" s="40" t="n"/>
      <c r="D294" s="41" t="n"/>
      <c r="E294" s="42" t="n">
        <v>45870.41666666666</v>
      </c>
      <c r="F294" s="43" t="inlineStr">
        <is>
          <t>Popcorn Culture</t>
        </is>
      </c>
      <c r="G294" t="inlineStr">
        <is>
          <t>The End of A Chapter | Popcorn Culture</t>
        </is>
      </c>
      <c r="H294" s="44" t="n">
        <v>0.04608796296296296</v>
      </c>
      <c r="I294" s="45" t="n">
        <v>4363</v>
      </c>
      <c r="J294" s="45" t="n">
        <v>282</v>
      </c>
      <c r="K294" s="45" t="n">
        <v>60</v>
      </c>
      <c r="L294" s="46" t="n"/>
      <c r="M294" s="47" t="n"/>
      <c r="N294" s="47" t="inlineStr">
        <is>
          <t>UCHfIbq9thHPC8yrKjAdJgDA</t>
        </is>
      </c>
      <c r="O294" s="48" t="n">
        <v>45870.58333333334</v>
      </c>
      <c r="P294" s="49" t="n">
        <v>45870</v>
      </c>
      <c r="Q294" s="47" t="n">
        <v>2974</v>
      </c>
      <c r="R294" s="47" t="inlineStr">
        <is>
          <t>No Video ID yet</t>
        </is>
      </c>
      <c r="S294" s="49" t="n"/>
      <c r="T294" s="49" t="n"/>
      <c r="U294" s="47" t="inlineStr">
        <is>
          <t>In the 295th episode of the Pop, Ben and J discuss the complexities of growing older, making amends with the past, if fruitcake is actually terrible, and the strange artifacts kids steal to play with. Get your tickets for Through the Griffin Tour MIDWEST here: Midwest Tour Dates: Indianapolis, IN - 9/16 St. Louis, MO - 9/17 (low ticket warning) St. Paul, MN - 9/20 (sold out) Milwaukee, WI - 9/21 Chicago, IL - 9/23 Detroit, MI - 9/24 (low ticket warning)</t>
        </is>
      </c>
      <c r="V294" s="47">
        <f>IF(AND(P294&gt;=Calendar!$K$2,P294&lt;EDATE(Calendar!$K$2,1),OR(Calendar!$K$4="*",N294=Calendar!$K$4)),P294*100+COUNTIFS($P$6:$P$3267,P294,$Q$6:$Q$3267,"&lt;="&amp;Q294,$N$6:$N$3267,Calendar!$K$4),"")</f>
        <v/>
      </c>
      <c r="W294" s="47">
        <f>IF(AND(B294=Queue!$C$4,OR(Queue!$K$4="*",N294=Queue!$K$4)),Q294,"")</f>
        <v/>
      </c>
    </row>
    <row r="295">
      <c r="A295" s="38">
        <f>IF(M295="","",HYPERLINK("https://www.youtube.com/watch?v="&amp;M295,"▶"))</f>
        <v/>
      </c>
      <c r="B295" s="39">
        <f>IF(C295&lt;&gt;"",C295,IF(P295&lt;=IFERROR(INDEX(tblChannels[Watched Through],MATCH(N295,tblChannels[Channel ID],0)),0),"Watched","Unwatched"))</f>
        <v/>
      </c>
      <c r="C295" s="40" t="n"/>
      <c r="D295" s="41" t="n"/>
      <c r="E295" s="42" t="n">
        <v>45869.57013888889</v>
      </c>
      <c r="F295" s="50" t="inlineStr">
        <is>
          <t>Super Carlin Brothers</t>
        </is>
      </c>
      <c r="G295" t="inlineStr">
        <is>
          <t>Why is Harry's Scar Shaped Like a Lightning Bolt? #harrypotter</t>
        </is>
      </c>
      <c r="H295" s="44" t="n">
        <v>0.002071759259259259</v>
      </c>
      <c r="I295" s="45" t="n">
        <v>106415</v>
      </c>
      <c r="J295" s="45" t="n">
        <v>6245</v>
      </c>
      <c r="K295" s="45" t="n">
        <v>161</v>
      </c>
      <c r="L295" s="46" t="n"/>
      <c r="M295" s="47" t="n"/>
      <c r="N295" s="47" t="inlineStr">
        <is>
          <t>UCKZo4N0lVPccBkSiuyVh4yg</t>
        </is>
      </c>
      <c r="O295" s="48" t="n">
        <v>45869.73680555556</v>
      </c>
      <c r="P295" s="49" t="n">
        <v>45869</v>
      </c>
      <c r="Q295" s="47" t="n">
        <v>2973</v>
      </c>
      <c r="R295" s="47" t="inlineStr">
        <is>
          <t>No Video ID yet</t>
        </is>
      </c>
      <c r="S295" s="49" t="n"/>
      <c r="T295" s="49" t="n"/>
      <c r="U295" s="47" t="inlineStr">
        <is>
          <t>We all know the story: Voldemort casts the Killing Curse, Harry survives, and the lightning-shaped scar becomes iconic. But here’s the thing… Avada Kedavra doesn’t leave marks. And yet Harry has one. What if the scar wasn’t caused by Voldemort’s curse at all? What if it was caused by something else entirely — something more powerful? Let’s talk about the real meaning of the lightning bolt. 🧙‍♂️💔 #HarryPotter #HarryPotterTheory #Shorts #WizardingWorld #SCB #supercarlinbrothers</t>
        </is>
      </c>
      <c r="V295" s="47">
        <f>IF(AND(P295&gt;=Calendar!$K$2,P295&lt;EDATE(Calendar!$K$2,1),OR(Calendar!$K$4="*",N295=Calendar!$K$4)),P295*100+COUNTIFS($P$6:$P$3267,P295,$Q$6:$Q$3267,"&lt;="&amp;Q295,$N$6:$N$3267,Calendar!$K$4),"")</f>
        <v/>
      </c>
      <c r="W295" s="47">
        <f>IF(AND(B295=Queue!$C$4,OR(Queue!$K$4="*",N295=Queue!$K$4)),Q295,"")</f>
        <v/>
      </c>
    </row>
    <row r="296">
      <c r="A296" s="38">
        <f>IF(M296="","",HYPERLINK("https://www.youtube.com/watch?v="&amp;M296,"▶"))</f>
        <v/>
      </c>
      <c r="B296" s="39">
        <f>IF(C296&lt;&gt;"",C296,IF(P296&lt;=IFERROR(INDEX(tblChannels[Watched Through],MATCH(N296,tblChannels[Channel ID],0)),0),"Watched","Unwatched"))</f>
        <v/>
      </c>
      <c r="C296" s="40" t="n"/>
      <c r="D296" s="41" t="n"/>
      <c r="E296" s="42" t="n">
        <v>45868.69722222222</v>
      </c>
      <c r="F296" s="50" t="inlineStr">
        <is>
          <t>Super Carlin Brothers</t>
        </is>
      </c>
      <c r="G296" t="inlineStr">
        <is>
          <t>J vs Ben: HARDEST Quotes Quiz Ever | Harry Potter Trivia</t>
        </is>
      </c>
      <c r="H296" s="44" t="n">
        <v>0.02297453703703704</v>
      </c>
      <c r="I296" s="45" t="n">
        <v>121778</v>
      </c>
      <c r="J296" s="45" t="n">
        <v>4148</v>
      </c>
      <c r="K296" s="45" t="n">
        <v>374</v>
      </c>
      <c r="L296" s="46" t="n"/>
      <c r="M296" s="47" t="n"/>
      <c r="N296" s="47" t="inlineStr">
        <is>
          <t>UCKZo4N0lVPccBkSiuyVh4yg</t>
        </is>
      </c>
      <c r="O296" s="48" t="n">
        <v>45868.86388888889</v>
      </c>
      <c r="P296" s="49" t="n">
        <v>45868</v>
      </c>
      <c r="Q296" s="47" t="n">
        <v>2972</v>
      </c>
      <c r="R296" s="47" t="inlineStr">
        <is>
          <t>No Video ID yet</t>
        </is>
      </c>
      <c r="S296" s="49" t="n"/>
      <c r="T296" s="49" t="n"/>
      <c r="U296" s="47" t="inlineStr">
        <is>
          <t>Go to and get TEN FREE MEALS with a FREE ITEM FOR LIFE. 🧠⚡ Think you know your Harry Potter quotes? This time J and Ben take on the HARDEST batch yet in our latest round of the Quick Quotes Quiz — can YOU beat us to the answer? From trolls on Halloween to Trelawney’s sass to Kreacher’s battle cry, it’s 15 mind-bending lines from across all seven books. Guess the character AND the book — and try not to lose your buttocks. 📚 BIG thanks to our incredible patrons who submitted these quotes: Nathan Morgan, Dorian R., Essential Escapism, Aislin P., Fis, Ben Henderson, Oryan, Law Ninja, Barnett, Anna-Kate the Great, Megs near Dufftown, Nour, Chase Dolason, Denna, Morgan Warner, Teghan Denlinger Let us know how many YOU got right in the comments! Des Moines, IA - 9/19 (SOLD OUT) St. Paul, MN - 9/20 (SOLD OUT) Cleveland, OH - 9/25 (SOLD OUT) Written by :: OUR QUIZ MASTERS! Hosted by :: Ethan Edghill</t>
        </is>
      </c>
      <c r="V296" s="47">
        <f>IF(AND(P296&gt;=Calendar!$K$2,P296&lt;EDATE(Calendar!$K$2,1),OR(Calendar!$K$4="*",N296=Calendar!$K$4)),P296*100+COUNTIFS($P$6:$P$3267,P296,$Q$6:$Q$3267,"&lt;="&amp;Q296,$N$6:$N$3267,Calendar!$K$4),"")</f>
        <v/>
      </c>
      <c r="W296" s="47">
        <f>IF(AND(B296=Queue!$C$4,OR(Queue!$K$4="*",N296=Queue!$K$4)),Q296,"")</f>
        <v/>
      </c>
    </row>
    <row r="297">
      <c r="A297" s="38">
        <f>IF(M297="","",HYPERLINK("https://www.youtube.com/watch?v="&amp;M297,"▶"))</f>
        <v/>
      </c>
      <c r="B297" s="39">
        <f>IF(C297&lt;&gt;"",C297,IF(P297&lt;=IFERROR(INDEX(tblChannels[Watched Through],MATCH(N297,tblChannels[Channel ID],0)),0),"Watched","Unwatched"))</f>
        <v/>
      </c>
      <c r="C297" s="40" t="n"/>
      <c r="D297" s="41" t="n"/>
      <c r="E297" s="42" t="n">
        <v>45865.41666666666</v>
      </c>
      <c r="F297" s="51" t="inlineStr">
        <is>
          <t>Through The Griffin Door</t>
        </is>
      </c>
      <c r="G297" t="inlineStr">
        <is>
          <t>Chapter 35: Veritaserum | Goblet of Fire</t>
        </is>
      </c>
      <c r="H297" s="44" t="n">
        <v>0.07214120370370371</v>
      </c>
      <c r="I297" s="45" t="n">
        <v>60446</v>
      </c>
      <c r="J297" s="45" t="n">
        <v>1540</v>
      </c>
      <c r="K297" s="45" t="n">
        <v>316</v>
      </c>
      <c r="L297" s="46" t="n"/>
      <c r="M297" s="47" t="n"/>
      <c r="N297" s="47" t="inlineStr">
        <is>
          <t>UCEscP6ETYXWSSvsNrDHekMQ</t>
        </is>
      </c>
      <c r="O297" s="48" t="n">
        <v>45865.58333333334</v>
      </c>
      <c r="P297" s="49" t="n">
        <v>45865</v>
      </c>
      <c r="Q297" s="47" t="n">
        <v>2971</v>
      </c>
      <c r="R297" s="47" t="inlineStr">
        <is>
          <t>No Video ID yet</t>
        </is>
      </c>
      <c r="S297" s="49" t="n"/>
      <c r="T297" s="49" t="n"/>
      <c r="U297" s="47" t="inlineStr">
        <is>
          <t>For a limited time, you can be first in line to experience the new Next Gen at special savings. Prolon is offering Through the Griffin Door listeners 15% off sitewide plus a $40 bonus gift when you subscribe to their 5-Day Nutrition Program! Just visit ProlonLife.com/GRIFFIN Join J and Ben as they dive into Chapter 35 of the Goblet of Fire and discuss Harry’s dreamlike state, Dumbledores and Phoenixes, “Moody” getting answers from Harry, BCJ/Harry parallels, and Barty’s confession. Dumbledore Is A Phoenix - Barty Crouch Jr’s HORCRUX - THROUGH THE GRIFFIN TOUR MIDWEST TICKETS ARE ON SALE RIGHT NOW St. Louis, MO - 9/17 (low ticket warning) Detroit, MI - 9/24 (low ticket warning) Support us on Patreon AND GET YOUR GUMPSTER FIRE PIN: 04:32 - Chapter Breakdown 31:40 - Ad Break (Prolon) 33:07 - More Chapter Breakdown 1:39:44 - Closing Thoughts and Review</t>
        </is>
      </c>
      <c r="V297" s="47">
        <f>IF(AND(P297&gt;=Calendar!$K$2,P297&lt;EDATE(Calendar!$K$2,1),OR(Calendar!$K$4="*",N297=Calendar!$K$4)),P297*100+COUNTIFS($P$6:$P$3267,P297,$Q$6:$Q$3267,"&lt;="&amp;Q297,$N$6:$N$3267,Calendar!$K$4),"")</f>
        <v/>
      </c>
      <c r="W297" s="47">
        <f>IF(AND(B297=Queue!$C$4,OR(Queue!$K$4="*",N297=Queue!$K$4)),Q297,"")</f>
        <v/>
      </c>
    </row>
    <row r="298">
      <c r="A298" s="38">
        <f>IF(M298="","",HYPERLINK("https://www.youtube.com/watch?v="&amp;M298,"▶"))</f>
        <v/>
      </c>
      <c r="B298" s="39">
        <f>IF(C298&lt;&gt;"",C298,IF(P298&lt;=IFERROR(INDEX(tblChannels[Watched Through],MATCH(N298,tblChannels[Channel ID],0)),0),"Watched","Unwatched"))</f>
        <v/>
      </c>
      <c r="C298" s="40" t="n"/>
      <c r="D298" s="41" t="n"/>
      <c r="E298" s="42" t="n">
        <v>45863.71111111111</v>
      </c>
      <c r="F298" s="50" t="inlineStr">
        <is>
          <t>Super Carlin Brothers</t>
        </is>
      </c>
      <c r="G298" t="inlineStr">
        <is>
          <t>Fantastic Four: Expectations VS Reality</t>
        </is>
      </c>
      <c r="H298" s="44" t="n">
        <v>0.04961805555555555</v>
      </c>
      <c r="I298" s="45" t="n">
        <v>32443</v>
      </c>
      <c r="J298" s="45" t="n">
        <v>1299</v>
      </c>
      <c r="K298" s="45" t="n">
        <v>189</v>
      </c>
      <c r="L298" s="46" t="n"/>
      <c r="M298" s="47" t="n"/>
      <c r="N298" s="47" t="inlineStr">
        <is>
          <t>UCKZo4N0lVPccBkSiuyVh4yg</t>
        </is>
      </c>
      <c r="O298" s="48" t="n">
        <v>45863.87777777778</v>
      </c>
      <c r="P298" s="49" t="n">
        <v>45863</v>
      </c>
      <c r="Q298" s="47" t="n">
        <v>2970</v>
      </c>
      <c r="R298" s="47" t="inlineStr">
        <is>
          <t>No Video ID yet</t>
        </is>
      </c>
      <c r="S298" s="49" t="n"/>
      <c r="T298" s="49" t="n"/>
      <c r="U298" s="47" t="inlineStr">
        <is>
          <t>Go to to get 20% the fan favorite Everyday Earbuds Classic! Today J and Ben dive into the Marvel Cinematic Universe to discuss Fantastic Four: First Steps! First offering our pre movie predictions: Will Doctor Doom make an appearance? Will other MCU members show up? How will they defeat Galactus? THEN we see the movie and arrive back with all of our answers! Des Moines, IA - 9/19 (SOLD OUT) St. Paul, MN - 9/20 (SOLD OUT) Cleveland, OH - 9/25 (SOLD OUT) #Marvel #SuperCarlinBrothers #fantasticfour</t>
        </is>
      </c>
      <c r="V298" s="47">
        <f>IF(AND(P298&gt;=Calendar!$K$2,P298&lt;EDATE(Calendar!$K$2,1),OR(Calendar!$K$4="*",N298=Calendar!$K$4)),P298*100+COUNTIFS($P$6:$P$3267,P298,$Q$6:$Q$3267,"&lt;="&amp;Q298,$N$6:$N$3267,Calendar!$K$4),"")</f>
        <v/>
      </c>
      <c r="W298" s="47">
        <f>IF(AND(B298=Queue!$C$4,OR(Queue!$K$4="*",N298=Queue!$K$4)),Q298,"")</f>
        <v/>
      </c>
    </row>
    <row r="299">
      <c r="A299" s="38">
        <f>IF(M299="","",HYPERLINK("https://www.youtube.com/watch?v="&amp;M299,"▶"))</f>
        <v/>
      </c>
      <c r="B299" s="39">
        <f>IF(C299&lt;&gt;"",C299,IF(P299&lt;=IFERROR(INDEX(tblChannels[Watched Through],MATCH(N299,tblChannels[Channel ID],0)),0),"Watched","Unwatched"))</f>
        <v/>
      </c>
      <c r="C299" s="40" t="n"/>
      <c r="D299" s="41" t="n"/>
      <c r="E299" s="42" t="n">
        <v>45863.41666666666</v>
      </c>
      <c r="F299" s="43" t="inlineStr">
        <is>
          <t>Popcorn Culture</t>
        </is>
      </c>
      <c r="G299" t="inlineStr">
        <is>
          <t>Streaming Arguments | Popcorn Culture</t>
        </is>
      </c>
      <c r="H299" s="44" t="n">
        <v>0.05984953703703703</v>
      </c>
      <c r="I299" s="45" t="n">
        <v>3359</v>
      </c>
      <c r="J299" s="45" t="n">
        <v>158</v>
      </c>
      <c r="K299" s="45" t="n">
        <v>21</v>
      </c>
      <c r="L299" s="46" t="n"/>
      <c r="M299" s="47" t="n"/>
      <c r="N299" s="47" t="inlineStr">
        <is>
          <t>UCHfIbq9thHPC8yrKjAdJgDA</t>
        </is>
      </c>
      <c r="O299" s="48" t="n">
        <v>45863.58333333334</v>
      </c>
      <c r="P299" s="49" t="n">
        <v>45863</v>
      </c>
      <c r="Q299" s="47" t="n">
        <v>2969</v>
      </c>
      <c r="R299" s="47" t="inlineStr">
        <is>
          <t>No Video ID yet</t>
        </is>
      </c>
      <c r="S299" s="49" t="n"/>
      <c r="T299" s="49" t="n"/>
      <c r="U299" s="47" t="inlineStr">
        <is>
          <t>In the 294th episode of the Pop, Ben and J discuss one of Ben’s neighbors, J back-squating, arguing in person, the Coldplay Affair, role models, career cycles, and re-fixing things. Inside Out 2 - Heavyweight Podcast - The Original Coldplay Concert TikTok - Modern Family Clip - Get your tickets for Through the Griffin Tour MIDWEST here: St. Louis, MO - 9/17 (low ticket warning) Detroit, MI - 9/24 (low ticket warning) Alternate Titles Neighborhood Choreography 00:00 - Intro, Bark at the Dogs 13:25 - Backsquats 20:14 - Arguments 46:33 - Viral Coldplay Concert 53:12 - Role Models 1:15:56 - Home Ownership</t>
        </is>
      </c>
      <c r="V299" s="47">
        <f>IF(AND(P299&gt;=Calendar!$K$2,P299&lt;EDATE(Calendar!$K$2,1),OR(Calendar!$K$4="*",N299=Calendar!$K$4)),P299*100+COUNTIFS($P$6:$P$3267,P299,$Q$6:$Q$3267,"&lt;="&amp;Q299,$N$6:$N$3267,Calendar!$K$4),"")</f>
        <v/>
      </c>
      <c r="W299" s="47">
        <f>IF(AND(B299=Queue!$C$4,OR(Queue!$K$4="*",N299=Queue!$K$4)),Q299,"")</f>
        <v/>
      </c>
    </row>
    <row r="300">
      <c r="A300" s="38">
        <f>IF(M300="","",HYPERLINK("https://www.youtube.com/watch?v="&amp;M300,"▶"))</f>
        <v/>
      </c>
      <c r="B300" s="39">
        <f>IF(C300&lt;&gt;"",C300,IF(P300&lt;=IFERROR(INDEX(tblChannels[Watched Through],MATCH(N300,tblChannels[Channel ID],0)),0),"Watched","Unwatched"))</f>
        <v/>
      </c>
      <c r="C300" s="40" t="n"/>
      <c r="D300" s="41" t="n"/>
      <c r="E300" s="42" t="n">
        <v>45861.71319444444</v>
      </c>
      <c r="F300" s="50" t="inlineStr">
        <is>
          <t>Super Carlin Brothers</t>
        </is>
      </c>
      <c r="G300" t="inlineStr">
        <is>
          <t>What’s the Deal With Tinker Bell | Disney Film Theory</t>
        </is>
      </c>
      <c r="H300" s="44" t="n">
        <v>0.01108796296296296</v>
      </c>
      <c r="I300" s="45" t="n">
        <v>56316</v>
      </c>
      <c r="J300" s="45" t="n">
        <v>3005</v>
      </c>
      <c r="K300" s="45" t="n">
        <v>368</v>
      </c>
      <c r="L300" s="46" t="n"/>
      <c r="M300" s="47" t="n"/>
      <c r="N300" s="47" t="inlineStr">
        <is>
          <t>UCKZo4N0lVPccBkSiuyVh4yg</t>
        </is>
      </c>
      <c r="O300" s="48" t="n">
        <v>45861.87986111111</v>
      </c>
      <c r="P300" s="49" t="n">
        <v>45861</v>
      </c>
      <c r="Q300" s="47" t="n">
        <v>2968</v>
      </c>
      <c r="R300" s="47" t="inlineStr">
        <is>
          <t>No Video ID yet</t>
        </is>
      </c>
      <c r="S300" s="49" t="n"/>
      <c r="T300" s="49" t="n"/>
      <c r="U300" s="47" t="inlineStr">
        <is>
          <t>This episode is sponsored by BetterHelp - go to to get 10% off your first month. Today Ben dives into the unaging world of Neverland to try and figure out, “What’s the Deal With Tinkerbell?” Is she a mascot? A Sidekick? Princess? Did she ever dot the I in Disney? And why doesn’t she have a full length feature film if she’s so popular? Des Moines, IA - 9/19 (SOLD OUT) St. Paul, MN - 9/20 (SOLD OUT) Cleveland, OH - 9/25 (SOLD OUT)</t>
        </is>
      </c>
      <c r="V300" s="47">
        <f>IF(AND(P300&gt;=Calendar!$K$2,P300&lt;EDATE(Calendar!$K$2,1),OR(Calendar!$K$4="*",N300=Calendar!$K$4)),P300*100+COUNTIFS($P$6:$P$3267,P300,$Q$6:$Q$3267,"&lt;="&amp;Q300,$N$6:$N$3267,Calendar!$K$4),"")</f>
        <v/>
      </c>
      <c r="W300" s="47">
        <f>IF(AND(B300=Queue!$C$4,OR(Queue!$K$4="*",N300=Queue!$K$4)),Q300,"")</f>
        <v/>
      </c>
    </row>
    <row r="301">
      <c r="A301" s="38">
        <f>IF(M301="","",HYPERLINK("https://www.youtube.com/watch?v="&amp;M301,"▶"))</f>
        <v/>
      </c>
      <c r="B301" s="39">
        <f>IF(C301&lt;&gt;"",C301,IF(P301&lt;=IFERROR(INDEX(tblChannels[Watched Through],MATCH(N301,tblChannels[Channel ID],0)),0),"Watched","Unwatched"))</f>
        <v/>
      </c>
      <c r="C301" s="40" t="n"/>
      <c r="D301" s="41" t="n"/>
      <c r="E301" s="42" t="n">
        <v>45861.49166666667</v>
      </c>
      <c r="F301" s="50" t="inlineStr">
        <is>
          <t>Super Carlin Brothers</t>
        </is>
      </c>
      <c r="G301" t="inlineStr">
        <is>
          <t>Unboxing an APPA Skateboard?! Let’s Gooooo!</t>
        </is>
      </c>
      <c r="H301" s="44" t="n">
        <v>0.002002314814814815</v>
      </c>
      <c r="I301" s="45" t="n">
        <v>27132</v>
      </c>
      <c r="J301" s="45" t="n">
        <v>1475</v>
      </c>
      <c r="K301" s="45" t="n">
        <v>112</v>
      </c>
      <c r="L301" s="46" t="n"/>
      <c r="M301" s="47" t="n"/>
      <c r="N301" s="47" t="inlineStr">
        <is>
          <t>UCKZo4N0lVPccBkSiuyVh4yg</t>
        </is>
      </c>
      <c r="O301" s="48" t="n">
        <v>45861.65833333333</v>
      </c>
      <c r="P301" s="49" t="n">
        <v>45861</v>
      </c>
      <c r="Q301" s="47" t="n">
        <v>2967</v>
      </c>
      <c r="R301" s="47" t="inlineStr">
        <is>
          <t>No Video ID yet</t>
        </is>
      </c>
      <c r="S301" s="49" t="n"/>
      <c r="T301" s="49" t="n"/>
      <c r="U301" s="47" t="inlineStr">
        <is>
          <t>Should I ride it or just hang it on the wall? I have a lot of Bear Walker Skateboards, but this new Appa one might be my favorite. It's easily the coolest Avatar: The Last Airbender thing I own. #shorts #unboxing #asmr #avatarthelastairbender #atla #skateboarding</t>
        </is>
      </c>
      <c r="V301" s="47">
        <f>IF(AND(P301&gt;=Calendar!$K$2,P301&lt;EDATE(Calendar!$K$2,1),OR(Calendar!$K$4="*",N301=Calendar!$K$4)),P301*100+COUNTIFS($P$6:$P$3267,P301,$Q$6:$Q$3267,"&lt;="&amp;Q301,$N$6:$N$3267,Calendar!$K$4),"")</f>
        <v/>
      </c>
      <c r="W301" s="47">
        <f>IF(AND(B301=Queue!$C$4,OR(Queue!$K$4="*",N301=Queue!$K$4)),Q301,"")</f>
        <v/>
      </c>
    </row>
    <row r="302">
      <c r="A302" s="38">
        <f>IF(M302="","",HYPERLINK("https://www.youtube.com/watch?v="&amp;M302,"▶"))</f>
        <v/>
      </c>
      <c r="B302" s="39">
        <f>IF(C302&lt;&gt;"",C302,IF(P302&lt;=IFERROR(INDEX(tblChannels[Watched Through],MATCH(N302,tblChannels[Channel ID],0)),0),"Watched","Unwatched"))</f>
        <v/>
      </c>
      <c r="C302" s="40" t="n"/>
      <c r="D302" s="41" t="n"/>
      <c r="E302" s="42" t="n">
        <v>45858.41666666666</v>
      </c>
      <c r="F302" s="51" t="inlineStr">
        <is>
          <t>Through The Griffin Door</t>
        </is>
      </c>
      <c r="G302" t="inlineStr">
        <is>
          <t>Chapter 34: Priori Incantatem | Goblet of Fire</t>
        </is>
      </c>
      <c r="H302" s="44" t="n">
        <v>0.0609375</v>
      </c>
      <c r="I302" s="45" t="n">
        <v>53698</v>
      </c>
      <c r="J302" s="45" t="n">
        <v>1485</v>
      </c>
      <c r="K302" s="45" t="n">
        <v>382</v>
      </c>
      <c r="L302" s="46" t="n"/>
      <c r="M302" s="47" t="n"/>
      <c r="N302" s="47" t="inlineStr">
        <is>
          <t>UCEscP6ETYXWSSvsNrDHekMQ</t>
        </is>
      </c>
      <c r="O302" s="48" t="n">
        <v>45858.58333333334</v>
      </c>
      <c r="P302" s="49" t="n">
        <v>45858</v>
      </c>
      <c r="Q302" s="47" t="n">
        <v>2966</v>
      </c>
      <c r="R302" s="47" t="inlineStr">
        <is>
          <t>No Video ID yet</t>
        </is>
      </c>
      <c r="S302" s="49" t="n"/>
      <c r="T302" s="49" t="n"/>
      <c r="U302" s="47" t="inlineStr">
        <is>
          <t>Join J and Ben as they dive into Chapter 34 of the Goblet of Fire and discuss Harry doing things on his terms, Phoenixes, a Fantastic Beasts tangent, the golden dome, the “ghosts”, and Voldemort being defeated… for now. Harry Potter Theory: Dumbledore's Horcrux - THROUGH THE GRIFFIN TOUR MIDWEST TICKETS ARE ON SALE RIGHT NOW St. Louis, MO - 9/17 (low ticket warning) Detroit, MI - 9/24 (low ticket warning) Support us on Patreon AND GET YOUR GUMPSTER FIRE PIN: 08:35 - Chapter Breakdown 43:12 - Ad Break (Shopify) 44:45 - More Chapter Breakdown 1:20:00 - Closing Thoughts and Review</t>
        </is>
      </c>
      <c r="V302" s="47">
        <f>IF(AND(P302&gt;=Calendar!$K$2,P302&lt;EDATE(Calendar!$K$2,1),OR(Calendar!$K$4="*",N302=Calendar!$K$4)),P302*100+COUNTIFS($P$6:$P$3267,P302,$Q$6:$Q$3267,"&lt;="&amp;Q302,$N$6:$N$3267,Calendar!$K$4),"")</f>
        <v/>
      </c>
      <c r="W302" s="47">
        <f>IF(AND(B302=Queue!$C$4,OR(Queue!$K$4="*",N302=Queue!$K$4)),Q302,"")</f>
        <v/>
      </c>
    </row>
    <row r="303">
      <c r="A303" s="38">
        <f>IF(M303="","",HYPERLINK("https://www.youtube.com/watch?v="&amp;M303,"▶"))</f>
        <v/>
      </c>
      <c r="B303" s="39">
        <f>IF(C303&lt;&gt;"",C303,IF(P303&lt;=IFERROR(INDEX(tblChannels[Watched Through],MATCH(N303,tblChannels[Channel ID],0)),0),"Watched","Unwatched"))</f>
        <v/>
      </c>
      <c r="C303" s="40" t="n"/>
      <c r="D303" s="41" t="n"/>
      <c r="E303" s="42" t="n">
        <v>45857.41666666666</v>
      </c>
      <c r="F303" s="50" t="inlineStr">
        <is>
          <t>Super Carlin Brothers</t>
        </is>
      </c>
      <c r="G303" t="inlineStr">
        <is>
          <t>Through the Griffin Door Supercut: Goblet of Fire Chapters 31-33</t>
        </is>
      </c>
      <c r="H303" s="44" t="n">
        <v>0.1900810185185185</v>
      </c>
      <c r="I303" s="45" t="n">
        <v>13533</v>
      </c>
      <c r="J303" s="45" t="n">
        <v>260</v>
      </c>
      <c r="K303" s="45" t="n">
        <v>71</v>
      </c>
      <c r="L303" s="46" t="n"/>
      <c r="M303" s="47" t="n"/>
      <c r="N303" s="47" t="inlineStr">
        <is>
          <t>UCKZo4N0lVPccBkSiuyVh4yg</t>
        </is>
      </c>
      <c r="O303" s="48" t="n">
        <v>45857.58333333334</v>
      </c>
      <c r="P303" s="49" t="n">
        <v>45857</v>
      </c>
      <c r="Q303" s="47" t="n">
        <v>2965</v>
      </c>
      <c r="R303" s="47" t="inlineStr">
        <is>
          <t>No Video ID yet</t>
        </is>
      </c>
      <c r="S303" s="49" t="n"/>
      <c r="T303" s="49" t="n"/>
      <c r="U303" s="47" t="inlineStr">
        <is>
          <t>0:00:00 - Chapter 31: The Third Task 1:57:24 - Chapter 32 - Flesh, Blood and Bone 2:24:50 - Chapter 33: The Death Eaters</t>
        </is>
      </c>
      <c r="V303" s="47">
        <f>IF(AND(P303&gt;=Calendar!$K$2,P303&lt;EDATE(Calendar!$K$2,1),OR(Calendar!$K$4="*",N303=Calendar!$K$4)),P303*100+COUNTIFS($P$6:$P$3267,P303,$Q$6:$Q$3267,"&lt;="&amp;Q303,$N$6:$N$3267,Calendar!$K$4),"")</f>
        <v/>
      </c>
      <c r="W303" s="47">
        <f>IF(AND(B303=Queue!$C$4,OR(Queue!$K$4="*",N303=Queue!$K$4)),Q303,"")</f>
        <v/>
      </c>
    </row>
    <row r="304">
      <c r="A304" s="38">
        <f>IF(M304="","",HYPERLINK("https://www.youtube.com/watch?v="&amp;M304,"▶"))</f>
        <v/>
      </c>
      <c r="B304" s="39">
        <f>IF(C304&lt;&gt;"",C304,IF(P304&lt;=IFERROR(INDEX(tblChannels[Watched Through],MATCH(N304,tblChannels[Channel ID],0)),0),"Watched","Unwatched"))</f>
        <v/>
      </c>
      <c r="C304" s="40" t="n"/>
      <c r="D304" s="41" t="n"/>
      <c r="E304" s="42" t="n">
        <v>45857.20902777778</v>
      </c>
      <c r="F304" s="52" t="inlineStr">
        <is>
          <t>Super Carlin Gaming</t>
        </is>
      </c>
      <c r="G304" t="inlineStr">
        <is>
          <t>JOURNEY TOGETHER - Pokemon Box Breakers SEASON 15 -  Episode 3 - 07/18/2025</t>
        </is>
      </c>
      <c r="H304" s="44" t="n">
        <v>0.1120949074074074</v>
      </c>
      <c r="I304" s="45" t="n">
        <v>811</v>
      </c>
      <c r="J304" s="45" t="n">
        <v>35</v>
      </c>
      <c r="K304" s="45" t="n">
        <v>1</v>
      </c>
      <c r="L304" s="46" t="n"/>
      <c r="M304" s="47" t="n"/>
      <c r="N304" s="47" t="inlineStr">
        <is>
          <t>UCor_9jRnNNZVzTuQ92PKsaQ</t>
        </is>
      </c>
      <c r="O304" s="48" t="n">
        <v>45857.37569444445</v>
      </c>
      <c r="P304" s="49" t="n">
        <v>45857</v>
      </c>
      <c r="Q304" s="47" t="n">
        <v>2964</v>
      </c>
      <c r="R304" s="47" t="inlineStr">
        <is>
          <t>No Video ID yet</t>
        </is>
      </c>
      <c r="S304" s="49" t="n"/>
      <c r="T304" s="49" t="n"/>
      <c r="U304" s="47" t="n"/>
      <c r="V304" s="47">
        <f>IF(AND(P304&gt;=Calendar!$K$2,P304&lt;EDATE(Calendar!$K$2,1),OR(Calendar!$K$4="*",N304=Calendar!$K$4)),P304*100+COUNTIFS($P$6:$P$3267,P304,$Q$6:$Q$3267,"&lt;="&amp;Q304,$N$6:$N$3267,Calendar!$K$4),"")</f>
        <v/>
      </c>
      <c r="W304" s="47">
        <f>IF(AND(B304=Queue!$C$4,OR(Queue!$K$4="*",N304=Queue!$K$4)),Q304,"")</f>
        <v/>
      </c>
    </row>
    <row r="305">
      <c r="A305" s="38">
        <f>IF(M305="","",HYPERLINK("https://www.youtube.com/watch?v="&amp;M305,"▶"))</f>
        <v/>
      </c>
      <c r="B305" s="39">
        <f>IF(C305&lt;&gt;"",C305,IF(P305&lt;=IFERROR(INDEX(tblChannels[Watched Through],MATCH(N305,tblChannels[Channel ID],0)),0),"Watched","Unwatched"))</f>
        <v/>
      </c>
      <c r="C305" s="40" t="n"/>
      <c r="D305" s="41" t="n"/>
      <c r="E305" s="42" t="n">
        <v>45856.70486111111</v>
      </c>
      <c r="F305" s="50" t="inlineStr">
        <is>
          <t>Super Carlin Brothers</t>
        </is>
      </c>
      <c r="G305" t="inlineStr">
        <is>
          <t>Regulus Black was the FIRST Chosen One | Harry Potter Film Theory</t>
        </is>
      </c>
      <c r="H305" s="44" t="n">
        <v>0.01320601851851852</v>
      </c>
      <c r="I305" s="45" t="n">
        <v>145699</v>
      </c>
      <c r="J305" s="45" t="n">
        <v>6272</v>
      </c>
      <c r="K305" s="45" t="n">
        <v>743</v>
      </c>
      <c r="L305" s="46" t="n"/>
      <c r="M305" s="47" t="n"/>
      <c r="N305" s="47" t="inlineStr">
        <is>
          <t>UCKZo4N0lVPccBkSiuyVh4yg</t>
        </is>
      </c>
      <c r="O305" s="48" t="n">
        <v>45856.87152777778</v>
      </c>
      <c r="P305" s="49" t="n">
        <v>45856</v>
      </c>
      <c r="Q305" s="47" t="n">
        <v>2963</v>
      </c>
      <c r="R305" s="47" t="inlineStr">
        <is>
          <t>No Video ID yet</t>
        </is>
      </c>
      <c r="S305" s="49" t="n"/>
      <c r="T305" s="49" t="n"/>
      <c r="U305" s="47" t="inlineStr">
        <is>
          <t>Long before Harry Potter, another wizard may have fit the prophecy—and it changes everything.. This episode is sponsored by BetterHelp - go to to get 10% off your first month. Was Harry Potter really the first Chosen One? Or was someone else chosen before him… and failed? Today J dives deep into the forgotten legacy of Regulus Arcturus Black—Slytherin’s golden boy, secret Horcrux hunter, and perhaps… the original Chosen One. We’ll explore how his death may have triggered the prophecy, how his values mirror Harry’s, and why his sacrifice in the cave holds more power than we ever realized. Could the Boy Who Lived be walking in the footsteps of the Boy Who Died? 👉 Let us know in the comments: Was Regulus the First Chosen One? Des Moines, IA - 9/19 (SOLD OUT) St. Paul, MN - 9/20 (SOLD OUT) Cleveland, OH - 9/25 (SOLD OUT)</t>
        </is>
      </c>
      <c r="V305" s="47">
        <f>IF(AND(P305&gt;=Calendar!$K$2,P305&lt;EDATE(Calendar!$K$2,1),OR(Calendar!$K$4="*",N305=Calendar!$K$4)),P305*100+COUNTIFS($P$6:$P$3267,P305,$Q$6:$Q$3267,"&lt;="&amp;Q305,$N$6:$N$3267,Calendar!$K$4),"")</f>
        <v/>
      </c>
      <c r="W305" s="47">
        <f>IF(AND(B305=Queue!$C$4,OR(Queue!$K$4="*",N305=Queue!$K$4)),Q305,"")</f>
        <v/>
      </c>
    </row>
    <row r="306">
      <c r="A306" s="38">
        <f>IF(M306="","",HYPERLINK("https://www.youtube.com/watch?v="&amp;M306,"▶"))</f>
        <v/>
      </c>
      <c r="B306" s="39">
        <f>IF(C306&lt;&gt;"",C306,IF(P306&lt;=IFERROR(INDEX(tblChannels[Watched Through],MATCH(N306,tblChannels[Channel ID],0)),0),"Watched","Unwatched"))</f>
        <v/>
      </c>
      <c r="C306" s="40" t="n"/>
      <c r="D306" s="41" t="n"/>
      <c r="E306" s="42" t="n">
        <v>45856.56111111111</v>
      </c>
      <c r="F306" s="50" t="inlineStr">
        <is>
          <t>Super Carlin Brothers</t>
        </is>
      </c>
      <c r="G306" t="inlineStr">
        <is>
          <t>The Mirror of Erised’s SECRET Origin..</t>
        </is>
      </c>
      <c r="H306" s="44" t="n">
        <v>0.001759259259259259</v>
      </c>
      <c r="I306" s="45" t="n">
        <v>60444</v>
      </c>
      <c r="J306" s="45" t="n">
        <v>3101</v>
      </c>
      <c r="K306" s="45" t="n">
        <v>62</v>
      </c>
      <c r="L306" s="46" t="n"/>
      <c r="M306" s="47" t="n"/>
      <c r="N306" s="47" t="inlineStr">
        <is>
          <t>UCKZo4N0lVPccBkSiuyVh4yg</t>
        </is>
      </c>
      <c r="O306" s="48" t="n">
        <v>45856.72777777778</v>
      </c>
      <c r="P306" s="49" t="n">
        <v>45856</v>
      </c>
      <c r="Q306" s="47" t="n">
        <v>2962</v>
      </c>
      <c r="R306" s="47" t="inlineStr">
        <is>
          <t>No Video ID yet</t>
        </is>
      </c>
      <c r="S306" s="49" t="n"/>
      <c r="T306" s="49" t="n"/>
      <c r="U306" s="47" t="inlineStr">
        <is>
          <t>The Mirror of Erised is one of the most iconic magical artifacts in the Wizarding World—but what if it’s more dangerous than we ever realized? In this short theory, we explore a shocking connection between the mirror, the Resurrection Stone, and the tale of the Three Brothers. #HarryPotter #WizardingWorld #MirrorOfErised #PeverellBrothers #HarryPotterTheory #Shorts</t>
        </is>
      </c>
      <c r="V306" s="47">
        <f>IF(AND(P306&gt;=Calendar!$K$2,P306&lt;EDATE(Calendar!$K$2,1),OR(Calendar!$K$4="*",N306=Calendar!$K$4)),P306*100+COUNTIFS($P$6:$P$3267,P306,$Q$6:$Q$3267,"&lt;="&amp;Q306,$N$6:$N$3267,Calendar!$K$4),"")</f>
        <v/>
      </c>
      <c r="W306" s="47">
        <f>IF(AND(B306=Queue!$C$4,OR(Queue!$K$4="*",N306=Queue!$K$4)),Q306,"")</f>
        <v/>
      </c>
    </row>
    <row r="307">
      <c r="A307" s="38">
        <f>IF(M307="","",HYPERLINK("https://www.youtube.com/watch?v="&amp;M307,"▶"))</f>
        <v/>
      </c>
      <c r="B307" s="39">
        <f>IF(C307&lt;&gt;"",C307,IF(P307&lt;=IFERROR(INDEX(tblChannels[Watched Through],MATCH(N307,tblChannels[Channel ID],0)),0),"Watched","Unwatched"))</f>
        <v/>
      </c>
      <c r="C307" s="40" t="n"/>
      <c r="D307" s="41" t="n"/>
      <c r="E307" s="42" t="n">
        <v>45856.41666666666</v>
      </c>
      <c r="F307" s="43" t="inlineStr">
        <is>
          <t>Popcorn Culture</t>
        </is>
      </c>
      <c r="G307" t="inlineStr">
        <is>
          <t>Summer Break (Ben’s Version) [From The Vault] | Popcorn Culture</t>
        </is>
      </c>
      <c r="H307" s="44" t="n">
        <v>0.04604166666666667</v>
      </c>
      <c r="I307" s="45" t="n">
        <v>2900</v>
      </c>
      <c r="J307" s="45" t="n">
        <v>142</v>
      </c>
      <c r="K307" s="45" t="n">
        <v>22</v>
      </c>
      <c r="L307" s="46" t="n"/>
      <c r="M307" s="47" t="n"/>
      <c r="N307" s="47" t="inlineStr">
        <is>
          <t>UCHfIbq9thHPC8yrKjAdJgDA</t>
        </is>
      </c>
      <c r="O307" s="48" t="n">
        <v>45856.58333333334</v>
      </c>
      <c r="P307" s="49" t="n">
        <v>45856</v>
      </c>
      <c r="Q307" s="47" t="n">
        <v>2961</v>
      </c>
      <c r="R307" s="47" t="inlineStr">
        <is>
          <t>No Video ID yet</t>
        </is>
      </c>
      <c r="S307" s="49" t="n"/>
      <c r="T307" s="49" t="n"/>
      <c r="U307" s="47" t="inlineStr">
        <is>
          <t>In the 293rd episode of the Pop, Ben and J discuss Ben’s lake trip, natural scents, 9 Lives, accents, roller hockey, longevity and Spearmint. Mr. Frumble’s Worst Day Ever - Dr Bronner’s soap - The Truman Show - Get your tickets for Through the Griffin Tour MIDWEST here: St. Louis, MO - 9/17 (low ticket warning) Detroit, MI - 9/24 (low ticket warning) 00:00 - Intro, Corporate PTO 04:55 - Ben’s Week Off</t>
        </is>
      </c>
      <c r="V307" s="47">
        <f>IF(AND(P307&gt;=Calendar!$K$2,P307&lt;EDATE(Calendar!$K$2,1),OR(Calendar!$K$4="*",N307=Calendar!$K$4)),P307*100+COUNTIFS($P$6:$P$3267,P307,$Q$6:$Q$3267,"&lt;="&amp;Q307,$N$6:$N$3267,Calendar!$K$4),"")</f>
        <v/>
      </c>
      <c r="W307" s="47">
        <f>IF(AND(B307=Queue!$C$4,OR(Queue!$K$4="*",N307=Queue!$K$4)),Q307,"")</f>
        <v/>
      </c>
    </row>
    <row r="308">
      <c r="A308" s="38">
        <f>IF(M308="","",HYPERLINK("https://www.youtube.com/watch?v="&amp;M308,"▶"))</f>
        <v/>
      </c>
      <c r="B308" s="39">
        <f>IF(C308&lt;&gt;"",C308,IF(P308&lt;=IFERROR(INDEX(tblChannels[Watched Through],MATCH(N308,tblChannels[Channel ID],0)),0),"Watched","Unwatched"))</f>
        <v/>
      </c>
      <c r="C308" s="40" t="n"/>
      <c r="D308" s="41" t="n"/>
      <c r="E308" s="42" t="n">
        <v>45854.625</v>
      </c>
      <c r="F308" s="50" t="inlineStr">
        <is>
          <t>Super Carlin Brothers</t>
        </is>
      </c>
      <c r="G308" t="inlineStr">
        <is>
          <t>J vs Ben: Can We Remember Our OWN Harry Potter Theories??</t>
        </is>
      </c>
      <c r="H308" s="44" t="n">
        <v>0.03498842592592592</v>
      </c>
      <c r="I308" s="45" t="n">
        <v>216035</v>
      </c>
      <c r="J308" s="45" t="n">
        <v>5985</v>
      </c>
      <c r="K308" s="45" t="n">
        <v>497</v>
      </c>
      <c r="L308" s="46" t="n"/>
      <c r="M308" s="47" t="n"/>
      <c r="N308" s="47" t="inlineStr">
        <is>
          <t>UCKZo4N0lVPccBkSiuyVh4yg</t>
        </is>
      </c>
      <c r="O308" s="48" t="n">
        <v>45854.79166666666</v>
      </c>
      <c r="P308" s="49" t="n">
        <v>45854</v>
      </c>
      <c r="Q308" s="47" t="n">
        <v>2960</v>
      </c>
      <c r="R308" s="47" t="inlineStr">
        <is>
          <t>No Video ID yet</t>
        </is>
      </c>
      <c r="S308" s="49" t="n"/>
      <c r="T308" s="49" t="n"/>
      <c r="U308" s="47" t="inlineStr">
        <is>
          <t>Download the FREE Upside App and use promo code JVSB to get an extra 25 cents back for every gallon on your first tank of gas. Go to and get TEN FREE MEALS with a FREE ITEM FOR LIFE. We’ve made hundreds of Harry Potter theory videos over the years... but how well do we remember what we actually said in them? Today, it’s J vs Ben in a trivia showdown featuring questions from our own backlog of theories, submitted by YOU, the viewers! How well do we know our own lore? Will we crumble under pressure? Will Ben remember which dragon built Hogwarts? Will J finally forget a pun?! Special thanks to our amazing Patrons who submitted questions for this episode! Essential Escapism, Fis, Dola, LawNinja, GooeyChewie, Amanda B., Gooie Cow (aka MaGoo), Teghan Denlinger, Bradferd, Oryan, Jessica Theriault, Michaela Henry, Tara Walker, and Rowena R. EVERY THEORY MENTIONED IN THIS VIDEO :: Des Moines, IA - 9/19 (SOLD OUT) St. Paul, MN - 9/20 (SOLD OUT) Cleveland, OH - 9/25 (SOLD OUT) #HarryPotter #JvsBen Written by :: THE QUIZ MASTERS</t>
        </is>
      </c>
      <c r="V308" s="47">
        <f>IF(AND(P308&gt;=Calendar!$K$2,P308&lt;EDATE(Calendar!$K$2,1),OR(Calendar!$K$4="*",N308=Calendar!$K$4)),P308*100+COUNTIFS($P$6:$P$3267,P308,$Q$6:$Q$3267,"&lt;="&amp;Q308,$N$6:$N$3267,Calendar!$K$4),"")</f>
        <v/>
      </c>
      <c r="W308" s="47">
        <f>IF(AND(B308=Queue!$C$4,OR(Queue!$K$4="*",N308=Queue!$K$4)),Q308,"")</f>
        <v/>
      </c>
    </row>
    <row r="309">
      <c r="A309" s="38">
        <f>IF(M309="","",HYPERLINK("https://www.youtube.com/watch?v="&amp;M309,"▶"))</f>
        <v/>
      </c>
      <c r="B309" s="39">
        <f>IF(C309&lt;&gt;"",C309,IF(P309&lt;=IFERROR(INDEX(tblChannels[Watched Through],MATCH(N309,tblChannels[Channel ID],0)),0),"Watched","Unwatched"))</f>
        <v/>
      </c>
      <c r="C309" s="40" t="n"/>
      <c r="D309" s="41" t="n"/>
      <c r="E309" s="42" t="n">
        <v>45851.41736111111</v>
      </c>
      <c r="F309" s="51" t="inlineStr">
        <is>
          <t>Through The Griffin Door</t>
        </is>
      </c>
      <c r="G309" t="inlineStr">
        <is>
          <t>Chapter 33: The Death Eaters | Goblet of Fire</t>
        </is>
      </c>
      <c r="H309" s="44" t="n">
        <v>0.06987268518518519</v>
      </c>
      <c r="I309" s="45" t="n">
        <v>60349</v>
      </c>
      <c r="J309" s="45" t="n">
        <v>1460</v>
      </c>
      <c r="K309" s="45" t="n">
        <v>432</v>
      </c>
      <c r="L309" s="46" t="n"/>
      <c r="M309" s="47" t="n"/>
      <c r="N309" s="47" t="inlineStr">
        <is>
          <t>UCEscP6ETYXWSSvsNrDHekMQ</t>
        </is>
      </c>
      <c r="O309" s="48" t="n">
        <v>45851.58402777778</v>
      </c>
      <c r="P309" s="49" t="n">
        <v>45851</v>
      </c>
      <c r="Q309" s="47" t="n">
        <v>2959</v>
      </c>
      <c r="R309" s="47" t="inlineStr">
        <is>
          <t>No Video ID yet</t>
        </is>
      </c>
      <c r="S309" s="49" t="n"/>
      <c r="T309" s="49" t="n"/>
      <c r="U309" s="47" t="inlineStr">
        <is>
          <t>This episode is sponsored by Pair Eyewear – Go to paireyewear.com and use code 'GRIFFIN' for 15% off your first pair. Join J and Ben as they dive into Chapter 33 of the Goblet of Fire and discuss yin and yang symbolism, impersonator Nagini, Voldemort’s wand, the Dark Mark, Voldemort monologuing, each of the Death Eaters, and constant contradictions. How Voldemort Got His ORIGINAL Wand Back - The Incredibles - Most Important Line in Harry Potter - THROUGH THE GRIFFIN TOUR MIDWEST TICKETS ARE ON SALE RIGHT NOW St. Louis, MO - 9/17 (low ticket warning) Detroit, MI - 9/24 (low ticket warning) Support us on Patreon AND GET YOUR GUMPSTER FIRE PIN: 3:56 - Chapter Breakdown 51:23 - Ad Break (Pair Eyewear) 53:07 - More Chapter Breakdown 1:37:43 - Closing Thoughts and Review</t>
        </is>
      </c>
      <c r="V309" s="47">
        <f>IF(AND(P309&gt;=Calendar!$K$2,P309&lt;EDATE(Calendar!$K$2,1),OR(Calendar!$K$4="*",N309=Calendar!$K$4)),P309*100+COUNTIFS($P$6:$P$3267,P309,$Q$6:$Q$3267,"&lt;="&amp;Q309,$N$6:$N$3267,Calendar!$K$4),"")</f>
        <v/>
      </c>
      <c r="W309" s="47">
        <f>IF(AND(B309=Queue!$C$4,OR(Queue!$K$4="*",N309=Queue!$K$4)),Q309,"")</f>
        <v/>
      </c>
    </row>
    <row r="310">
      <c r="A310" s="38">
        <f>IF(M310="","",HYPERLINK("https://www.youtube.com/watch?v="&amp;M310,"▶"))</f>
        <v/>
      </c>
      <c r="B310" s="39">
        <f>IF(C310&lt;&gt;"",C310,IF(P310&lt;=IFERROR(INDEX(tblChannels[Watched Through],MATCH(N310,tblChannels[Channel ID],0)),0),"Watched","Unwatched"))</f>
        <v/>
      </c>
      <c r="C310" s="40" t="n"/>
      <c r="D310" s="41" t="n"/>
      <c r="E310" s="42" t="n">
        <v>45849.67638888889</v>
      </c>
      <c r="F310" s="50" t="inlineStr">
        <is>
          <t>Super Carlin Brothers</t>
        </is>
      </c>
      <c r="G310" t="inlineStr">
        <is>
          <t>How Voldemort FOUND Nagini | Harry Potter Film Theory</t>
        </is>
      </c>
      <c r="H310" s="44" t="n">
        <v>0.01100694444444444</v>
      </c>
      <c r="I310" s="45" t="n">
        <v>155582</v>
      </c>
      <c r="J310" s="45" t="n">
        <v>5801</v>
      </c>
      <c r="K310" s="45" t="n">
        <v>463</v>
      </c>
      <c r="L310" s="46" t="n"/>
      <c r="M310" s="47" t="n"/>
      <c r="N310" s="47" t="inlineStr">
        <is>
          <t>UCKZo4N0lVPccBkSiuyVh4yg</t>
        </is>
      </c>
      <c r="O310" s="48" t="n">
        <v>45849.84305555555</v>
      </c>
      <c r="P310" s="49" t="n">
        <v>45849</v>
      </c>
      <c r="Q310" s="47" t="n">
        <v>2958</v>
      </c>
      <c r="R310" s="47" t="inlineStr">
        <is>
          <t>No Video ID yet</t>
        </is>
      </c>
      <c r="S310" s="49" t="n"/>
      <c r="T310" s="49" t="n"/>
      <c r="U310" s="47" t="inlineStr">
        <is>
          <t>This episode is sponsored by BetterHelp - go to to get 10% off your first month. What really happened to Nagini? Today, Ben dives deep into one of the darkest and most overlooked mysteries in the Wizarding World: Why did Nagini obey Voldemort so completely? From her origins as a cursed Maledictus in Fantastic Beasts to her final moments as Voldemort’s closest ally, we’re exploring a chilling theory that could explain everything about Voldemort’s favorite companion. Des Moines, IA - 9/19 (SOLD OUT) St. Paul, MN - 9/20 (SOLD OUT) Cleveland, OH - 9/25 (SOLD OUT) #HarryPotter #SuperCarlinBrothers #wizardingworld</t>
        </is>
      </c>
      <c r="V310" s="47">
        <f>IF(AND(P310&gt;=Calendar!$K$2,P310&lt;EDATE(Calendar!$K$2,1),OR(Calendar!$K$4="*",N310=Calendar!$K$4)),P310*100+COUNTIFS($P$6:$P$3267,P310,$Q$6:$Q$3267,"&lt;="&amp;Q310,$N$6:$N$3267,Calendar!$K$4),"")</f>
        <v/>
      </c>
      <c r="W310" s="47">
        <f>IF(AND(B310=Queue!$C$4,OR(Queue!$K$4="*",N310=Queue!$K$4)),Q310,"")</f>
        <v/>
      </c>
    </row>
    <row r="311">
      <c r="A311" s="38">
        <f>IF(M311="","",HYPERLINK("https://www.youtube.com/watch?v="&amp;M311,"▶"))</f>
        <v/>
      </c>
      <c r="B311" s="39">
        <f>IF(C311&lt;&gt;"",C311,IF(P311&lt;=IFERROR(INDEX(tblChannels[Watched Through],MATCH(N311,tblChannels[Channel ID],0)),0),"Watched","Unwatched"))</f>
        <v/>
      </c>
      <c r="C311" s="40" t="n"/>
      <c r="D311" s="41" t="n"/>
      <c r="E311" s="42" t="n">
        <v>45849.41666666666</v>
      </c>
      <c r="F311" s="43" t="inlineStr">
        <is>
          <t>Popcorn Culture</t>
        </is>
      </c>
      <c r="G311" t="inlineStr">
        <is>
          <t>J on 30A | Popcorn Culture</t>
        </is>
      </c>
      <c r="H311" s="44" t="n">
        <v>0.04565972222222222</v>
      </c>
      <c r="I311" s="45" t="n">
        <v>3025</v>
      </c>
      <c r="J311" s="45" t="n">
        <v>148</v>
      </c>
      <c r="K311" s="45" t="n">
        <v>14</v>
      </c>
      <c r="L311" s="46" t="n"/>
      <c r="M311" s="47" t="n"/>
      <c r="N311" s="47" t="inlineStr">
        <is>
          <t>UCHfIbq9thHPC8yrKjAdJgDA</t>
        </is>
      </c>
      <c r="O311" s="48" t="n">
        <v>45849.58333333334</v>
      </c>
      <c r="P311" s="49" t="n">
        <v>45849</v>
      </c>
      <c r="Q311" s="47" t="n">
        <v>2957</v>
      </c>
      <c r="R311" s="47" t="inlineStr">
        <is>
          <t>No Video ID yet</t>
        </is>
      </c>
      <c r="S311" s="49" t="n"/>
      <c r="T311" s="49" t="n"/>
      <c r="U311" s="47" t="inlineStr">
        <is>
          <t>In the 292nd episode of the Pop, Ben and J discuss Luke going to camp, J’s anniversary vacation, travel stress and Birkenstocks. F1 movie - Richard Scarry - Birkenstocks - Get your tickets for Through the Griffin Tour MIDWEST here: St. Louis, MO - 9/17 (low ticket warning) Detroit, MI - 9/24 (low ticket warning) Alternative Titles The Coolest Kid in 7th Grade 00:00 - Intro, Sunday Scaries 06:44 - J and Beth’s Anniversary</t>
        </is>
      </c>
      <c r="V311" s="47">
        <f>IF(AND(P311&gt;=Calendar!$K$2,P311&lt;EDATE(Calendar!$K$2,1),OR(Calendar!$K$4="*",N311=Calendar!$K$4)),P311*100+COUNTIFS($P$6:$P$3267,P311,$Q$6:$Q$3267,"&lt;="&amp;Q311,$N$6:$N$3267,Calendar!$K$4),"")</f>
        <v/>
      </c>
      <c r="W311" s="47">
        <f>IF(AND(B311=Queue!$C$4,OR(Queue!$K$4="*",N311=Queue!$K$4)),Q311,"")</f>
        <v/>
      </c>
    </row>
    <row r="312">
      <c r="A312" s="38">
        <f>IF(M312="","",HYPERLINK("https://www.youtube.com/watch?v="&amp;M312,"▶"))</f>
        <v/>
      </c>
      <c r="B312" s="39">
        <f>IF(C312&lt;&gt;"",C312,IF(P312&lt;=IFERROR(INDEX(tblChannels[Watched Through],MATCH(N312,tblChannels[Channel ID],0)),0),"Watched","Unwatched"))</f>
        <v/>
      </c>
      <c r="C312" s="40" t="n"/>
      <c r="D312" s="41" t="n"/>
      <c r="E312" s="42" t="n">
        <v>45847.61736111111</v>
      </c>
      <c r="F312" s="50" t="inlineStr">
        <is>
          <t>Super Carlin Brothers</t>
        </is>
      </c>
      <c r="G312" t="inlineStr">
        <is>
          <t>How ELIO Fits Into The Pixar Theory</t>
        </is>
      </c>
      <c r="H312" s="44" t="n">
        <v>0.01318287037037037</v>
      </c>
      <c r="I312" s="45" t="n">
        <v>43184</v>
      </c>
      <c r="J312" s="45" t="n">
        <v>2186</v>
      </c>
      <c r="K312" s="45" t="n">
        <v>276</v>
      </c>
      <c r="L312" s="46" t="n"/>
      <c r="M312" s="47" t="n"/>
      <c r="N312" s="47" t="inlineStr">
        <is>
          <t>UCKZo4N0lVPccBkSiuyVh4yg</t>
        </is>
      </c>
      <c r="O312" s="48" t="n">
        <v>45847.78402777778</v>
      </c>
      <c r="P312" s="49" t="n">
        <v>45847</v>
      </c>
      <c r="Q312" s="47" t="n">
        <v>2956</v>
      </c>
      <c r="R312" s="47" t="inlineStr">
        <is>
          <t>No Video ID yet</t>
        </is>
      </c>
      <c r="S312" s="49" t="n"/>
      <c r="T312" s="49" t="n"/>
      <c r="U312" s="47" t="inlineStr">
        <is>
          <t>Get started with AG1 Next Gen for less than $3 a day when you subscribe! Elio is finally here—and with it, a ton of new Pixar Theory questions! How do aliens fit into the timeline? Why didn’t they help Earth during the WALL-E era? And did we just uncover the true origin of the Cars universe?? Join J as he breaks down every clue, connection, and Easter egg Elio gives us and how it fits perfectly into the grand Pixar timeline. From space junk to golden records to a Giulia cameo from Luca, Elio might be the missing link between WALL-E, Onward, and… Car Clones?! Buckle up, it’s about to get galactic. 👕 Show your fandom with our 2025 Pride Shirt! 👉 🎟 THROUGH THE GRIFFIN TOUR – Midwest Dates ON SALE NOW! 👉 • Indianapolis, IN - 9/16 • St. Louis, MO - 9/17 • Des Moines, IA - 9/19 • St. Paul, MN - 9/20 • Milwaukee, WI - 9/21 • Chicago, IL - 9/23 • Detroit, MI - 9/24 • Cleveland, OH - 9/25 #PixarTheory #Elio #SuperCarlinBrothers</t>
        </is>
      </c>
      <c r="V312" s="47">
        <f>IF(AND(P312&gt;=Calendar!$K$2,P312&lt;EDATE(Calendar!$K$2,1),OR(Calendar!$K$4="*",N312=Calendar!$K$4)),P312*100+COUNTIFS($P$6:$P$3267,P312,$Q$6:$Q$3267,"&lt;="&amp;Q312,$N$6:$N$3267,Calendar!$K$4),"")</f>
        <v/>
      </c>
      <c r="W312" s="47">
        <f>IF(AND(B312=Queue!$C$4,OR(Queue!$K$4="*",N312=Queue!$K$4)),Q312,"")</f>
        <v/>
      </c>
    </row>
    <row r="313">
      <c r="A313" s="38">
        <f>IF(M313="","",HYPERLINK("https://www.youtube.com/watch?v="&amp;M313,"▶"))</f>
        <v/>
      </c>
      <c r="B313" s="39">
        <f>IF(C313&lt;&gt;"",C313,IF(P313&lt;=IFERROR(INDEX(tblChannels[Watched Through],MATCH(N313,tblChannels[Channel ID],0)),0),"Watched","Unwatched"))</f>
        <v/>
      </c>
      <c r="C313" s="40" t="n"/>
      <c r="D313" s="41" t="n"/>
      <c r="E313" s="42" t="n">
        <v>45844.41666666666</v>
      </c>
      <c r="F313" s="51" t="inlineStr">
        <is>
          <t>Through The Griffin Door</t>
        </is>
      </c>
      <c r="G313" t="inlineStr">
        <is>
          <t>The Owlery Special Part 2!</t>
        </is>
      </c>
      <c r="H313" s="44" t="n">
        <v>0.05153935185185185</v>
      </c>
      <c r="I313" s="45" t="n">
        <v>28383</v>
      </c>
      <c r="J313" s="45" t="n">
        <v>880</v>
      </c>
      <c r="K313" s="45" t="n">
        <v>382</v>
      </c>
      <c r="L313" s="46" t="n"/>
      <c r="M313" s="47" t="n"/>
      <c r="N313" s="47" t="inlineStr">
        <is>
          <t>UCEscP6ETYXWSSvsNrDHekMQ</t>
        </is>
      </c>
      <c r="O313" s="48" t="n">
        <v>45844.58333333334</v>
      </c>
      <c r="P313" s="49" t="n">
        <v>45844</v>
      </c>
      <c r="Q313" s="47" t="n">
        <v>2955</v>
      </c>
      <c r="R313" s="47" t="inlineStr">
        <is>
          <t>No Video ID yet</t>
        </is>
      </c>
      <c r="S313" s="49" t="n"/>
      <c r="T313" s="49" t="n"/>
      <c r="U313" s="47" t="inlineStr">
        <is>
          <t>Please enjoy this preview into The Owlery over on Patreon! We get a lot of interesting questions over there and love answering them so we wanted to share a few of them with you over on the main channel! Support us on Patreon to listen to MORE Owlery questions AND get your GUMPSTER FIRE pin: THROUGH THE GRIFFIN TOUR MIDWEST TICKETS ARE ON SALE RIGHT NOW St. Louis, MO - 9/17 (low ticket warning) Detroit, MI - 9/24 (low ticket warning) Get your Sorting Candle HERE: \ 05:03 - What If Harry Killed Bellatrix? 31:52 - All About Metamorphmagi 55:46 - When Did Petunia Tell Vernon About Magic?</t>
        </is>
      </c>
      <c r="V313" s="47">
        <f>IF(AND(P313&gt;=Calendar!$K$2,P313&lt;EDATE(Calendar!$K$2,1),OR(Calendar!$K$4="*",N313=Calendar!$K$4)),P313*100+COUNTIFS($P$6:$P$3267,P313,$Q$6:$Q$3267,"&lt;="&amp;Q313,$N$6:$N$3267,Calendar!$K$4),"")</f>
        <v/>
      </c>
      <c r="W313" s="47">
        <f>IF(AND(B313=Queue!$C$4,OR(Queue!$K$4="*",N313=Queue!$K$4)),Q313,"")</f>
        <v/>
      </c>
    </row>
    <row r="314">
      <c r="A314" s="38">
        <f>IF(M314="","",HYPERLINK("https://www.youtube.com/watch?v="&amp;M314,"▶"))</f>
        <v/>
      </c>
      <c r="B314" s="39">
        <f>IF(C314&lt;&gt;"",C314,IF(P314&lt;=IFERROR(INDEX(tblChannels[Watched Through],MATCH(N314,tblChannels[Channel ID],0)),0),"Watched","Unwatched"))</f>
        <v/>
      </c>
      <c r="C314" s="40" t="n"/>
      <c r="D314" s="41" t="n"/>
      <c r="E314" s="42" t="n">
        <v>45842.625</v>
      </c>
      <c r="F314" s="50" t="inlineStr">
        <is>
          <t>Super Carlin Brothers</t>
        </is>
      </c>
      <c r="G314" t="inlineStr">
        <is>
          <t>J vs Ben: Impossible FRED &amp; GEORGE Harry Potter Trivia Quiz</t>
        </is>
      </c>
      <c r="H314" s="44" t="n">
        <v>0.02365740740740741</v>
      </c>
      <c r="I314" s="45" t="n">
        <v>81860</v>
      </c>
      <c r="J314" s="45" t="n">
        <v>3396</v>
      </c>
      <c r="K314" s="45" t="n">
        <v>264</v>
      </c>
      <c r="L314" s="46" t="n"/>
      <c r="M314" s="47" t="n"/>
      <c r="N314" s="47" t="inlineStr">
        <is>
          <t>UCKZo4N0lVPccBkSiuyVh4yg</t>
        </is>
      </c>
      <c r="O314" s="48" t="n">
        <v>45842.79166666666</v>
      </c>
      <c r="P314" s="49" t="n">
        <v>45842</v>
      </c>
      <c r="Q314" s="47" t="n">
        <v>2954</v>
      </c>
      <c r="R314" s="47" t="inlineStr">
        <is>
          <t>No Video ID yet</t>
        </is>
      </c>
      <c r="S314" s="49" t="n"/>
      <c r="T314" s="49" t="n"/>
      <c r="U314" s="47" t="inlineStr">
        <is>
          <t>Get started at and use code jvsb50off to get 50% off plus FREE shipping on your first box. Check out our new SUPER Shirt at Think you can tell Fred and George apart? Today J and Ben face off once again to celebrate the chaotic brilliance of the Weasley twins with a Fred &amp; George "Who Said What" Quiz! Can you spot the difference between Gred and Forge? Because we definitely struggled… This quiz is packed with iconic quotes submitted by Super Carlin Brothers Patrons aka THE QUIZ MASTERS—so huge thanks to everyone who helped make this possible! Play along and see if you can beat J or Ben's scores Quotes submitted by: Teghan Denlinger, Focus Pending, Jennifer Froh, Bradferd, Keeli Rae and Oryan, Looncall, Julie Sherwood and Tara Walker, Captain Hawk, Elli Collins, Sarah Makiyama, Oryan, Dola, LawNinja, Peyton Taylor, Wesley Walker Play Along With Us 👉 Show your colors AND your fandom! Grab the SCB Pride Month shirt now! 👉 Des Moines, IA - 9/19 (SOLD OUT) St. Paul, MN - 9/20 (SOLD OUT) Cleveland, OH - 9/25 (SOLD OUT) Written by :: QUIZMASTERS! Hosted by :: Isybelle Christley</t>
        </is>
      </c>
      <c r="V314" s="47">
        <f>IF(AND(P314&gt;=Calendar!$K$2,P314&lt;EDATE(Calendar!$K$2,1),OR(Calendar!$K$4="*",N314=Calendar!$K$4)),P314*100+COUNTIFS($P$6:$P$3267,P314,$Q$6:$Q$3267,"&lt;="&amp;Q314,$N$6:$N$3267,Calendar!$K$4),"")</f>
        <v/>
      </c>
      <c r="W314" s="47">
        <f>IF(AND(B314=Queue!$C$4,OR(Queue!$K$4="*",N314=Queue!$K$4)),Q314,"")</f>
        <v/>
      </c>
    </row>
    <row r="315">
      <c r="A315" s="38">
        <f>IF(M315="","",HYPERLINK("https://www.youtube.com/watch?v="&amp;M315,"▶"))</f>
        <v/>
      </c>
      <c r="B315" s="39">
        <f>IF(C315&lt;&gt;"",C315,IF(P315&lt;=IFERROR(INDEX(tblChannels[Watched Through],MATCH(N315,tblChannels[Channel ID],0)),0),"Watched","Unwatched"))</f>
        <v/>
      </c>
      <c r="C315" s="40" t="n"/>
      <c r="D315" s="41" t="n"/>
      <c r="E315" s="42" t="n">
        <v>45842.41666666666</v>
      </c>
      <c r="F315" s="43" t="inlineStr">
        <is>
          <t>Popcorn Culture</t>
        </is>
      </c>
      <c r="G315" t="inlineStr">
        <is>
          <t>Popcorn Never Goes Bad | Popcorn Culture</t>
        </is>
      </c>
      <c r="H315" s="44" t="n">
        <v>0.05622685185185185</v>
      </c>
      <c r="I315" s="45" t="n">
        <v>3197</v>
      </c>
      <c r="J315" s="45" t="n">
        <v>152</v>
      </c>
      <c r="K315" s="45" t="n">
        <v>29</v>
      </c>
      <c r="L315" s="46" t="n"/>
      <c r="M315" s="47" t="n"/>
      <c r="N315" s="47" t="inlineStr">
        <is>
          <t>UCHfIbq9thHPC8yrKjAdJgDA</t>
        </is>
      </c>
      <c r="O315" s="48" t="n">
        <v>45842.58333333334</v>
      </c>
      <c r="P315" s="49" t="n">
        <v>45842</v>
      </c>
      <c r="Q315" s="47" t="n">
        <v>2953</v>
      </c>
      <c r="R315" s="47" t="inlineStr">
        <is>
          <t>No Video ID yet</t>
        </is>
      </c>
      <c r="S315" s="49" t="n"/>
      <c r="T315" s="49" t="n"/>
      <c r="U315" s="47" t="inlineStr">
        <is>
          <t>In previous After the Final Pop Episodes, Ben and J discussed what letters of the alphabet are best, their Pringle eating competition and how to resolve conflict from your distant past. If you would like to get in on more of this ATFP action you can do so here: Get your tickets for Through the Griffin Tour MIDWEST here: St. Louis, MO - 9/17 (low ticket warning) Detroit, MI - 9/24 (low ticket warning) 03:03 - ATFP 286: Alphabet Rankings 31:09 - ATFP 211: Pringles 48:22 - ATFP 198: Conflict Resolution Edited by: Isybelle Christley and Ethan Edghill</t>
        </is>
      </c>
      <c r="V315" s="47">
        <f>IF(AND(P315&gt;=Calendar!$K$2,P315&lt;EDATE(Calendar!$K$2,1),OR(Calendar!$K$4="*",N315=Calendar!$K$4)),P315*100+COUNTIFS($P$6:$P$3267,P315,$Q$6:$Q$3267,"&lt;="&amp;Q315,$N$6:$N$3267,Calendar!$K$4),"")</f>
        <v/>
      </c>
      <c r="W315" s="47">
        <f>IF(AND(B315=Queue!$C$4,OR(Queue!$K$4="*",N315=Queue!$K$4)),Q315,"")</f>
        <v/>
      </c>
    </row>
    <row r="316">
      <c r="A316" s="38">
        <f>IF(M316="","",HYPERLINK("https://www.youtube.com/watch?v="&amp;M316,"▶"))</f>
        <v/>
      </c>
      <c r="B316" s="39">
        <f>IF(C316&lt;&gt;"",C316,IF(P316&lt;=IFERROR(INDEX(tblChannels[Watched Through],MATCH(N316,tblChannels[Channel ID],0)),0),"Watched","Unwatched"))</f>
        <v/>
      </c>
      <c r="C316" s="40" t="n"/>
      <c r="D316" s="41" t="n"/>
      <c r="E316" s="42" t="n">
        <v>45840.66666666666</v>
      </c>
      <c r="F316" s="50" t="inlineStr">
        <is>
          <t>Super Carlin Brothers</t>
        </is>
      </c>
      <c r="G316" t="inlineStr">
        <is>
          <t>The Pensieve’s Dark Twin REVEALED | Harry Potter Film Theory</t>
        </is>
      </c>
      <c r="H316" s="44" t="n">
        <v>0.01327546296296296</v>
      </c>
      <c r="I316" s="45" t="n">
        <v>153963</v>
      </c>
      <c r="J316" s="45" t="n">
        <v>6496</v>
      </c>
      <c r="K316" s="45" t="n">
        <v>804</v>
      </c>
      <c r="L316" s="46" t="n"/>
      <c r="M316" s="47" t="n"/>
      <c r="N316" s="47" t="inlineStr">
        <is>
          <t>UCKZo4N0lVPccBkSiuyVh4yg</t>
        </is>
      </c>
      <c r="O316" s="48" t="n">
        <v>45840.83333333334</v>
      </c>
      <c r="P316" s="49" t="n">
        <v>45840</v>
      </c>
      <c r="Q316" s="47" t="n">
        <v>2952</v>
      </c>
      <c r="R316" s="47" t="inlineStr">
        <is>
          <t>No Video ID yet</t>
        </is>
      </c>
      <c r="S316" s="49" t="n"/>
      <c r="T316" s="49" t="n"/>
      <c r="U316" s="47" t="inlineStr">
        <is>
          <t>This episode is sponsored by BetterHelp - go to to get 10% off your first month. Today, J dives into the Wizarding World of Harry Potter to reveal the Pensieve’s Dark twin and how it operates in the exact opposite way of the Pensieve. PLUS how this shows yet another of Voldemort’s shortcomings! Show your colors AND your fandom! Grab the SCB Pride Month shirt now! 👉 Des Moines, IA - 9/19 (SOLD OUT) St. Paul, MN - 9/20 (SOLD OUT) Cleveland, OH - 9/25 (SOLD OUT)</t>
        </is>
      </c>
      <c r="V316" s="47">
        <f>IF(AND(P316&gt;=Calendar!$K$2,P316&lt;EDATE(Calendar!$K$2,1),OR(Calendar!$K$4="*",N316=Calendar!$K$4)),P316*100+COUNTIFS($P$6:$P$3267,P316,$Q$6:$Q$3267,"&lt;="&amp;Q316,$N$6:$N$3267,Calendar!$K$4),"")</f>
        <v/>
      </c>
      <c r="W316" s="47">
        <f>IF(AND(B316=Queue!$C$4,OR(Queue!$K$4="*",N316=Queue!$K$4)),Q316,"")</f>
        <v/>
      </c>
    </row>
    <row r="317">
      <c r="A317" s="38">
        <f>IF(M317="","",HYPERLINK("https://www.youtube.com/watch?v="&amp;M317,"▶"))</f>
        <v/>
      </c>
      <c r="B317" s="39">
        <f>IF(C317&lt;&gt;"",C317,IF(P317&lt;=IFERROR(INDEX(tblChannels[Watched Through],MATCH(N317,tblChannels[Channel ID],0)),0),"Watched","Unwatched"))</f>
        <v/>
      </c>
      <c r="C317" s="40" t="n"/>
      <c r="D317" s="41" t="n"/>
      <c r="E317" s="42" t="n">
        <v>45837.41736111111</v>
      </c>
      <c r="F317" s="51" t="inlineStr">
        <is>
          <t>Through The Griffin Door</t>
        </is>
      </c>
      <c r="G317" t="inlineStr">
        <is>
          <t>Chapter 32: Flesh, Blood and Bone | Goblet of Fire</t>
        </is>
      </c>
      <c r="H317" s="44" t="n">
        <v>0.03988425925925926</v>
      </c>
      <c r="I317" s="45" t="n">
        <v>47353</v>
      </c>
      <c r="J317" s="45" t="n">
        <v>1367</v>
      </c>
      <c r="K317" s="45" t="n">
        <v>354</v>
      </c>
      <c r="L317" s="46" t="n"/>
      <c r="M317" s="47" t="n"/>
      <c r="N317" s="47" t="inlineStr">
        <is>
          <t>UCEscP6ETYXWSSvsNrDHekMQ</t>
        </is>
      </c>
      <c r="O317" s="48" t="n">
        <v>45837.58402777778</v>
      </c>
      <c r="P317" s="49" t="n">
        <v>45837</v>
      </c>
      <c r="Q317" s="47" t="n">
        <v>2951</v>
      </c>
      <c r="R317" s="47" t="inlineStr">
        <is>
          <t>No Video ID yet</t>
        </is>
      </c>
      <c r="S317" s="49" t="n"/>
      <c r="T317" s="49" t="n"/>
      <c r="U317" s="47" t="inlineStr">
        <is>
          <t>Join J and Ben as they dive into Chapter 32 of the Goblet of Fire and discuss how far they go, Cedric’s death, the Thestral dilemma, the potion, Voldemort’s MASTER PLAN Revealed! - THROUGH THE GRIFFIN TOUR MIDWEST TICKETS ARE ON SALE RIGHT NOW St. Louis, MO - 9/17 (low ticket warning) Detroit, MI - 9/24 (low ticket warning) Support us on Patreon AND GET YOUR GUMPSTER FIRE PIN: 04:02- Chapter Breakdown 50:00 - Closing Thoughts and Review</t>
        </is>
      </c>
      <c r="V317" s="47">
        <f>IF(AND(P317&gt;=Calendar!$K$2,P317&lt;EDATE(Calendar!$K$2,1),OR(Calendar!$K$4="*",N317=Calendar!$K$4)),P317*100+COUNTIFS($P$6:$P$3267,P317,$Q$6:$Q$3267,"&lt;="&amp;Q317,$N$6:$N$3267,Calendar!$K$4),"")</f>
        <v/>
      </c>
      <c r="W317" s="47">
        <f>IF(AND(B317=Queue!$C$4,OR(Queue!$K$4="*",N317=Queue!$K$4)),Q317,"")</f>
        <v/>
      </c>
    </row>
    <row r="318">
      <c r="A318" s="38">
        <f>IF(M318="","",HYPERLINK("https://www.youtube.com/watch?v="&amp;M318,"▶"))</f>
        <v/>
      </c>
      <c r="B318" s="39">
        <f>IF(C318&lt;&gt;"",C318,IF(P318&lt;=IFERROR(INDEX(tblChannels[Watched Through],MATCH(N318,tblChannels[Channel ID],0)),0),"Watched","Unwatched"))</f>
        <v/>
      </c>
      <c r="C318" s="40" t="n"/>
      <c r="D318" s="41" t="n"/>
      <c r="E318" s="42" t="n">
        <v>45835.71527777778</v>
      </c>
      <c r="F318" s="50" t="inlineStr">
        <is>
          <t>Super Carlin Brothers</t>
        </is>
      </c>
      <c r="G318" t="inlineStr">
        <is>
          <t>Pixar Made Us Cry Again. | Elio REVIEW</t>
        </is>
      </c>
      <c r="H318" s="44" t="n">
        <v>0.03759259259259259</v>
      </c>
      <c r="I318" s="45" t="n">
        <v>19628</v>
      </c>
      <c r="J318" s="45" t="n">
        <v>916</v>
      </c>
      <c r="K318" s="45" t="n">
        <v>241</v>
      </c>
      <c r="L318" s="46" t="n"/>
      <c r="M318" s="47" t="n"/>
      <c r="N318" s="47" t="inlineStr">
        <is>
          <t>UCKZo4N0lVPccBkSiuyVh4yg</t>
        </is>
      </c>
      <c r="O318" s="48" t="n">
        <v>45835.88194444445</v>
      </c>
      <c r="P318" s="49" t="n">
        <v>45835</v>
      </c>
      <c r="Q318" s="47" t="n">
        <v>2950</v>
      </c>
      <c r="R318" s="47" t="inlineStr">
        <is>
          <t>No Video ID yet</t>
        </is>
      </c>
      <c r="S318" s="49" t="n"/>
      <c r="T318" s="49" t="n"/>
      <c r="U318" s="47" t="inlineStr">
        <is>
          <t>Make your summer enjoyable and delicious by signing up for HelloFresh at and get TEN FREE MEALS with a FREE ITEM FOR LIFE! Today J and Ben dive into the Pixar Universe to give their full SPOILER review of Pixar’s latest movie: Elio! Is Pixar back on track or did they deliver a goose egg? Should you spend your money on a trip to the theatre? We got you covered! For centuries, people have called out to the universe looking for answers—in Disney and Pixar’s all-new feature film “Elio,” the universe calls back! The cosmic misadventure introduces Elio, a space fanatic with an active imagination and a huge alien obsession. So, when he’s beamed up to the Communiverse, an interplanetary organization with representatives from galaxies far and wide, Elio’s all in for the epic undertaking. Show your colors AND your fandom! Grab the SCB Pride Month shirt now! 👉 Des Moines, IA - 9/19 (SOLD OUT) St. Paul, MN - 9/20 (SOLD OUT) Cleveland, OH - 9/25 (SOLD OUT)</t>
        </is>
      </c>
      <c r="V318" s="47">
        <f>IF(AND(P318&gt;=Calendar!$K$2,P318&lt;EDATE(Calendar!$K$2,1),OR(Calendar!$K$4="*",N318=Calendar!$K$4)),P318*100+COUNTIFS($P$6:$P$3267,P318,$Q$6:$Q$3267,"&lt;="&amp;Q318,$N$6:$N$3267,Calendar!$K$4),"")</f>
        <v/>
      </c>
      <c r="W318" s="47">
        <f>IF(AND(B318=Queue!$C$4,OR(Queue!$K$4="*",N318=Queue!$K$4)),Q318,"")</f>
        <v/>
      </c>
    </row>
    <row r="319">
      <c r="A319" s="38">
        <f>IF(M319="","",HYPERLINK("https://www.youtube.com/watch?v="&amp;M319,"▶"))</f>
        <v/>
      </c>
      <c r="B319" s="39">
        <f>IF(C319&lt;&gt;"",C319,IF(P319&lt;=IFERROR(INDEX(tblChannels[Watched Through],MATCH(N319,tblChannels[Channel ID],0)),0),"Watched","Unwatched"))</f>
        <v/>
      </c>
      <c r="C319" s="40" t="n"/>
      <c r="D319" s="41" t="n"/>
      <c r="E319" s="42" t="n">
        <v>45835.41666666666</v>
      </c>
      <c r="F319" s="43" t="inlineStr">
        <is>
          <t>Popcorn Culture</t>
        </is>
      </c>
      <c r="G319" t="inlineStr">
        <is>
          <t>Money, Money, Money! | Popcorn Culture</t>
        </is>
      </c>
      <c r="H319" s="44" t="n">
        <v>0.05148148148148148</v>
      </c>
      <c r="I319" s="45" t="n">
        <v>3051</v>
      </c>
      <c r="J319" s="45" t="n">
        <v>146</v>
      </c>
      <c r="K319" s="45" t="n">
        <v>18</v>
      </c>
      <c r="L319" s="46" t="n"/>
      <c r="M319" s="47" t="n"/>
      <c r="N319" s="47" t="inlineStr">
        <is>
          <t>UCHfIbq9thHPC8yrKjAdJgDA</t>
        </is>
      </c>
      <c r="O319" s="48" t="n">
        <v>45835.58333333334</v>
      </c>
      <c r="P319" s="49" t="n">
        <v>45835</v>
      </c>
      <c r="Q319" s="47" t="n">
        <v>2949</v>
      </c>
      <c r="R319" s="47" t="inlineStr">
        <is>
          <t>No Video ID yet</t>
        </is>
      </c>
      <c r="S319" s="49" t="n"/>
      <c r="T319" s="49" t="n"/>
      <c r="U319" s="47" t="inlineStr">
        <is>
          <t>In the 290th episode of the Pop, Ben and J discuss productivity levels, 10 years of marriage, the IKEA Effect and the Ben, Franklin Effect, Black Mirror and money. The IKEA Effect - Diablo II - The Ben Franklin Effect - Black Mirror - Get your tickets for Through the Griffin Tour MIDWEST here: St. Louis, MO - 9/17 (low ticket warning) Detroit, MI - 9/24 (low ticket warning) 00:00 - Intro, Productivity 14:03 - J’s Anniversary 39:21 - Money, Money, Money</t>
        </is>
      </c>
      <c r="V319" s="47">
        <f>IF(AND(P319&gt;=Calendar!$K$2,P319&lt;EDATE(Calendar!$K$2,1),OR(Calendar!$K$4="*",N319=Calendar!$K$4)),P319*100+COUNTIFS($P$6:$P$3267,P319,$Q$6:$Q$3267,"&lt;="&amp;Q319,$N$6:$N$3267,Calendar!$K$4),"")</f>
        <v/>
      </c>
      <c r="W319" s="47">
        <f>IF(AND(B319=Queue!$C$4,OR(Queue!$K$4="*",N319=Queue!$K$4)),Q319,"")</f>
        <v/>
      </c>
    </row>
    <row r="320">
      <c r="A320" s="38">
        <f>IF(M320="","",HYPERLINK("https://www.youtube.com/watch?v="&amp;M320,"▶"))</f>
        <v/>
      </c>
      <c r="B320" s="39">
        <f>IF(C320&lt;&gt;"",C320,IF(P320&lt;=IFERROR(INDEX(tblChannels[Watched Through],MATCH(N320,tblChannels[Channel ID],0)),0),"Watched","Unwatched"))</f>
        <v/>
      </c>
      <c r="C320" s="40" t="n"/>
      <c r="D320" s="41" t="n"/>
      <c r="E320" s="42" t="n">
        <v>45833.72916666666</v>
      </c>
      <c r="F320" s="50" t="inlineStr">
        <is>
          <t>Super Carlin Brothers</t>
        </is>
      </c>
      <c r="G320" t="inlineStr">
        <is>
          <t>RITA SKEETER HAS A POINT?! | Harry Potter Film Theory</t>
        </is>
      </c>
      <c r="H320" s="44" t="n">
        <v>0.01375</v>
      </c>
      <c r="I320" s="45" t="n">
        <v>123472</v>
      </c>
      <c r="J320" s="45" t="n">
        <v>4530</v>
      </c>
      <c r="K320" s="45" t="n">
        <v>439</v>
      </c>
      <c r="L320" s="46" t="n"/>
      <c r="M320" s="47" t="n"/>
      <c r="N320" s="47" t="inlineStr">
        <is>
          <t>UCKZo4N0lVPccBkSiuyVh4yg</t>
        </is>
      </c>
      <c r="O320" s="48" t="n">
        <v>45833.89583333334</v>
      </c>
      <c r="P320" s="49" t="n">
        <v>45833</v>
      </c>
      <c r="Q320" s="47" t="n">
        <v>2948</v>
      </c>
      <c r="R320" s="47" t="inlineStr">
        <is>
          <t>No Video ID yet</t>
        </is>
      </c>
      <c r="S320" s="49" t="n"/>
      <c r="T320" s="49" t="n"/>
      <c r="U320" s="47" t="inlineStr">
        <is>
          <t>This episode is sponsored by BetterHelp. Go to to get 10% off your first month. Today J dives into the Wizarding World of Harry Potter to find out What if Hermione didn’t stop Rita Skeeter at the end of Goblet of Fire? What if, instead of silencing a nosy tabloid beetle, she accidentally stopped the only person who could have exposed the truth about Voldemort's return—a full year early? ​​Could Rita have changed the course of Wizarding history? Could she have saved Cedric’s legacy? Show your colors AND your fandom! Grab the SCB Pride Month shirt now! 👉 Des Moines, IA - 9/19 (SOLD OUT) St. Paul, MN - 9/20 (SOLD OUT) Cleveland, OH - 9/25 (SOLD OUT)</t>
        </is>
      </c>
      <c r="V320" s="47">
        <f>IF(AND(P320&gt;=Calendar!$K$2,P320&lt;EDATE(Calendar!$K$2,1),OR(Calendar!$K$4="*",N320=Calendar!$K$4)),P320*100+COUNTIFS($P$6:$P$3267,P320,$Q$6:$Q$3267,"&lt;="&amp;Q320,$N$6:$N$3267,Calendar!$K$4),"")</f>
        <v/>
      </c>
      <c r="W320" s="47">
        <f>IF(AND(B320=Queue!$C$4,OR(Queue!$K$4="*",N320=Queue!$K$4)),Q320,"")</f>
        <v/>
      </c>
    </row>
    <row r="321">
      <c r="A321" s="38">
        <f>IF(M321="","",HYPERLINK("https://www.youtube.com/watch?v="&amp;M321,"▶"))</f>
        <v/>
      </c>
      <c r="B321" s="39">
        <f>IF(C321&lt;&gt;"",C321,IF(P321&lt;=IFERROR(INDEX(tblChannels[Watched Through],MATCH(N321,tblChannels[Channel ID],0)),0),"Watched","Unwatched"))</f>
        <v/>
      </c>
      <c r="C321" s="40" t="n"/>
      <c r="D321" s="41" t="n"/>
      <c r="E321" s="42" t="n">
        <v>45833.54166666666</v>
      </c>
      <c r="F321" s="50" t="inlineStr">
        <is>
          <t>Super Carlin Brothers</t>
        </is>
      </c>
      <c r="G321" t="inlineStr">
        <is>
          <t>Sirius Black Was a Hufflepuff?!</t>
        </is>
      </c>
      <c r="H321" s="44" t="n">
        <v>0.002083333333333333</v>
      </c>
      <c r="I321" s="45" t="n">
        <v>383944</v>
      </c>
      <c r="J321" s="45" t="n">
        <v>25588</v>
      </c>
      <c r="K321" s="45" t="n">
        <v>363</v>
      </c>
      <c r="L321" s="46" t="n"/>
      <c r="M321" s="47" t="n"/>
      <c r="N321" s="47" t="inlineStr">
        <is>
          <t>UCKZo4N0lVPccBkSiuyVh4yg</t>
        </is>
      </c>
      <c r="O321" s="48" t="n">
        <v>45833.70833333334</v>
      </c>
      <c r="P321" s="49" t="n">
        <v>45833</v>
      </c>
      <c r="Q321" s="47" t="n">
        <v>2947</v>
      </c>
      <c r="R321" s="47" t="inlineStr">
        <is>
          <t>No Video ID yet</t>
        </is>
      </c>
      <c r="S321" s="49" t="n"/>
      <c r="T321" s="49" t="n"/>
      <c r="U321" s="47" t="inlineStr">
        <is>
          <t>You think Sirius Black is a Gryffindor… but what if he’s actually the Hufflepuff of the Marauders? 🦡 From Animagus loyalty to “I would have died rather than betray my friends,” we break down why Sirius might’ve been placed in the wrong house. #HarryPotter #Hufflepuff #SiriusBlack</t>
        </is>
      </c>
      <c r="V321" s="47">
        <f>IF(AND(P321&gt;=Calendar!$K$2,P321&lt;EDATE(Calendar!$K$2,1),OR(Calendar!$K$4="*",N321=Calendar!$K$4)),P321*100+COUNTIFS($P$6:$P$3267,P321,$Q$6:$Q$3267,"&lt;="&amp;Q321,$N$6:$N$3267,Calendar!$K$4),"")</f>
        <v/>
      </c>
      <c r="W321" s="47">
        <f>IF(AND(B321=Queue!$C$4,OR(Queue!$K$4="*",N321=Queue!$K$4)),Q321,"")</f>
        <v/>
      </c>
    </row>
    <row r="322">
      <c r="A322" s="38">
        <f>IF(M322="","",HYPERLINK("https://www.youtube.com/watch?v="&amp;M322,"▶"))</f>
        <v/>
      </c>
      <c r="B322" s="39">
        <f>IF(C322&lt;&gt;"",C322,IF(P322&lt;=IFERROR(INDEX(tblChannels[Watched Through],MATCH(N322,tblChannels[Channel ID],0)),0),"Watched","Unwatched"))</f>
        <v/>
      </c>
      <c r="C322" s="40" t="n"/>
      <c r="D322" s="41" t="n"/>
      <c r="E322" s="42" t="n">
        <v>45830.41736111111</v>
      </c>
      <c r="F322" s="51" t="inlineStr">
        <is>
          <t>Through The Griffin Door</t>
        </is>
      </c>
      <c r="G322" t="inlineStr">
        <is>
          <t>Chapter 31: The Third Task | Goblet of Fire</t>
        </is>
      </c>
      <c r="H322" s="44" t="n">
        <v>0.08263888888888889</v>
      </c>
      <c r="I322" s="45" t="n">
        <v>64769</v>
      </c>
      <c r="J322" s="45" t="n">
        <v>1533</v>
      </c>
      <c r="K322" s="45" t="n">
        <v>479</v>
      </c>
      <c r="L322" s="46" t="n"/>
      <c r="M322" s="47" t="n"/>
      <c r="N322" s="47" t="inlineStr">
        <is>
          <t>UCEscP6ETYXWSSvsNrDHekMQ</t>
        </is>
      </c>
      <c r="O322" s="48" t="n">
        <v>45830.58402777778</v>
      </c>
      <c r="P322" s="49" t="n">
        <v>45830</v>
      </c>
      <c r="Q322" s="47" t="n">
        <v>2946</v>
      </c>
      <c r="R322" s="47" t="inlineStr">
        <is>
          <t>No Video ID yet</t>
        </is>
      </c>
      <c r="S322" s="49" t="n"/>
      <c r="T322" s="49" t="n"/>
      <c r="U322" s="47" t="inlineStr">
        <is>
          <t>Join J and Ben as they dive into Chapter 31 of the Goblet of Fire and discuss mechanics of the Pensieve, training with Ron and Hermione, Rita’s latest article, Molly and Bill coming as Harry’s family, the lack of ceremony at the beginning of the trial, the various obstacles, Harry and Cedric debating on who should grab the cup. Are Snape and Krum… BROTHERS?! - PROOF That Severus Snape Is A Vampire - THROUGH THE GRIFFIN TOUR MIDWEST TICKETS ARE ON SALE RIGHT NOW St. Louis, MO - 9/17 (low ticket warning) St. Paul, MN - 9/20 (low ticket warning) Detroit, MI - 9/24 (low ticket warning) Support us on Patreon AND GET YOUR GUMPSTER FIRE PIN: Watch on Youtube: Want more Harry Potter Content? Harry Potter Theories: Dumbledore’s Big Plan: What If Harry Was in Slytherin: Chapters 04:58- Dragons Arrive 33:06 - Ad Break (Shopify) 34:33 - More Chapter Breakdown 1:54:45 - Closing Thoughts and Review</t>
        </is>
      </c>
      <c r="V322" s="47">
        <f>IF(AND(P322&gt;=Calendar!$K$2,P322&lt;EDATE(Calendar!$K$2,1),OR(Calendar!$K$4="*",N322=Calendar!$K$4)),P322*100+COUNTIFS($P$6:$P$3267,P322,$Q$6:$Q$3267,"&lt;="&amp;Q322,$N$6:$N$3267,Calendar!$K$4),"")</f>
        <v/>
      </c>
      <c r="W322" s="47">
        <f>IF(AND(B322=Queue!$C$4,OR(Queue!$K$4="*",N322=Queue!$K$4)),Q322,"")</f>
        <v/>
      </c>
    </row>
    <row r="323">
      <c r="A323" s="38">
        <f>IF(M323="","",HYPERLINK("https://www.youtube.com/watch?v="&amp;M323,"▶"))</f>
        <v/>
      </c>
      <c r="B323" s="39">
        <f>IF(C323&lt;&gt;"",C323,IF(P323&lt;=IFERROR(INDEX(tblChannels[Watched Through],MATCH(N323,tblChannels[Channel ID],0)),0),"Watched","Unwatched"))</f>
        <v/>
      </c>
      <c r="C323" s="40" t="n"/>
      <c r="D323" s="41" t="n"/>
      <c r="E323" s="42" t="n">
        <v>45829.41666666666</v>
      </c>
      <c r="F323" s="50" t="inlineStr">
        <is>
          <t>Super Carlin Brothers</t>
        </is>
      </c>
      <c r="G323" t="inlineStr">
        <is>
          <t>Through the Griffin Door Supercut: Goblet of Fire Chapters 28-30</t>
        </is>
      </c>
      <c r="H323" s="44" t="n">
        <v>0.2310069444444444</v>
      </c>
      <c r="I323" s="45" t="n">
        <v>16321</v>
      </c>
      <c r="J323" s="45" t="n">
        <v>282</v>
      </c>
      <c r="K323" s="45" t="n">
        <v>42</v>
      </c>
      <c r="L323" s="46" t="n"/>
      <c r="M323" s="47" t="n"/>
      <c r="N323" s="47" t="inlineStr">
        <is>
          <t>UCKZo4N0lVPccBkSiuyVh4yg</t>
        </is>
      </c>
      <c r="O323" s="48" t="n">
        <v>45829.58333333334</v>
      </c>
      <c r="P323" s="49" t="n">
        <v>45829</v>
      </c>
      <c r="Q323" s="47" t="n">
        <v>2945</v>
      </c>
      <c r="R323" s="47" t="inlineStr">
        <is>
          <t>No Video ID yet</t>
        </is>
      </c>
      <c r="S323" s="49" t="n"/>
      <c r="T323" s="49" t="n"/>
      <c r="U323" s="47" t="inlineStr">
        <is>
          <t>0:00:00 - Chapter 28: The Madness of Mr. Crouch 2:01:21 - Chapter 29: The Dream 3:31:03 - Chapter 30: The Pensieve</t>
        </is>
      </c>
      <c r="V323" s="47">
        <f>IF(AND(P323&gt;=Calendar!$K$2,P323&lt;EDATE(Calendar!$K$2,1),OR(Calendar!$K$4="*",N323=Calendar!$K$4)),P323*100+COUNTIFS($P$6:$P$3267,P323,$Q$6:$Q$3267,"&lt;="&amp;Q323,$N$6:$N$3267,Calendar!$K$4),"")</f>
        <v/>
      </c>
      <c r="W323" s="47">
        <f>IF(AND(B323=Queue!$C$4,OR(Queue!$K$4="*",N323=Queue!$K$4)),Q323,"")</f>
        <v/>
      </c>
    </row>
    <row r="324">
      <c r="A324" s="38">
        <f>IF(M324="","",HYPERLINK("https://www.youtube.com/watch?v="&amp;M324,"▶"))</f>
        <v/>
      </c>
      <c r="B324" s="39">
        <f>IF(C324&lt;&gt;"",C324,IF(P324&lt;=IFERROR(INDEX(tblChannels[Watched Through],MATCH(N324,tblChannels[Channel ID],0)),0),"Watched","Unwatched"))</f>
        <v/>
      </c>
      <c r="C324" s="40" t="n"/>
      <c r="D324" s="41" t="n"/>
      <c r="E324" s="42" t="n">
        <v>45828.66666666666</v>
      </c>
      <c r="F324" s="43" t="inlineStr">
        <is>
          <t>Popcorn Culture</t>
        </is>
      </c>
      <c r="G324" t="inlineStr">
        <is>
          <t>Ripping Blades | Popcorn Culture</t>
        </is>
      </c>
      <c r="H324" s="44" t="n">
        <v>0.04710648148148148</v>
      </c>
      <c r="I324" s="45" t="n">
        <v>2992</v>
      </c>
      <c r="J324" s="45" t="n">
        <v>166</v>
      </c>
      <c r="K324" s="45" t="n">
        <v>16</v>
      </c>
      <c r="L324" s="46" t="n"/>
      <c r="M324" s="47" t="n"/>
      <c r="N324" s="47" t="inlineStr">
        <is>
          <t>UCHfIbq9thHPC8yrKjAdJgDA</t>
        </is>
      </c>
      <c r="O324" s="48" t="n">
        <v>45828.83333333334</v>
      </c>
      <c r="P324" s="49" t="n">
        <v>45828</v>
      </c>
      <c r="Q324" s="47" t="n">
        <v>2944</v>
      </c>
      <c r="R324" s="47" t="inlineStr">
        <is>
          <t>No Video ID yet</t>
        </is>
      </c>
      <c r="S324" s="49" t="n"/>
      <c r="T324" s="49" t="n"/>
      <c r="U324" s="47" t="inlineStr">
        <is>
          <t>In the 289th episode of the Pop, Ben and J discuss Father’s Day, their thoughts on the new How to Train Your Dragon movie, J’s kids competing in a BeyBlade Tournament and catching fireflies. How to Train Your Dragon - Fantastic Four - Get your tickets for Through the Griffin Tour MIDWEST here: Father’s Day (greater than) Birthday? 00:00 - Intro, Fathers Day 05:34 - How To Train Your Dragon 26:28 - BeyBlade Tournament 56:29 - Fireflies</t>
        </is>
      </c>
      <c r="V324" s="47">
        <f>IF(AND(P324&gt;=Calendar!$K$2,P324&lt;EDATE(Calendar!$K$2,1),OR(Calendar!$K$4="*",N324=Calendar!$K$4)),P324*100+COUNTIFS($P$6:$P$3267,P324,$Q$6:$Q$3267,"&lt;="&amp;Q324,$N$6:$N$3267,Calendar!$K$4),"")</f>
        <v/>
      </c>
      <c r="W324" s="47">
        <f>IF(AND(B324=Queue!$C$4,OR(Queue!$K$4="*",N324=Queue!$K$4)),Q324,"")</f>
        <v/>
      </c>
    </row>
    <row r="325">
      <c r="A325" s="38">
        <f>IF(M325="","",HYPERLINK("https://www.youtube.com/watch?v="&amp;M325,"▶"))</f>
        <v/>
      </c>
      <c r="B325" s="39">
        <f>IF(C325&lt;&gt;"",C325,IF(P325&lt;=IFERROR(INDEX(tblChannels[Watched Through],MATCH(N325,tblChannels[Channel ID],0)),0),"Watched","Unwatched"))</f>
        <v/>
      </c>
      <c r="C325" s="40" t="n"/>
      <c r="D325" s="41" t="n"/>
      <c r="E325" s="42" t="n">
        <v>45828.65277777778</v>
      </c>
      <c r="F325" s="50" t="inlineStr">
        <is>
          <t>Super Carlin Brothers</t>
        </is>
      </c>
      <c r="G325" t="inlineStr">
        <is>
          <t>How to Train Your Dragon FIXED the Live Action Problem</t>
        </is>
      </c>
      <c r="H325" s="44" t="n">
        <v>0.01006944444444445</v>
      </c>
      <c r="I325" s="45" t="n">
        <v>43052</v>
      </c>
      <c r="J325" s="45" t="n">
        <v>2410</v>
      </c>
      <c r="K325" s="45" t="n">
        <v>348</v>
      </c>
      <c r="L325" s="46" t="n"/>
      <c r="M325" s="47" t="n"/>
      <c r="N325" s="47" t="inlineStr">
        <is>
          <t>UCKZo4N0lVPccBkSiuyVh4yg</t>
        </is>
      </c>
      <c r="O325" s="48" t="n">
        <v>45828.81944444445</v>
      </c>
      <c r="P325" s="49" t="n">
        <v>45828</v>
      </c>
      <c r="Q325" s="47" t="n">
        <v>2943</v>
      </c>
      <c r="R325" s="47" t="inlineStr">
        <is>
          <t>No Video ID yet</t>
        </is>
      </c>
      <c r="S325" s="49" t="n"/>
      <c r="T325" s="49" t="n"/>
      <c r="U325" s="47" t="inlineStr">
        <is>
          <t>This episode is sponsored by BetterHelp. Go to to get 10% off your first month. Today Ben dives into the Viking World of Berk to discuss the Live Action How to Train Your Dragon! Live-action remakes don’t exactly have the best track record—some hit, most miss, and many leave us wondering… why even bother? But somehow, How to Train Your Dragon pulls off the near-impossible: staying almost exactly the same as the original and being completely worth it. In today’s video, we’re breaking down why this remake works where others—like The Lion King, Aladdin, and Beauty and the Beast—struggled. From honoring the animation, to understanding live-action as its own format, to the return of Gerard Butler in bear cape glory... this movie might’ve just set a new standard. Show your colors AND your fandom! Grab the SCB Pride Month shirt now! 👉 #supercarlinbrothers #HTTYD #HowToTrainYourDragon</t>
        </is>
      </c>
      <c r="V325" s="47">
        <f>IF(AND(P325&gt;=Calendar!$K$2,P325&lt;EDATE(Calendar!$K$2,1),OR(Calendar!$K$4="*",N325=Calendar!$K$4)),P325*100+COUNTIFS($P$6:$P$3267,P325,$Q$6:$Q$3267,"&lt;="&amp;Q325,$N$6:$N$3267,Calendar!$K$4),"")</f>
        <v/>
      </c>
      <c r="W325" s="47">
        <f>IF(AND(B325=Queue!$C$4,OR(Queue!$K$4="*",N325=Queue!$K$4)),Q325,"")</f>
        <v/>
      </c>
    </row>
    <row r="326">
      <c r="A326" s="38">
        <f>IF(M326="","",HYPERLINK("https://www.youtube.com/watch?v="&amp;M326,"▶"))</f>
        <v/>
      </c>
      <c r="B326" s="39">
        <f>IF(C326&lt;&gt;"",C326,IF(P326&lt;=IFERROR(INDEX(tblChannels[Watched Through],MATCH(N326,tblChannels[Channel ID],0)),0),"Watched","Unwatched"))</f>
        <v/>
      </c>
      <c r="C326" s="40" t="n"/>
      <c r="D326" s="41" t="n"/>
      <c r="E326" s="42" t="n">
        <v>45826.71458333333</v>
      </c>
      <c r="F326" s="50" t="inlineStr">
        <is>
          <t>Super Carlin Brothers</t>
        </is>
      </c>
      <c r="G326" t="inlineStr">
        <is>
          <t>J vs Ben: Quick Quotes Quiz | Harry Potter TRIVIA</t>
        </is>
      </c>
      <c r="H326" s="44" t="n">
        <v>0.03038194444444444</v>
      </c>
      <c r="I326" s="45" t="n">
        <v>112953</v>
      </c>
      <c r="J326" s="45" t="n">
        <v>3746</v>
      </c>
      <c r="K326" s="45" t="n">
        <v>473</v>
      </c>
      <c r="L326" s="46" t="n"/>
      <c r="M326" s="47" t="n"/>
      <c r="N326" s="47" t="inlineStr">
        <is>
          <t>UCKZo4N0lVPccBkSiuyVh4yg</t>
        </is>
      </c>
      <c r="O326" s="48" t="n">
        <v>45826.88125</v>
      </c>
      <c r="P326" s="49" t="n">
        <v>45826</v>
      </c>
      <c r="Q326" s="47" t="n">
        <v>2942</v>
      </c>
      <c r="R326" s="47" t="inlineStr">
        <is>
          <t>No Video ID yet</t>
        </is>
      </c>
      <c r="S326" s="49" t="n"/>
      <c r="T326" s="49" t="n"/>
      <c r="U326" s="47" t="inlineStr">
        <is>
          <t>Make your summer enjoyable and delicious by signing up for HelloFresh at and get TEN FREE MEALS with a FREE ITEM FOR LIFE! Show your colors AND your fandom! Grab the SCB Pride Month shirt now! 👉 It’s time for another round of Quick Quotes Quiz! In this ultimate test of memory and magical mayhem, we’re guessing who said what, in which book, and probably disagreeing about it the whole way through. Can we remember who insulted Percy with Dobby’s tea cozy? Who joked about a Hippogriff tattoo? Who absolutely roasted Peter Pettigrew? You submitted the quotes, and now we’re battling it out to see who knows the Wizarding World better — Ben or J! Huge thanks to all of our amazing patrons for submitting quotes: Aislin P., Nour, Wesley Walker, Ben Henderson, Bradferd, Teghan Denlinger, Dola, Elli Collins, Denna, Dorian R., Julie Sherwood, LawNinja, Raven254, Oryan’s Wizard Parts, ESTOCK, Lina, and Moel! Think you can beat our score? Play along and leave your total in the towel section below 👇 Hosted by :: Ethan Edghill Written by :: Kat Stine and OUR WONDERFUL PATRONS Edited by :: Ethan Edghill &amp; Isybelle Christley</t>
        </is>
      </c>
      <c r="V326" s="47">
        <f>IF(AND(P326&gt;=Calendar!$K$2,P326&lt;EDATE(Calendar!$K$2,1),OR(Calendar!$K$4="*",N326=Calendar!$K$4)),P326*100+COUNTIFS($P$6:$P$3267,P326,$Q$6:$Q$3267,"&lt;="&amp;Q326,$N$6:$N$3267,Calendar!$K$4),"")</f>
        <v/>
      </c>
      <c r="W326" s="47">
        <f>IF(AND(B326=Queue!$C$4,OR(Queue!$K$4="*",N326=Queue!$K$4)),Q326,"")</f>
        <v/>
      </c>
    </row>
    <row r="327">
      <c r="A327" s="38">
        <f>IF(M327="","",HYPERLINK("https://www.youtube.com/watch?v="&amp;M327,"▶"))</f>
        <v/>
      </c>
      <c r="B327" s="39">
        <f>IF(C327&lt;&gt;"",C327,IF(P327&lt;=IFERROR(INDEX(tblChannels[Watched Through],MATCH(N327,tblChannels[Channel ID],0)),0),"Watched","Unwatched"))</f>
        <v/>
      </c>
      <c r="C327" s="40" t="n"/>
      <c r="D327" s="41" t="n"/>
      <c r="E327" s="42" t="n">
        <v>45824.54166666666</v>
      </c>
      <c r="F327" s="50" t="inlineStr">
        <is>
          <t>Super Carlin Brothers</t>
        </is>
      </c>
      <c r="G327" t="inlineStr">
        <is>
          <t>Why Can Hela Catch Mjolnir? #marvel</t>
        </is>
      </c>
      <c r="H327" s="44" t="n">
        <v>0.001516203703703704</v>
      </c>
      <c r="I327" s="45" t="n">
        <v>2128422</v>
      </c>
      <c r="J327" s="45" t="n">
        <v>153460</v>
      </c>
      <c r="K327" s="45" t="n">
        <v>2212</v>
      </c>
      <c r="L327" s="46" t="n"/>
      <c r="M327" s="47" t="n"/>
      <c r="N327" s="47" t="inlineStr">
        <is>
          <t>UCKZo4N0lVPccBkSiuyVh4yg</t>
        </is>
      </c>
      <c r="O327" s="48" t="n">
        <v>45824.70833333334</v>
      </c>
      <c r="P327" s="49" t="n">
        <v>45824</v>
      </c>
      <c r="Q327" s="47" t="n">
        <v>2941</v>
      </c>
      <c r="R327" s="47" t="inlineStr">
        <is>
          <t>No Video ID yet</t>
        </is>
      </c>
      <c r="S327" s="49" t="n"/>
      <c r="T327" s="49" t="n"/>
      <c r="U327" s="47" t="inlineStr">
        <is>
          <t>There is no way Hela is worthy of holding Mjolnir right? But so how did she catch it? Or is she just blocking it? (she's for sure catching it)</t>
        </is>
      </c>
      <c r="V327" s="47">
        <f>IF(AND(P327&gt;=Calendar!$K$2,P327&lt;EDATE(Calendar!$K$2,1),OR(Calendar!$K$4="*",N327=Calendar!$K$4)),P327*100+COUNTIFS($P$6:$P$3267,P327,$Q$6:$Q$3267,"&lt;="&amp;Q327,$N$6:$N$3267,Calendar!$K$4),"")</f>
        <v/>
      </c>
      <c r="W327" s="47">
        <f>IF(AND(B327=Queue!$C$4,OR(Queue!$K$4="*",N327=Queue!$K$4)),Q327,"")</f>
        <v/>
      </c>
    </row>
    <row r="328">
      <c r="A328" s="38">
        <f>IF(M328="","",HYPERLINK("https://www.youtube.com/watch?v="&amp;M328,"▶"))</f>
        <v/>
      </c>
      <c r="B328" s="39">
        <f>IF(C328&lt;&gt;"",C328,IF(P328&lt;=IFERROR(INDEX(tblChannels[Watched Through],MATCH(N328,tblChannels[Channel ID],0)),0),"Watched","Unwatched"))</f>
        <v/>
      </c>
      <c r="C328" s="40" t="n"/>
      <c r="D328" s="41" t="n"/>
      <c r="E328" s="42" t="n">
        <v>45823.41736111111</v>
      </c>
      <c r="F328" s="51" t="inlineStr">
        <is>
          <t>Through The Griffin Door</t>
        </is>
      </c>
      <c r="G328" t="inlineStr">
        <is>
          <t>Chapter 30: The Pensive | Goblet of Fire</t>
        </is>
      </c>
      <c r="H328" s="44" t="n">
        <v>0.08605324074074074</v>
      </c>
      <c r="I328" s="45" t="n">
        <v>65676</v>
      </c>
      <c r="J328" s="45" t="n">
        <v>1517</v>
      </c>
      <c r="K328" s="45" t="n">
        <v>506</v>
      </c>
      <c r="L328" s="46" t="n"/>
      <c r="M328" s="47" t="n"/>
      <c r="N328" s="47" t="inlineStr">
        <is>
          <t>UCEscP6ETYXWSSvsNrDHekMQ</t>
        </is>
      </c>
      <c r="O328" s="48" t="n">
        <v>45823.58402777778</v>
      </c>
      <c r="P328" s="49" t="n">
        <v>45823</v>
      </c>
      <c r="Q328" s="47" t="n">
        <v>2940</v>
      </c>
      <c r="R328" s="47" t="inlineStr">
        <is>
          <t>No Video ID yet</t>
        </is>
      </c>
      <c r="S328" s="49" t="n"/>
      <c r="T328" s="49" t="n"/>
      <c r="U328" s="47" t="inlineStr">
        <is>
          <t>This episode is sponsored by Pair Eyewear – Go to paireyewear.com and use code 'GRIFFIN' for 15% off your first pair. Join J and Ben as they dive into Chapter 30 of the Goblet of Fire and discuss Dumbledore’s office, Fawkes, mechanics of the magic, Karkaroff’s trial, meeting the real Moody, Ludo Bagman’s trial, Barty Crouch Jr.’s trial, and telling Dumbledore about the dream. Barty Crouch Jr’s HORCRUX - THROUGH THE GRIFFIN TOUR MIDWEST TICKETS ARE ON SALE RIGHT NOW St. Louis, MO - 9/17a Support us on Patreon AND GET YOUR GUMPSTER FIRE PIN: 08:26 - Chapter Breakdown 43:08 - Ad Break (Pair Eyewear) 45:17 - More Chapter Breakdown 1:56:23 - Closing Thoughts and Review</t>
        </is>
      </c>
      <c r="V328" s="47">
        <f>IF(AND(P328&gt;=Calendar!$K$2,P328&lt;EDATE(Calendar!$K$2,1),OR(Calendar!$K$4="*",N328=Calendar!$K$4)),P328*100+COUNTIFS($P$6:$P$3267,P328,$Q$6:$Q$3267,"&lt;="&amp;Q328,$N$6:$N$3267,Calendar!$K$4),"")</f>
        <v/>
      </c>
      <c r="W328" s="47">
        <f>IF(AND(B328=Queue!$C$4,OR(Queue!$K$4="*",N328=Queue!$K$4)),Q328,"")</f>
        <v/>
      </c>
    </row>
    <row r="329">
      <c r="A329" s="38">
        <f>IF(M329="","",HYPERLINK("https://www.youtube.com/watch?v="&amp;M329,"▶"))</f>
        <v/>
      </c>
      <c r="B329" s="39">
        <f>IF(C329&lt;&gt;"",C329,IF(P329&lt;=IFERROR(INDEX(tblChannels[Watched Through],MATCH(N329,tblChannels[Channel ID],0)),0),"Watched","Unwatched"))</f>
        <v/>
      </c>
      <c r="C329" s="40" t="n"/>
      <c r="D329" s="41" t="n"/>
      <c r="E329" s="42" t="n">
        <v>45822.21597222222</v>
      </c>
      <c r="F329" s="52" t="inlineStr">
        <is>
          <t>Super Carlin Gaming</t>
        </is>
      </c>
      <c r="G329" t="inlineStr">
        <is>
          <t>JOURNEY TOGETHER - Pokemon Box Breakers SEASON 15 -  Episode 2 - 06/13/2025</t>
        </is>
      </c>
      <c r="H329" s="44" t="n">
        <v>0.1141782407407407</v>
      </c>
      <c r="I329" s="45" t="n">
        <v>842</v>
      </c>
      <c r="J329" s="45" t="n">
        <v>30</v>
      </c>
      <c r="K329" s="45" t="n">
        <v>3</v>
      </c>
      <c r="L329" s="46" t="n"/>
      <c r="M329" s="47" t="n"/>
      <c r="N329" s="47" t="inlineStr">
        <is>
          <t>UCor_9jRnNNZVzTuQ92PKsaQ</t>
        </is>
      </c>
      <c r="O329" s="48" t="n">
        <v>45822.38263888889</v>
      </c>
      <c r="P329" s="49" t="n">
        <v>45822</v>
      </c>
      <c r="Q329" s="47" t="n">
        <v>2939</v>
      </c>
      <c r="R329" s="47" t="inlineStr">
        <is>
          <t>No Video ID yet</t>
        </is>
      </c>
      <c r="S329" s="49" t="n"/>
      <c r="T329" s="49" t="n"/>
      <c r="U329" s="47" t="n"/>
      <c r="V329" s="47">
        <f>IF(AND(P329&gt;=Calendar!$K$2,P329&lt;EDATE(Calendar!$K$2,1),OR(Calendar!$K$4="*",N329=Calendar!$K$4)),P329*100+COUNTIFS($P$6:$P$3267,P329,$Q$6:$Q$3267,"&lt;="&amp;Q329,$N$6:$N$3267,Calendar!$K$4),"")</f>
        <v/>
      </c>
      <c r="W329" s="47">
        <f>IF(AND(B329=Queue!$C$4,OR(Queue!$K$4="*",N329=Queue!$K$4)),Q329,"")</f>
        <v/>
      </c>
    </row>
    <row r="330">
      <c r="A330" s="38">
        <f>IF(M330="","",HYPERLINK("https://www.youtube.com/watch?v="&amp;M330,"▶"))</f>
        <v/>
      </c>
      <c r="B330" s="39">
        <f>IF(C330&lt;&gt;"",C330,IF(P330&lt;=IFERROR(INDEX(tblChannels[Watched Through],MATCH(N330,tblChannels[Channel ID],0)),0),"Watched","Unwatched"))</f>
        <v/>
      </c>
      <c r="C330" s="40" t="n"/>
      <c r="D330" s="41" t="n"/>
      <c r="E330" s="42" t="n">
        <v>45821.70486111111</v>
      </c>
      <c r="F330" s="50" t="inlineStr">
        <is>
          <t>Super Carlin Brothers</t>
        </is>
      </c>
      <c r="G330" t="inlineStr">
        <is>
          <t>Are Snape and Krum… BROTHERS?! | Harry Potter Film Theory</t>
        </is>
      </c>
      <c r="H330" s="44" t="n">
        <v>0.009236111111111112</v>
      </c>
      <c r="I330" s="45" t="n">
        <v>71393</v>
      </c>
      <c r="J330" s="45" t="n">
        <v>3494</v>
      </c>
      <c r="K330" s="45" t="n">
        <v>594</v>
      </c>
      <c r="L330" s="46" t="n"/>
      <c r="M330" s="47" t="n"/>
      <c r="N330" s="47" t="inlineStr">
        <is>
          <t>UCKZo4N0lVPccBkSiuyVh4yg</t>
        </is>
      </c>
      <c r="O330" s="48" t="n">
        <v>45821.87152777778</v>
      </c>
      <c r="P330" s="49" t="n">
        <v>45821</v>
      </c>
      <c r="Q330" s="47" t="n">
        <v>2938</v>
      </c>
      <c r="R330" s="47" t="inlineStr">
        <is>
          <t>No Video ID yet</t>
        </is>
      </c>
      <c r="S330" s="49" t="n"/>
      <c r="T330" s="49" t="n"/>
      <c r="U330" s="47" t="inlineStr">
        <is>
          <t>Go to to sign up for your $1-per-month trial period. This episode is sponsored by BetterHelp. Go to to get 10% off your first month. Today Ben dives into the Wizarding World of Harry Potter to try and answer an unsuspecting question. Are Severus Snape and Viktor Krum secretly brothers? At first glance, it sounds completely bonkers… until you look at the shockingly similar physical descriptions, sketchy parental backstories, and eerily shared behaviors. In this deep-dive Harry Potter theory, we explore whether Snape’s muggle father, Tobias Snape, could have abandoned Eileen Prince… only to start a second family in Bulgaria. That’s right—could Krum and Snape actually share a parent without ever knowing it? From hooked noses to brilliant muggle-born crushes, the signs are everywhere if you know where to look.. #supercarlinbrothers #HarryPotter #Snape Written by :: J and Ben Carlin</t>
        </is>
      </c>
      <c r="V330" s="47">
        <f>IF(AND(P330&gt;=Calendar!$K$2,P330&lt;EDATE(Calendar!$K$2,1),OR(Calendar!$K$4="*",N330=Calendar!$K$4)),P330*100+COUNTIFS($P$6:$P$3267,P330,$Q$6:$Q$3267,"&lt;="&amp;Q330,$N$6:$N$3267,Calendar!$K$4),"")</f>
        <v/>
      </c>
      <c r="W330" s="47">
        <f>IF(AND(B330=Queue!$C$4,OR(Queue!$K$4="*",N330=Queue!$K$4)),Q330,"")</f>
        <v/>
      </c>
    </row>
    <row r="331">
      <c r="A331" s="38">
        <f>IF(M331="","",HYPERLINK("https://www.youtube.com/watch?v="&amp;M331,"▶"))</f>
        <v/>
      </c>
      <c r="B331" s="39">
        <f>IF(C331&lt;&gt;"",C331,IF(P331&lt;=IFERROR(INDEX(tblChannels[Watched Through],MATCH(N331,tblChannels[Channel ID],0)),0),"Watched","Unwatched"))</f>
        <v/>
      </c>
      <c r="C331" s="40" t="n"/>
      <c r="D331" s="41" t="n"/>
      <c r="E331" s="42" t="n">
        <v>45821.41666666666</v>
      </c>
      <c r="F331" s="43" t="inlineStr">
        <is>
          <t>Popcorn Culture</t>
        </is>
      </c>
      <c r="G331" t="inlineStr">
        <is>
          <t>A Funny Snake Story | Popcorn Culture</t>
        </is>
      </c>
      <c r="H331" s="44" t="n">
        <v>0.04747685185185185</v>
      </c>
      <c r="I331" s="45" t="n">
        <v>3276</v>
      </c>
      <c r="J331" s="45" t="n">
        <v>159</v>
      </c>
      <c r="K331" s="45" t="n">
        <v>26</v>
      </c>
      <c r="L331" s="46" t="n"/>
      <c r="M331" s="47" t="n"/>
      <c r="N331" s="47" t="inlineStr">
        <is>
          <t>UCHfIbq9thHPC8yrKjAdJgDA</t>
        </is>
      </c>
      <c r="O331" s="48" t="n">
        <v>45821.58333333334</v>
      </c>
      <c r="P331" s="49" t="n">
        <v>45821</v>
      </c>
      <c r="Q331" s="47" t="n">
        <v>2937</v>
      </c>
      <c r="R331" s="47" t="inlineStr">
        <is>
          <t>No Video ID yet</t>
        </is>
      </c>
      <c r="S331" s="49" t="n"/>
      <c r="T331" s="49" t="n"/>
      <c r="U331" s="47" t="inlineStr">
        <is>
          <t>In the 288th episode of the pop, Ben and J discuss alligator and snake stories, the Nate Bargatze Show, Mario Kart DESPAIR, garden updates, dopamine hits, and remote control cars. Nate Bargatze - Will Forte - Get your tickets for Through the Griffin Tour MIDWEST here: GATORS 00:00 - Intro, Gators and Snakes 13:14 - Nate Bargatze’s Special Guest 21:29 - Mario Kart World 37:52 - Garden Update</t>
        </is>
      </c>
      <c r="V331" s="47">
        <f>IF(AND(P331&gt;=Calendar!$K$2,P331&lt;EDATE(Calendar!$K$2,1),OR(Calendar!$K$4="*",N331=Calendar!$K$4)),P331*100+COUNTIFS($P$6:$P$3267,P331,$Q$6:$Q$3267,"&lt;="&amp;Q331,$N$6:$N$3267,Calendar!$K$4),"")</f>
        <v/>
      </c>
      <c r="W331" s="47">
        <f>IF(AND(B331=Queue!$C$4,OR(Queue!$K$4="*",N331=Queue!$K$4)),Q331,"")</f>
        <v/>
      </c>
    </row>
    <row r="332">
      <c r="A332" s="38">
        <f>IF(M332="","",HYPERLINK("https://www.youtube.com/watch?v="&amp;M332,"▶"))</f>
        <v/>
      </c>
      <c r="B332" s="39">
        <f>IF(C332&lt;&gt;"",C332,IF(P332&lt;=IFERROR(INDEX(tblChannels[Watched Through],MATCH(N332,tblChannels[Channel ID],0)),0),"Watched","Unwatched"))</f>
        <v/>
      </c>
      <c r="C332" s="40" t="n"/>
      <c r="D332" s="41" t="n"/>
      <c r="E332" s="42" t="n">
        <v>45819.72916666666</v>
      </c>
      <c r="F332" s="50" t="inlineStr">
        <is>
          <t>Super Carlin Brothers</t>
        </is>
      </c>
      <c r="G332" t="inlineStr">
        <is>
          <t>Reacting to EVERY Harry Potter HBO Casting So Far | Harry Potter Film Theory</t>
        </is>
      </c>
      <c r="H332" s="44" t="n">
        <v>0.01344907407407407</v>
      </c>
      <c r="I332" s="45" t="n">
        <v>162980</v>
      </c>
      <c r="J332" s="45" t="n">
        <v>7478</v>
      </c>
      <c r="K332" s="45" t="n">
        <v>3052</v>
      </c>
      <c r="L332" s="46" t="n"/>
      <c r="M332" s="47" t="n"/>
      <c r="N332" s="47" t="inlineStr">
        <is>
          <t>UCKZo4N0lVPccBkSiuyVh4yg</t>
        </is>
      </c>
      <c r="O332" s="48" t="n">
        <v>45819.89583333334</v>
      </c>
      <c r="P332" s="49" t="n">
        <v>45819</v>
      </c>
      <c r="Q332" s="47" t="n">
        <v>2936</v>
      </c>
      <c r="R332" s="47" t="inlineStr">
        <is>
          <t>No Video ID yet</t>
        </is>
      </c>
      <c r="S332" s="49" t="n"/>
      <c r="T332" s="49" t="n"/>
      <c r="U332" s="47" t="inlineStr">
        <is>
          <t>Today J dives into the Wizarding World of Harry Potter to give his honest thoughts about the casting of every character we know about so far including Paapa Essiedu as Severus Snape, John Lithgow as Albus Dumbledore, Janet McTeer as McGonagall, Nick Frost as Hagrid, and Katherine Parkinson as Molly and everyone else!! Written by :: J and Ben Carlin</t>
        </is>
      </c>
      <c r="V332" s="47">
        <f>IF(AND(P332&gt;=Calendar!$K$2,P332&lt;EDATE(Calendar!$K$2,1),OR(Calendar!$K$4="*",N332=Calendar!$K$4)),P332*100+COUNTIFS($P$6:$P$3267,P332,$Q$6:$Q$3267,"&lt;="&amp;Q332,$N$6:$N$3267,Calendar!$K$4),"")</f>
        <v/>
      </c>
      <c r="W332" s="47">
        <f>IF(AND(B332=Queue!$C$4,OR(Queue!$K$4="*",N332=Queue!$K$4)),Q332,"")</f>
        <v/>
      </c>
    </row>
    <row r="333">
      <c r="A333" s="38">
        <f>IF(M333="","",HYPERLINK("https://www.youtube.com/watch?v="&amp;M333,"▶"))</f>
        <v/>
      </c>
      <c r="B333" s="39">
        <f>IF(C333&lt;&gt;"",C333,IF(P333&lt;=IFERROR(INDEX(tblChannels[Watched Through],MATCH(N333,tblChannels[Channel ID],0)),0),"Watched","Unwatched"))</f>
        <v/>
      </c>
      <c r="C333" s="40" t="n"/>
      <c r="D333" s="41" t="n"/>
      <c r="E333" s="42" t="n">
        <v>45819.62013888889</v>
      </c>
      <c r="F333" s="50" t="inlineStr">
        <is>
          <t>Super Carlin Brothers</t>
        </is>
      </c>
      <c r="G333" t="inlineStr">
        <is>
          <t>Moana wasn't the first Chosen One.. #Disney</t>
        </is>
      </c>
      <c r="H333" s="44" t="n">
        <v>0.002083333333333333</v>
      </c>
      <c r="I333" s="45" t="n">
        <v>890031</v>
      </c>
      <c r="J333" s="45" t="n">
        <v>73573</v>
      </c>
      <c r="K333" s="45" t="n">
        <v>259</v>
      </c>
      <c r="L333" s="46" t="n"/>
      <c r="M333" s="47" t="n"/>
      <c r="N333" s="47" t="inlineStr">
        <is>
          <t>UCKZo4N0lVPccBkSiuyVh4yg</t>
        </is>
      </c>
      <c r="O333" s="48" t="n">
        <v>45819.78680555556</v>
      </c>
      <c r="P333" s="49" t="n">
        <v>45819</v>
      </c>
      <c r="Q333" s="47" t="n">
        <v>2935</v>
      </c>
      <c r="R333" s="47" t="inlineStr">
        <is>
          <t>No Video ID yet</t>
        </is>
      </c>
      <c r="S333" s="49" t="n"/>
      <c r="T333" s="49" t="n"/>
      <c r="U333" s="47" t="inlineStr">
        <is>
          <t>Moana wasn't the first Chosen One by the ocean... just the first to finally pass the test.</t>
        </is>
      </c>
      <c r="V333" s="47">
        <f>IF(AND(P333&gt;=Calendar!$K$2,P333&lt;EDATE(Calendar!$K$2,1),OR(Calendar!$K$4="*",N333=Calendar!$K$4)),P333*100+COUNTIFS($P$6:$P$3267,P333,$Q$6:$Q$3267,"&lt;="&amp;Q333,$N$6:$N$3267,Calendar!$K$4),"")</f>
        <v/>
      </c>
      <c r="W333" s="47">
        <f>IF(AND(B333=Queue!$C$4,OR(Queue!$K$4="*",N333=Queue!$K$4)),Q333,"")</f>
        <v/>
      </c>
    </row>
    <row r="334">
      <c r="A334" s="38">
        <f>IF(M334="","",HYPERLINK("https://www.youtube.com/watch?v="&amp;M334,"▶"))</f>
        <v/>
      </c>
      <c r="B334" s="39">
        <f>IF(C334&lt;&gt;"",C334,IF(P334&lt;=IFERROR(INDEX(tblChannels[Watched Through],MATCH(N334,tblChannels[Channel ID],0)),0),"Watched","Unwatched"))</f>
        <v/>
      </c>
      <c r="C334" s="40" t="n"/>
      <c r="D334" s="41" t="n"/>
      <c r="E334" s="42" t="n">
        <v>45817.84027777778</v>
      </c>
      <c r="F334" s="50" t="inlineStr">
        <is>
          <t>Super Carlin Brothers</t>
        </is>
      </c>
      <c r="G334" t="inlineStr">
        <is>
          <t>What Happened To Kristoff’s Parents? #disney</t>
        </is>
      </c>
      <c r="H334" s="44" t="n">
        <v>0.002094907407407407</v>
      </c>
      <c r="I334" s="45" t="n">
        <v>182563</v>
      </c>
      <c r="J334" s="45" t="n">
        <v>17227</v>
      </c>
      <c r="K334" s="45" t="n">
        <v>89</v>
      </c>
      <c r="L334" s="46" t="n"/>
      <c r="M334" s="47" t="n"/>
      <c r="N334" s="47" t="inlineStr">
        <is>
          <t>UCKZo4N0lVPccBkSiuyVh4yg</t>
        </is>
      </c>
      <c r="O334" s="48" t="n">
        <v>45818.00694444445</v>
      </c>
      <c r="P334" s="49" t="n">
        <v>45817</v>
      </c>
      <c r="Q334" s="47" t="n">
        <v>2934</v>
      </c>
      <c r="R334" s="47" t="inlineStr">
        <is>
          <t>No Video ID yet</t>
        </is>
      </c>
      <c r="S334" s="49" t="n"/>
      <c r="T334" s="49" t="n"/>
      <c r="U334" s="47" t="inlineStr">
        <is>
          <t>What ever happened to Kristoff's Parents in Frozen??</t>
        </is>
      </c>
      <c r="V334" s="47">
        <f>IF(AND(P334&gt;=Calendar!$K$2,P334&lt;EDATE(Calendar!$K$2,1),OR(Calendar!$K$4="*",N334=Calendar!$K$4)),P334*100+COUNTIFS($P$6:$P$3267,P334,$Q$6:$Q$3267,"&lt;="&amp;Q334,$N$6:$N$3267,Calendar!$K$4),"")</f>
        <v/>
      </c>
      <c r="W334" s="47">
        <f>IF(AND(B334=Queue!$C$4,OR(Queue!$K$4="*",N334=Queue!$K$4)),Q334,"")</f>
        <v/>
      </c>
    </row>
    <row r="335">
      <c r="A335" s="38">
        <f>IF(M335="","",HYPERLINK("https://www.youtube.com/watch?v="&amp;M335,"▶"))</f>
        <v/>
      </c>
      <c r="B335" s="39">
        <f>IF(C335&lt;&gt;"",C335,IF(P335&lt;=IFERROR(INDEX(tblChannels[Watched Through],MATCH(N335,tblChannels[Channel ID],0)),0),"Watched","Unwatched"))</f>
        <v/>
      </c>
      <c r="C335" s="40" t="n"/>
      <c r="D335" s="41" t="n"/>
      <c r="E335" s="42" t="n">
        <v>45816.41666666666</v>
      </c>
      <c r="F335" s="51" t="inlineStr">
        <is>
          <t>Through The Griffin Door</t>
        </is>
      </c>
      <c r="G335" t="inlineStr">
        <is>
          <t>Chapter 29: The Dream | Goblet of Fire</t>
        </is>
      </c>
      <c r="H335" s="44" t="n">
        <v>0.06362268518518518</v>
      </c>
      <c r="I335" s="45" t="n">
        <v>53144</v>
      </c>
      <c r="J335" s="45" t="n">
        <v>1380</v>
      </c>
      <c r="K335" s="45" t="n">
        <v>404</v>
      </c>
      <c r="L335" s="46" t="n"/>
      <c r="M335" s="47" t="n"/>
      <c r="N335" s="47" t="inlineStr">
        <is>
          <t>UCEscP6ETYXWSSvsNrDHekMQ</t>
        </is>
      </c>
      <c r="O335" s="48" t="n">
        <v>45816.58333333334</v>
      </c>
      <c r="P335" s="49" t="n">
        <v>45816</v>
      </c>
      <c r="Q335" s="47" t="n">
        <v>2933</v>
      </c>
      <c r="R335" s="47" t="inlineStr">
        <is>
          <t>No Video ID yet</t>
        </is>
      </c>
      <c r="S335" s="49" t="n"/>
      <c r="T335" s="49" t="n"/>
      <c r="U335" s="47" t="inlineStr">
        <is>
          <t>This episode is sponsored by Pair Eyewear – Go to paireyewear.com and use code 'GRIFFIN' for 15% off your first pair. Join J and Ben as they dive into Chapter 29 of the Goblet of Fire and discuss the golden trio theororizing, running into the twins, BCJ having a horcrux, practicing for the third task, the actual dream and Harry overhearing convenient plot points Hogwarts is Alive - THROUGH THE GRIFFIN TOUR MIDWEST TICKETS ARE ON SALE RIGHT NOW St. Louis, MO - 9/17a Support us on Patreon AND GET YOUR GUMPSTER FIRE PIN: 10:32 - Chapter Breakdown 30:12 - Ad Break (Pair Eyewear) 31:58 - More Chapter Breakdown 1:23:11 - Closing Thoughts and Review</t>
        </is>
      </c>
      <c r="V335" s="47">
        <f>IF(AND(P335&gt;=Calendar!$K$2,P335&lt;EDATE(Calendar!$K$2,1),OR(Calendar!$K$4="*",N335=Calendar!$K$4)),P335*100+COUNTIFS($P$6:$P$3267,P335,$Q$6:$Q$3267,"&lt;="&amp;Q335,$N$6:$N$3267,Calendar!$K$4),"")</f>
        <v/>
      </c>
      <c r="W335" s="47">
        <f>IF(AND(B335=Queue!$C$4,OR(Queue!$K$4="*",N335=Queue!$K$4)),Q335,"")</f>
        <v/>
      </c>
    </row>
    <row r="336">
      <c r="A336" s="38">
        <f>IF(M336="","",HYPERLINK("https://www.youtube.com/watch?v="&amp;M336,"▶"))</f>
        <v/>
      </c>
      <c r="B336" s="39">
        <f>IF(C336&lt;&gt;"",C336,IF(P336&lt;=IFERROR(INDEX(tblChannels[Watched Through],MATCH(N336,tblChannels[Channel ID],0)),0),"Watched","Unwatched"))</f>
        <v/>
      </c>
      <c r="C336" s="40" t="n"/>
      <c r="D336" s="41" t="n"/>
      <c r="E336" s="42" t="n">
        <v>45814.67777777778</v>
      </c>
      <c r="F336" s="50" t="inlineStr">
        <is>
          <t>Super Carlin Brothers</t>
        </is>
      </c>
      <c r="G336" t="inlineStr">
        <is>
          <t>Barty Crouch Jr’s HORCRUX | Harry Potter Film Theory</t>
        </is>
      </c>
      <c r="H336" s="44" t="n">
        <v>0.01018518518518519</v>
      </c>
      <c r="I336" s="45" t="n">
        <v>179627</v>
      </c>
      <c r="J336" s="45" t="n">
        <v>7938</v>
      </c>
      <c r="K336" s="45" t="n">
        <v>956</v>
      </c>
      <c r="L336" s="46" t="n"/>
      <c r="M336" s="47" t="n"/>
      <c r="N336" s="47" t="inlineStr">
        <is>
          <t>UCKZo4N0lVPccBkSiuyVh4yg</t>
        </is>
      </c>
      <c r="O336" s="48" t="n">
        <v>45814.84444444445</v>
      </c>
      <c r="P336" s="49" t="n">
        <v>45814</v>
      </c>
      <c r="Q336" s="47" t="n">
        <v>2932</v>
      </c>
      <c r="R336" s="47" t="inlineStr">
        <is>
          <t>No Video ID yet</t>
        </is>
      </c>
      <c r="S336" s="49" t="n"/>
      <c r="T336" s="49" t="n"/>
      <c r="U336" s="47" t="inlineStr">
        <is>
          <t>Today Ben dives into the Wizarding World of Harry Potter to find out if one of it’s most notorious villains, Barty Crouch Jr., is still waiting in the wings to come back and wreak havoc once again! Did he make a Horcrux? What was it? Where is it? And what actually became of Barty Crouch Jr.?</t>
        </is>
      </c>
      <c r="V336" s="47">
        <f>IF(AND(P336&gt;=Calendar!$K$2,P336&lt;EDATE(Calendar!$K$2,1),OR(Calendar!$K$4="*",N336=Calendar!$K$4)),P336*100+COUNTIFS($P$6:$P$3267,P336,$Q$6:$Q$3267,"&lt;="&amp;Q336,$N$6:$N$3267,Calendar!$K$4),"")</f>
        <v/>
      </c>
      <c r="W336" s="47">
        <f>IF(AND(B336=Queue!$C$4,OR(Queue!$K$4="*",N336=Queue!$K$4)),Q336,"")</f>
        <v/>
      </c>
    </row>
    <row r="337">
      <c r="A337" s="38">
        <f>IF(M337="","",HYPERLINK("https://www.youtube.com/watch?v="&amp;M337,"▶"))</f>
        <v/>
      </c>
      <c r="B337" s="39">
        <f>IF(C337&lt;&gt;"",C337,IF(P337&lt;=IFERROR(INDEX(tblChannels[Watched Through],MATCH(N337,tblChannels[Channel ID],0)),0),"Watched","Unwatched"))</f>
        <v/>
      </c>
      <c r="C337" s="40" t="n"/>
      <c r="D337" s="41" t="n"/>
      <c r="E337" s="42" t="n">
        <v>45814.67361111111</v>
      </c>
      <c r="F337" s="50" t="inlineStr">
        <is>
          <t>Super Carlin Brothers</t>
        </is>
      </c>
      <c r="G337" t="inlineStr">
        <is>
          <t>How Dumbledore SPIES On People! #harrypotter</t>
        </is>
      </c>
      <c r="H337" s="44" t="n">
        <v>0.001747685185185185</v>
      </c>
      <c r="I337" s="45" t="n">
        <v>76902</v>
      </c>
      <c r="J337" s="45" t="n">
        <v>4849</v>
      </c>
      <c r="K337" s="45" t="n">
        <v>108</v>
      </c>
      <c r="L337" s="46" t="n"/>
      <c r="M337" s="47" t="n"/>
      <c r="N337" s="47" t="inlineStr">
        <is>
          <t>UCKZo4N0lVPccBkSiuyVh4yg</t>
        </is>
      </c>
      <c r="O337" s="48" t="n">
        <v>45814.84027777778</v>
      </c>
      <c r="P337" s="49" t="n">
        <v>45814</v>
      </c>
      <c r="Q337" s="47" t="n">
        <v>2931</v>
      </c>
      <c r="R337" s="47" t="inlineStr">
        <is>
          <t>No Video ID yet</t>
        </is>
      </c>
      <c r="S337" s="49" t="n"/>
      <c r="T337" s="49" t="n"/>
      <c r="U337" s="47" t="inlineStr">
        <is>
          <t>Dumbledore's deluminator is a SUPER useful magical tool for putting out lights and finding your friends.. but has Dumbledore been using it to spy on everyone too!?</t>
        </is>
      </c>
      <c r="V337" s="47">
        <f>IF(AND(P337&gt;=Calendar!$K$2,P337&lt;EDATE(Calendar!$K$2,1),OR(Calendar!$K$4="*",N337=Calendar!$K$4)),P337*100+COUNTIFS($P$6:$P$3267,P337,$Q$6:$Q$3267,"&lt;="&amp;Q337,$N$6:$N$3267,Calendar!$K$4),"")</f>
        <v/>
      </c>
      <c r="W337" s="47">
        <f>IF(AND(B337=Queue!$C$4,OR(Queue!$K$4="*",N337=Queue!$K$4)),Q337,"")</f>
        <v/>
      </c>
    </row>
    <row r="338">
      <c r="A338" s="38">
        <f>IF(M338="","",HYPERLINK("https://www.youtube.com/watch?v="&amp;M338,"▶"))</f>
        <v/>
      </c>
      <c r="B338" s="39">
        <f>IF(C338&lt;&gt;"",C338,IF(P338&lt;=IFERROR(INDEX(tblChannels[Watched Through],MATCH(N338,tblChannels[Channel ID],0)),0),"Watched","Unwatched"))</f>
        <v/>
      </c>
      <c r="C338" s="40" t="n"/>
      <c r="D338" s="41" t="n"/>
      <c r="E338" s="42" t="n">
        <v>45814.55486111111</v>
      </c>
      <c r="F338" s="43" t="inlineStr">
        <is>
          <t>Popcorn Culture</t>
        </is>
      </c>
      <c r="G338" t="inlineStr">
        <is>
          <t>LETS MAKE CORNDOGS OUTSIDE | Popcorn Culture</t>
        </is>
      </c>
      <c r="H338" s="44" t="n">
        <v>0.0008333333333333334</v>
      </c>
      <c r="I338" s="45" t="n">
        <v>6773</v>
      </c>
      <c r="J338" s="45" t="n">
        <v>526</v>
      </c>
      <c r="K338" s="45" t="n">
        <v>17</v>
      </c>
      <c r="L338" s="46" t="n"/>
      <c r="M338" s="47" t="n"/>
      <c r="N338" s="47" t="inlineStr">
        <is>
          <t>UCHfIbq9thHPC8yrKjAdJgDA</t>
        </is>
      </c>
      <c r="O338" s="48" t="n">
        <v>45814.72152777778</v>
      </c>
      <c r="P338" s="49" t="n">
        <v>45814</v>
      </c>
      <c r="Q338" s="47" t="n">
        <v>2930</v>
      </c>
      <c r="R338" s="47" t="inlineStr">
        <is>
          <t>No Video ID yet</t>
        </is>
      </c>
      <c r="S338" s="49" t="n"/>
      <c r="T338" s="49" t="n"/>
      <c r="U338" s="47" t="inlineStr">
        <is>
          <t>Watch as Ben fulfills his lifelong dream of making a SUPER FUN family camping trip, complete with fresh corndogs.</t>
        </is>
      </c>
      <c r="V338" s="47">
        <f>IF(AND(P338&gt;=Calendar!$K$2,P338&lt;EDATE(Calendar!$K$2,1),OR(Calendar!$K$4="*",N338=Calendar!$K$4)),P338*100+COUNTIFS($P$6:$P$3267,P338,$Q$6:$Q$3267,"&lt;="&amp;Q338,$N$6:$N$3267,Calendar!$K$4),"")</f>
        <v/>
      </c>
      <c r="W338" s="47">
        <f>IF(AND(B338=Queue!$C$4,OR(Queue!$K$4="*",N338=Queue!$K$4)),Q338,"")</f>
        <v/>
      </c>
    </row>
    <row r="339">
      <c r="A339" s="38">
        <f>IF(M339="","",HYPERLINK("https://www.youtube.com/watch?v="&amp;M339,"▶"))</f>
        <v/>
      </c>
      <c r="B339" s="39">
        <f>IF(C339&lt;&gt;"",C339,IF(P339&lt;=IFERROR(INDEX(tblChannels[Watched Through],MATCH(N339,tblChannels[Channel ID],0)),0),"Watched","Unwatched"))</f>
        <v/>
      </c>
      <c r="C339" s="40" t="n"/>
      <c r="D339" s="41" t="n"/>
      <c r="E339" s="42" t="n">
        <v>45814.41666666666</v>
      </c>
      <c r="F339" s="43" t="inlineStr">
        <is>
          <t>Popcorn Culture</t>
        </is>
      </c>
      <c r="G339" t="inlineStr">
        <is>
          <t>Campfire Corndogs | Popcorn Culture</t>
        </is>
      </c>
      <c r="H339" s="44" t="n">
        <v>0.04349537037037037</v>
      </c>
      <c r="I339" s="45" t="n">
        <v>3197</v>
      </c>
      <c r="J339" s="45" t="n">
        <v>158</v>
      </c>
      <c r="K339" s="45" t="n">
        <v>14</v>
      </c>
      <c r="L339" s="46" t="n"/>
      <c r="M339" s="47" t="n"/>
      <c r="N339" s="47" t="inlineStr">
        <is>
          <t>UCHfIbq9thHPC8yrKjAdJgDA</t>
        </is>
      </c>
      <c r="O339" s="48" t="n">
        <v>45814.58333333334</v>
      </c>
      <c r="P339" s="49" t="n">
        <v>45814</v>
      </c>
      <c r="Q339" s="47" t="n">
        <v>2929</v>
      </c>
      <c r="R339" s="47" t="inlineStr">
        <is>
          <t>No Video ID yet</t>
        </is>
      </c>
      <c r="S339" s="49" t="n"/>
      <c r="T339" s="49" t="n"/>
      <c r="U339" s="47" t="inlineStr">
        <is>
          <t>In the 287th episode of the Pop, Ben and J discuss losing sleep, Outdoor Boys stopping YouTube, and their latest family camping trip. The Outdoor Boys Goodbye - Get your tickets for Through the Griffin Tour MIDWEST here: Ben’s Bag of Tricks Shovel Bread! 00:00 - Intro, Losing Sleep 15:12 - The Family Camping Trip 18:52 - (better audio)</t>
        </is>
      </c>
      <c r="V339" s="47">
        <f>IF(AND(P339&gt;=Calendar!$K$2,P339&lt;EDATE(Calendar!$K$2,1),OR(Calendar!$K$4="*",N339=Calendar!$K$4)),P339*100+COUNTIFS($P$6:$P$3267,P339,$Q$6:$Q$3267,"&lt;="&amp;Q339,$N$6:$N$3267,Calendar!$K$4),"")</f>
        <v/>
      </c>
      <c r="W339" s="47">
        <f>IF(AND(B339=Queue!$C$4,OR(Queue!$K$4="*",N339=Queue!$K$4)),Q339,"")</f>
        <v/>
      </c>
    </row>
    <row r="340">
      <c r="A340" s="38">
        <f>IF(M340="","",HYPERLINK("https://www.youtube.com/watch?v="&amp;M340,"▶"))</f>
        <v/>
      </c>
      <c r="B340" s="39">
        <f>IF(C340&lt;&gt;"",C340,IF(P340&lt;=IFERROR(INDEX(tblChannels[Watched Through],MATCH(N340,tblChannels[Channel ID],0)),0),"Watched","Unwatched"))</f>
        <v/>
      </c>
      <c r="C340" s="40" t="n"/>
      <c r="D340" s="41" t="n"/>
      <c r="E340" s="42" t="n">
        <v>45812.70347222222</v>
      </c>
      <c r="F340" s="50" t="inlineStr">
        <is>
          <t>Super Carlin Brothers</t>
        </is>
      </c>
      <c r="G340" t="inlineStr">
        <is>
          <t>J vs Ben: Who Said What? Harry Potter TRIVIA Quiz</t>
        </is>
      </c>
      <c r="H340" s="44" t="n">
        <v>0.03240740740740741</v>
      </c>
      <c r="I340" s="45" t="n">
        <v>136700</v>
      </c>
      <c r="J340" s="45" t="n">
        <v>4376</v>
      </c>
      <c r="K340" s="45" t="n">
        <v>435</v>
      </c>
      <c r="L340" s="46" t="n"/>
      <c r="M340" s="47" t="n"/>
      <c r="N340" s="47" t="inlineStr">
        <is>
          <t>UCKZo4N0lVPccBkSiuyVh4yg</t>
        </is>
      </c>
      <c r="O340" s="48" t="n">
        <v>45812.87013888889</v>
      </c>
      <c r="P340" s="49" t="n">
        <v>45812</v>
      </c>
      <c r="Q340" s="47" t="n">
        <v>2928</v>
      </c>
      <c r="R340" s="47" t="inlineStr">
        <is>
          <t>No Video ID yet</t>
        </is>
      </c>
      <c r="S340" s="49" t="n"/>
      <c r="T340" s="49" t="n"/>
      <c r="U340" s="47" t="inlineStr">
        <is>
          <t>Go to and use code jvsb50off to get 50% off and free shipping on your first box. Today J and Ben face off once more to find out who knows more about who said what in Harry Potter! Given just an out of context quote we have to name the character and book the quote is from! Written by :: QUIZMASTERS! Read by :: Kat Stine</t>
        </is>
      </c>
      <c r="V340" s="47">
        <f>IF(AND(P340&gt;=Calendar!$K$2,P340&lt;EDATE(Calendar!$K$2,1),OR(Calendar!$K$4="*",N340=Calendar!$K$4)),P340*100+COUNTIFS($P$6:$P$3267,P340,$Q$6:$Q$3267,"&lt;="&amp;Q340,$N$6:$N$3267,Calendar!$K$4),"")</f>
        <v/>
      </c>
      <c r="W340" s="47">
        <f>IF(AND(B340=Queue!$C$4,OR(Queue!$K$4="*",N340=Queue!$K$4)),Q340,"")</f>
        <v/>
      </c>
    </row>
    <row r="341">
      <c r="A341" s="38">
        <f>IF(M341="","",HYPERLINK("https://www.youtube.com/watch?v="&amp;M341,"▶"))</f>
        <v/>
      </c>
      <c r="B341" s="39">
        <f>IF(C341&lt;&gt;"",C341,IF(P341&lt;=IFERROR(INDEX(tblChannels[Watched Through],MATCH(N341,tblChannels[Channel ID],0)),0),"Watched","Unwatched"))</f>
        <v/>
      </c>
      <c r="C341" s="40" t="n"/>
      <c r="D341" s="41" t="n"/>
      <c r="E341" s="42" t="n">
        <v>45812.64861111111</v>
      </c>
      <c r="F341" s="50" t="inlineStr">
        <is>
          <t>Super Carlin Brothers</t>
        </is>
      </c>
      <c r="G341" t="inlineStr">
        <is>
          <t>Hunger Games MASTER Plan #HungerGames</t>
        </is>
      </c>
      <c r="H341" s="44" t="n">
        <v>0.002083333333333333</v>
      </c>
      <c r="I341" s="45" t="n">
        <v>107972</v>
      </c>
      <c r="J341" s="45" t="n">
        <v>5341</v>
      </c>
      <c r="K341" s="45" t="n">
        <v>104</v>
      </c>
      <c r="L341" s="46" t="n"/>
      <c r="M341" s="47" t="n"/>
      <c r="N341" s="47" t="inlineStr">
        <is>
          <t>UCKZo4N0lVPccBkSiuyVh4yg</t>
        </is>
      </c>
      <c r="O341" s="48" t="n">
        <v>45812.81527777778</v>
      </c>
      <c r="P341" s="49" t="n">
        <v>45812</v>
      </c>
      <c r="Q341" s="47" t="n">
        <v>2927</v>
      </c>
      <c r="R341" s="47" t="inlineStr">
        <is>
          <t>No Video ID yet</t>
        </is>
      </c>
      <c r="S341" s="49" t="n"/>
      <c r="T341" s="49" t="n"/>
      <c r="U341" s="47" t="inlineStr">
        <is>
          <t>President Coin manipulated every aspect of Katniss' life from the moment Prim's name came out of the Reaping.</t>
        </is>
      </c>
      <c r="V341" s="47">
        <f>IF(AND(P341&gt;=Calendar!$K$2,P341&lt;EDATE(Calendar!$K$2,1),OR(Calendar!$K$4="*",N341=Calendar!$K$4)),P341*100+COUNTIFS($P$6:$P$3267,P341,$Q$6:$Q$3267,"&lt;="&amp;Q341,$N$6:$N$3267,Calendar!$K$4),"")</f>
        <v/>
      </c>
      <c r="W341" s="47">
        <f>IF(AND(B341=Queue!$C$4,OR(Queue!$K$4="*",N341=Queue!$K$4)),Q341,"")</f>
        <v/>
      </c>
    </row>
    <row r="342">
      <c r="A342" s="38">
        <f>IF(M342="","",HYPERLINK("https://www.youtube.com/watch?v="&amp;M342,"▶"))</f>
        <v/>
      </c>
      <c r="B342" s="39">
        <f>IF(C342&lt;&gt;"",C342,IF(P342&lt;=IFERROR(INDEX(tblChannels[Watched Through],MATCH(N342,tblChannels[Channel ID],0)),0),"Watched","Unwatched"))</f>
        <v/>
      </c>
      <c r="C342" s="40" t="n"/>
      <c r="D342" s="41" t="n"/>
      <c r="E342" s="42" t="n">
        <v>45810.66597222222</v>
      </c>
      <c r="F342" s="50" t="inlineStr">
        <is>
          <t>Super Carlin Brothers</t>
        </is>
      </c>
      <c r="G342" t="inlineStr">
        <is>
          <t>Mirabel Can BEND REALITY?? #disney</t>
        </is>
      </c>
      <c r="H342" s="44" t="n">
        <v>0.002083333333333333</v>
      </c>
      <c r="I342" s="45" t="n">
        <v>1139199</v>
      </c>
      <c r="J342" s="45" t="n">
        <v>78735</v>
      </c>
      <c r="K342" s="45" t="n">
        <v>596</v>
      </c>
      <c r="L342" s="46" t="n"/>
      <c r="M342" s="47" t="n"/>
      <c r="N342" s="47" t="inlineStr">
        <is>
          <t>UCKZo4N0lVPccBkSiuyVh4yg</t>
        </is>
      </c>
      <c r="O342" s="48" t="n">
        <v>45810.83263888889</v>
      </c>
      <c r="P342" s="49" t="n">
        <v>45810</v>
      </c>
      <c r="Q342" s="47" t="n">
        <v>2926</v>
      </c>
      <c r="R342" s="47" t="inlineStr">
        <is>
          <t>No Video ID yet</t>
        </is>
      </c>
      <c r="S342" s="49" t="n"/>
      <c r="T342" s="49" t="n"/>
      <c r="U342" s="47" t="inlineStr">
        <is>
          <t>Wait Mirabel in Encanto DID get a power?! One that makes her and everyone else believe she didn't?</t>
        </is>
      </c>
      <c r="V342" s="47">
        <f>IF(AND(P342&gt;=Calendar!$K$2,P342&lt;EDATE(Calendar!$K$2,1),OR(Calendar!$K$4="*",N342=Calendar!$K$4)),P342*100+COUNTIFS($P$6:$P$3267,P342,$Q$6:$Q$3267,"&lt;="&amp;Q342,$N$6:$N$3267,Calendar!$K$4),"")</f>
        <v/>
      </c>
      <c r="W342" s="47">
        <f>IF(AND(B342=Queue!$C$4,OR(Queue!$K$4="*",N342=Queue!$K$4)),Q342,"")</f>
        <v/>
      </c>
    </row>
    <row r="343">
      <c r="A343" s="38">
        <f>IF(M343="","",HYPERLINK("https://www.youtube.com/watch?v="&amp;M343,"▶"))</f>
        <v/>
      </c>
      <c r="B343" s="39">
        <f>IF(C343&lt;&gt;"",C343,IF(P343&lt;=IFERROR(INDEX(tblChannels[Watched Through],MATCH(N343,tblChannels[Channel ID],0)),0),"Watched","Unwatched"))</f>
        <v/>
      </c>
      <c r="C343" s="40" t="n"/>
      <c r="D343" s="41" t="n"/>
      <c r="E343" s="42" t="n">
        <v>45809.41736111111</v>
      </c>
      <c r="F343" s="51" t="inlineStr">
        <is>
          <t>Through The Griffin Door</t>
        </is>
      </c>
      <c r="G343" t="inlineStr">
        <is>
          <t>Chapter 28 :The Madness of Mr. Crouch | Goblet of Fire</t>
        </is>
      </c>
      <c r="H343" s="44" t="n">
        <v>0.08427083333333334</v>
      </c>
      <c r="I343" s="45" t="n">
        <v>63032</v>
      </c>
      <c r="J343" s="45" t="n">
        <v>1494</v>
      </c>
      <c r="K343" s="45" t="n">
        <v>538</v>
      </c>
      <c r="L343" s="46" t="n"/>
      <c r="M343" s="47" t="n"/>
      <c r="N343" s="47" t="inlineStr">
        <is>
          <t>UCEscP6ETYXWSSvsNrDHekMQ</t>
        </is>
      </c>
      <c r="O343" s="48" t="n">
        <v>45809.58402777778</v>
      </c>
      <c r="P343" s="49" t="n">
        <v>45809</v>
      </c>
      <c r="Q343" s="47" t="n">
        <v>2925</v>
      </c>
      <c r="R343" s="47" t="inlineStr">
        <is>
          <t>No Video ID yet</t>
        </is>
      </c>
      <c r="S343" s="49" t="n"/>
      <c r="T343" s="49" t="n"/>
      <c r="U343" s="47" t="inlineStr">
        <is>
          <t>Join J and Ben as they dive into Chapter 28 of the Goblet of Fire and discuss King George, Percy’s redundant letter, Winkey and her hiccups, owl talk, Hermione’s hate mail, NIFFLERS!!! Leprechaun gold, Mrs. Weasley’s reaction to the article, Krum taking Harry aside and finding Mr. Crouch raving. THROUGH THE GRIFFIN TOUR MIDWEST TICKETS ARE ON SALE RIGHT NOW St. Louis, MO - 9/17a 07:03 - Chapter Breakdown 1:55:55 - Closing Thoughts and Review</t>
        </is>
      </c>
      <c r="V343" s="47">
        <f>IF(AND(P343&gt;=Calendar!$K$2,P343&lt;EDATE(Calendar!$K$2,1),OR(Calendar!$K$4="*",N343=Calendar!$K$4)),P343*100+COUNTIFS($P$6:$P$3267,P343,$Q$6:$Q$3267,"&lt;="&amp;Q343,$N$6:$N$3267,Calendar!$K$4),"")</f>
        <v/>
      </c>
      <c r="W343" s="47">
        <f>IF(AND(B343=Queue!$C$4,OR(Queue!$K$4="*",N343=Queue!$K$4)),Q343,"")</f>
        <v/>
      </c>
    </row>
    <row r="344">
      <c r="A344" s="38">
        <f>IF(M344="","",HYPERLINK("https://www.youtube.com/watch?v="&amp;M344,"▶"))</f>
        <v/>
      </c>
      <c r="B344" s="39">
        <f>IF(C344&lt;&gt;"",C344,IF(P344&lt;=IFERROR(INDEX(tblChannels[Watched Through],MATCH(N344,tblChannels[Channel ID],0)),0),"Watched","Unwatched"))</f>
        <v/>
      </c>
      <c r="C344" s="40" t="n"/>
      <c r="D344" s="41" t="n"/>
      <c r="E344" s="42" t="n">
        <v>45808.41666666666</v>
      </c>
      <c r="F344" s="50" t="inlineStr">
        <is>
          <t>Super Carlin Brothers</t>
        </is>
      </c>
      <c r="G344" t="inlineStr">
        <is>
          <t>Through the Griffin Door Supercut: Goblet of Fire Chapters 25-27</t>
        </is>
      </c>
      <c r="H344" s="44" t="n">
        <v>0.2433449074074074</v>
      </c>
      <c r="I344" s="45" t="n">
        <v>15666</v>
      </c>
      <c r="J344" s="45" t="n">
        <v>277</v>
      </c>
      <c r="K344" s="45" t="n">
        <v>50</v>
      </c>
      <c r="L344" s="46" t="n"/>
      <c r="M344" s="47" t="n"/>
      <c r="N344" s="47" t="inlineStr">
        <is>
          <t>UCKZo4N0lVPccBkSiuyVh4yg</t>
        </is>
      </c>
      <c r="O344" s="48" t="n">
        <v>45808.58333333334</v>
      </c>
      <c r="P344" s="49" t="n">
        <v>45808</v>
      </c>
      <c r="Q344" s="47" t="n">
        <v>2924</v>
      </c>
      <c r="R344" s="47" t="inlineStr">
        <is>
          <t>No Video ID yet</t>
        </is>
      </c>
      <c r="S344" s="49" t="n"/>
      <c r="T344" s="49" t="n"/>
      <c r="U344" s="47" t="inlineStr">
        <is>
          <t>0:00:00 - Chapter 25: The Egg and the Eye 1:29:04 - Chapter 26: The Second Task 3:40:58 - Chapter 27: Padfoot Returns</t>
        </is>
      </c>
      <c r="V344" s="47">
        <f>IF(AND(P344&gt;=Calendar!$K$2,P344&lt;EDATE(Calendar!$K$2,1),OR(Calendar!$K$4="*",N344=Calendar!$K$4)),P344*100+COUNTIFS($P$6:$P$3267,P344,$Q$6:$Q$3267,"&lt;="&amp;Q344,$N$6:$N$3267,Calendar!$K$4),"")</f>
        <v/>
      </c>
      <c r="W344" s="47">
        <f>IF(AND(B344=Queue!$C$4,OR(Queue!$K$4="*",N344=Queue!$K$4)),Q344,"")</f>
        <v/>
      </c>
    </row>
    <row r="345">
      <c r="A345" s="38">
        <f>IF(M345="","",HYPERLINK("https://www.youtube.com/watch?v="&amp;M345,"▶"))</f>
        <v/>
      </c>
      <c r="B345" s="39">
        <f>IF(C345&lt;&gt;"",C345,IF(P345&lt;=IFERROR(INDEX(tblChannels[Watched Through],MATCH(N345,tblChannels[Channel ID],0)),0),"Watched","Unwatched"))</f>
        <v/>
      </c>
      <c r="C345" s="40" t="n"/>
      <c r="D345" s="41" t="n"/>
      <c r="E345" s="42" t="n">
        <v>45807.91736111111</v>
      </c>
      <c r="F345" s="50" t="inlineStr">
        <is>
          <t>Super Carlin Brothers</t>
        </is>
      </c>
      <c r="G345" t="inlineStr">
        <is>
          <t>Who is Toy Story Andy’s Monster?? #toystory</t>
        </is>
      </c>
      <c r="H345" s="44" t="n">
        <v>0.001990740740740741</v>
      </c>
      <c r="I345" s="45" t="n">
        <v>2289265</v>
      </c>
      <c r="J345" s="45" t="n">
        <v>159642</v>
      </c>
      <c r="K345" s="45" t="n">
        <v>1281</v>
      </c>
      <c r="L345" s="46" t="n"/>
      <c r="M345" s="47" t="n"/>
      <c r="N345" s="47" t="inlineStr">
        <is>
          <t>UCKZo4N0lVPccBkSiuyVh4yg</t>
        </is>
      </c>
      <c r="O345" s="48" t="n">
        <v>45808.08402777778</v>
      </c>
      <c r="P345" s="49" t="n">
        <v>45807</v>
      </c>
      <c r="Q345" s="47" t="n">
        <v>2923</v>
      </c>
      <c r="R345" s="47" t="inlineStr">
        <is>
          <t>No Video ID yet</t>
        </is>
      </c>
      <c r="S345" s="49" t="n"/>
      <c r="T345" s="49" t="n"/>
      <c r="U345" s="47" t="inlineStr">
        <is>
          <t>Toy Story and Monsters Inc. are FOR SURE connected, which means Andy Davis had a monster when he was a kid... the question is... who? Sully? Randall? Georgie? Mike? Waternoose?</t>
        </is>
      </c>
      <c r="V345" s="47">
        <f>IF(AND(P345&gt;=Calendar!$K$2,P345&lt;EDATE(Calendar!$K$2,1),OR(Calendar!$K$4="*",N345=Calendar!$K$4)),P345*100+COUNTIFS($P$6:$P$3267,P345,$Q$6:$Q$3267,"&lt;="&amp;Q345,$N$6:$N$3267,Calendar!$K$4),"")</f>
        <v/>
      </c>
      <c r="W345" s="47">
        <f>IF(AND(B345=Queue!$C$4,OR(Queue!$K$4="*",N345=Queue!$K$4)),Q345,"")</f>
        <v/>
      </c>
    </row>
    <row r="346">
      <c r="A346" s="38">
        <f>IF(M346="","",HYPERLINK("https://www.youtube.com/watch?v="&amp;M346,"▶"))</f>
        <v/>
      </c>
      <c r="B346" s="39">
        <f>IF(C346&lt;&gt;"",C346,IF(P346&lt;=IFERROR(INDEX(tblChannels[Watched Through],MATCH(N346,tblChannels[Channel ID],0)),0),"Watched","Unwatched"))</f>
        <v/>
      </c>
      <c r="C346" s="40" t="n"/>
      <c r="D346" s="41" t="n"/>
      <c r="E346" s="42" t="n">
        <v>45807.71180555555</v>
      </c>
      <c r="F346" s="50" t="inlineStr">
        <is>
          <t>Super Carlin Brothers</t>
        </is>
      </c>
      <c r="G346" t="inlineStr">
        <is>
          <t>Hogwarts is… ALIVE?! | Harry Potter Film Theory</t>
        </is>
      </c>
      <c r="H346" s="44" t="n">
        <v>0.0121875</v>
      </c>
      <c r="I346" s="45" t="n">
        <v>139136</v>
      </c>
      <c r="J346" s="45" t="n">
        <v>6140</v>
      </c>
      <c r="K346" s="45" t="n">
        <v>576</v>
      </c>
      <c r="L346" s="46" t="n"/>
      <c r="M346" s="47" t="n"/>
      <c r="N346" s="47" t="inlineStr">
        <is>
          <t>UCKZo4N0lVPccBkSiuyVh4yg</t>
        </is>
      </c>
      <c r="O346" s="48" t="n">
        <v>45807.87847222222</v>
      </c>
      <c r="P346" s="49" t="n">
        <v>45807</v>
      </c>
      <c r="Q346" s="47" t="n">
        <v>2922</v>
      </c>
      <c r="R346" s="47" t="inlineStr">
        <is>
          <t>No Video ID yet</t>
        </is>
      </c>
      <c r="S346" s="49" t="n"/>
      <c r="T346" s="49" t="n"/>
      <c r="U346" s="47" t="inlineStr">
        <is>
          <t>Today Ben dives into the Wizarding World of Harry Potter to find out if the castle of Hogwarts is more than just a building but actually a sentient living thing. This episode is sponsored by BetterHelp. Go to to get 10% off your first month. From the Sorting Hat to the Room of Requirement to the moving staircases, there seems to be more at play than just whimsy.</t>
        </is>
      </c>
      <c r="V346" s="47">
        <f>IF(AND(P346&gt;=Calendar!$K$2,P346&lt;EDATE(Calendar!$K$2,1),OR(Calendar!$K$4="*",N346=Calendar!$K$4)),P346*100+COUNTIFS($P$6:$P$3267,P346,$Q$6:$Q$3267,"&lt;="&amp;Q346,$N$6:$N$3267,Calendar!$K$4),"")</f>
        <v/>
      </c>
      <c r="W346" s="47">
        <f>IF(AND(B346=Queue!$C$4,OR(Queue!$K$4="*",N346=Queue!$K$4)),Q346,"")</f>
        <v/>
      </c>
    </row>
    <row r="347">
      <c r="A347" s="38">
        <f>IF(M347="","",HYPERLINK("https://www.youtube.com/watch?v="&amp;M347,"▶"))</f>
        <v/>
      </c>
      <c r="B347" s="39">
        <f>IF(C347&lt;&gt;"",C347,IF(P347&lt;=IFERROR(INDEX(tblChannels[Watched Through],MATCH(N347,tblChannels[Channel ID],0)),0),"Watched","Unwatched"))</f>
        <v/>
      </c>
      <c r="C347" s="40" t="n"/>
      <c r="D347" s="41" t="n"/>
      <c r="E347" s="42" t="n">
        <v>45807.41666666666</v>
      </c>
      <c r="F347" s="43" t="inlineStr">
        <is>
          <t>Popcorn Culture</t>
        </is>
      </c>
      <c r="G347" t="inlineStr">
        <is>
          <t>EPIC WAS EPIC!!! | Popcorn Culture</t>
        </is>
      </c>
      <c r="H347" s="44" t="n">
        <v>0.06771990740740741</v>
      </c>
      <c r="I347" s="45" t="n">
        <v>4849</v>
      </c>
      <c r="J347" s="45" t="n">
        <v>204</v>
      </c>
      <c r="K347" s="45" t="n">
        <v>33</v>
      </c>
      <c r="L347" s="46" t="n"/>
      <c r="M347" s="47" t="n"/>
      <c r="N347" s="47" t="inlineStr">
        <is>
          <t>UCHfIbq9thHPC8yrKjAdJgDA</t>
        </is>
      </c>
      <c r="O347" s="48" t="n">
        <v>45807.58333333334</v>
      </c>
      <c r="P347" s="49" t="n">
        <v>45807</v>
      </c>
      <c r="Q347" s="47" t="n">
        <v>2921</v>
      </c>
      <c r="R347" s="47" t="inlineStr">
        <is>
          <t>No Video ID yet</t>
        </is>
      </c>
      <c r="S347" s="49" t="n"/>
      <c r="T347" s="49" t="n"/>
      <c r="U347" s="47" t="inlineStr">
        <is>
          <t>In the 286th episode of the Pop, Ben and J discuss all the details of their trip to Epic Universe: the rides, the food, the characters AND MORE! RollerCoaster Tycoon - Umbridge’s PUNISHMENT Finally Revealed! - Get your tickets for Through the Griffin Tour MIDWEST here: 00:00 - Intro, EPIC!! 13:04 - The Isle of Berk 45:36 - Nintendo World 1:03:53 - Dark Universe 1:14:52 - Ministry of Magic 1:29:45 - Celestial Park</t>
        </is>
      </c>
      <c r="V347" s="47">
        <f>IF(AND(P347&gt;=Calendar!$K$2,P347&lt;EDATE(Calendar!$K$2,1),OR(Calendar!$K$4="*",N347=Calendar!$K$4)),P347*100+COUNTIFS($P$6:$P$3267,P347,$Q$6:$Q$3267,"&lt;="&amp;Q347,$N$6:$N$3267,Calendar!$K$4),"")</f>
        <v/>
      </c>
      <c r="W347" s="47">
        <f>IF(AND(B347=Queue!$C$4,OR(Queue!$K$4="*",N347=Queue!$K$4)),Q347,"")</f>
        <v/>
      </c>
    </row>
    <row r="348">
      <c r="A348" s="38">
        <f>IF(M348="","",HYPERLINK("https://www.youtube.com/watch?v="&amp;M348,"▶"))</f>
        <v/>
      </c>
      <c r="B348" s="39">
        <f>IF(C348&lt;&gt;"",C348,IF(P348&lt;=IFERROR(INDEX(tblChannels[Watched Through],MATCH(N348,tblChannels[Channel ID],0)),0),"Watched","Unwatched"))</f>
        <v/>
      </c>
      <c r="C348" s="40" t="n"/>
      <c r="D348" s="41" t="n"/>
      <c r="E348" s="42" t="n">
        <v>45805.70416666667</v>
      </c>
      <c r="F348" s="50" t="inlineStr">
        <is>
          <t>Super Carlin Brothers</t>
        </is>
      </c>
      <c r="G348" t="inlineStr">
        <is>
          <t>What REALLY Happened to Umbridge After Harry Potter? (It’s Canon Now!)</t>
        </is>
      </c>
      <c r="H348" s="44" t="n">
        <v>0.0106712962962963</v>
      </c>
      <c r="I348" s="45" t="n">
        <v>274314</v>
      </c>
      <c r="J348" s="45" t="n">
        <v>9210</v>
      </c>
      <c r="K348" s="45" t="n">
        <v>713</v>
      </c>
      <c r="L348" s="46" t="n"/>
      <c r="M348" s="47" t="n"/>
      <c r="N348" s="47" t="inlineStr">
        <is>
          <t>UCKZo4N0lVPccBkSiuyVh4yg</t>
        </is>
      </c>
      <c r="O348" s="48" t="n">
        <v>45805.87083333333</v>
      </c>
      <c r="P348" s="49" t="n">
        <v>45805</v>
      </c>
      <c r="Q348" s="47" t="n">
        <v>2920</v>
      </c>
      <c r="R348" s="47" t="inlineStr">
        <is>
          <t>No Video ID yet</t>
        </is>
      </c>
      <c r="S348" s="49" t="n"/>
      <c r="T348" s="49" t="n"/>
      <c r="U348" s="47" t="inlineStr">
        <is>
          <t>Go to to get 10 free meals with a free item for life. Today J dives into the Wizarding World of Harry Potter via Epic Universe to reveal what happened to Umbridge after Deathly Hallows! She never joined the Battle of Hogwarts, but did she escape punishment of any kind? Additional B-Roll Provided by :: Jake the Viking</t>
        </is>
      </c>
      <c r="V348" s="47">
        <f>IF(AND(P348&gt;=Calendar!$K$2,P348&lt;EDATE(Calendar!$K$2,1),OR(Calendar!$K$4="*",N348=Calendar!$K$4)),P348*100+COUNTIFS($P$6:$P$3267,P348,$Q$6:$Q$3267,"&lt;="&amp;Q348,$N$6:$N$3267,Calendar!$K$4),"")</f>
        <v/>
      </c>
      <c r="W348" s="47">
        <f>IF(AND(B348=Queue!$C$4,OR(Queue!$K$4="*",N348=Queue!$K$4)),Q348,"")</f>
        <v/>
      </c>
    </row>
    <row r="349">
      <c r="A349" s="38">
        <f>IF(M349="","",HYPERLINK("https://www.youtube.com/watch?v="&amp;M349,"▶"))</f>
        <v/>
      </c>
      <c r="B349" s="39">
        <f>IF(C349&lt;&gt;"",C349,IF(P349&lt;=IFERROR(INDEX(tblChannels[Watched Through],MATCH(N349,tblChannels[Channel ID],0)),0),"Watched","Unwatched"))</f>
        <v/>
      </c>
      <c r="C349" s="40" t="n"/>
      <c r="D349" s="41" t="n"/>
      <c r="E349" s="42" t="n">
        <v>45802.41736111111</v>
      </c>
      <c r="F349" s="51" t="inlineStr">
        <is>
          <t>Through The Griffin Door</t>
        </is>
      </c>
      <c r="G349" t="inlineStr">
        <is>
          <t>Chapter 27: Padfoot Returns | Goblet of Fire</t>
        </is>
      </c>
      <c r="H349" s="44" t="n">
        <v>0.09129629629629629</v>
      </c>
      <c r="I349" s="45" t="n">
        <v>65559</v>
      </c>
      <c r="J349" s="45" t="n">
        <v>1469</v>
      </c>
      <c r="K349" s="45" t="n">
        <v>397</v>
      </c>
      <c r="L349" s="46" t="n"/>
      <c r="M349" s="47" t="n"/>
      <c r="N349" s="47" t="inlineStr">
        <is>
          <t>UCEscP6ETYXWSSvsNrDHekMQ</t>
        </is>
      </c>
      <c r="O349" s="48" t="n">
        <v>45802.58402777778</v>
      </c>
      <c r="P349" s="49" t="n">
        <v>45802</v>
      </c>
      <c r="Q349" s="47" t="n">
        <v>2919</v>
      </c>
      <c r="R349" s="47" t="inlineStr">
        <is>
          <t>No Video ID yet</t>
        </is>
      </c>
      <c r="S349" s="49" t="n"/>
      <c r="T349" s="49" t="n"/>
      <c r="U349" s="47" t="inlineStr">
        <is>
          <t>This episode is sponsored by ProLon Life — Go to to get 15% off! Join J and Ben as they dive into Chapter 27 of the Goblet of Fire and discuss people weirdly teasing Hermione, the Witch Weekly article, Snape accusing Harry of stealing ingredients, and the crazy info dump meeting with Sirius. THROUGH THE GRIFFIN TOUR MIDWEST TICKETS ARE ON SALE RIGHT NOW St. Louis, MO - 9/17a Watch on Youtube: Want more Harry Potter Content? Harry Potter Theories: Dumbledore’s Big Plan: What If Harry Was in Slytherin: Chapters 05:02 - Chapter Breakdown 1:06:30 - Ad Break (L-Nutra) 1:08:30 - More Chapter Breakdown 2:03:25 - Closing Thoughts and Review</t>
        </is>
      </c>
      <c r="V349" s="47">
        <f>IF(AND(P349&gt;=Calendar!$K$2,P349&lt;EDATE(Calendar!$K$2,1),OR(Calendar!$K$4="*",N349=Calendar!$K$4)),P349*100+COUNTIFS($P$6:$P$3267,P349,$Q$6:$Q$3267,"&lt;="&amp;Q349,$N$6:$N$3267,Calendar!$K$4),"")</f>
        <v/>
      </c>
      <c r="W349" s="47">
        <f>IF(AND(B349=Queue!$C$4,OR(Queue!$K$4="*",N349=Queue!$K$4)),Q349,"")</f>
        <v/>
      </c>
    </row>
    <row r="350">
      <c r="A350" s="38">
        <f>IF(M350="","",HYPERLINK("https://www.youtube.com/watch?v="&amp;M350,"▶"))</f>
        <v/>
      </c>
      <c r="B350" s="39">
        <f>IF(C350&lt;&gt;"",C350,IF(P350&lt;=IFERROR(INDEX(tblChannels[Watched Through],MATCH(N350,tblChannels[Channel ID],0)),0),"Watched","Unwatched"))</f>
        <v/>
      </c>
      <c r="C350" s="40" t="n"/>
      <c r="D350" s="41" t="n"/>
      <c r="E350" s="42" t="n">
        <v>45800.70277777778</v>
      </c>
      <c r="F350" s="50" t="inlineStr">
        <is>
          <t>Super Carlin Brothers</t>
        </is>
      </c>
      <c r="G350" t="inlineStr">
        <is>
          <t>Reacting To Our FIRST EVER Harry Potter Videos</t>
        </is>
      </c>
      <c r="H350" s="44" t="n">
        <v>0.03327546296296297</v>
      </c>
      <c r="I350" s="45" t="n">
        <v>136006</v>
      </c>
      <c r="J350" s="45" t="n">
        <v>5121</v>
      </c>
      <c r="K350" s="45" t="n">
        <v>706</v>
      </c>
      <c r="L350" s="46" t="n"/>
      <c r="M350" s="47" t="n"/>
      <c r="N350" s="47" t="inlineStr">
        <is>
          <t>UCKZo4N0lVPccBkSiuyVh4yg</t>
        </is>
      </c>
      <c r="O350" s="48" t="n">
        <v>45800.86944444444</v>
      </c>
      <c r="P350" s="49" t="n">
        <v>45800</v>
      </c>
      <c r="Q350" s="47" t="n">
        <v>2918</v>
      </c>
      <c r="R350" s="47" t="inlineStr">
        <is>
          <t>No Video ID yet</t>
        </is>
      </c>
      <c r="S350" s="49" t="n"/>
      <c r="T350" s="49" t="n"/>
      <c r="U350" s="47" t="inlineStr">
        <is>
          <t>This episode is sponsored by BetterHelp. Go to to get 10% off your first month. Today J and Ben rewatch the first five Harry Potter Video’s they EVER made back in Year One of Super Carlin Brothers which was known as “Harry Potter Week.” Enjoy this lovely (and cringy) trip down memory lane!</t>
        </is>
      </c>
      <c r="V350" s="47">
        <f>IF(AND(P350&gt;=Calendar!$K$2,P350&lt;EDATE(Calendar!$K$2,1),OR(Calendar!$K$4="*",N350=Calendar!$K$4)),P350*100+COUNTIFS($P$6:$P$3267,P350,$Q$6:$Q$3267,"&lt;="&amp;Q350,$N$6:$N$3267,Calendar!$K$4),"")</f>
        <v/>
      </c>
      <c r="W350" s="47">
        <f>IF(AND(B350=Queue!$C$4,OR(Queue!$K$4="*",N350=Queue!$K$4)),Q350,"")</f>
        <v/>
      </c>
    </row>
    <row r="351">
      <c r="A351" s="38">
        <f>IF(M351="","",HYPERLINK("https://www.youtube.com/watch?v="&amp;M351,"▶"))</f>
        <v/>
      </c>
      <c r="B351" s="39">
        <f>IF(C351&lt;&gt;"",C351,IF(P351&lt;=IFERROR(INDEX(tblChannels[Watched Through],MATCH(N351,tblChannels[Channel ID],0)),0),"Watched","Unwatched"))</f>
        <v/>
      </c>
      <c r="C351" s="40" t="n"/>
      <c r="D351" s="41" t="n"/>
      <c r="E351" s="42" t="n">
        <v>45800.41666666666</v>
      </c>
      <c r="F351" s="43" t="inlineStr">
        <is>
          <t>Popcorn Culture</t>
        </is>
      </c>
      <c r="G351" t="inlineStr">
        <is>
          <t>SCB Saved My Life | Popcorn Culture</t>
        </is>
      </c>
      <c r="H351" s="44" t="n">
        <v>0.04998842592592593</v>
      </c>
      <c r="I351" s="45" t="n">
        <v>3632</v>
      </c>
      <c r="J351" s="45" t="n">
        <v>199</v>
      </c>
      <c r="K351" s="45" t="n">
        <v>44</v>
      </c>
      <c r="L351" s="46" t="n"/>
      <c r="M351" s="47" t="n"/>
      <c r="N351" s="47" t="inlineStr">
        <is>
          <t>UCHfIbq9thHPC8yrKjAdJgDA</t>
        </is>
      </c>
      <c r="O351" s="48" t="n">
        <v>45800.58333333334</v>
      </c>
      <c r="P351" s="49" t="n">
        <v>45800</v>
      </c>
      <c r="Q351" s="47" t="n">
        <v>2917</v>
      </c>
      <c r="R351" s="47" t="inlineStr">
        <is>
          <t>No Video ID yet</t>
        </is>
      </c>
      <c r="S351" s="49" t="n"/>
      <c r="T351" s="49" t="n"/>
      <c r="U351" s="47" t="inlineStr">
        <is>
          <t>In the 285th episode of the Pop, Ben and J discuss the crazy loud AC unit, their upcoming (past) EPIC trip, J’s refrigerator, reacting to Year 1 videos, and Year 1 Pop topics. Parenthood - Get your tickets for Through the Griffin Tour MIDWEST here: Ole Gregg Smokybutts 00:00 - Intro, AC Units and EPIC 10:21 - Fridge 41:20 - Ben’s Most Recent Existential Crisis</t>
        </is>
      </c>
      <c r="V351" s="47">
        <f>IF(AND(P351&gt;=Calendar!$K$2,P351&lt;EDATE(Calendar!$K$2,1),OR(Calendar!$K$4="*",N351=Calendar!$K$4)),P351*100+COUNTIFS($P$6:$P$3267,P351,$Q$6:$Q$3267,"&lt;="&amp;Q351,$N$6:$N$3267,Calendar!$K$4),"")</f>
        <v/>
      </c>
      <c r="W351" s="47">
        <f>IF(AND(B351=Queue!$C$4,OR(Queue!$K$4="*",N351=Queue!$K$4)),Q351,"")</f>
        <v/>
      </c>
    </row>
    <row r="352">
      <c r="A352" s="38">
        <f>IF(M352="","",HYPERLINK("https://www.youtube.com/watch?v="&amp;M352,"▶"))</f>
        <v/>
      </c>
      <c r="B352" s="39">
        <f>IF(C352&lt;&gt;"",C352,IF(P352&lt;=IFERROR(INDEX(tblChannels[Watched Through],MATCH(N352,tblChannels[Channel ID],0)),0),"Watched","Unwatched"))</f>
        <v/>
      </c>
      <c r="C352" s="40" t="n"/>
      <c r="D352" s="41" t="n"/>
      <c r="E352" s="42" t="n">
        <v>45798.625</v>
      </c>
      <c r="F352" s="50" t="inlineStr">
        <is>
          <t>Super Carlin Brothers</t>
        </is>
      </c>
      <c r="G352" t="inlineStr">
        <is>
          <t>J vs Ben: ULTIMATE Harry Potter Last Chapters TRIVIA Quiz</t>
        </is>
      </c>
      <c r="H352" s="44" t="n">
        <v>0.02725694444444444</v>
      </c>
      <c r="I352" s="45" t="n">
        <v>91033</v>
      </c>
      <c r="J352" s="45" t="n">
        <v>3445</v>
      </c>
      <c r="K352" s="45" t="n">
        <v>296</v>
      </c>
      <c r="L352" s="46" t="n"/>
      <c r="M352" s="47" t="n"/>
      <c r="N352" s="47" t="inlineStr">
        <is>
          <t>UCKZo4N0lVPccBkSiuyVh4yg</t>
        </is>
      </c>
      <c r="O352" s="48" t="n">
        <v>45798.79166666666</v>
      </c>
      <c r="P352" s="49" t="n">
        <v>45798</v>
      </c>
      <c r="Q352" s="47" t="n">
        <v>2916</v>
      </c>
      <c r="R352" s="47" t="inlineStr">
        <is>
          <t>No Video ID yet</t>
        </is>
      </c>
      <c r="S352" s="49" t="n"/>
      <c r="T352" s="49" t="n"/>
      <c r="U352" s="47" t="inlineStr">
        <is>
          <t>This episode is sponsored by Hello Fresh - Go to to get 10 free meals with a free item for life. Today J and Ben face off to find out who knows more about what happens in the Last Chapter of each Harry Potter book! From The Man With Two Faces to The Flaw In The Plan we cover them all! Play Along With Us :: Become a Quiz Master :: Written by :: QUIZMASTERS!!! Hosted by :: Isybelle Christley</t>
        </is>
      </c>
      <c r="V352" s="47">
        <f>IF(AND(P352&gt;=Calendar!$K$2,P352&lt;EDATE(Calendar!$K$2,1),OR(Calendar!$K$4="*",N352=Calendar!$K$4)),P352*100+COUNTIFS($P$6:$P$3267,P352,$Q$6:$Q$3267,"&lt;="&amp;Q352,$N$6:$N$3267,Calendar!$K$4),"")</f>
        <v/>
      </c>
      <c r="W352" s="47">
        <f>IF(AND(B352=Queue!$C$4,OR(Queue!$K$4="*",N352=Queue!$K$4)),Q352,"")</f>
        <v/>
      </c>
    </row>
    <row r="353">
      <c r="A353" s="38">
        <f>IF(M353="","",HYPERLINK("https://www.youtube.com/watch?v="&amp;M353,"▶"))</f>
        <v/>
      </c>
      <c r="B353" s="39">
        <f>IF(C353&lt;&gt;"",C353,IF(P353&lt;=IFERROR(INDEX(tblChannels[Watched Through],MATCH(N353,tblChannels[Channel ID],0)),0),"Watched","Unwatched"))</f>
        <v/>
      </c>
      <c r="C353" s="40" t="n"/>
      <c r="D353" s="41" t="n"/>
      <c r="E353" s="42" t="n">
        <v>45795.41666666666</v>
      </c>
      <c r="F353" s="51" t="inlineStr">
        <is>
          <t>Through The Griffin Door</t>
        </is>
      </c>
      <c r="G353" t="inlineStr">
        <is>
          <t>Chapter 26: The Second Task | Goblet of Fire</t>
        </is>
      </c>
      <c r="H353" s="44" t="n">
        <v>0.09291666666666666</v>
      </c>
      <c r="I353" s="45" t="n">
        <v>66637</v>
      </c>
      <c r="J353" s="45" t="n">
        <v>1496</v>
      </c>
      <c r="K353" s="45" t="n">
        <v>468</v>
      </c>
      <c r="L353" s="46" t="n"/>
      <c r="M353" s="47" t="n"/>
      <c r="N353" s="47" t="inlineStr">
        <is>
          <t>UCEscP6ETYXWSSvsNrDHekMQ</t>
        </is>
      </c>
      <c r="O353" s="48" t="n">
        <v>45795.58333333334</v>
      </c>
      <c r="P353" s="49" t="n">
        <v>45795</v>
      </c>
      <c r="Q353" s="47" t="n">
        <v>2915</v>
      </c>
      <c r="R353" s="47" t="inlineStr">
        <is>
          <t>No Video ID yet</t>
        </is>
      </c>
      <c r="S353" s="49" t="n"/>
      <c r="T353" s="49" t="n"/>
      <c r="U353" s="47" t="inlineStr">
        <is>
          <t>This episode is sponsored by Shopify – Go to to sign up for your $1-per-month trial period. Join J and Ben as they dive into Chapter 26 of the Goblet of Fire and discuss whether or not Moody Slash Barty Crouch would have turned Harry into a dolphin, why Harry didn’t just use the summoning charm on Ron since clearly it works on Salmon, and why you really only need to be half shark for the whole thing to work. Why Neville is ACTUALLY a Samurai [Harry Potter Theory] - THROUGH THE GRIFFIN TOUR MIDWEST TICKETS ARE ON SALE RIGHT NOW St. Louis, MO - 9/17a 04:52- Chapter Breakdown 1:02:25 - Ad Break (Shopify) 1:04:14 - More Chapter Breakdown 2:01:55 - Closing Thoughts and Review</t>
        </is>
      </c>
      <c r="V353" s="47">
        <f>IF(AND(P353&gt;=Calendar!$K$2,P353&lt;EDATE(Calendar!$K$2,1),OR(Calendar!$K$4="*",N353=Calendar!$K$4)),P353*100+COUNTIFS($P$6:$P$3267,P353,$Q$6:$Q$3267,"&lt;="&amp;Q353,$N$6:$N$3267,Calendar!$K$4),"")</f>
        <v/>
      </c>
      <c r="W353" s="47">
        <f>IF(AND(B353=Queue!$C$4,OR(Queue!$K$4="*",N353=Queue!$K$4)),Q353,"")</f>
        <v/>
      </c>
    </row>
    <row r="354">
      <c r="A354" s="38">
        <f>IF(M354="","",HYPERLINK("https://www.youtube.com/watch?v="&amp;M354,"▶"))</f>
        <v/>
      </c>
      <c r="B354" s="39">
        <f>IF(C354&lt;&gt;"",C354,IF(P354&lt;=IFERROR(INDEX(tblChannels[Watched Through],MATCH(N354,tblChannels[Channel ID],0)),0),"Watched","Unwatched"))</f>
        <v/>
      </c>
      <c r="C354" s="40" t="n"/>
      <c r="D354" s="41" t="n"/>
      <c r="E354" s="42" t="n">
        <v>45793.67222222222</v>
      </c>
      <c r="F354" s="50" t="inlineStr">
        <is>
          <t>Super Carlin Brothers</t>
        </is>
      </c>
      <c r="G354" t="inlineStr">
        <is>
          <t>What If Ron's Wand NEVER Broke | Harry Potter Film Theory</t>
        </is>
      </c>
      <c r="H354" s="44" t="n">
        <v>0.01273148148148148</v>
      </c>
      <c r="I354" s="45" t="n">
        <v>89810</v>
      </c>
      <c r="J354" s="45" t="n">
        <v>4193</v>
      </c>
      <c r="K354" s="45" t="n">
        <v>472</v>
      </c>
      <c r="L354" s="46" t="n"/>
      <c r="M354" s="47" t="n"/>
      <c r="N354" s="47" t="inlineStr">
        <is>
          <t>UCKZo4N0lVPccBkSiuyVh4yg</t>
        </is>
      </c>
      <c r="O354" s="48" t="n">
        <v>45793.83888888889</v>
      </c>
      <c r="P354" s="49" t="n">
        <v>45793</v>
      </c>
      <c r="Q354" s="47" t="n">
        <v>2914</v>
      </c>
      <c r="R354" s="47" t="inlineStr">
        <is>
          <t>No Video ID yet</t>
        </is>
      </c>
      <c r="S354" s="49" t="n"/>
      <c r="T354" s="49" t="n"/>
      <c r="U354" s="47" t="inlineStr">
        <is>
          <t>This episode is sponsored by BetterHelp. Go to to get 10% off your first month. Go to to sign up for your $1-per-month trial period. Today Ben dives into the Wizarding World of Harry Potter to find out what would have happened if Ron's Wand Never broke in the 2nd year! Would Lockhart get away? Does Tom Riddle come back? Does the Basilisk live?!</t>
        </is>
      </c>
      <c r="V354" s="47">
        <f>IF(AND(P354&gt;=Calendar!$K$2,P354&lt;EDATE(Calendar!$K$2,1),OR(Calendar!$K$4="*",N354=Calendar!$K$4)),P354*100+COUNTIFS($P$6:$P$3267,P354,$Q$6:$Q$3267,"&lt;="&amp;Q354,$N$6:$N$3267,Calendar!$K$4),"")</f>
        <v/>
      </c>
      <c r="W354" s="47">
        <f>IF(AND(B354=Queue!$C$4,OR(Queue!$K$4="*",N354=Queue!$K$4)),Q354,"")</f>
        <v/>
      </c>
    </row>
    <row r="355">
      <c r="A355" s="38">
        <f>IF(M355="","",HYPERLINK("https://www.youtube.com/watch?v="&amp;M355,"▶"))</f>
        <v/>
      </c>
      <c r="B355" s="39">
        <f>IF(C355&lt;&gt;"",C355,IF(P355&lt;=IFERROR(INDEX(tblChannels[Watched Through],MATCH(N355,tblChannels[Channel ID],0)),0),"Watched","Unwatched"))</f>
        <v/>
      </c>
      <c r="C355" s="40" t="n"/>
      <c r="D355" s="41" t="n"/>
      <c r="E355" s="42" t="n">
        <v>45793.41666666666</v>
      </c>
      <c r="F355" s="43" t="inlineStr">
        <is>
          <t>Popcorn Culture</t>
        </is>
      </c>
      <c r="G355" t="inlineStr">
        <is>
          <t>Exit Light | Popcorn Culture</t>
        </is>
      </c>
      <c r="H355" s="44" t="n">
        <v>0.04456018518518518</v>
      </c>
      <c r="I355" s="45" t="n">
        <v>3101</v>
      </c>
      <c r="J355" s="45" t="n">
        <v>162</v>
      </c>
      <c r="K355" s="45" t="n">
        <v>21</v>
      </c>
      <c r="L355" s="46" t="n"/>
      <c r="M355" s="47" t="n"/>
      <c r="N355" s="47" t="inlineStr">
        <is>
          <t>UCHfIbq9thHPC8yrKjAdJgDA</t>
        </is>
      </c>
      <c r="O355" s="48" t="n">
        <v>45793.58333333334</v>
      </c>
      <c r="P355" s="49" t="n">
        <v>45793</v>
      </c>
      <c r="Q355" s="47" t="n">
        <v>2913</v>
      </c>
      <c r="R355" s="47" t="inlineStr">
        <is>
          <t>No Video ID yet</t>
        </is>
      </c>
      <c r="S355" s="49" t="n"/>
      <c r="T355" s="49" t="n"/>
      <c r="U355" s="47" t="inlineStr">
        <is>
          <t>In the 284th episode of the Pop, Ben and J discuss the Metallica concert, car grille hotdogs, dopamine keepitup, and win-win situations. Fans in Lane Stadium Go Crazy to Enter Sandman - Dopamine Nation - Get your tickets for Through the Griffin Tour MIDWEST here: Dopamine Keepitup 00:00 - Intro, Metallica 42:30 - Dopamine Hits</t>
        </is>
      </c>
      <c r="V355" s="47">
        <f>IF(AND(P355&gt;=Calendar!$K$2,P355&lt;EDATE(Calendar!$K$2,1),OR(Calendar!$K$4="*",N355=Calendar!$K$4)),P355*100+COUNTIFS($P$6:$P$3267,P355,$Q$6:$Q$3267,"&lt;="&amp;Q355,$N$6:$N$3267,Calendar!$K$4),"")</f>
        <v/>
      </c>
      <c r="W355" s="47">
        <f>IF(AND(B355=Queue!$C$4,OR(Queue!$K$4="*",N355=Queue!$K$4)),Q355,"")</f>
        <v/>
      </c>
    </row>
    <row r="356">
      <c r="A356" s="38">
        <f>IF(M356="","",HYPERLINK("https://www.youtube.com/watch?v="&amp;M356,"▶"))</f>
        <v/>
      </c>
      <c r="B356" s="39">
        <f>IF(C356&lt;&gt;"",C356,IF(P356&lt;=IFERROR(INDEX(tblChannels[Watched Through],MATCH(N356,tblChannels[Channel ID],0)),0),"Watched","Unwatched"))</f>
        <v/>
      </c>
      <c r="C356" s="40" t="n"/>
      <c r="D356" s="41" t="n"/>
      <c r="E356" s="42" t="n">
        <v>45791.69305555556</v>
      </c>
      <c r="F356" s="50" t="inlineStr">
        <is>
          <t>Super Carlin Brothers</t>
        </is>
      </c>
      <c r="G356" t="inlineStr">
        <is>
          <t>Toy Story 5 NEEDS Andy | Pixar Film Theory</t>
        </is>
      </c>
      <c r="H356" s="44" t="n">
        <v>0.0103125</v>
      </c>
      <c r="I356" s="45" t="n">
        <v>58999</v>
      </c>
      <c r="J356" s="45" t="n">
        <v>2815</v>
      </c>
      <c r="K356" s="45" t="n">
        <v>435</v>
      </c>
      <c r="L356" s="46" t="n"/>
      <c r="M356" s="47" t="n"/>
      <c r="N356" s="47" t="inlineStr">
        <is>
          <t>UCKZo4N0lVPccBkSiuyVh4yg</t>
        </is>
      </c>
      <c r="O356" s="48" t="n">
        <v>45791.85972222222</v>
      </c>
      <c r="P356" s="49" t="n">
        <v>45791</v>
      </c>
      <c r="Q356" s="47" t="n">
        <v>2912</v>
      </c>
      <c r="R356" s="47" t="inlineStr">
        <is>
          <t>No Video ID yet</t>
        </is>
      </c>
      <c r="S356" s="49" t="n"/>
      <c r="T356" s="49" t="n"/>
      <c r="U356" s="47" t="inlineStr">
        <is>
          <t>Today J dives into the Pixar Universe to discuss the future of Toy Story and why Toy Story 5 absolutely NEEDS to bring back Andy Davis! #supercarlinbrothers #Pixar #toystory</t>
        </is>
      </c>
      <c r="V356" s="47">
        <f>IF(AND(P356&gt;=Calendar!$K$2,P356&lt;EDATE(Calendar!$K$2,1),OR(Calendar!$K$4="*",N356=Calendar!$K$4)),P356*100+COUNTIFS($P$6:$P$3267,P356,$Q$6:$Q$3267,"&lt;="&amp;Q356,$N$6:$N$3267,Calendar!$K$4),"")</f>
        <v/>
      </c>
      <c r="W356" s="47">
        <f>IF(AND(B356=Queue!$C$4,OR(Queue!$K$4="*",N356=Queue!$K$4)),Q356,"")</f>
        <v/>
      </c>
    </row>
    <row r="357">
      <c r="A357" s="38">
        <f>IF(M357="","",HYPERLINK("https://www.youtube.com/watch?v="&amp;M357,"▶"))</f>
        <v/>
      </c>
      <c r="B357" s="39">
        <f>IF(C357&lt;&gt;"",C357,IF(P357&lt;=IFERROR(INDEX(tblChannels[Watched Through],MATCH(N357,tblChannels[Channel ID],0)),0),"Watched","Unwatched"))</f>
        <v/>
      </c>
      <c r="C357" s="40" t="n"/>
      <c r="D357" s="41" t="n"/>
      <c r="E357" s="42" t="n">
        <v>45788.41666666666</v>
      </c>
      <c r="F357" s="51" t="inlineStr">
        <is>
          <t>Through The Griffin Door</t>
        </is>
      </c>
      <c r="G357" t="inlineStr">
        <is>
          <t>Chapter 25: The Egg and the Eye | Goblet of Fire</t>
        </is>
      </c>
      <c r="H357" s="44" t="n">
        <v>0.06326388888888888</v>
      </c>
      <c r="I357" s="45" t="n">
        <v>52622</v>
      </c>
      <c r="J357" s="45" t="n">
        <v>1429</v>
      </c>
      <c r="K357" s="45" t="n">
        <v>340</v>
      </c>
      <c r="L357" s="46" t="n"/>
      <c r="M357" s="47" t="n"/>
      <c r="N357" s="47" t="inlineStr">
        <is>
          <t>UCEscP6ETYXWSSvsNrDHekMQ</t>
        </is>
      </c>
      <c r="O357" s="48" t="n">
        <v>45788.58333333334</v>
      </c>
      <c r="P357" s="49" t="n">
        <v>45788</v>
      </c>
      <c r="Q357" s="47" t="n">
        <v>2911</v>
      </c>
      <c r="R357" s="47" t="inlineStr">
        <is>
          <t>No Video ID yet</t>
        </is>
      </c>
      <c r="S357" s="49" t="n"/>
      <c r="T357" s="49" t="n"/>
      <c r="U357" s="47" t="inlineStr">
        <is>
          <t>This episode is sponsored by Pair Eyewear – Be sure to check out Pair Eyewear and get 15% off your first pair when you go to PairEyewear.com and use promo code: 'GRIFFIN' Join J and Ben as they dive into Chapter 25 of the Goblet of Fire and discuss naked pool time, ridiculous passwords, Myrtle being creepy, Filch and Peeves, and Moody/Crouch being sneaky. THROUGH THE GRIFFIN TOUR MIDWEST TICKETS ARE ON SALE RIGHT NOW St. Louis, MO - 9/17a 05:06- Chapter Breakdown 36:13 - Ad Break - Pair Eyewear 38:14 - More Chapter Breakdown 1:22:58 - Closing Thoughts and Review</t>
        </is>
      </c>
      <c r="V357" s="47">
        <f>IF(AND(P357&gt;=Calendar!$K$2,P357&lt;EDATE(Calendar!$K$2,1),OR(Calendar!$K$4="*",N357=Calendar!$K$4)),P357*100+COUNTIFS($P$6:$P$3267,P357,$Q$6:$Q$3267,"&lt;="&amp;Q357,$N$6:$N$3267,Calendar!$K$4),"")</f>
        <v/>
      </c>
      <c r="W357" s="47">
        <f>IF(AND(B357=Queue!$C$4,OR(Queue!$K$4="*",N357=Queue!$K$4)),Q357,"")</f>
        <v/>
      </c>
    </row>
    <row r="358">
      <c r="A358" s="38">
        <f>IF(M358="","",HYPERLINK("https://www.youtube.com/watch?v="&amp;M358,"▶"))</f>
        <v/>
      </c>
      <c r="B358" s="39">
        <f>IF(C358&lt;&gt;"",C358,IF(P358&lt;=IFERROR(INDEX(tblChannels[Watched Through],MATCH(N358,tblChannels[Channel ID],0)),0),"Watched","Unwatched"))</f>
        <v/>
      </c>
      <c r="C358" s="40" t="n"/>
      <c r="D358" s="41" t="n"/>
      <c r="E358" s="42" t="n">
        <v>45787.41736111111</v>
      </c>
      <c r="F358" s="50" t="inlineStr">
        <is>
          <t>Super Carlin Brothers</t>
        </is>
      </c>
      <c r="G358" t="inlineStr">
        <is>
          <t>Through the Griffin Door Supercut: Goblet of Fire Chapters 21-24</t>
        </is>
      </c>
      <c r="H358" s="44" t="n">
        <v>0.2337037037037037</v>
      </c>
      <c r="I358" s="45" t="n">
        <v>16147</v>
      </c>
      <c r="J358" s="45" t="n">
        <v>250</v>
      </c>
      <c r="K358" s="45" t="n">
        <v>59</v>
      </c>
      <c r="L358" s="46" t="n"/>
      <c r="M358" s="47" t="n"/>
      <c r="N358" s="47" t="inlineStr">
        <is>
          <t>UCKZo4N0lVPccBkSiuyVh4yg</t>
        </is>
      </c>
      <c r="O358" s="48" t="n">
        <v>45787.58402777778</v>
      </c>
      <c r="P358" s="49" t="n">
        <v>45787</v>
      </c>
      <c r="Q358" s="47" t="n">
        <v>2910</v>
      </c>
      <c r="R358" s="47" t="inlineStr">
        <is>
          <t>No Video ID yet</t>
        </is>
      </c>
      <c r="S358" s="49" t="n"/>
      <c r="T358" s="49" t="n"/>
      <c r="U358" s="47" t="inlineStr">
        <is>
          <t>0:00:00 - Chapter 22: The Unexpected Task 1:36:07 - Chapter 23: The Yule Ball 3:46:16 - Chapter 24: Rita Skeeter's Scoop</t>
        </is>
      </c>
      <c r="V358" s="47">
        <f>IF(AND(P358&gt;=Calendar!$K$2,P358&lt;EDATE(Calendar!$K$2,1),OR(Calendar!$K$4="*",N358=Calendar!$K$4)),P358*100+COUNTIFS($P$6:$P$3267,P358,$Q$6:$Q$3267,"&lt;="&amp;Q358,$N$6:$N$3267,Calendar!$K$4),"")</f>
        <v/>
      </c>
      <c r="W358" s="47">
        <f>IF(AND(B358=Queue!$C$4,OR(Queue!$K$4="*",N358=Queue!$K$4)),Q358,"")</f>
        <v/>
      </c>
    </row>
    <row r="359">
      <c r="A359" s="38">
        <f>IF(M359="","",HYPERLINK("https://www.youtube.com/watch?v="&amp;M359,"▶"))</f>
        <v/>
      </c>
      <c r="B359" s="39">
        <f>IF(C359&lt;&gt;"",C359,IF(P359&lt;=IFERROR(INDEX(tblChannels[Watched Through],MATCH(N359,tblChannels[Channel ID],0)),0),"Watched","Unwatched"))</f>
        <v/>
      </c>
      <c r="C359" s="40" t="n"/>
      <c r="D359" s="41" t="n"/>
      <c r="E359" s="42" t="n">
        <v>45787.21111111111</v>
      </c>
      <c r="F359" s="52" t="inlineStr">
        <is>
          <t>Super Carlin Gaming</t>
        </is>
      </c>
      <c r="G359" t="inlineStr">
        <is>
          <t>JOURNEY TOGETHER - Pokemon Box Breakers SEASON 15 -  Episode 1 - 05/09/2025</t>
        </is>
      </c>
      <c r="H359" s="44" t="n">
        <v>0.1114583333333333</v>
      </c>
      <c r="I359" s="45" t="n">
        <v>1536</v>
      </c>
      <c r="J359" s="45" t="n">
        <v>48</v>
      </c>
      <c r="K359" s="45" t="n">
        <v>1</v>
      </c>
      <c r="L359" s="46" t="n"/>
      <c r="M359" s="47" t="n"/>
      <c r="N359" s="47" t="inlineStr">
        <is>
          <t>UCor_9jRnNNZVzTuQ92PKsaQ</t>
        </is>
      </c>
      <c r="O359" s="48" t="n">
        <v>45787.37777777778</v>
      </c>
      <c r="P359" s="49" t="n">
        <v>45787</v>
      </c>
      <c r="Q359" s="47" t="n">
        <v>2909</v>
      </c>
      <c r="R359" s="47" t="inlineStr">
        <is>
          <t>No Video ID yet</t>
        </is>
      </c>
      <c r="S359" s="49" t="n"/>
      <c r="T359" s="49" t="n"/>
      <c r="U359" s="47" t="n"/>
      <c r="V359" s="47">
        <f>IF(AND(P359&gt;=Calendar!$K$2,P359&lt;EDATE(Calendar!$K$2,1),OR(Calendar!$K$4="*",N359=Calendar!$K$4)),P359*100+COUNTIFS($P$6:$P$3267,P359,$Q$6:$Q$3267,"&lt;="&amp;Q359,$N$6:$N$3267,Calendar!$K$4),"")</f>
        <v/>
      </c>
      <c r="W359" s="47">
        <f>IF(AND(B359=Queue!$C$4,OR(Queue!$K$4="*",N359=Queue!$K$4)),Q359,"")</f>
        <v/>
      </c>
    </row>
    <row r="360">
      <c r="A360" s="38">
        <f>IF(M360="","",HYPERLINK("https://www.youtube.com/watch?v="&amp;M360,"▶"))</f>
        <v/>
      </c>
      <c r="B360" s="39">
        <f>IF(C360&lt;&gt;"",C360,IF(P360&lt;=IFERROR(INDEX(tblChannels[Watched Through],MATCH(N360,tblChannels[Channel ID],0)),0),"Watched","Unwatched"))</f>
        <v/>
      </c>
      <c r="C360" s="40" t="n"/>
      <c r="D360" s="41" t="n"/>
      <c r="E360" s="42" t="n">
        <v>45786.71041666667</v>
      </c>
      <c r="F360" s="50" t="inlineStr">
        <is>
          <t>Super Carlin Brothers</t>
        </is>
      </c>
      <c r="G360" t="inlineStr">
        <is>
          <t>What If Moody Defeated Barty Crouch Jr? | Harry Potter Film Theory</t>
        </is>
      </c>
      <c r="H360" s="44" t="n">
        <v>0.01237268518518518</v>
      </c>
      <c r="I360" s="45" t="n">
        <v>153960</v>
      </c>
      <c r="J360" s="45" t="n">
        <v>6087</v>
      </c>
      <c r="K360" s="45" t="n">
        <v>794</v>
      </c>
      <c r="L360" s="46" t="n"/>
      <c r="M360" s="47" t="n"/>
      <c r="N360" s="47" t="inlineStr">
        <is>
          <t>UCKZo4N0lVPccBkSiuyVh4yg</t>
        </is>
      </c>
      <c r="O360" s="48" t="n">
        <v>45786.87708333333</v>
      </c>
      <c r="P360" s="49" t="n">
        <v>45786</v>
      </c>
      <c r="Q360" s="47" t="n">
        <v>2908</v>
      </c>
      <c r="R360" s="47" t="inlineStr">
        <is>
          <t>No Video ID yet</t>
        </is>
      </c>
      <c r="S360" s="49" t="n"/>
      <c r="T360" s="49" t="n"/>
      <c r="U360" s="47" t="inlineStr">
        <is>
          <t>This episode is sponsored by BetterHelp - go to to get 10% off your first month. Today J dives into the Wizarding World of Harry Potter to find out: What If Moody had never been captured and just defeated Wormtail and Barty Crouch Jr.? Does Voldemort ever come back? Does Harry live a normal life? Does CEDRIC Live???</t>
        </is>
      </c>
      <c r="V360" s="47">
        <f>IF(AND(P360&gt;=Calendar!$K$2,P360&lt;EDATE(Calendar!$K$2,1),OR(Calendar!$K$4="*",N360=Calendar!$K$4)),P360*100+COUNTIFS($P$6:$P$3267,P360,$Q$6:$Q$3267,"&lt;="&amp;Q360,$N$6:$N$3267,Calendar!$K$4),"")</f>
        <v/>
      </c>
      <c r="W360" s="47">
        <f>IF(AND(B360=Queue!$C$4,OR(Queue!$K$4="*",N360=Queue!$K$4)),Q360,"")</f>
        <v/>
      </c>
    </row>
    <row r="361">
      <c r="A361" s="38">
        <f>IF(M361="","",HYPERLINK("https://www.youtube.com/watch?v="&amp;M361,"▶"))</f>
        <v/>
      </c>
      <c r="B361" s="39">
        <f>IF(C361&lt;&gt;"",C361,IF(P361&lt;=IFERROR(INDEX(tblChannels[Watched Through],MATCH(N361,tblChannels[Channel ID],0)),0),"Watched","Unwatched"))</f>
        <v/>
      </c>
      <c r="C361" s="40" t="n"/>
      <c r="D361" s="41" t="n"/>
      <c r="E361" s="42" t="n">
        <v>45786.5</v>
      </c>
      <c r="F361" s="50" t="inlineStr">
        <is>
          <t>Super Carlin Brothers</t>
        </is>
      </c>
      <c r="G361" t="inlineStr">
        <is>
          <t>Harry IS The Sorcerer’s Stone #harrypotter</t>
        </is>
      </c>
      <c r="H361" s="44" t="n">
        <v>0.002083333333333333</v>
      </c>
      <c r="I361" s="45" t="n">
        <v>192775</v>
      </c>
      <c r="J361" s="45" t="n">
        <v>12253</v>
      </c>
      <c r="K361" s="45" t="n">
        <v>161</v>
      </c>
      <c r="L361" s="46" t="n"/>
      <c r="M361" s="47" t="n"/>
      <c r="N361" s="47" t="inlineStr">
        <is>
          <t>UCKZo4N0lVPccBkSiuyVh4yg</t>
        </is>
      </c>
      <c r="O361" s="48" t="n">
        <v>45786.66666666666</v>
      </c>
      <c r="P361" s="49" t="n">
        <v>45786</v>
      </c>
      <c r="Q361" s="47" t="n">
        <v>2907</v>
      </c>
      <c r="R361" s="47" t="inlineStr">
        <is>
          <t>No Video ID yet</t>
        </is>
      </c>
      <c r="S361" s="49" t="n"/>
      <c r="T361" s="49" t="n"/>
      <c r="U361" s="47" t="inlineStr">
        <is>
          <t>Harry Potter may not use the Sorcerer's Stone but he doesn't need to because he is a living, walking, talking version of the stone himself!</t>
        </is>
      </c>
      <c r="V361" s="47">
        <f>IF(AND(P361&gt;=Calendar!$K$2,P361&lt;EDATE(Calendar!$K$2,1),OR(Calendar!$K$4="*",N361=Calendar!$K$4)),P361*100+COUNTIFS($P$6:$P$3267,P361,$Q$6:$Q$3267,"&lt;="&amp;Q361,$N$6:$N$3267,Calendar!$K$4),"")</f>
        <v/>
      </c>
      <c r="W361" s="47">
        <f>IF(AND(B361=Queue!$C$4,OR(Queue!$K$4="*",N361=Queue!$K$4)),Q361,"")</f>
        <v/>
      </c>
    </row>
    <row r="362">
      <c r="A362" s="38">
        <f>IF(M362="","",HYPERLINK("https://www.youtube.com/watch?v="&amp;M362,"▶"))</f>
        <v/>
      </c>
      <c r="B362" s="39">
        <f>IF(C362&lt;&gt;"",C362,IF(P362&lt;=IFERROR(INDEX(tblChannels[Watched Through],MATCH(N362,tblChannels[Channel ID],0)),0),"Watched","Unwatched"))</f>
        <v/>
      </c>
      <c r="C362" s="40" t="n"/>
      <c r="D362" s="41" t="n"/>
      <c r="E362" s="42" t="n">
        <v>45786.41666666666</v>
      </c>
      <c r="F362" s="43" t="inlineStr">
        <is>
          <t>Popcorn Culture</t>
        </is>
      </c>
      <c r="G362" t="inlineStr">
        <is>
          <t>J DID A TRIATHLON!! | Popcorn Culture</t>
        </is>
      </c>
      <c r="H362" s="44" t="n">
        <v>0.0461574074074074</v>
      </c>
      <c r="I362" s="45" t="n">
        <v>3254</v>
      </c>
      <c r="J362" s="45" t="n">
        <v>158</v>
      </c>
      <c r="K362" s="45" t="n">
        <v>16</v>
      </c>
      <c r="L362" s="46" t="n"/>
      <c r="M362" s="47" t="n"/>
      <c r="N362" s="47" t="inlineStr">
        <is>
          <t>UCHfIbq9thHPC8yrKjAdJgDA</t>
        </is>
      </c>
      <c r="O362" s="48" t="n">
        <v>45786.58333333334</v>
      </c>
      <c r="P362" s="49" t="n">
        <v>45786</v>
      </c>
      <c r="Q362" s="47" t="n">
        <v>2906</v>
      </c>
      <c r="R362" s="47" t="inlineStr">
        <is>
          <t>No Video ID yet</t>
        </is>
      </c>
      <c r="S362" s="49" t="n"/>
      <c r="T362" s="49" t="n"/>
      <c r="U362" s="47" t="inlineStr">
        <is>
          <t>IN the 283rd episode of the Pop, Ben and J discuss J’s triathlon experience, chasing the novelty of change, tricking out Ben’s car and J’s garage. Get your tickets for Through the Griffin Tour MIDWEST here: The Novelty of Change 00:00 - Intro, J’s Triathlon! 37:47 - Ben’s Truck and Change</t>
        </is>
      </c>
      <c r="V362" s="47">
        <f>IF(AND(P362&gt;=Calendar!$K$2,P362&lt;EDATE(Calendar!$K$2,1),OR(Calendar!$K$4="*",N362=Calendar!$K$4)),P362*100+COUNTIFS($P$6:$P$3267,P362,$Q$6:$Q$3267,"&lt;="&amp;Q362,$N$6:$N$3267,Calendar!$K$4),"")</f>
        <v/>
      </c>
      <c r="W362" s="47">
        <f>IF(AND(B362=Queue!$C$4,OR(Queue!$K$4="*",N362=Queue!$K$4)),Q362,"")</f>
        <v/>
      </c>
    </row>
    <row r="363">
      <c r="A363" s="38">
        <f>IF(M363="","",HYPERLINK("https://www.youtube.com/watch?v="&amp;M363,"▶"))</f>
        <v/>
      </c>
      <c r="B363" s="39">
        <f>IF(C363&lt;&gt;"",C363,IF(P363&lt;=IFERROR(INDEX(tblChannels[Watched Through],MATCH(N363,tblChannels[Channel ID],0)),0),"Watched","Unwatched"))</f>
        <v/>
      </c>
      <c r="C363" s="40" t="n"/>
      <c r="D363" s="41" t="n"/>
      <c r="E363" s="42" t="n">
        <v>45784.58472222222</v>
      </c>
      <c r="F363" s="50" t="inlineStr">
        <is>
          <t>Super Carlin Brothers</t>
        </is>
      </c>
      <c r="G363" t="inlineStr">
        <is>
          <t>Pedro IS Casita! 🕯️ #disney</t>
        </is>
      </c>
      <c r="H363" s="44" t="n">
        <v>0.002083333333333333</v>
      </c>
      <c r="I363" s="45" t="n">
        <v>75558</v>
      </c>
      <c r="J363" s="45" t="n">
        <v>6699</v>
      </c>
      <c r="K363" s="45" t="n">
        <v>85</v>
      </c>
      <c r="L363" s="46" t="n"/>
      <c r="M363" s="47" t="n"/>
      <c r="N363" s="47" t="inlineStr">
        <is>
          <t>UCKZo4N0lVPccBkSiuyVh4yg</t>
        </is>
      </c>
      <c r="O363" s="48" t="n">
        <v>45784.75138888889</v>
      </c>
      <c r="P363" s="49" t="n">
        <v>45784</v>
      </c>
      <c r="Q363" s="47" t="n">
        <v>2905</v>
      </c>
      <c r="R363" s="47" t="inlineStr">
        <is>
          <t>No Video ID yet</t>
        </is>
      </c>
      <c r="S363" s="49" t="n"/>
      <c r="T363" s="49" t="n"/>
      <c r="U363" s="47" t="inlineStr">
        <is>
          <t>Did Pedro become Casita in Encanto after he sacrificed himself to give his family a miracle?</t>
        </is>
      </c>
      <c r="V363" s="47">
        <f>IF(AND(P363&gt;=Calendar!$K$2,P363&lt;EDATE(Calendar!$K$2,1),OR(Calendar!$K$4="*",N363=Calendar!$K$4)),P363*100+COUNTIFS($P$6:$P$3267,P363,$Q$6:$Q$3267,"&lt;="&amp;Q363,$N$6:$N$3267,Calendar!$K$4),"")</f>
        <v/>
      </c>
      <c r="W363" s="47">
        <f>IF(AND(B363=Queue!$C$4,OR(Queue!$K$4="*",N363=Queue!$K$4)),Q363,"")</f>
        <v/>
      </c>
    </row>
    <row r="364">
      <c r="A364" s="38">
        <f>IF(M364="","",HYPERLINK("https://www.youtube.com/watch?v="&amp;M364,"▶"))</f>
        <v/>
      </c>
      <c r="B364" s="39">
        <f>IF(C364&lt;&gt;"",C364,IF(P364&lt;=IFERROR(INDEX(tblChannels[Watched Through],MATCH(N364,tblChannels[Channel ID],0)),0),"Watched","Unwatched"))</f>
        <v/>
      </c>
      <c r="C364" s="40" t="n"/>
      <c r="D364" s="41" t="n"/>
      <c r="E364" s="42" t="n">
        <v>45784.58125</v>
      </c>
      <c r="F364" s="50" t="inlineStr">
        <is>
          <t>Super Carlin Brothers</t>
        </is>
      </c>
      <c r="G364" t="inlineStr">
        <is>
          <t>J vs Ben: HARDEST Harry Potter First Chapters TRIVIA Quiz</t>
        </is>
      </c>
      <c r="H364" s="44" t="n">
        <v>0.02950231481481481</v>
      </c>
      <c r="I364" s="45" t="n">
        <v>114994</v>
      </c>
      <c r="J364" s="45" t="n">
        <v>3715</v>
      </c>
      <c r="K364" s="45" t="n">
        <v>470</v>
      </c>
      <c r="L364" s="46" t="n"/>
      <c r="M364" s="47" t="n"/>
      <c r="N364" s="47" t="inlineStr">
        <is>
          <t>UCKZo4N0lVPccBkSiuyVh4yg</t>
        </is>
      </c>
      <c r="O364" s="48" t="n">
        <v>45784.74791666667</v>
      </c>
      <c r="P364" s="49" t="n">
        <v>45784</v>
      </c>
      <c r="Q364" s="47" t="n">
        <v>2904</v>
      </c>
      <c r="R364" s="47" t="inlineStr">
        <is>
          <t>No Video ID yet</t>
        </is>
      </c>
      <c r="S364" s="49" t="n"/>
      <c r="T364" s="49" t="n"/>
      <c r="U364" s="47" t="inlineStr">
        <is>
          <t>Go to and use code jvsb50off to get 50% off and free shipping on your first box. Today J and Ben face off to find out who knows more about what happens in the First Chapter of each Harry Potter book! From The Boy Who Lived to Dark Lord Ascending we cover them all! Play Along With Us :: Become a Quiz Master ::</t>
        </is>
      </c>
      <c r="V364" s="47">
        <f>IF(AND(P364&gt;=Calendar!$K$2,P364&lt;EDATE(Calendar!$K$2,1),OR(Calendar!$K$4="*",N364=Calendar!$K$4)),P364*100+COUNTIFS($P$6:$P$3267,P364,$Q$6:$Q$3267,"&lt;="&amp;Q364,$N$6:$N$3267,Calendar!$K$4),"")</f>
        <v/>
      </c>
      <c r="W364" s="47">
        <f>IF(AND(B364=Queue!$C$4,OR(Queue!$K$4="*",N364=Queue!$K$4)),Q364,"")</f>
        <v/>
      </c>
    </row>
    <row r="365">
      <c r="A365" s="38">
        <f>IF(M365="","",HYPERLINK("https://www.youtube.com/watch?v="&amp;M365,"▶"))</f>
        <v/>
      </c>
      <c r="B365" s="39">
        <f>IF(C365&lt;&gt;"",C365,IF(P365&lt;=IFERROR(INDEX(tblChannels[Watched Through],MATCH(N365,tblChannels[Channel ID],0)),0),"Watched","Unwatched"))</f>
        <v/>
      </c>
      <c r="C365" s="40" t="n"/>
      <c r="D365" s="41" t="n"/>
      <c r="E365" s="42" t="n">
        <v>45782.68680555555</v>
      </c>
      <c r="F365" s="50" t="inlineStr">
        <is>
          <t>Super Carlin Brothers</t>
        </is>
      </c>
      <c r="G365" t="inlineStr">
        <is>
          <t>Hans Is A Personality Mirror #disney</t>
        </is>
      </c>
      <c r="H365" s="44" t="n">
        <v>0.001608796296296296</v>
      </c>
      <c r="I365" s="45" t="n">
        <v>1236816</v>
      </c>
      <c r="J365" s="45" t="n">
        <v>129881</v>
      </c>
      <c r="K365" s="45" t="n">
        <v>823</v>
      </c>
      <c r="L365" s="46" t="n"/>
      <c r="M365" s="47" t="n"/>
      <c r="N365" s="47" t="inlineStr">
        <is>
          <t>UCKZo4N0lVPccBkSiuyVh4yg</t>
        </is>
      </c>
      <c r="O365" s="48" t="n">
        <v>45782.85347222222</v>
      </c>
      <c r="P365" s="49" t="n">
        <v>45782</v>
      </c>
      <c r="Q365" s="47" t="n">
        <v>2903</v>
      </c>
      <c r="R365" s="47" t="inlineStr">
        <is>
          <t>No Video ID yet</t>
        </is>
      </c>
      <c r="S365" s="49" t="n"/>
      <c r="T365" s="49" t="n"/>
      <c r="U365" s="47" t="inlineStr">
        <is>
          <t>Hans from Frozen is a Mirror that reflects whatever personality he is currently facing. You're happy? He's Happy! You're Mad? He's Mad! But what happens when he sees his own reflection...?</t>
        </is>
      </c>
      <c r="V365" s="47">
        <f>IF(AND(P365&gt;=Calendar!$K$2,P365&lt;EDATE(Calendar!$K$2,1),OR(Calendar!$K$4="*",N365=Calendar!$K$4)),P365*100+COUNTIFS($P$6:$P$3267,P365,$Q$6:$Q$3267,"&lt;="&amp;Q365,$N$6:$N$3267,Calendar!$K$4),"")</f>
        <v/>
      </c>
      <c r="W365" s="47">
        <f>IF(AND(B365=Queue!$C$4,OR(Queue!$K$4="*",N365=Queue!$K$4)),Q365,"")</f>
        <v/>
      </c>
    </row>
    <row r="366">
      <c r="A366" s="38">
        <f>IF(M366="","",HYPERLINK("https://www.youtube.com/watch?v="&amp;M366,"▶"))</f>
        <v/>
      </c>
      <c r="B366" s="39">
        <f>IF(C366&lt;&gt;"",C366,IF(P366&lt;=IFERROR(INDEX(tblChannels[Watched Through],MATCH(N366,tblChannels[Channel ID],0)),0),"Watched","Unwatched"))</f>
        <v/>
      </c>
      <c r="C366" s="40" t="n"/>
      <c r="D366" s="41" t="n"/>
      <c r="E366" s="42" t="n">
        <v>45781.41666666666</v>
      </c>
      <c r="F366" s="51" t="inlineStr">
        <is>
          <t>Through The Griffin Door</t>
        </is>
      </c>
      <c r="G366" t="inlineStr">
        <is>
          <t>Chapter 24: Rita Skeeter’s Scoop | Goblet of Fire</t>
        </is>
      </c>
      <c r="H366" s="44" t="n">
        <v>0.07656250000000001</v>
      </c>
      <c r="I366" s="45" t="n">
        <v>58593</v>
      </c>
      <c r="J366" s="45" t="n">
        <v>1493</v>
      </c>
      <c r="K366" s="45" t="n">
        <v>354</v>
      </c>
      <c r="L366" s="46" t="n"/>
      <c r="M366" s="47" t="n"/>
      <c r="N366" s="47" t="inlineStr">
        <is>
          <t>UCEscP6ETYXWSSvsNrDHekMQ</t>
        </is>
      </c>
      <c r="O366" s="48" t="n">
        <v>45781.58333333334</v>
      </c>
      <c r="P366" s="49" t="n">
        <v>45781</v>
      </c>
      <c r="Q366" s="47" t="n">
        <v>2902</v>
      </c>
      <c r="R366" s="47" t="inlineStr">
        <is>
          <t>No Video ID yet</t>
        </is>
      </c>
      <c r="S366" s="49" t="n"/>
      <c r="T366" s="49" t="n"/>
      <c r="U366" s="47" t="inlineStr">
        <is>
          <t>Join J and Ben as they dive into Chapter 24 of the Goblet of Fire and discuss post-ball debriefs, hand saw sounds, Prof. Grubbly-Plank, Rita’s article about Hagrid, cold water, running into Ludo Bagman, and Dumbeldore being unhinged. THROUGH THE GRIFFIN TOUR MIDWEST TICKETS ARE ON SALE RIGHT NOW St. Louis, MO - 9/17a Watch on Youtube: Want more Harry Potter Content? Harry Potter Theories: Dumbledore’s Big Plan: What If Harry Was in Slytherin: 06:14- Chapter Breakdown 1:42:30 - Closing Thoughts and Review</t>
        </is>
      </c>
      <c r="V366" s="47">
        <f>IF(AND(P366&gt;=Calendar!$K$2,P366&lt;EDATE(Calendar!$K$2,1),OR(Calendar!$K$4="*",N366=Calendar!$K$4)),P366*100+COUNTIFS($P$6:$P$3267,P366,$Q$6:$Q$3267,"&lt;="&amp;Q366,$N$6:$N$3267,Calendar!$K$4),"")</f>
        <v/>
      </c>
      <c r="W366" s="47">
        <f>IF(AND(B366=Queue!$C$4,OR(Queue!$K$4="*",N366=Queue!$K$4)),Q366,"")</f>
        <v/>
      </c>
    </row>
    <row r="367">
      <c r="A367" s="38">
        <f>IF(M367="","",HYPERLINK("https://www.youtube.com/watch?v="&amp;M367,"▶"))</f>
        <v/>
      </c>
      <c r="B367" s="39">
        <f>IF(C367&lt;&gt;"",C367,IF(P367&lt;=IFERROR(INDEX(tblChannels[Watched Through],MATCH(N367,tblChannels[Channel ID],0)),0),"Watched","Unwatched"))</f>
        <v/>
      </c>
      <c r="C367" s="40" t="n"/>
      <c r="D367" s="41" t="n"/>
      <c r="E367" s="42" t="n">
        <v>45779.76458333333</v>
      </c>
      <c r="F367" s="50" t="inlineStr">
        <is>
          <t>Super Carlin Brothers</t>
        </is>
      </c>
      <c r="G367" t="inlineStr">
        <is>
          <t>Mother Gothel COACHES The Other Disney Villains | Disney Film Theory</t>
        </is>
      </c>
      <c r="H367" s="44" t="n">
        <v>0.01373842592592593</v>
      </c>
      <c r="I367" s="45" t="n">
        <v>53151</v>
      </c>
      <c r="J367" s="45" t="n">
        <v>2746</v>
      </c>
      <c r="K367" s="45" t="n">
        <v>364</v>
      </c>
      <c r="L367" s="46" t="n"/>
      <c r="M367" s="47" t="n"/>
      <c r="N367" s="47" t="inlineStr">
        <is>
          <t>UCKZo4N0lVPccBkSiuyVh4yg</t>
        </is>
      </c>
      <c r="O367" s="48" t="n">
        <v>45779.93125</v>
      </c>
      <c r="P367" s="49" t="n">
        <v>45779</v>
      </c>
      <c r="Q367" s="47" t="n">
        <v>2901</v>
      </c>
      <c r="R367" s="47" t="inlineStr">
        <is>
          <t>No Video ID yet</t>
        </is>
      </c>
      <c r="S367" s="49" t="n"/>
      <c r="T367" s="49" t="n"/>
      <c r="U367" s="47" t="inlineStr">
        <is>
          <t>This episode is sponsored by BetterHelp – Go to to get 10% off your first month. This episode is sponsored by Aura Frames – Go to and use code SCB to get $35-off plus free shipping on their best-selling Carver Mat frame. Today Ben dives into the World of Disney to reveal Mother Gothel’s BIG PLAN to build herself an army and train the other Disney Villains like Jafar, The Evil Queen, Claude Frollo, The Beast and Maleficent! #supercarlinbrothers #Disney</t>
        </is>
      </c>
      <c r="V367" s="47">
        <f>IF(AND(P367&gt;=Calendar!$K$2,P367&lt;EDATE(Calendar!$K$2,1),OR(Calendar!$K$4="*",N367=Calendar!$K$4)),P367*100+COUNTIFS($P$6:$P$3267,P367,$Q$6:$Q$3267,"&lt;="&amp;Q367,$N$6:$N$3267,Calendar!$K$4),"")</f>
        <v/>
      </c>
      <c r="W367" s="47">
        <f>IF(AND(B367=Queue!$C$4,OR(Queue!$K$4="*",N367=Queue!$K$4)),Q367,"")</f>
        <v/>
      </c>
    </row>
    <row r="368">
      <c r="A368" s="38">
        <f>IF(M368="","",HYPERLINK("https://www.youtube.com/watch?v="&amp;M368,"▶"))</f>
        <v/>
      </c>
      <c r="B368" s="39">
        <f>IF(C368&lt;&gt;"",C368,IF(P368&lt;=IFERROR(INDEX(tblChannels[Watched Through],MATCH(N368,tblChannels[Channel ID],0)),0),"Watched","Unwatched"))</f>
        <v/>
      </c>
      <c r="C368" s="40" t="n"/>
      <c r="D368" s="41" t="n"/>
      <c r="E368" s="42" t="n">
        <v>45779.69930555556</v>
      </c>
      <c r="F368" s="50" t="inlineStr">
        <is>
          <t>Super Carlin Brothers</t>
        </is>
      </c>
      <c r="G368" t="inlineStr">
        <is>
          <t>Ty Lee Is An Air Nomad! #avatarthelastairbender</t>
        </is>
      </c>
      <c r="H368" s="44" t="n">
        <v>0.002083333333333333</v>
      </c>
      <c r="I368" s="45" t="n">
        <v>635991</v>
      </c>
      <c r="J368" s="45" t="n">
        <v>45085</v>
      </c>
      <c r="K368" s="45" t="n">
        <v>380</v>
      </c>
      <c r="L368" s="46" t="n"/>
      <c r="M368" s="47" t="n"/>
      <c r="N368" s="47" t="inlineStr">
        <is>
          <t>UCKZo4N0lVPccBkSiuyVh4yg</t>
        </is>
      </c>
      <c r="O368" s="48" t="n">
        <v>45779.86597222222</v>
      </c>
      <c r="P368" s="49" t="n">
        <v>45779</v>
      </c>
      <c r="Q368" s="47" t="n">
        <v>2900</v>
      </c>
      <c r="R368" s="47" t="inlineStr">
        <is>
          <t>No Video ID yet</t>
        </is>
      </c>
      <c r="S368" s="49" t="n"/>
      <c r="T368" s="49" t="n"/>
      <c r="U368" s="47" t="inlineStr">
        <is>
          <t>Ty Lee may live in and fight for the Fire Nation, but she is almost certainly a descendant of the Air Nomads. #avatarthelastairbender</t>
        </is>
      </c>
      <c r="V368" s="47">
        <f>IF(AND(P368&gt;=Calendar!$K$2,P368&lt;EDATE(Calendar!$K$2,1),OR(Calendar!$K$4="*",N368=Calendar!$K$4)),P368*100+COUNTIFS($P$6:$P$3267,P368,$Q$6:$Q$3267,"&lt;="&amp;Q368,$N$6:$N$3267,Calendar!$K$4),"")</f>
        <v/>
      </c>
      <c r="W368" s="47">
        <f>IF(AND(B368=Queue!$C$4,OR(Queue!$K$4="*",N368=Queue!$K$4)),Q368,"")</f>
        <v/>
      </c>
    </row>
    <row r="369">
      <c r="A369" s="38">
        <f>IF(M369="","",HYPERLINK("https://www.youtube.com/watch?v="&amp;M369,"▶"))</f>
        <v/>
      </c>
      <c r="B369" s="39">
        <f>IF(C369&lt;&gt;"",C369,IF(P369&lt;=IFERROR(INDEX(tblChannels[Watched Through],MATCH(N369,tblChannels[Channel ID],0)),0),"Watched","Unwatched"))</f>
        <v/>
      </c>
      <c r="C369" s="40" t="n"/>
      <c r="D369" s="41" t="n"/>
      <c r="E369" s="42" t="n">
        <v>45779.41666666666</v>
      </c>
      <c r="F369" s="43" t="inlineStr">
        <is>
          <t>Popcorn Culture</t>
        </is>
      </c>
      <c r="G369" t="inlineStr">
        <is>
          <t>Ben’s Second Tattoo?? | Popcorn Culture</t>
        </is>
      </c>
      <c r="H369" s="44" t="n">
        <v>0.04649305555555556</v>
      </c>
      <c r="I369" s="45" t="n">
        <v>3621</v>
      </c>
      <c r="J369" s="45" t="n">
        <v>170</v>
      </c>
      <c r="K369" s="45" t="n">
        <v>28</v>
      </c>
      <c r="L369" s="46" t="n"/>
      <c r="M369" s="47" t="n"/>
      <c r="N369" s="47" t="inlineStr">
        <is>
          <t>UCHfIbq9thHPC8yrKjAdJgDA</t>
        </is>
      </c>
      <c r="O369" s="48" t="n">
        <v>45779.58333333334</v>
      </c>
      <c r="P369" s="49" t="n">
        <v>45779</v>
      </c>
      <c r="Q369" s="47" t="n">
        <v>2899</v>
      </c>
      <c r="R369" s="47" t="inlineStr">
        <is>
          <t>No Video ID yet</t>
        </is>
      </c>
      <c r="S369" s="49" t="n"/>
      <c r="T369" s="49" t="n"/>
      <c r="U369" s="47" t="inlineStr">
        <is>
          <t>In the 282nd episode of the Pop, Ben and J discuss a typical garden update, camping, cool knives, banana beer, and Ben’s newest tattoo! Most Recent Goblet of FIRE Quiz - Get your tickets for Through the Griffin Tour MIDWEST here: Catching Capitillers 00:00 - Intro, Garden Update 20:39 - Camping 59:00 - Ben’s New Tattoo</t>
        </is>
      </c>
      <c r="V369" s="47">
        <f>IF(AND(P369&gt;=Calendar!$K$2,P369&lt;EDATE(Calendar!$K$2,1),OR(Calendar!$K$4="*",N369=Calendar!$K$4)),P369*100+COUNTIFS($P$6:$P$3267,P369,$Q$6:$Q$3267,"&lt;="&amp;Q369,$N$6:$N$3267,Calendar!$K$4),"")</f>
        <v/>
      </c>
      <c r="W369" s="47">
        <f>IF(AND(B369=Queue!$C$4,OR(Queue!$K$4="*",N369=Queue!$K$4)),Q369,"")</f>
        <v/>
      </c>
    </row>
    <row r="370">
      <c r="A370" s="38">
        <f>IF(M370="","",HYPERLINK("https://www.youtube.com/watch?v="&amp;M370,"▶"))</f>
        <v/>
      </c>
      <c r="B370" s="39">
        <f>IF(C370&lt;&gt;"",C370,IF(P370&lt;=IFERROR(INDEX(tblChannels[Watched Through],MATCH(N370,tblChannels[Channel ID],0)),0),"Watched","Unwatched"))</f>
        <v/>
      </c>
      <c r="C370" s="40" t="n"/>
      <c r="D370" s="41" t="n"/>
      <c r="E370" s="42" t="n">
        <v>45777.70972222222</v>
      </c>
      <c r="F370" s="50" t="inlineStr">
        <is>
          <t>Super Carlin Brothers</t>
        </is>
      </c>
      <c r="G370" t="inlineStr">
        <is>
          <t>How To Get A Perfect Score On Space Ranger Spin #disney</t>
        </is>
      </c>
      <c r="H370" s="44" t="n">
        <v>0.001423611111111111</v>
      </c>
      <c r="I370" s="45" t="n">
        <v>653363</v>
      </c>
      <c r="J370" s="45" t="n">
        <v>40382</v>
      </c>
      <c r="K370" s="45" t="n">
        <v>143</v>
      </c>
      <c r="L370" s="46" t="n"/>
      <c r="M370" s="47" t="n"/>
      <c r="N370" s="47" t="inlineStr">
        <is>
          <t>UCKZo4N0lVPccBkSiuyVh4yg</t>
        </is>
      </c>
      <c r="O370" s="48" t="n">
        <v>45777.87638888889</v>
      </c>
      <c r="P370" s="49" t="n">
        <v>45777</v>
      </c>
      <c r="Q370" s="47" t="n">
        <v>2898</v>
      </c>
      <c r="R370" s="47" t="inlineStr">
        <is>
          <t>No Video ID yet</t>
        </is>
      </c>
      <c r="S370" s="49" t="n"/>
      <c r="T370" s="49" t="n"/>
      <c r="U370" s="47" t="inlineStr">
        <is>
          <t>This ride is about to get an overhaul so NOW is your LAST CHANCE to get a perfect score on Buzz Lightyear: Space Ranger Spin!</t>
        </is>
      </c>
      <c r="V370" s="47">
        <f>IF(AND(P370&gt;=Calendar!$K$2,P370&lt;EDATE(Calendar!$K$2,1),OR(Calendar!$K$4="*",N370=Calendar!$K$4)),P370*100+COUNTIFS($P$6:$P$3267,P370,$Q$6:$Q$3267,"&lt;="&amp;Q370,$N$6:$N$3267,Calendar!$K$4),"")</f>
        <v/>
      </c>
      <c r="W370" s="47">
        <f>IF(AND(B370=Queue!$C$4,OR(Queue!$K$4="*",N370=Queue!$K$4)),Q370,"")</f>
        <v/>
      </c>
    </row>
    <row r="371">
      <c r="A371" s="38">
        <f>IF(M371="","",HYPERLINK("https://www.youtube.com/watch?v="&amp;M371,"▶"))</f>
        <v/>
      </c>
      <c r="B371" s="39">
        <f>IF(C371&lt;&gt;"",C371,IF(P371&lt;=IFERROR(INDEX(tblChannels[Watched Through],MATCH(N371,tblChannels[Channel ID],0)),0),"Watched","Unwatched"))</f>
        <v/>
      </c>
      <c r="C371" s="40" t="n"/>
      <c r="D371" s="41" t="n"/>
      <c r="E371" s="42" t="n">
        <v>45777.70069444444</v>
      </c>
      <c r="F371" s="50" t="inlineStr">
        <is>
          <t>Super Carlin Brothers</t>
        </is>
      </c>
      <c r="G371" t="inlineStr">
        <is>
          <t>Which Bending Style Is Each Harry Potter Character? | Harry Potter Film Theory</t>
        </is>
      </c>
      <c r="H371" s="44" t="n">
        <v>0.01377314814814815</v>
      </c>
      <c r="I371" s="45" t="n">
        <v>52134</v>
      </c>
      <c r="J371" s="45" t="n">
        <v>2789</v>
      </c>
      <c r="K371" s="45" t="n">
        <v>604</v>
      </c>
      <c r="L371" s="46" t="n"/>
      <c r="M371" s="47" t="n"/>
      <c r="N371" s="47" t="inlineStr">
        <is>
          <t>UCKZo4N0lVPccBkSiuyVh4yg</t>
        </is>
      </c>
      <c r="O371" s="48" t="n">
        <v>45777.86736111111</v>
      </c>
      <c r="P371" s="49" t="n">
        <v>45777</v>
      </c>
      <c r="Q371" s="47" t="n">
        <v>2897</v>
      </c>
      <c r="R371" s="47" t="inlineStr">
        <is>
          <t>No Video ID yet</t>
        </is>
      </c>
      <c r="S371" s="49" t="n"/>
      <c r="T371" s="49" t="n"/>
      <c r="U371" s="47" t="inlineStr">
        <is>
          <t>Exclusive $35-off Carver Mat at AuraFrames.com. Promo Code [SCB] Go to and use code SCB to get $35-off plus free shipping on their best-selling Carver Mat frame. Today J dives off a Sky Bison into the worlds of both Harry Potter and Avatar the Last Airbender to find out which bending style each character in Harry Potter would excel in! Is Harry the Avatar? Are all Gryffindor’s Fire Benders? Does Bending run in families? Tickets go on-sale Friday, April 25 @ 10am Local Time!</t>
        </is>
      </c>
      <c r="V371" s="47">
        <f>IF(AND(P371&gt;=Calendar!$K$2,P371&lt;EDATE(Calendar!$K$2,1),OR(Calendar!$K$4="*",N371=Calendar!$K$4)),P371*100+COUNTIFS($P$6:$P$3267,P371,$Q$6:$Q$3267,"&lt;="&amp;Q371,$N$6:$N$3267,Calendar!$K$4),"")</f>
        <v/>
      </c>
      <c r="W371" s="47">
        <f>IF(AND(B371=Queue!$C$4,OR(Queue!$K$4="*",N371=Queue!$K$4)),Q371,"")</f>
        <v/>
      </c>
    </row>
    <row r="372">
      <c r="A372" s="38">
        <f>IF(M372="","",HYPERLINK("https://www.youtube.com/watch?v="&amp;M372,"▶"))</f>
        <v/>
      </c>
      <c r="B372" s="39">
        <f>IF(C372&lt;&gt;"",C372,IF(P372&lt;=IFERROR(INDEX(tblChannels[Watched Through],MATCH(N372,tblChannels[Channel ID],0)),0),"Watched","Unwatched"))</f>
        <v/>
      </c>
      <c r="C372" s="40" t="n"/>
      <c r="D372" s="41" t="n"/>
      <c r="E372" s="42" t="n">
        <v>45775.70694444444</v>
      </c>
      <c r="F372" s="50" t="inlineStr">
        <is>
          <t>Super Carlin Brothers</t>
        </is>
      </c>
      <c r="G372" t="inlineStr">
        <is>
          <t>Tadashi Is ALIVE?! #disney</t>
        </is>
      </c>
      <c r="H372" s="44" t="n">
        <v>0.001979166666666667</v>
      </c>
      <c r="I372" s="45" t="n">
        <v>3211193</v>
      </c>
      <c r="J372" s="45" t="n">
        <v>276647</v>
      </c>
      <c r="K372" s="45" t="n">
        <v>2035</v>
      </c>
      <c r="L372" s="46" t="n"/>
      <c r="M372" s="47" t="n"/>
      <c r="N372" s="47" t="inlineStr">
        <is>
          <t>UCKZo4N0lVPccBkSiuyVh4yg</t>
        </is>
      </c>
      <c r="O372" s="48" t="n">
        <v>45775.87361111111</v>
      </c>
      <c r="P372" s="49" t="n">
        <v>45775</v>
      </c>
      <c r="Q372" s="47" t="n">
        <v>2896</v>
      </c>
      <c r="R372" s="47" t="inlineStr">
        <is>
          <t>No Video ID yet</t>
        </is>
      </c>
      <c r="S372" s="49" t="n"/>
      <c r="T372" s="49" t="n"/>
      <c r="U372" s="47" t="inlineStr">
        <is>
          <t>Tadashi, Hiro's older brother in Big Hero 6 and inventor of Baymax is still alive! In fact you might say... Tadashi.. is HERE.</t>
        </is>
      </c>
      <c r="V372" s="47">
        <f>IF(AND(P372&gt;=Calendar!$K$2,P372&lt;EDATE(Calendar!$K$2,1),OR(Calendar!$K$4="*",N372=Calendar!$K$4)),P372*100+COUNTIFS($P$6:$P$3267,P372,$Q$6:$Q$3267,"&lt;="&amp;Q372,$N$6:$N$3267,Calendar!$K$4),"")</f>
        <v/>
      </c>
      <c r="W372" s="47">
        <f>IF(AND(B372=Queue!$C$4,OR(Queue!$K$4="*",N372=Queue!$K$4)),Q372,"")</f>
        <v/>
      </c>
    </row>
    <row r="373">
      <c r="A373" s="38">
        <f>IF(M373="","",HYPERLINK("https://www.youtube.com/watch?v="&amp;M373,"▶"))</f>
        <v/>
      </c>
      <c r="B373" s="39">
        <f>IF(C373&lt;&gt;"",C373,IF(P373&lt;=IFERROR(INDEX(tblChannels[Watched Through],MATCH(N373,tblChannels[Channel ID],0)),0),"Watched","Unwatched"))</f>
        <v/>
      </c>
      <c r="C373" s="40" t="n"/>
      <c r="D373" s="41" t="n"/>
      <c r="E373" s="42" t="n">
        <v>45774.41666666666</v>
      </c>
      <c r="F373" s="51" t="inlineStr">
        <is>
          <t>Through The Griffin Door</t>
        </is>
      </c>
      <c r="G373" t="inlineStr">
        <is>
          <t>Chapter 23: The Yule Ball | Goblet of Fire</t>
        </is>
      </c>
      <c r="H373" s="44" t="n">
        <v>0.09164351851851851</v>
      </c>
      <c r="I373" s="45" t="n">
        <v>68200</v>
      </c>
      <c r="J373" s="45" t="n">
        <v>1600</v>
      </c>
      <c r="K373" s="45" t="n">
        <v>613</v>
      </c>
      <c r="L373" s="46" t="n"/>
      <c r="M373" s="47" t="n"/>
      <c r="N373" s="47" t="inlineStr">
        <is>
          <t>UCEscP6ETYXWSSvsNrDHekMQ</t>
        </is>
      </c>
      <c r="O373" s="48" t="n">
        <v>45774.58333333334</v>
      </c>
      <c r="P373" s="49" t="n">
        <v>45774</v>
      </c>
      <c r="Q373" s="47" t="n">
        <v>2895</v>
      </c>
      <c r="R373" s="47" t="inlineStr">
        <is>
          <t>No Video ID yet</t>
        </is>
      </c>
      <c r="S373" s="49" t="n"/>
      <c r="T373" s="49" t="n"/>
      <c r="U373" s="47" t="inlineStr">
        <is>
          <t>Head to Prolonlife.com/GRIFFIN to get 15% off AND $40 bonus gift when you subscribe to their 5-Day Program! Join J and Ben as they dive into Chapter 23 of the Goblet of Fire and discuss how Fleur wanted Cedric the entire time, why Harry and Ron couldn’t recognize their own best friend, how many boys go to Beauxbatons, whether or not Madame Maxime has a point, and most importantly, why Snape can’t just get a life. THROUGH THE GRIFFIN TOUR MIDWEST TICKETS ARE ON SALE RIGHT NOW 08:13 - The Dragons Arrive 28:54 - Prolon Life Ad Break 30:34 - More Chapter Breakdown 2:03:40 - Closing Thoughts and Review</t>
        </is>
      </c>
      <c r="V373" s="47">
        <f>IF(AND(P373&gt;=Calendar!$K$2,P373&lt;EDATE(Calendar!$K$2,1),OR(Calendar!$K$4="*",N373=Calendar!$K$4)),P373*100+COUNTIFS($P$6:$P$3267,P373,$Q$6:$Q$3267,"&lt;="&amp;Q373,$N$6:$N$3267,Calendar!$K$4),"")</f>
        <v/>
      </c>
      <c r="W373" s="47">
        <f>IF(AND(B373=Queue!$C$4,OR(Queue!$K$4="*",N373=Queue!$K$4)),Q373,"")</f>
        <v/>
      </c>
    </row>
    <row r="374">
      <c r="A374" s="38">
        <f>IF(M374="","",HYPERLINK("https://www.youtube.com/watch?v="&amp;M374,"▶"))</f>
        <v/>
      </c>
      <c r="B374" s="39">
        <f>IF(C374&lt;&gt;"",C374,IF(P374&lt;=IFERROR(INDEX(tblChannels[Watched Through],MATCH(N374,tblChannels[Channel ID],0)),0),"Watched","Unwatched"))</f>
        <v/>
      </c>
      <c r="C374" s="40" t="n"/>
      <c r="D374" s="41" t="n"/>
      <c r="E374" s="42" t="n">
        <v>45773.2375</v>
      </c>
      <c r="F374" s="52" t="inlineStr">
        <is>
          <t>Super Carlin Gaming</t>
        </is>
      </c>
      <c r="G374" t="inlineStr">
        <is>
          <t>SURGING SPARKS - Pokemon Box Breakers SEASON 14-  Episode 3 - 04/25/2025</t>
        </is>
      </c>
      <c r="H374" s="44" t="n">
        <v>0.1204398148148148</v>
      </c>
      <c r="I374" s="45" t="n">
        <v>1076</v>
      </c>
      <c r="J374" s="45" t="n">
        <v>34</v>
      </c>
      <c r="K374" s="45" t="n">
        <v>9</v>
      </c>
      <c r="L374" s="46" t="n"/>
      <c r="M374" s="47" t="n"/>
      <c r="N374" s="47" t="inlineStr">
        <is>
          <t>UCor_9jRnNNZVzTuQ92PKsaQ</t>
        </is>
      </c>
      <c r="O374" s="48" t="n">
        <v>45773.40416666667</v>
      </c>
      <c r="P374" s="49" t="n">
        <v>45773</v>
      </c>
      <c r="Q374" s="47" t="n">
        <v>2894</v>
      </c>
      <c r="R374" s="47" t="inlineStr">
        <is>
          <t>No Video ID yet</t>
        </is>
      </c>
      <c r="S374" s="49" t="n"/>
      <c r="T374" s="49" t="n"/>
      <c r="U374" s="47" t="n"/>
      <c r="V374" s="47">
        <f>IF(AND(P374&gt;=Calendar!$K$2,P374&lt;EDATE(Calendar!$K$2,1),OR(Calendar!$K$4="*",N374=Calendar!$K$4)),P374*100+COUNTIFS($P$6:$P$3267,P374,$Q$6:$Q$3267,"&lt;="&amp;Q374,$N$6:$N$3267,Calendar!$K$4),"")</f>
        <v/>
      </c>
      <c r="W374" s="47">
        <f>IF(AND(B374=Queue!$C$4,OR(Queue!$K$4="*",N374=Queue!$K$4)),Q374,"")</f>
        <v/>
      </c>
    </row>
    <row r="375">
      <c r="A375" s="38">
        <f>IF(M375="","",HYPERLINK("https://www.youtube.com/watch?v="&amp;M375,"▶"))</f>
        <v/>
      </c>
      <c r="B375" s="39">
        <f>IF(C375&lt;&gt;"",C375,IF(P375&lt;=IFERROR(INDEX(tblChannels[Watched Through],MATCH(N375,tblChannels[Channel ID],0)),0),"Watched","Unwatched"))</f>
        <v/>
      </c>
      <c r="C375" s="40" t="n"/>
      <c r="D375" s="41" t="n"/>
      <c r="E375" s="42" t="n">
        <v>45772.71944444445</v>
      </c>
      <c r="F375" s="50" t="inlineStr">
        <is>
          <t>Super Carlin Brothers</t>
        </is>
      </c>
      <c r="G375" t="inlineStr">
        <is>
          <t>Fleur’s SECRET Crush! | Harry Potter Film Theory</t>
        </is>
      </c>
      <c r="H375" s="44" t="n">
        <v>0.01126157407407407</v>
      </c>
      <c r="I375" s="45" t="n">
        <v>84446</v>
      </c>
      <c r="J375" s="45" t="n">
        <v>3875</v>
      </c>
      <c r="K375" s="45" t="n">
        <v>327</v>
      </c>
      <c r="L375" s="46" t="n"/>
      <c r="M375" s="47" t="n"/>
      <c r="N375" s="47" t="inlineStr">
        <is>
          <t>UCKZo4N0lVPccBkSiuyVh4yg</t>
        </is>
      </c>
      <c r="O375" s="48" t="n">
        <v>45772.88611111111</v>
      </c>
      <c r="P375" s="49" t="n">
        <v>45772</v>
      </c>
      <c r="Q375" s="47" t="n">
        <v>2893</v>
      </c>
      <c r="R375" s="47" t="inlineStr">
        <is>
          <t>No Video ID yet</t>
        </is>
      </c>
      <c r="S375" s="49" t="n"/>
      <c r="T375" s="49" t="n"/>
      <c r="U375" s="47" t="inlineStr">
        <is>
          <t>This episode is sponsored by BetterHelp - go to to get 10% off your first month. Today J dives into the Wizarding World of Harry Potter to discuss the Yule Ball and all the crazy social politics that ensue but most importantly Fleur’s crush and Ron’s TRUE prospects for the dance. Tickets go on-sale Friday, April 25 @ 10am Local Time!</t>
        </is>
      </c>
      <c r="V375" s="47">
        <f>IF(AND(P375&gt;=Calendar!$K$2,P375&lt;EDATE(Calendar!$K$2,1),OR(Calendar!$K$4="*",N375=Calendar!$K$4)),P375*100+COUNTIFS($P$6:$P$3267,P375,$Q$6:$Q$3267,"&lt;="&amp;Q375,$N$6:$N$3267,Calendar!$K$4),"")</f>
        <v/>
      </c>
      <c r="W375" s="47">
        <f>IF(AND(B375=Queue!$C$4,OR(Queue!$K$4="*",N375=Queue!$K$4)),Q375,"")</f>
        <v/>
      </c>
    </row>
    <row r="376">
      <c r="A376" s="38">
        <f>IF(M376="","",HYPERLINK("https://www.youtube.com/watch?v="&amp;M376,"▶"))</f>
        <v/>
      </c>
      <c r="B376" s="39">
        <f>IF(C376&lt;&gt;"",C376,IF(P376&lt;=IFERROR(INDEX(tblChannels[Watched Through],MATCH(N376,tblChannels[Channel ID],0)),0),"Watched","Unwatched"))</f>
        <v/>
      </c>
      <c r="C376" s="40" t="n"/>
      <c r="D376" s="41" t="n"/>
      <c r="E376" s="42" t="n">
        <v>45772.58263888889</v>
      </c>
      <c r="F376" s="50" t="inlineStr">
        <is>
          <t>Super Carlin Brothers</t>
        </is>
      </c>
      <c r="G376" t="inlineStr">
        <is>
          <t>Meg IS Mother Gothel! ☀️ #disney</t>
        </is>
      </c>
      <c r="H376" s="44" t="n">
        <v>0.002025462962962963</v>
      </c>
      <c r="I376" s="45" t="n">
        <v>2338709</v>
      </c>
      <c r="J376" s="45" t="n">
        <v>197942</v>
      </c>
      <c r="K376" s="45" t="n">
        <v>2725</v>
      </c>
      <c r="L376" s="46" t="n"/>
      <c r="M376" s="47" t="n"/>
      <c r="N376" s="47" t="inlineStr">
        <is>
          <t>UCKZo4N0lVPccBkSiuyVh4yg</t>
        </is>
      </c>
      <c r="O376" s="48" t="n">
        <v>45772.74930555555</v>
      </c>
      <c r="P376" s="49" t="n">
        <v>45772</v>
      </c>
      <c r="Q376" s="47" t="n">
        <v>2892</v>
      </c>
      <c r="R376" s="47" t="inlineStr">
        <is>
          <t>No Video ID yet</t>
        </is>
      </c>
      <c r="S376" s="49" t="n"/>
      <c r="T376" s="49" t="n"/>
      <c r="U376" s="47" t="inlineStr">
        <is>
          <t>In Which we prove that Meg from Hercules eventually becomes Mother Gothel from Tangled</t>
        </is>
      </c>
      <c r="V376" s="47">
        <f>IF(AND(P376&gt;=Calendar!$K$2,P376&lt;EDATE(Calendar!$K$2,1),OR(Calendar!$K$4="*",N376=Calendar!$K$4)),P376*100+COUNTIFS($P$6:$P$3267,P376,$Q$6:$Q$3267,"&lt;="&amp;Q376,$N$6:$N$3267,Calendar!$K$4),"")</f>
        <v/>
      </c>
      <c r="W376" s="47">
        <f>IF(AND(B376=Queue!$C$4,OR(Queue!$K$4="*",N376=Queue!$K$4)),Q376,"")</f>
        <v/>
      </c>
    </row>
    <row r="377">
      <c r="A377" s="38">
        <f>IF(M377="","",HYPERLINK("https://www.youtube.com/watch?v="&amp;M377,"▶"))</f>
        <v/>
      </c>
      <c r="B377" s="39">
        <f>IF(C377&lt;&gt;"",C377,IF(P377&lt;=IFERROR(INDEX(tblChannels[Watched Through],MATCH(N377,tblChannels[Channel ID],0)),0),"Watched","Unwatched"))</f>
        <v/>
      </c>
      <c r="C377" s="40" t="n"/>
      <c r="D377" s="41" t="n"/>
      <c r="E377" s="42" t="n">
        <v>45772.41666666666</v>
      </c>
      <c r="F377" s="43" t="inlineStr">
        <is>
          <t>Popcorn Culture</t>
        </is>
      </c>
      <c r="G377" t="inlineStr">
        <is>
          <t>WE WENT TO JAPAN! | Popcorn Culture</t>
        </is>
      </c>
      <c r="H377" s="44" t="n">
        <v>0.05480324074074074</v>
      </c>
      <c r="I377" s="45" t="n">
        <v>4021</v>
      </c>
      <c r="J377" s="45" t="n">
        <v>196</v>
      </c>
      <c r="K377" s="45" t="n">
        <v>29</v>
      </c>
      <c r="L377" s="46" t="n"/>
      <c r="M377" s="47" t="n"/>
      <c r="N377" s="47" t="inlineStr">
        <is>
          <t>UCHfIbq9thHPC8yrKjAdJgDA</t>
        </is>
      </c>
      <c r="O377" s="48" t="n">
        <v>45772.58333333334</v>
      </c>
      <c r="P377" s="49" t="n">
        <v>45772</v>
      </c>
      <c r="Q377" s="47" t="n">
        <v>2891</v>
      </c>
      <c r="R377" s="47" t="inlineStr">
        <is>
          <t>No Video ID yet</t>
        </is>
      </c>
      <c r="S377" s="49" t="n"/>
      <c r="T377" s="49" t="n"/>
      <c r="U377" s="47" t="inlineStr">
        <is>
          <t>In the 281st episode of the Pop, Ben and J discuss STAR WARS CELEBRATION IN JAPAN!!! All the movies they watched on the flight, the Pokemon Center, Meta’s VR Interface, the actual convention, the pins they got (of course) and the Star Wars fandom in general. Get your tickets for Through the Griffin Tour MIDWEST here: 00:00 - Intro, LEAD UP to Japan Travel 08:28 - Traveling TO Japan 23:57 - Being IN Japan 50:74 - The Actual Star Wars Events</t>
        </is>
      </c>
      <c r="V377" s="47">
        <f>IF(AND(P377&gt;=Calendar!$K$2,P377&lt;EDATE(Calendar!$K$2,1),OR(Calendar!$K$4="*",N377=Calendar!$K$4)),P377*100+COUNTIFS($P$6:$P$3267,P377,$Q$6:$Q$3267,"&lt;="&amp;Q377,$N$6:$N$3267,Calendar!$K$4),"")</f>
        <v/>
      </c>
      <c r="W377" s="47">
        <f>IF(AND(B377=Queue!$C$4,OR(Queue!$K$4="*",N377=Queue!$K$4)),Q377,"")</f>
        <v/>
      </c>
    </row>
    <row r="378">
      <c r="A378" s="38">
        <f>IF(M378="","",HYPERLINK("https://www.youtube.com/watch?v="&amp;M378,"▶"))</f>
        <v/>
      </c>
      <c r="B378" s="39">
        <f>IF(C378&lt;&gt;"",C378,IF(P378&lt;=IFERROR(INDEX(tblChannels[Watched Through],MATCH(N378,tblChannels[Channel ID],0)),0),"Watched","Unwatched"))</f>
        <v/>
      </c>
      <c r="C378" s="40" t="n"/>
      <c r="D378" s="41" t="n"/>
      <c r="E378" s="42" t="n">
        <v>45770.70208333333</v>
      </c>
      <c r="F378" s="50" t="inlineStr">
        <is>
          <t>Super Carlin Brothers</t>
        </is>
      </c>
      <c r="G378" t="inlineStr">
        <is>
          <t>J vs Ben: HARDEST Deathly Hallows Part 2 Harry Potter Movie TRIVIA Quiz</t>
        </is>
      </c>
      <c r="H378" s="44" t="n">
        <v>0.02927083333333333</v>
      </c>
      <c r="I378" s="45" t="n">
        <v>104873</v>
      </c>
      <c r="J378" s="45" t="n">
        <v>3918</v>
      </c>
      <c r="K378" s="45" t="n">
        <v>541</v>
      </c>
      <c r="L378" s="46" t="n"/>
      <c r="M378" s="47" t="n"/>
      <c r="N378" s="47" t="inlineStr">
        <is>
          <t>UCKZo4N0lVPccBkSiuyVh4yg</t>
        </is>
      </c>
      <c r="O378" s="48" t="n">
        <v>45770.86875</v>
      </c>
      <c r="P378" s="49" t="n">
        <v>45770</v>
      </c>
      <c r="Q378" s="47" t="n">
        <v>2890</v>
      </c>
      <c r="R378" s="47" t="inlineStr">
        <is>
          <t>No Video ID yet</t>
        </is>
      </c>
      <c r="S378" s="49" t="n"/>
      <c r="T378" s="49" t="n"/>
      <c r="U378" s="47" t="inlineStr">
        <is>
          <t>Go to to get 10 free meals with a free item for life. Tickets go on-sale Friday, April 25 @ 10am Local Time! Today J and Ben faceoff once more for the FINAL Harry Potter Movie Installment of J vs Ben! How will it all play out as they face the daunting questions of the Quiz Masters in Deathly Hallows Part 2!? (and how many times did they say “In the movies!”) Written by :: Quizmasters! Hosted by :: Kangaroo Kat And this I say unto you, for every display of gratitude, those particularly attributed to the levitation of the thumb, a narwhal receives its divine birthright, bestowed onto its brow in the form of a horn. Perhaps.</t>
        </is>
      </c>
      <c r="V378" s="47">
        <f>IF(AND(P378&gt;=Calendar!$K$2,P378&lt;EDATE(Calendar!$K$2,1),OR(Calendar!$K$4="*",N378=Calendar!$K$4)),P378*100+COUNTIFS($P$6:$P$3267,P378,$Q$6:$Q$3267,"&lt;="&amp;Q378,$N$6:$N$3267,Calendar!$K$4),"")</f>
        <v/>
      </c>
      <c r="W378" s="47">
        <f>IF(AND(B378=Queue!$C$4,OR(Queue!$K$4="*",N378=Queue!$K$4)),Q378,"")</f>
        <v/>
      </c>
    </row>
    <row r="379">
      <c r="A379" s="38">
        <f>IF(M379="","",HYPERLINK("https://www.youtube.com/watch?v="&amp;M379,"▶"))</f>
        <v/>
      </c>
      <c r="B379" s="39">
        <f>IF(C379&lt;&gt;"",C379,IF(P379&lt;=IFERROR(INDEX(tblChannels[Watched Through],MATCH(N379,tblChannels[Channel ID],0)),0),"Watched","Unwatched"))</f>
        <v/>
      </c>
      <c r="C379" s="40" t="n"/>
      <c r="D379" s="41" t="n"/>
      <c r="E379" s="42" t="n">
        <v>45770.59236111111</v>
      </c>
      <c r="F379" s="50" t="inlineStr">
        <is>
          <t>Super Carlin Brothers</t>
        </is>
      </c>
      <c r="G379" t="inlineStr">
        <is>
          <t>Why Does Woody Have A Holster? #toystory</t>
        </is>
      </c>
      <c r="H379" s="44" t="n">
        <v>0.001990740740740741</v>
      </c>
      <c r="I379" s="45" t="n">
        <v>8882125</v>
      </c>
      <c r="J379" s="45" t="n">
        <v>534185</v>
      </c>
      <c r="K379" s="45" t="n">
        <v>3410</v>
      </c>
      <c r="L379" s="46" t="n"/>
      <c r="M379" s="47" t="n"/>
      <c r="N379" s="47" t="inlineStr">
        <is>
          <t>UCKZo4N0lVPccBkSiuyVh4yg</t>
        </is>
      </c>
      <c r="O379" s="48" t="n">
        <v>45770.75902777778</v>
      </c>
      <c r="P379" s="49" t="n">
        <v>45770</v>
      </c>
      <c r="Q379" s="47" t="n">
        <v>2889</v>
      </c>
      <c r="R379" s="47" t="inlineStr">
        <is>
          <t>No Video ID yet</t>
        </is>
      </c>
      <c r="S379" s="49" t="n"/>
      <c r="T379" s="49" t="n"/>
      <c r="U379" s="47" t="inlineStr">
        <is>
          <t>Why does Woody in Toy Story have a holster but no gun? Did Andy just lose it.. or is there a more symbolic reason?</t>
        </is>
      </c>
      <c r="V379" s="47">
        <f>IF(AND(P379&gt;=Calendar!$K$2,P379&lt;EDATE(Calendar!$K$2,1),OR(Calendar!$K$4="*",N379=Calendar!$K$4)),P379*100+COUNTIFS($P$6:$P$3267,P379,$Q$6:$Q$3267,"&lt;="&amp;Q379,$N$6:$N$3267,Calendar!$K$4),"")</f>
        <v/>
      </c>
      <c r="W379" s="47">
        <f>IF(AND(B379=Queue!$C$4,OR(Queue!$K$4="*",N379=Queue!$K$4)),Q379,"")</f>
        <v/>
      </c>
    </row>
    <row r="380">
      <c r="A380" s="38">
        <f>IF(M380="","",HYPERLINK("https://www.youtube.com/watch?v="&amp;M380,"▶"))</f>
        <v/>
      </c>
      <c r="B380" s="39">
        <f>IF(C380&lt;&gt;"",C380,IF(P380&lt;=IFERROR(INDEX(tblChannels[Watched Through],MATCH(N380,tblChannels[Channel ID],0)),0),"Watched","Unwatched"))</f>
        <v/>
      </c>
      <c r="C380" s="40" t="n"/>
      <c r="D380" s="41" t="n"/>
      <c r="E380" s="42" t="n">
        <v>45770.45833333334</v>
      </c>
      <c r="F380" s="51" t="inlineStr">
        <is>
          <t>Through The Griffin Door</t>
        </is>
      </c>
      <c r="G380" t="inlineStr">
        <is>
          <t>THROUGH THE GRIFFIN TOUR - MIDWEST!</t>
        </is>
      </c>
      <c r="H380" s="44" t="n">
        <v>0.001284722222222222</v>
      </c>
      <c r="I380" s="45" t="n">
        <v>3054</v>
      </c>
      <c r="J380" s="45" t="n">
        <v>192</v>
      </c>
      <c r="K380" s="45" t="n">
        <v>71</v>
      </c>
      <c r="L380" s="46" t="n"/>
      <c r="M380" s="47" t="n"/>
      <c r="N380" s="47" t="inlineStr">
        <is>
          <t>UCEscP6ETYXWSSvsNrDHekMQ</t>
        </is>
      </c>
      <c r="O380" s="48" t="n">
        <v>45770.625</v>
      </c>
      <c r="P380" s="49" t="n">
        <v>45770</v>
      </c>
      <c r="Q380" s="47" t="n">
        <v>2888</v>
      </c>
      <c r="R380" s="47" t="inlineStr">
        <is>
          <t>No Video ID yet</t>
        </is>
      </c>
      <c r="S380" s="49" t="n"/>
      <c r="T380" s="49" t="n"/>
      <c r="U380" s="47" t="inlineStr">
        <is>
          <t>Hey Griffin Doorks! We are so excited to announce that we will be continuing the Through the Griffin TOUR in the Midwest this September! Tickets go on sale THIS FRIDAY, April 25th at 10:00am LOCAL TIME. You can find the links to each location on our website supercarlinbrothers.com/events VIP tickets will be available yet again for this tour as well for an additional $50! These will include a VIP meet and greet with J and Ben, a signed tour poster and early/premium seating. Each of the websites does their VIP ticket add ons differently so be sure to pay attention to how to add that before you check out! Again, you can get your tickets here: on Friday, April 25th at 10:00am LOCAL TIME. We can’t wait to see you in real life, brother! Indianapolis, IN - 9/16/2025: St. Louis, MO - 9/17/2025: Des Moines, IA - 9/19/2025: St. Paul, MN - 9/20/2025: Milwaukee, WI - 9/21/2025: Chicago, IL - 9/23/2025: Detroit, MI - 9/24/2025: Cleveland, OH - 9/25/2025:</t>
        </is>
      </c>
      <c r="V380" s="47">
        <f>IF(AND(P380&gt;=Calendar!$K$2,P380&lt;EDATE(Calendar!$K$2,1),OR(Calendar!$K$4="*",N380=Calendar!$K$4)),P380*100+COUNTIFS($P$6:$P$3267,P380,$Q$6:$Q$3267,"&lt;="&amp;Q380,$N$6:$N$3267,Calendar!$K$4),"")</f>
        <v/>
      </c>
      <c r="W380" s="47">
        <f>IF(AND(B380=Queue!$C$4,OR(Queue!$K$4="*",N380=Queue!$K$4)),Q380,"")</f>
        <v/>
      </c>
    </row>
    <row r="381">
      <c r="A381" s="38">
        <f>IF(M381="","",HYPERLINK("https://www.youtube.com/watch?v="&amp;M381,"▶"))</f>
        <v/>
      </c>
      <c r="B381" s="39">
        <f>IF(C381&lt;&gt;"",C381,IF(P381&lt;=IFERROR(INDEX(tblChannels[Watched Through],MATCH(N381,tblChannels[Channel ID],0)),0),"Watched","Unwatched"))</f>
        <v/>
      </c>
      <c r="C381" s="40" t="n"/>
      <c r="D381" s="41" t="n"/>
      <c r="E381" s="42" t="n">
        <v>45770.45833333334</v>
      </c>
      <c r="F381" s="50" t="inlineStr">
        <is>
          <t>Super Carlin Brothers</t>
        </is>
      </c>
      <c r="G381" t="inlineStr">
        <is>
          <t>THROUGH THE GRIFFIN TOUR - MIDWEST!</t>
        </is>
      </c>
      <c r="H381" s="44" t="n">
        <v>0.0008449074074074074</v>
      </c>
      <c r="I381" s="45" t="n">
        <v>5909</v>
      </c>
      <c r="J381" s="45" t="n">
        <v>271</v>
      </c>
      <c r="K381" s="45" t="n">
        <v>102</v>
      </c>
      <c r="L381" s="46" t="n"/>
      <c r="M381" s="47" t="n"/>
      <c r="N381" s="47" t="inlineStr">
        <is>
          <t>UCKZo4N0lVPccBkSiuyVh4yg</t>
        </is>
      </c>
      <c r="O381" s="48" t="n">
        <v>45770.625</v>
      </c>
      <c r="P381" s="49" t="n">
        <v>45770</v>
      </c>
      <c r="Q381" s="47" t="n">
        <v>2887</v>
      </c>
      <c r="R381" s="47" t="inlineStr">
        <is>
          <t>No Video ID yet</t>
        </is>
      </c>
      <c r="S381" s="49" t="n"/>
      <c r="T381" s="49" t="n"/>
      <c r="U381" s="47" t="inlineStr">
        <is>
          <t>Hey Griffin Doorks! We are so excited to announce that we will be continuing the Through the Griffin TOUR in the Midwest this September! Tickets go on sale THIS FRIDAY, April 25th at 10:00am LOCAL TIME. You can find the links to each location on our website supercarlinbrothers.com/events VIP tickets will be available yet again for this tour as well for an additional $50! These will include a VIP meet and greet with J and Ben, a signed tour poster and early/premium seating. Each of the websites does their VIP ticket add ons differently so be sure to pay attention to how to add that before you check out! Again, you can get your tickets here: on Friday, April 25th at 10:00am LOCAL TIME. We can’t wait to see you in real life, brother! Indianapolis, IN - 9/16/2025: St. Louis, MO - 9/17/2025: Des Moines, IA - 9/19/2025: St. Paul, MN - 9/20/2025: Milwaukee, WI - 9/21/2025: Chicago, IL - 9/23/2025: Detroit, MI - 9/24/2025: Cleveland, OH - 9/25/2025:</t>
        </is>
      </c>
      <c r="V381" s="47">
        <f>IF(AND(P381&gt;=Calendar!$K$2,P381&lt;EDATE(Calendar!$K$2,1),OR(Calendar!$K$4="*",N381=Calendar!$K$4)),P381*100+COUNTIFS($P$6:$P$3267,P381,$Q$6:$Q$3267,"&lt;="&amp;Q381,$N$6:$N$3267,Calendar!$K$4),"")</f>
        <v/>
      </c>
      <c r="W381" s="47">
        <f>IF(AND(B381=Queue!$C$4,OR(Queue!$K$4="*",N381=Queue!$K$4)),Q381,"")</f>
        <v/>
      </c>
    </row>
    <row r="382">
      <c r="A382" s="38">
        <f>IF(M382="","",HYPERLINK("https://www.youtube.com/watch?v="&amp;M382,"▶"))</f>
        <v/>
      </c>
      <c r="B382" s="39">
        <f>IF(C382&lt;&gt;"",C382,IF(P382&lt;=IFERROR(INDEX(tblChannels[Watched Through],MATCH(N382,tblChannels[Channel ID],0)),0),"Watched","Unwatched"))</f>
        <v/>
      </c>
      <c r="C382" s="40" t="n"/>
      <c r="D382" s="41" t="n"/>
      <c r="E382" s="42" t="n">
        <v>45767.41666666666</v>
      </c>
      <c r="F382" s="51" t="inlineStr">
        <is>
          <t>Through The Griffin Door</t>
        </is>
      </c>
      <c r="G382" t="inlineStr">
        <is>
          <t>Chapter 22: The Unexpected Task | Goblet of Fire</t>
        </is>
      </c>
      <c r="H382" s="44" t="n">
        <v>0.06768518518518518</v>
      </c>
      <c r="I382" s="45" t="n">
        <v>58819</v>
      </c>
      <c r="J382" s="45" t="n">
        <v>1534</v>
      </c>
      <c r="K382" s="45" t="n">
        <v>458</v>
      </c>
      <c r="L382" s="46" t="n"/>
      <c r="M382" s="47" t="n"/>
      <c r="N382" s="47" t="inlineStr">
        <is>
          <t>UCEscP6ETYXWSSvsNrDHekMQ</t>
        </is>
      </c>
      <c r="O382" s="48" t="n">
        <v>45767.58333333334</v>
      </c>
      <c r="P382" s="49" t="n">
        <v>45767</v>
      </c>
      <c r="Q382" s="47" t="n">
        <v>2886</v>
      </c>
      <c r="R382" s="47" t="inlineStr">
        <is>
          <t>No Video ID yet</t>
        </is>
      </c>
      <c r="S382" s="49" t="n"/>
      <c r="T382" s="49" t="n"/>
      <c r="U382" s="47" t="inlineStr">
        <is>
          <t>This episode is sponsored by Shopify — Go to to sign up for your $1-per-month trial period. Join J and Ben as they dive into Chapter 22 of the Goblet of Fire and discuss goofing off in class, McGonagall’s background, 800 barrels of mead, last classes before break, and the cringe-factor of asking people to the ball. Relevant Links Professor McGonagall’s Pottermore Article - 06:42 - Chapter Breakdown 36:07 - Shopify Ad Break 37:18 - More Chapter Breakdown 1:25:51 - Closing Thoughts and Review</t>
        </is>
      </c>
      <c r="V382" s="47">
        <f>IF(AND(P382&gt;=Calendar!$K$2,P382&lt;EDATE(Calendar!$K$2,1),OR(Calendar!$K$4="*",N382=Calendar!$K$4)),P382*100+COUNTIFS($P$6:$P$3267,P382,$Q$6:$Q$3267,"&lt;="&amp;Q382,$N$6:$N$3267,Calendar!$K$4),"")</f>
        <v/>
      </c>
      <c r="W382" s="47">
        <f>IF(AND(B382=Queue!$C$4,OR(Queue!$K$4="*",N382=Queue!$K$4)),Q382,"")</f>
        <v/>
      </c>
    </row>
    <row r="383">
      <c r="A383" s="38">
        <f>IF(M383="","",HYPERLINK("https://www.youtube.com/watch?v="&amp;M383,"▶"))</f>
        <v/>
      </c>
      <c r="B383" s="39">
        <f>IF(C383&lt;&gt;"",C383,IF(P383&lt;=IFERROR(INDEX(tblChannels[Watched Through],MATCH(N383,tblChannels[Channel ID],0)),0),"Watched","Unwatched"))</f>
        <v/>
      </c>
      <c r="C383" s="40" t="n"/>
      <c r="D383" s="41" t="n"/>
      <c r="E383" s="42" t="n">
        <v>45766.41736111111</v>
      </c>
      <c r="F383" s="50" t="inlineStr">
        <is>
          <t>Super Carlin Brothers</t>
        </is>
      </c>
      <c r="G383" t="inlineStr">
        <is>
          <t>Through the Griffin Door Supercut: Goblet of Fire Chapters 19-21</t>
        </is>
      </c>
      <c r="H383" s="44" t="n">
        <v>0.2107175925925926</v>
      </c>
      <c r="I383" s="45" t="n">
        <v>15746</v>
      </c>
      <c r="J383" s="45" t="n">
        <v>245</v>
      </c>
      <c r="K383" s="45" t="n">
        <v>42</v>
      </c>
      <c r="L383" s="46" t="n"/>
      <c r="M383" s="47" t="n"/>
      <c r="N383" s="47" t="inlineStr">
        <is>
          <t>UCKZo4N0lVPccBkSiuyVh4yg</t>
        </is>
      </c>
      <c r="O383" s="48" t="n">
        <v>45766.58402777778</v>
      </c>
      <c r="P383" s="49" t="n">
        <v>45766</v>
      </c>
      <c r="Q383" s="47" t="n">
        <v>2885</v>
      </c>
      <c r="R383" s="47" t="inlineStr">
        <is>
          <t>No Video ID yet</t>
        </is>
      </c>
      <c r="S383" s="49" t="n"/>
      <c r="T383" s="49" t="n"/>
      <c r="U383" s="47" t="inlineStr">
        <is>
          <t>0:00:00 - Chapter 19: The Hungarian Horntail 1:27:23- Chapter 20: The First Task 3:21:05 - Chapter 21: The House-Elf Liberation Front</t>
        </is>
      </c>
      <c r="V383" s="47">
        <f>IF(AND(P383&gt;=Calendar!$K$2,P383&lt;EDATE(Calendar!$K$2,1),OR(Calendar!$K$4="*",N383=Calendar!$K$4)),P383*100+COUNTIFS($P$6:$P$3267,P383,$Q$6:$Q$3267,"&lt;="&amp;Q383,$N$6:$N$3267,Calendar!$K$4),"")</f>
        <v/>
      </c>
      <c r="W383" s="47">
        <f>IF(AND(B383=Queue!$C$4,OR(Queue!$K$4="*",N383=Queue!$K$4)),Q383,"")</f>
        <v/>
      </c>
    </row>
    <row r="384">
      <c r="A384" s="38">
        <f>IF(M384="","",HYPERLINK("https://www.youtube.com/watch?v="&amp;M384,"▶"))</f>
        <v/>
      </c>
      <c r="B384" s="39">
        <f>IF(C384&lt;&gt;"",C384,IF(P384&lt;=IFERROR(INDEX(tblChannels[Watched Through],MATCH(N384,tblChannels[Channel ID],0)),0),"Watched","Unwatched"))</f>
        <v/>
      </c>
      <c r="C384" s="40" t="n"/>
      <c r="D384" s="41" t="n"/>
      <c r="E384" s="42" t="n">
        <v>45766.37638888889</v>
      </c>
      <c r="F384" s="50" t="inlineStr">
        <is>
          <t>Super Carlin Brothers</t>
        </is>
      </c>
      <c r="G384" t="inlineStr">
        <is>
          <t>Harry Could’ve Controlled the Basilisk 😳</t>
        </is>
      </c>
      <c r="H384" s="44" t="n">
        <v>0.001111111111111111</v>
      </c>
      <c r="I384" s="45" t="n">
        <v>111663</v>
      </c>
      <c r="J384" s="45" t="n">
        <v>7271</v>
      </c>
      <c r="K384" s="45" t="n">
        <v>202</v>
      </c>
      <c r="L384" s="46" t="n"/>
      <c r="M384" s="47" t="n"/>
      <c r="N384" s="47" t="inlineStr">
        <is>
          <t>UCKZo4N0lVPccBkSiuyVh4yg</t>
        </is>
      </c>
      <c r="O384" s="48" t="n">
        <v>45766.54305555556</v>
      </c>
      <c r="P384" s="49" t="n">
        <v>45766</v>
      </c>
      <c r="Q384" s="47" t="n">
        <v>2884</v>
      </c>
      <c r="R384" s="47" t="inlineStr">
        <is>
          <t>No Video ID yet</t>
        </is>
      </c>
      <c r="S384" s="49" t="n"/>
      <c r="T384" s="49" t="n"/>
      <c r="U384" s="47" t="inlineStr">
        <is>
          <t>Diary Tom can control the basilisk, he’s just Voldy soul and almost human, Harry is a whole person AND a Horcrux.. you tell me who has the greater claim. 🐍</t>
        </is>
      </c>
      <c r="V384" s="47">
        <f>IF(AND(P384&gt;=Calendar!$K$2,P384&lt;EDATE(Calendar!$K$2,1),OR(Calendar!$K$4="*",N384=Calendar!$K$4)),P384*100+COUNTIFS($P$6:$P$3267,P384,$Q$6:$Q$3267,"&lt;="&amp;Q384,$N$6:$N$3267,Calendar!$K$4),"")</f>
        <v/>
      </c>
      <c r="W384" s="47">
        <f>IF(AND(B384=Queue!$C$4,OR(Queue!$K$4="*",N384=Queue!$K$4)),Q384,"")</f>
        <v/>
      </c>
    </row>
    <row r="385">
      <c r="A385" s="38">
        <f>IF(M385="","",HYPERLINK("https://www.youtube.com/watch?v="&amp;M385,"▶"))</f>
        <v/>
      </c>
      <c r="B385" s="39">
        <f>IF(C385&lt;&gt;"",C385,IF(P385&lt;=IFERROR(INDEX(tblChannels[Watched Through],MATCH(N385,tblChannels[Channel ID],0)),0),"Watched","Unwatched"))</f>
        <v/>
      </c>
      <c r="C385" s="40" t="n"/>
      <c r="D385" s="41" t="n"/>
      <c r="E385" s="42" t="n">
        <v>45765.625</v>
      </c>
      <c r="F385" s="50" t="inlineStr">
        <is>
          <t>Super Carlin Brothers</t>
        </is>
      </c>
      <c r="G385" t="inlineStr">
        <is>
          <t>What is Hagrid’s House? - REACTING to Our Old Theories!</t>
        </is>
      </c>
      <c r="H385" s="44" t="n">
        <v>0.02274305555555555</v>
      </c>
      <c r="I385" s="45" t="n">
        <v>142160</v>
      </c>
      <c r="J385" s="45" t="n">
        <v>5433</v>
      </c>
      <c r="K385" s="45" t="n">
        <v>651</v>
      </c>
      <c r="L385" s="46" t="n"/>
      <c r="M385" s="47" t="n"/>
      <c r="N385" s="47" t="inlineStr">
        <is>
          <t>UCKZo4N0lVPccBkSiuyVh4yg</t>
        </is>
      </c>
      <c r="O385" s="48" t="n">
        <v>45765.79166666666</v>
      </c>
      <c r="P385" s="49" t="n">
        <v>45765</v>
      </c>
      <c r="Q385" s="47" t="n">
        <v>2883</v>
      </c>
      <c r="R385" s="47" t="inlineStr">
        <is>
          <t>No Video ID yet</t>
        </is>
      </c>
      <c r="S385" s="49" t="n"/>
      <c r="T385" s="49" t="n"/>
      <c r="U385" s="47" t="inlineStr">
        <is>
          <t>Today Ben and J revisit one of their most contested theories, what house was Hagrid a part of? A question with a seemingly obvious answer, but is it?</t>
        </is>
      </c>
      <c r="V385" s="47">
        <f>IF(AND(P385&gt;=Calendar!$K$2,P385&lt;EDATE(Calendar!$K$2,1),OR(Calendar!$K$4="*",N385=Calendar!$K$4)),P385*100+COUNTIFS($P$6:$P$3267,P385,$Q$6:$Q$3267,"&lt;="&amp;Q385,$N$6:$N$3267,Calendar!$K$4),"")</f>
        <v/>
      </c>
      <c r="W385" s="47">
        <f>IF(AND(B385=Queue!$C$4,OR(Queue!$K$4="*",N385=Queue!$K$4)),Q385,"")</f>
        <v/>
      </c>
    </row>
    <row r="386">
      <c r="A386" s="38">
        <f>IF(M386="","",HYPERLINK("https://www.youtube.com/watch?v="&amp;M386,"▶"))</f>
        <v/>
      </c>
      <c r="B386" s="39">
        <f>IF(C386&lt;&gt;"",C386,IF(P386&lt;=IFERROR(INDEX(tblChannels[Watched Through],MATCH(N386,tblChannels[Channel ID],0)),0),"Watched","Unwatched"))</f>
        <v/>
      </c>
      <c r="C386" s="40" t="n"/>
      <c r="D386" s="41" t="n"/>
      <c r="E386" s="42" t="n">
        <v>45765.41666666666</v>
      </c>
      <c r="F386" s="43" t="inlineStr">
        <is>
          <t>Popcorn Culture</t>
        </is>
      </c>
      <c r="G386" t="inlineStr">
        <is>
          <t>J Charges a Herd of Deer | Popcorn Culture</t>
        </is>
      </c>
      <c r="H386" s="44" t="n">
        <v>0.04195601851851852</v>
      </c>
      <c r="I386" s="45" t="n">
        <v>3082</v>
      </c>
      <c r="J386" s="45" t="n">
        <v>153</v>
      </c>
      <c r="K386" s="45" t="n">
        <v>22</v>
      </c>
      <c r="L386" s="46" t="n"/>
      <c r="M386" s="47" t="n"/>
      <c r="N386" s="47" t="inlineStr">
        <is>
          <t>UCHfIbq9thHPC8yrKjAdJgDA</t>
        </is>
      </c>
      <c r="O386" s="48" t="n">
        <v>45765.58333333334</v>
      </c>
      <c r="P386" s="49" t="n">
        <v>45765</v>
      </c>
      <c r="Q386" s="47" t="n">
        <v>2882</v>
      </c>
      <c r="R386" s="47" t="inlineStr">
        <is>
          <t>No Video ID yet</t>
        </is>
      </c>
      <c r="S386" s="49" t="n"/>
      <c r="T386" s="49" t="n"/>
      <c r="U386" s="47" t="inlineStr">
        <is>
          <t>In the 280th episode of the Pop, Ben and J discuss Luke’s life changing experience, charging deer, the office greenhouse, Ben’s Peloton experience, triathlon training, and necks. Drive to Survive - Pretty Silly in My Pants Spooky Snake Let’s Talk About Necks 00:00 - Intro, Silly Pants 04:04 - Luke’s First Snake 26:38 - Baby Sunflower 30:20 - Peloton 48:21 - Necks</t>
        </is>
      </c>
      <c r="V386" s="47">
        <f>IF(AND(P386&gt;=Calendar!$K$2,P386&lt;EDATE(Calendar!$K$2,1),OR(Calendar!$K$4="*",N386=Calendar!$K$4)),P386*100+COUNTIFS($P$6:$P$3267,P386,$Q$6:$Q$3267,"&lt;="&amp;Q386,$N$6:$N$3267,Calendar!$K$4),"")</f>
        <v/>
      </c>
      <c r="W386" s="47">
        <f>IF(AND(B386=Queue!$C$4,OR(Queue!$K$4="*",N386=Queue!$K$4)),Q386,"")</f>
        <v/>
      </c>
    </row>
    <row r="387">
      <c r="A387" s="38">
        <f>IF(M387="","",HYPERLINK("https://www.youtube.com/watch?v="&amp;M387,"▶"))</f>
        <v/>
      </c>
      <c r="B387" s="39">
        <f>IF(C387&lt;&gt;"",C387,IF(P387&lt;=IFERROR(INDEX(tblChannels[Watched Through],MATCH(N387,tblChannels[Channel ID],0)),0),"Watched","Unwatched"))</f>
        <v/>
      </c>
      <c r="C387" s="40" t="n"/>
      <c r="D387" s="41" t="n"/>
      <c r="E387" s="42" t="n">
        <v>45763.90555555555</v>
      </c>
      <c r="F387" s="50" t="inlineStr">
        <is>
          <t>Super Carlin Brothers</t>
        </is>
      </c>
      <c r="G387" t="inlineStr">
        <is>
          <t>Quidditch is DUMB!.. Ever heard of Swivenhodge? #harrypotter</t>
        </is>
      </c>
      <c r="H387" s="44" t="n">
        <v>0.0004282407407407408</v>
      </c>
      <c r="I387" s="45" t="n">
        <v>58808</v>
      </c>
      <c r="J387" s="45" t="n">
        <v>2479</v>
      </c>
      <c r="K387" s="45" t="n">
        <v>46</v>
      </c>
      <c r="L387" s="46" t="n"/>
      <c r="M387" s="47" t="n"/>
      <c r="N387" s="47" t="inlineStr">
        <is>
          <t>UCKZo4N0lVPccBkSiuyVh4yg</t>
        </is>
      </c>
      <c r="O387" s="48" t="n">
        <v>45764.07222222222</v>
      </c>
      <c r="P387" s="49" t="n">
        <v>45763</v>
      </c>
      <c r="Q387" s="47" t="n">
        <v>2881</v>
      </c>
      <c r="R387" s="47" t="inlineStr">
        <is>
          <t>No Video ID yet</t>
        </is>
      </c>
      <c r="S387" s="49" t="n"/>
      <c r="T387" s="49" t="n"/>
      <c r="U387" s="47" t="inlineStr">
        <is>
          <t>Welcome back to ESPN 9 3/4! Ever heard of Swivenhodge? It's basically Wizard Tennis but with a bunch of silly names for everything.. A BLADDER FLOP!</t>
        </is>
      </c>
      <c r="V387" s="47">
        <f>IF(AND(P387&gt;=Calendar!$K$2,P387&lt;EDATE(Calendar!$K$2,1),OR(Calendar!$K$4="*",N387=Calendar!$K$4)),P387*100+COUNTIFS($P$6:$P$3267,P387,$Q$6:$Q$3267,"&lt;="&amp;Q387,$N$6:$N$3267,Calendar!$K$4),"")</f>
        <v/>
      </c>
      <c r="W387" s="47">
        <f>IF(AND(B387=Queue!$C$4,OR(Queue!$K$4="*",N387=Queue!$K$4)),Q387,"")</f>
        <v/>
      </c>
    </row>
    <row r="388">
      <c r="A388" s="38">
        <f>IF(M388="","",HYPERLINK("https://www.youtube.com/watch?v="&amp;M388,"▶"))</f>
        <v/>
      </c>
      <c r="B388" s="39">
        <f>IF(C388&lt;&gt;"",C388,IF(P388&lt;=IFERROR(INDEX(tblChannels[Watched Through],MATCH(N388,tblChannels[Channel ID],0)),0),"Watched","Unwatched"))</f>
        <v/>
      </c>
      <c r="C388" s="40" t="n"/>
      <c r="D388" s="41" t="n"/>
      <c r="E388" s="42" t="n">
        <v>45763.74583333333</v>
      </c>
      <c r="F388" s="50" t="inlineStr">
        <is>
          <t>Super Carlin Brothers</t>
        </is>
      </c>
      <c r="G388" t="inlineStr">
        <is>
          <t>Why Harry Is The OPPOSITE of Neville | Harry Potter Film Theory</t>
        </is>
      </c>
      <c r="H388" s="44" t="n">
        <v>0.01012731481481481</v>
      </c>
      <c r="I388" s="45" t="n">
        <v>73849</v>
      </c>
      <c r="J388" s="45" t="n">
        <v>3782</v>
      </c>
      <c r="K388" s="45" t="n">
        <v>381</v>
      </c>
      <c r="L388" s="46" t="n"/>
      <c r="M388" s="47" t="n"/>
      <c r="N388" s="47" t="inlineStr">
        <is>
          <t>UCKZo4N0lVPccBkSiuyVh4yg</t>
        </is>
      </c>
      <c r="O388" s="48" t="n">
        <v>45763.9125</v>
      </c>
      <c r="P388" s="49" t="n">
        <v>45763</v>
      </c>
      <c r="Q388" s="47" t="n">
        <v>2880</v>
      </c>
      <c r="R388" s="47" t="inlineStr">
        <is>
          <t>No Video ID yet</t>
        </is>
      </c>
      <c r="S388" s="49" t="n"/>
      <c r="T388" s="49" t="n"/>
      <c r="U388" s="47" t="inlineStr">
        <is>
          <t>This episode is sponsored by BetterHelp. Go to to get 10% off your first month. This episode is sponsored by Shopify — Go to to sign up for your $1-per-month trial period. Today J dives into the Wizarding World of Harry Potter to find out how Harry Potter and Neville Longbottom are total opposites and yet also complete reflections of each other at the same time and end up in the same place. Written by :: Jonathan and Ben Carlin</t>
        </is>
      </c>
      <c r="V388" s="47">
        <f>IF(AND(P388&gt;=Calendar!$K$2,P388&lt;EDATE(Calendar!$K$2,1),OR(Calendar!$K$4="*",N388=Calendar!$K$4)),P388*100+COUNTIFS($P$6:$P$3267,P388,$Q$6:$Q$3267,"&lt;="&amp;Q388,$N$6:$N$3267,Calendar!$K$4),"")</f>
        <v/>
      </c>
      <c r="W388" s="47">
        <f>IF(AND(B388=Queue!$C$4,OR(Queue!$K$4="*",N388=Queue!$K$4)),Q388,"")</f>
        <v/>
      </c>
    </row>
    <row r="389">
      <c r="A389" s="38">
        <f>IF(M389="","",HYPERLINK("https://www.youtube.com/watch?v="&amp;M389,"▶"))</f>
        <v/>
      </c>
      <c r="B389" s="39">
        <f>IF(C389&lt;&gt;"",C389,IF(P389&lt;=IFERROR(INDEX(tblChannels[Watched Through],MATCH(N389,tblChannels[Channel ID],0)),0),"Watched","Unwatched"))</f>
        <v/>
      </c>
      <c r="C389" s="40" t="n"/>
      <c r="D389" s="41" t="n"/>
      <c r="E389" s="42" t="n">
        <v>45761.63125</v>
      </c>
      <c r="F389" s="50" t="inlineStr">
        <is>
          <t>Super Carlin Brothers</t>
        </is>
      </c>
      <c r="G389" t="inlineStr">
        <is>
          <t>Blood-Math in Harry Potter Explained🩸 #harrypotter</t>
        </is>
      </c>
      <c r="H389" s="44" t="n">
        <v>0.001574074074074074</v>
      </c>
      <c r="I389" s="45" t="n">
        <v>850402</v>
      </c>
      <c r="J389" s="45" t="n">
        <v>46355</v>
      </c>
      <c r="K389" s="45" t="n">
        <v>1177</v>
      </c>
      <c r="L389" s="46" t="n"/>
      <c r="M389" s="47" t="n"/>
      <c r="N389" s="47" t="inlineStr">
        <is>
          <t>UCKZo4N0lVPccBkSiuyVh4yg</t>
        </is>
      </c>
      <c r="O389" s="48" t="n">
        <v>45761.79791666667</v>
      </c>
      <c r="P389" s="49" t="n">
        <v>45761</v>
      </c>
      <c r="Q389" s="47" t="n">
        <v>2879</v>
      </c>
      <c r="R389" s="47" t="inlineStr">
        <is>
          <t>No Video ID yet</t>
        </is>
      </c>
      <c r="S389" s="49" t="n"/>
      <c r="T389" s="49" t="n"/>
      <c r="U389" s="47" t="inlineStr">
        <is>
          <t>Are Ron and Hermione's Kids Pure Blood since both parents are magical? No. Half-Blood is a confusing term in Harry Potter that encompasses much more than 50% of your blood. If you have a muggle anywhere up your family tree and have 1-99% muggle blood... you're a half-blood. (also, did anyone else get jump-scared by mustache-less J?)</t>
        </is>
      </c>
      <c r="V389" s="47">
        <f>IF(AND(P389&gt;=Calendar!$K$2,P389&lt;EDATE(Calendar!$K$2,1),OR(Calendar!$K$4="*",N389=Calendar!$K$4)),P389*100+COUNTIFS($P$6:$P$3267,P389,$Q$6:$Q$3267,"&lt;="&amp;Q389,$N$6:$N$3267,Calendar!$K$4),"")</f>
        <v/>
      </c>
      <c r="W389" s="47">
        <f>IF(AND(B389=Queue!$C$4,OR(Queue!$K$4="*",N389=Queue!$K$4)),Q389,"")</f>
        <v/>
      </c>
    </row>
    <row r="390">
      <c r="A390" s="38">
        <f>IF(M390="","",HYPERLINK("https://www.youtube.com/watch?v="&amp;M390,"▶"))</f>
        <v/>
      </c>
      <c r="B390" s="39">
        <f>IF(C390&lt;&gt;"",C390,IF(P390&lt;=IFERROR(INDEX(tblChannels[Watched Through],MATCH(N390,tblChannels[Channel ID],0)),0),"Watched","Unwatched"))</f>
        <v/>
      </c>
      <c r="C390" s="40" t="n"/>
      <c r="D390" s="41" t="n"/>
      <c r="E390" s="42" t="n">
        <v>45760.41736111111</v>
      </c>
      <c r="F390" s="51" t="inlineStr">
        <is>
          <t>Through The Griffin Door</t>
        </is>
      </c>
      <c r="G390" t="inlineStr">
        <is>
          <t>Chapter 21: The House Elf Liberation Front | Goblet of Fire</t>
        </is>
      </c>
      <c r="H390" s="44" t="n">
        <v>0.07363425925925926</v>
      </c>
      <c r="I390" s="45" t="n">
        <v>60387</v>
      </c>
      <c r="J390" s="45" t="n">
        <v>1591</v>
      </c>
      <c r="K390" s="45" t="n">
        <v>438</v>
      </c>
      <c r="L390" s="46" t="n"/>
      <c r="M390" s="47" t="n"/>
      <c r="N390" s="47" t="inlineStr">
        <is>
          <t>UCEscP6ETYXWSSvsNrDHekMQ</t>
        </is>
      </c>
      <c r="O390" s="48" t="n">
        <v>45760.58402777778</v>
      </c>
      <c r="P390" s="49" t="n">
        <v>45760</v>
      </c>
      <c r="Q390" s="47" t="n">
        <v>2878</v>
      </c>
      <c r="R390" s="47" t="inlineStr">
        <is>
          <t>No Video ID yet</t>
        </is>
      </c>
      <c r="S390" s="49" t="n"/>
      <c r="T390" s="49" t="n"/>
      <c r="U390" s="47" t="inlineStr">
        <is>
          <t>This episode is sponsored by Pair Eyewear -- Be sure to check out Pair Eyewear and get 15% off your first pair when you go to PairEyewear.com and use promo code: 'GRIFFIN' This episode is sponsored by Turtle Beach -- Level up your game and get 10% off @TurtleBeach with code GRIFFIN at #turtlebeachpod Join J and Ben as they dive into Chapter 21 of the Goblet of Fire and discuss the dangerfulness of the tournament, the party in the common room, artistry and magic, everyone’s fears, Rita at Hagrid’s class, elf magic, and the kitchens. 04:50 - Chapter Breakdown 28:47 - Pair Eyewear Ad Break 30:48 - More Chapter Breakdown 55:04 - Turtle Beach Ad Break 56:44 - More Chapter Breakdown 1:35:40 - Closing Thoughts and Review</t>
        </is>
      </c>
      <c r="V390" s="47">
        <f>IF(AND(P390&gt;=Calendar!$K$2,P390&lt;EDATE(Calendar!$K$2,1),OR(Calendar!$K$4="*",N390=Calendar!$K$4)),P390*100+COUNTIFS($P$6:$P$3267,P390,$Q$6:$Q$3267,"&lt;="&amp;Q390,$N$6:$N$3267,Calendar!$K$4),"")</f>
        <v/>
      </c>
      <c r="W390" s="47">
        <f>IF(AND(B390=Queue!$C$4,OR(Queue!$K$4="*",N390=Queue!$K$4)),Q390,"")</f>
        <v/>
      </c>
    </row>
    <row r="391">
      <c r="A391" s="38">
        <f>IF(M391="","",HYPERLINK("https://www.youtube.com/watch?v="&amp;M391,"▶"))</f>
        <v/>
      </c>
      <c r="B391" s="39">
        <f>IF(C391&lt;&gt;"",C391,IF(P391&lt;=IFERROR(INDEX(tblChannels[Watched Through],MATCH(N391,tblChannels[Channel ID],0)),0),"Watched","Unwatched"))</f>
        <v/>
      </c>
      <c r="C391" s="40" t="n"/>
      <c r="D391" s="41" t="n"/>
      <c r="E391" s="42" t="n">
        <v>45758.67638888889</v>
      </c>
      <c r="F391" s="50" t="inlineStr">
        <is>
          <t>Super Carlin Brothers</t>
        </is>
      </c>
      <c r="G391" t="inlineStr">
        <is>
          <t>The DARK Origin Of Barty Crouch Jr | Harry Potter Film Theory</t>
        </is>
      </c>
      <c r="H391" s="44" t="n">
        <v>0.01092592592592593</v>
      </c>
      <c r="I391" s="45" t="n">
        <v>152311</v>
      </c>
      <c r="J391" s="45" t="n">
        <v>6002</v>
      </c>
      <c r="K391" s="45" t="n">
        <v>546</v>
      </c>
      <c r="L391" s="46" t="n"/>
      <c r="M391" s="47" t="n"/>
      <c r="N391" s="47" t="inlineStr">
        <is>
          <t>UCKZo4N0lVPccBkSiuyVh4yg</t>
        </is>
      </c>
      <c r="O391" s="48" t="n">
        <v>45758.84305555555</v>
      </c>
      <c r="P391" s="49" t="n">
        <v>45758</v>
      </c>
      <c r="Q391" s="47" t="n">
        <v>2877</v>
      </c>
      <c r="R391" s="47" t="inlineStr">
        <is>
          <t>No Video ID yet</t>
        </is>
      </c>
      <c r="S391" s="49" t="n"/>
      <c r="T391" s="49" t="n"/>
      <c r="U391" s="47" t="inlineStr">
        <is>
          <t>Today Ben dives into the history of the Wizarding World of Harry Potter to unravel the dark history of Barty Crouch Jr and how he became evil! Written by :: Jonathan and Ben Carlin</t>
        </is>
      </c>
      <c r="V391" s="47">
        <f>IF(AND(P391&gt;=Calendar!$K$2,P391&lt;EDATE(Calendar!$K$2,1),OR(Calendar!$K$4="*",N391=Calendar!$K$4)),P391*100+COUNTIFS($P$6:$P$3267,P391,$Q$6:$Q$3267,"&lt;="&amp;Q391,$N$6:$N$3267,Calendar!$K$4),"")</f>
        <v/>
      </c>
      <c r="W391" s="47">
        <f>IF(AND(B391=Queue!$C$4,OR(Queue!$K$4="*",N391=Queue!$K$4)),Q391,"")</f>
        <v/>
      </c>
    </row>
    <row r="392">
      <c r="A392" s="38">
        <f>IF(M392="","",HYPERLINK("https://www.youtube.com/watch?v="&amp;M392,"▶"))</f>
        <v/>
      </c>
      <c r="B392" s="39">
        <f>IF(C392&lt;&gt;"",C392,IF(P392&lt;=IFERROR(INDEX(tblChannels[Watched Through],MATCH(N392,tblChannels[Channel ID],0)),0),"Watched","Unwatched"))</f>
        <v/>
      </c>
      <c r="C392" s="40" t="n"/>
      <c r="D392" s="41" t="n"/>
      <c r="E392" s="42" t="n">
        <v>45758.47222222222</v>
      </c>
      <c r="F392" s="50" t="inlineStr">
        <is>
          <t>Super Carlin Brothers</t>
        </is>
      </c>
      <c r="G392" t="inlineStr">
        <is>
          <t>Dumbledore Gaslights Snape.. #harrypotter</t>
        </is>
      </c>
      <c r="H392" s="44" t="n">
        <v>0.001712962962962963</v>
      </c>
      <c r="I392" s="45" t="n">
        <v>75596</v>
      </c>
      <c r="J392" s="45" t="n">
        <v>5273</v>
      </c>
      <c r="K392" s="45" t="n">
        <v>245</v>
      </c>
      <c r="L392" s="46" t="n"/>
      <c r="M392" s="47" t="n"/>
      <c r="N392" s="47" t="inlineStr">
        <is>
          <t>UCKZo4N0lVPccBkSiuyVh4yg</t>
        </is>
      </c>
      <c r="O392" s="48" t="n">
        <v>45758.63888888889</v>
      </c>
      <c r="P392" s="49" t="n">
        <v>45758</v>
      </c>
      <c r="Q392" s="47" t="n">
        <v>2876</v>
      </c>
      <c r="R392" s="47" t="inlineStr">
        <is>
          <t>No Video ID yet</t>
        </is>
      </c>
      <c r="S392" s="49" t="n"/>
      <c r="T392" s="49" t="n"/>
      <c r="U392" s="47" t="inlineStr">
        <is>
          <t>Snape files a complaint with the headmaster... How do you think that makes Dumbledore feel?</t>
        </is>
      </c>
      <c r="V392" s="47">
        <f>IF(AND(P392&gt;=Calendar!$K$2,P392&lt;EDATE(Calendar!$K$2,1),OR(Calendar!$K$4="*",N392=Calendar!$K$4)),P392*100+COUNTIFS($P$6:$P$3267,P392,$Q$6:$Q$3267,"&lt;="&amp;Q392,$N$6:$N$3267,Calendar!$K$4),"")</f>
        <v/>
      </c>
      <c r="W392" s="47">
        <f>IF(AND(B392=Queue!$C$4,OR(Queue!$K$4="*",N392=Queue!$K$4)),Q392,"")</f>
        <v/>
      </c>
    </row>
    <row r="393">
      <c r="A393" s="38">
        <f>IF(M393="","",HYPERLINK("https://www.youtube.com/watch?v="&amp;M393,"▶"))</f>
        <v/>
      </c>
      <c r="B393" s="39">
        <f>IF(C393&lt;&gt;"",C393,IF(P393&lt;=IFERROR(INDEX(tblChannels[Watched Through],MATCH(N393,tblChannels[Channel ID],0)),0),"Watched","Unwatched"))</f>
        <v/>
      </c>
      <c r="C393" s="40" t="n"/>
      <c r="D393" s="41" t="n"/>
      <c r="E393" s="42" t="n">
        <v>45758.41666666666</v>
      </c>
      <c r="F393" s="43" t="inlineStr">
        <is>
          <t>Popcorn Culture</t>
        </is>
      </c>
      <c r="G393" t="inlineStr">
        <is>
          <t>Don’t Ask for Forgiveness | Popcorn Culture</t>
        </is>
      </c>
      <c r="H393" s="44" t="n">
        <v>0.04907407407407408</v>
      </c>
      <c r="I393" s="45" t="n">
        <v>3281</v>
      </c>
      <c r="J393" s="45" t="n">
        <v>159</v>
      </c>
      <c r="K393" s="45" t="n">
        <v>20</v>
      </c>
      <c r="L393" s="46" t="n"/>
      <c r="M393" s="47" t="n"/>
      <c r="N393" s="47" t="inlineStr">
        <is>
          <t>UCHfIbq9thHPC8yrKjAdJgDA</t>
        </is>
      </c>
      <c r="O393" s="48" t="n">
        <v>45758.58333333334</v>
      </c>
      <c r="P393" s="49" t="n">
        <v>45758</v>
      </c>
      <c r="Q393" s="47" t="n">
        <v>2875</v>
      </c>
      <c r="R393" s="47" t="inlineStr">
        <is>
          <t>No Video ID yet</t>
        </is>
      </c>
      <c r="S393" s="49" t="n"/>
      <c r="T393" s="49" t="n"/>
      <c r="U393" s="47" t="inlineStr">
        <is>
          <t>This episode is sponsored by Turtle Beach -- Level up your game and get 10% off @TurtleBeach with code POPCORN at #turtlebeachpod Ben and J discuss a fence building update, The Apology Languages, and the three words that define their style. The Martian - The Apology Language Assessment - Iron Palm Pasty Nightmare 00:00 - Intro, Productive Weekend 27:34 - Ad Break 29:17 - Apologizing 56:52 - Personal Style</t>
        </is>
      </c>
      <c r="V393" s="47">
        <f>IF(AND(P393&gt;=Calendar!$K$2,P393&lt;EDATE(Calendar!$K$2,1),OR(Calendar!$K$4="*",N393=Calendar!$K$4)),P393*100+COUNTIFS($P$6:$P$3267,P393,$Q$6:$Q$3267,"&lt;="&amp;Q393,$N$6:$N$3267,Calendar!$K$4),"")</f>
        <v/>
      </c>
      <c r="W393" s="47">
        <f>IF(AND(B393=Queue!$C$4,OR(Queue!$K$4="*",N393=Queue!$K$4)),Q393,"")</f>
        <v/>
      </c>
    </row>
    <row r="394">
      <c r="A394" s="38">
        <f>IF(M394="","",HYPERLINK("https://www.youtube.com/watch?v="&amp;M394,"▶"))</f>
        <v/>
      </c>
      <c r="B394" s="39">
        <f>IF(C394&lt;&gt;"",C394,IF(P394&lt;=IFERROR(INDEX(tblChannels[Watched Through],MATCH(N394,tblChannels[Channel ID],0)),0),"Watched","Unwatched"))</f>
        <v/>
      </c>
      <c r="C394" s="40" t="n"/>
      <c r="D394" s="41" t="n"/>
      <c r="E394" s="42" t="n">
        <v>45756.70833333334</v>
      </c>
      <c r="F394" s="50" t="inlineStr">
        <is>
          <t>Super Carlin Brothers</t>
        </is>
      </c>
      <c r="G394" t="inlineStr">
        <is>
          <t>J vs Ben: HARDEST Deathly Hallows Part 1 Harry Potter Movie TRIVIA Quiz</t>
        </is>
      </c>
      <c r="H394" s="44" t="n">
        <v>0.02695601851851852</v>
      </c>
      <c r="I394" s="45" t="n">
        <v>120115</v>
      </c>
      <c r="J394" s="45" t="n">
        <v>4097</v>
      </c>
      <c r="K394" s="45" t="n">
        <v>443</v>
      </c>
      <c r="L394" s="46" t="n"/>
      <c r="M394" s="47" t="n"/>
      <c r="N394" s="47" t="inlineStr">
        <is>
          <t>UCKZo4N0lVPccBkSiuyVh4yg</t>
        </is>
      </c>
      <c r="O394" s="48" t="n">
        <v>45756.875</v>
      </c>
      <c r="P394" s="49" t="n">
        <v>45756</v>
      </c>
      <c r="Q394" s="47" t="n">
        <v>2874</v>
      </c>
      <c r="R394" s="47" t="inlineStr">
        <is>
          <t>No Video ID yet</t>
        </is>
      </c>
      <c r="S394" s="49" t="n"/>
      <c r="T394" s="49" t="n"/>
      <c r="U394" s="47" t="inlineStr">
        <is>
          <t>Go to and use code jvsb50off to get 50% off plus free shipping on your first box. Today J and Ben face off once more (having yet again not watched the movie) to find out who knows the most about Harry Potter and the Deathly Hallows Part 1! Written by :: Our Quiz Masters! Hosted by :: Ethan Edghill</t>
        </is>
      </c>
      <c r="V394" s="47">
        <f>IF(AND(P394&gt;=Calendar!$K$2,P394&lt;EDATE(Calendar!$K$2,1),OR(Calendar!$K$4="*",N394=Calendar!$K$4)),P394*100+COUNTIFS($P$6:$P$3267,P394,$Q$6:$Q$3267,"&lt;="&amp;Q394,$N$6:$N$3267,Calendar!$K$4),"")</f>
        <v/>
      </c>
      <c r="W394" s="47">
        <f>IF(AND(B394=Queue!$C$4,OR(Queue!$K$4="*",N394=Queue!$K$4)),Q394,"")</f>
        <v/>
      </c>
    </row>
    <row r="395">
      <c r="A395" s="38">
        <f>IF(M395="","",HYPERLINK("https://www.youtube.com/watch?v="&amp;M395,"▶"))</f>
        <v/>
      </c>
      <c r="B395" s="39">
        <f>IF(C395&lt;&gt;"",C395,IF(P395&lt;=IFERROR(INDEX(tblChannels[Watched Through],MATCH(N395,tblChannels[Channel ID],0)),0),"Watched","Unwatched"))</f>
        <v/>
      </c>
      <c r="C395" s="40" t="n"/>
      <c r="D395" s="41" t="n"/>
      <c r="E395" s="42" t="n">
        <v>45756.4625</v>
      </c>
      <c r="F395" s="50" t="inlineStr">
        <is>
          <t>Super Carlin Brothers</t>
        </is>
      </c>
      <c r="G395" t="inlineStr">
        <is>
          <t>Snape Asks Voldemort to Spare Lily… #harrypotter</t>
        </is>
      </c>
      <c r="H395" s="44" t="n">
        <v>0.001342592592592592</v>
      </c>
      <c r="I395" s="45" t="n">
        <v>62032</v>
      </c>
      <c r="J395" s="45" t="n">
        <v>3342</v>
      </c>
      <c r="K395" s="45" t="n">
        <v>153</v>
      </c>
      <c r="L395" s="46" t="n"/>
      <c r="M395" s="47" t="n"/>
      <c r="N395" s="47" t="inlineStr">
        <is>
          <t>UCKZo4N0lVPccBkSiuyVh4yg</t>
        </is>
      </c>
      <c r="O395" s="48" t="n">
        <v>45756.62916666667</v>
      </c>
      <c r="P395" s="49" t="n">
        <v>45756</v>
      </c>
      <c r="Q395" s="47" t="n">
        <v>2873</v>
      </c>
      <c r="R395" s="47" t="inlineStr">
        <is>
          <t>No Video ID yet</t>
        </is>
      </c>
      <c r="S395" s="49" t="n"/>
      <c r="T395" s="49" t="n"/>
      <c r="U395" s="47" t="inlineStr">
        <is>
          <t>The Half-Blood Prince of Anguish has a request....</t>
        </is>
      </c>
      <c r="V395" s="47">
        <f>IF(AND(P395&gt;=Calendar!$K$2,P395&lt;EDATE(Calendar!$K$2,1),OR(Calendar!$K$4="*",N395=Calendar!$K$4)),P395*100+COUNTIFS($P$6:$P$3267,P395,$Q$6:$Q$3267,"&lt;="&amp;Q395,$N$6:$N$3267,Calendar!$K$4),"")</f>
        <v/>
      </c>
      <c r="W395" s="47">
        <f>IF(AND(B395=Queue!$C$4,OR(Queue!$K$4="*",N395=Queue!$K$4)),Q395,"")</f>
        <v/>
      </c>
    </row>
    <row r="396">
      <c r="A396" s="38">
        <f>IF(M396="","",HYPERLINK("https://www.youtube.com/watch?v="&amp;M396,"▶"))</f>
        <v/>
      </c>
      <c r="B396" s="39">
        <f>IF(C396&lt;&gt;"",C396,IF(P396&lt;=IFERROR(INDEX(tblChannels[Watched Through],MATCH(N396,tblChannels[Channel ID],0)),0),"Watched","Unwatched"))</f>
        <v/>
      </c>
      <c r="C396" s="40" t="n"/>
      <c r="D396" s="41" t="n"/>
      <c r="E396" s="42" t="n">
        <v>45753.41666666666</v>
      </c>
      <c r="F396" s="51" t="inlineStr">
        <is>
          <t>Through The Griffin Door</t>
        </is>
      </c>
      <c r="G396" t="inlineStr">
        <is>
          <t>Chapter 20: The First Task | Goblet of Fire</t>
        </is>
      </c>
      <c r="H396" s="44" t="n">
        <v>0.07895833333333334</v>
      </c>
      <c r="I396" s="45" t="n">
        <v>66286</v>
      </c>
      <c r="J396" s="45" t="n">
        <v>1661</v>
      </c>
      <c r="K396" s="45" t="n">
        <v>554</v>
      </c>
      <c r="L396" s="46" t="n"/>
      <c r="M396" s="47" t="n"/>
      <c r="N396" s="47" t="inlineStr">
        <is>
          <t>UCEscP6ETYXWSSvsNrDHekMQ</t>
        </is>
      </c>
      <c r="O396" s="48" t="n">
        <v>45753.58333333334</v>
      </c>
      <c r="P396" s="49" t="n">
        <v>45753</v>
      </c>
      <c r="Q396" s="47" t="n">
        <v>2872</v>
      </c>
      <c r="R396" s="47" t="inlineStr">
        <is>
          <t>No Video ID yet</t>
        </is>
      </c>
      <c r="S396" s="49" t="n"/>
      <c r="T396" s="49" t="n"/>
      <c r="U396" s="47" t="inlineStr">
        <is>
          <t>Join J and Ben as they dive into Chapter 20 of the Goblet of Fire and discuss Harry and Hermione researching dragons, Moody’s interference, the leadup to the task, winking, Ludo running, Harry getting the golden egg, and reuniting with Ron. How Did Voldemort Get His Original Wand Back? - 08:28 - Chapter Breakdown 1:44:11 - Closing Thoughts and Review</t>
        </is>
      </c>
      <c r="V396" s="47">
        <f>IF(AND(P396&gt;=Calendar!$K$2,P396&lt;EDATE(Calendar!$K$2,1),OR(Calendar!$K$4="*",N396=Calendar!$K$4)),P396*100+COUNTIFS($P$6:$P$3267,P396,$Q$6:$Q$3267,"&lt;="&amp;Q396,$N$6:$N$3267,Calendar!$K$4),"")</f>
        <v/>
      </c>
      <c r="W396" s="47">
        <f>IF(AND(B396=Queue!$C$4,OR(Queue!$K$4="*",N396=Queue!$K$4)),Q396,"")</f>
        <v/>
      </c>
    </row>
    <row r="397">
      <c r="A397" s="38">
        <f>IF(M397="","",HYPERLINK("https://www.youtube.com/watch?v="&amp;M397,"▶"))</f>
        <v/>
      </c>
      <c r="B397" s="39">
        <f>IF(C397&lt;&gt;"",C397,IF(P397&lt;=IFERROR(INDEX(tblChannels[Watched Through],MATCH(N397,tblChannels[Channel ID],0)),0),"Watched","Unwatched"))</f>
        <v/>
      </c>
      <c r="C397" s="40" t="n"/>
      <c r="D397" s="41" t="n"/>
      <c r="E397" s="42" t="n">
        <v>45751.67430555556</v>
      </c>
      <c r="F397" s="50" t="inlineStr">
        <is>
          <t>Super Carlin Brothers</t>
        </is>
      </c>
      <c r="G397" t="inlineStr">
        <is>
          <t>SNAPE Played Quidditch?! | Harry Potter Film Theory</t>
        </is>
      </c>
      <c r="H397" s="44" t="n">
        <v>0.01178240740740741</v>
      </c>
      <c r="I397" s="45" t="n">
        <v>92852</v>
      </c>
      <c r="J397" s="45" t="n">
        <v>4212</v>
      </c>
      <c r="K397" s="45" t="n">
        <v>443</v>
      </c>
      <c r="L397" s="46" t="n"/>
      <c r="M397" s="47" t="n"/>
      <c r="N397" s="47" t="inlineStr">
        <is>
          <t>UCKZo4N0lVPccBkSiuyVh4yg</t>
        </is>
      </c>
      <c r="O397" s="48" t="n">
        <v>45751.84097222222</v>
      </c>
      <c r="P397" s="49" t="n">
        <v>45751</v>
      </c>
      <c r="Q397" s="47" t="n">
        <v>2871</v>
      </c>
      <c r="R397" s="47" t="inlineStr">
        <is>
          <t>No Video ID yet</t>
        </is>
      </c>
      <c r="S397" s="49" t="n"/>
      <c r="T397" s="49" t="n"/>
      <c r="U397" s="47" t="inlineStr">
        <is>
          <t>This episode is sponsored by HelloFresh – Get up to 10 FREE meals and a free high protein item for life at HelloFresh.com/supercarlin10fm Today Ben dives into the Wizarding World of Harry Potter to discover if one Severus (Southerin) Snape played Quidditch for the Slytherin Team during his time at Hogwarts! Edited by :: Ethan Edghill &amp; Isybelle Christley Written by :: Jonathan &amp; Ben Carlin</t>
        </is>
      </c>
      <c r="V397" s="47">
        <f>IF(AND(P397&gt;=Calendar!$K$2,P397&lt;EDATE(Calendar!$K$2,1),OR(Calendar!$K$4="*",N397=Calendar!$K$4)),P397*100+COUNTIFS($P$6:$P$3267,P397,$Q$6:$Q$3267,"&lt;="&amp;Q397,$N$6:$N$3267,Calendar!$K$4),"")</f>
        <v/>
      </c>
      <c r="W397" s="47">
        <f>IF(AND(B397=Queue!$C$4,OR(Queue!$K$4="*",N397=Queue!$K$4)),Q397,"")</f>
        <v/>
      </c>
    </row>
    <row r="398">
      <c r="A398" s="38">
        <f>IF(M398="","",HYPERLINK("https://www.youtube.com/watch?v="&amp;M398,"▶"))</f>
        <v/>
      </c>
      <c r="B398" s="39">
        <f>IF(C398&lt;&gt;"",C398,IF(P398&lt;=IFERROR(INDEX(tblChannels[Watched Through],MATCH(N398,tblChannels[Channel ID],0)),0),"Watched","Unwatched"))</f>
        <v/>
      </c>
      <c r="C398" s="40" t="n"/>
      <c r="D398" s="41" t="n"/>
      <c r="E398" s="42" t="n">
        <v>45751.41666666666</v>
      </c>
      <c r="F398" s="43" t="inlineStr">
        <is>
          <t>Popcorn Culture</t>
        </is>
      </c>
      <c r="G398" t="inlineStr">
        <is>
          <t>Ben’s House Got Struck by Lightning | Popcorn Culture</t>
        </is>
      </c>
      <c r="H398" s="44" t="n">
        <v>0.0525</v>
      </c>
      <c r="I398" s="45" t="n">
        <v>3828</v>
      </c>
      <c r="J398" s="45" t="n">
        <v>191</v>
      </c>
      <c r="K398" s="45" t="n">
        <v>16</v>
      </c>
      <c r="L398" s="46" t="n"/>
      <c r="M398" s="47" t="n"/>
      <c r="N398" s="47" t="inlineStr">
        <is>
          <t>UCHfIbq9thHPC8yrKjAdJgDA</t>
        </is>
      </c>
      <c r="O398" s="48" t="n">
        <v>45751.58333333334</v>
      </c>
      <c r="P398" s="49" t="n">
        <v>45751</v>
      </c>
      <c r="Q398" s="47" t="n">
        <v>2870</v>
      </c>
      <c r="R398" s="47" t="inlineStr">
        <is>
          <t>No Video ID yet</t>
        </is>
      </c>
      <c r="S398" s="49" t="n"/>
      <c r="T398" s="49" t="n"/>
      <c r="U398" s="47" t="inlineStr">
        <is>
          <t>In the 278th episode of the Pop, Ben and J discuss the chopping wood, garage cleaning, the rototiller, repetition, conversational crutches, becoming an expert, and research papers. Severance - Outliers - Sexy Home Organization 00:00 - Intro, Ben’s Logs 09:58 - J’s Garage 0:46:52 - Repeating Each Other 58:16 - 10,000 Hours</t>
        </is>
      </c>
      <c r="V398" s="47">
        <f>IF(AND(P398&gt;=Calendar!$K$2,P398&lt;EDATE(Calendar!$K$2,1),OR(Calendar!$K$4="*",N398=Calendar!$K$4)),P398*100+COUNTIFS($P$6:$P$3267,P398,$Q$6:$Q$3267,"&lt;="&amp;Q398,$N$6:$N$3267,Calendar!$K$4),"")</f>
        <v/>
      </c>
      <c r="W398" s="47">
        <f>IF(AND(B398=Queue!$C$4,OR(Queue!$K$4="*",N398=Queue!$K$4)),Q398,"")</f>
        <v/>
      </c>
    </row>
    <row r="399">
      <c r="A399" s="38">
        <f>IF(M399="","",HYPERLINK("https://www.youtube.com/watch?v="&amp;M399,"▶"))</f>
        <v/>
      </c>
      <c r="B399" s="39">
        <f>IF(C399&lt;&gt;"",C399,IF(P399&lt;=IFERROR(INDEX(tblChannels[Watched Through],MATCH(N399,tblChannels[Channel ID],0)),0),"Watched","Unwatched"))</f>
        <v/>
      </c>
      <c r="C399" s="40" t="n"/>
      <c r="D399" s="41" t="n"/>
      <c r="E399" s="42" t="n">
        <v>45750.70833333334</v>
      </c>
      <c r="F399" s="51" t="inlineStr">
        <is>
          <t>Through The Griffin Door</t>
        </is>
      </c>
      <c r="G399" t="inlineStr">
        <is>
          <t>Live in Nashville: Chapter 19: The Hungarian Horntail | Goblet of Fire</t>
        </is>
      </c>
      <c r="H399" s="44" t="n">
        <v>0.05064814814814815</v>
      </c>
      <c r="I399" s="45" t="n">
        <v>10811</v>
      </c>
      <c r="J399" s="45" t="n">
        <v>437</v>
      </c>
      <c r="K399" s="45" t="n">
        <v>66</v>
      </c>
      <c r="L399" s="46" t="n"/>
      <c r="M399" s="47" t="n"/>
      <c r="N399" s="47" t="inlineStr">
        <is>
          <t>UCEscP6ETYXWSSvsNrDHekMQ</t>
        </is>
      </c>
      <c r="O399" s="48" t="n">
        <v>45750.875</v>
      </c>
      <c r="P399" s="49" t="n">
        <v>45750</v>
      </c>
      <c r="Q399" s="47" t="n">
        <v>2869</v>
      </c>
      <c r="R399" s="47" t="inlineStr">
        <is>
          <t>No Video ID yet</t>
        </is>
      </c>
      <c r="S399" s="49" t="n"/>
      <c r="T399" s="49" t="n"/>
      <c r="U399" s="47" t="inlineStr">
        <is>
          <t>Join J and Ben as they dive BACK into Chapter 19 of the Goblet of Fire and discuss Rita’s article, going to Hogsmeade, Hagrid’s date, the dragons and talking to Sirius.</t>
        </is>
      </c>
      <c r="V399" s="47">
        <f>IF(AND(P399&gt;=Calendar!$K$2,P399&lt;EDATE(Calendar!$K$2,1),OR(Calendar!$K$4="*",N399=Calendar!$K$4)),P399*100+COUNTIFS($P$6:$P$3267,P399,$Q$6:$Q$3267,"&lt;="&amp;Q399,$N$6:$N$3267,Calendar!$K$4),"")</f>
        <v/>
      </c>
      <c r="W399" s="47">
        <f>IF(AND(B399=Queue!$C$4,OR(Queue!$K$4="*",N399=Queue!$K$4)),Q399,"")</f>
        <v/>
      </c>
    </row>
    <row r="400">
      <c r="A400" s="38">
        <f>IF(M400="","",HYPERLINK("https://www.youtube.com/watch?v="&amp;M400,"▶"))</f>
        <v/>
      </c>
      <c r="B400" s="39">
        <f>IF(C400&lt;&gt;"",C400,IF(P400&lt;=IFERROR(INDEX(tblChannels[Watched Through],MATCH(N400,tblChannels[Channel ID],0)),0),"Watched","Unwatched"))</f>
        <v/>
      </c>
      <c r="C400" s="40" t="n"/>
      <c r="D400" s="41" t="n"/>
      <c r="E400" s="42" t="n">
        <v>45749.70972222222</v>
      </c>
      <c r="F400" s="50" t="inlineStr">
        <is>
          <t>Super Carlin Brothers</t>
        </is>
      </c>
      <c r="G400" t="inlineStr">
        <is>
          <t>The DARK History of the Black Pearl | Pirates of the Caribbean Film Theory</t>
        </is>
      </c>
      <c r="H400" s="44" t="n">
        <v>0.0125462962962963</v>
      </c>
      <c r="I400" s="45" t="n">
        <v>157434</v>
      </c>
      <c r="J400" s="45" t="n">
        <v>7410</v>
      </c>
      <c r="K400" s="45" t="n">
        <v>779</v>
      </c>
      <c r="L400" s="46" t="n"/>
      <c r="M400" s="47" t="n"/>
      <c r="N400" s="47" t="inlineStr">
        <is>
          <t>UCKZo4N0lVPccBkSiuyVh4yg</t>
        </is>
      </c>
      <c r="O400" s="48" t="n">
        <v>45749.87638888889</v>
      </c>
      <c r="P400" s="49" t="n">
        <v>45749</v>
      </c>
      <c r="Q400" s="47" t="n">
        <v>2868</v>
      </c>
      <c r="R400" s="47" t="inlineStr">
        <is>
          <t>No Video ID yet</t>
        </is>
      </c>
      <c r="S400" s="49" t="n"/>
      <c r="T400" s="49" t="n"/>
      <c r="U400" s="47" t="inlineStr">
        <is>
          <t>Today J dives into the world of Pirates of the Caribbean to find unveil the secret dark history of Jack Sparrow and the Black Pearl! Why is the Black Pearl black? Why is the Black Pearl so fast? Is the ship actually cursed? How did Jack Sparrow come to own the Black Pearl?! #supercarlinbrothers #PiratesOfTheCaribbean #Disney Written by :: Jonathan &amp; Ben Carlin</t>
        </is>
      </c>
      <c r="V400" s="47">
        <f>IF(AND(P400&gt;=Calendar!$K$2,P400&lt;EDATE(Calendar!$K$2,1),OR(Calendar!$K$4="*",N400=Calendar!$K$4)),P400*100+COUNTIFS($P$6:$P$3267,P400,$Q$6:$Q$3267,"&lt;="&amp;Q400,$N$6:$N$3267,Calendar!$K$4),"")</f>
        <v/>
      </c>
      <c r="W400" s="47">
        <f>IF(AND(B400=Queue!$C$4,OR(Queue!$K$4="*",N400=Queue!$K$4)),Q400,"")</f>
        <v/>
      </c>
    </row>
    <row r="401">
      <c r="A401" s="38">
        <f>IF(M401="","",HYPERLINK("https://www.youtube.com/watch?v="&amp;M401,"▶"))</f>
        <v/>
      </c>
      <c r="B401" s="39">
        <f>IF(C401&lt;&gt;"",C401,IF(P401&lt;=IFERROR(INDEX(tblChannels[Watched Through],MATCH(N401,tblChannels[Channel ID],0)),0),"Watched","Unwatched"))</f>
        <v/>
      </c>
      <c r="C401" s="40" t="n"/>
      <c r="D401" s="41" t="n"/>
      <c r="E401" s="42" t="n">
        <v>45746.41666666666</v>
      </c>
      <c r="F401" s="51" t="inlineStr">
        <is>
          <t>Through The Griffin Door</t>
        </is>
      </c>
      <c r="G401" t="inlineStr">
        <is>
          <t>Chapter 19: The Hungarian Horntail | Goblet of Fire</t>
        </is>
      </c>
      <c r="H401" s="44" t="n">
        <v>0.06069444444444445</v>
      </c>
      <c r="I401" s="45" t="n">
        <v>56696</v>
      </c>
      <c r="J401" s="45" t="n">
        <v>1486</v>
      </c>
      <c r="K401" s="45" t="n">
        <v>374</v>
      </c>
      <c r="L401" s="46" t="n"/>
      <c r="M401" s="47" t="n"/>
      <c r="N401" s="47" t="inlineStr">
        <is>
          <t>UCEscP6ETYXWSSvsNrDHekMQ</t>
        </is>
      </c>
      <c r="O401" s="48" t="n">
        <v>45746.58333333334</v>
      </c>
      <c r="P401" s="49" t="n">
        <v>45746</v>
      </c>
      <c r="Q401" s="47" t="n">
        <v>2867</v>
      </c>
      <c r="R401" s="47" t="inlineStr">
        <is>
          <t>No Video ID yet</t>
        </is>
      </c>
      <c r="S401" s="49" t="n"/>
      <c r="T401" s="49" t="n"/>
      <c r="U401" s="47" t="inlineStr">
        <is>
          <t>Join J and Ben as they dive into Chapter 19 of the Goblet of Fire and discuss Rita’s article, going to Hogsmeade, Hagrid’s date, the dragons and talking to Sirius. The TRUTH About Hogwarts Origins - How Harry Mirror’s Every DRAGON - 08:26 - Chapter Breakdown 1:20:42 - Closing Thoughts and Review</t>
        </is>
      </c>
      <c r="V401" s="47">
        <f>IF(AND(P401&gt;=Calendar!$K$2,P401&lt;EDATE(Calendar!$K$2,1),OR(Calendar!$K$4="*",N401=Calendar!$K$4)),P401*100+COUNTIFS($P$6:$P$3267,P401,$Q$6:$Q$3267,"&lt;="&amp;Q401,$N$6:$N$3267,Calendar!$K$4),"")</f>
        <v/>
      </c>
      <c r="W401" s="47">
        <f>IF(AND(B401=Queue!$C$4,OR(Queue!$K$4="*",N401=Queue!$K$4)),Q401,"")</f>
        <v/>
      </c>
    </row>
    <row r="402">
      <c r="A402" s="38">
        <f>IF(M402="","",HYPERLINK("https://www.youtube.com/watch?v="&amp;M402,"▶"))</f>
        <v/>
      </c>
      <c r="B402" s="39">
        <f>IF(C402&lt;&gt;"",C402,IF(P402&lt;=IFERROR(INDEX(tblChannels[Watched Through],MATCH(N402,tblChannels[Channel ID],0)),0),"Watched","Unwatched"))</f>
        <v/>
      </c>
      <c r="C402" s="40" t="n"/>
      <c r="D402" s="41" t="n"/>
      <c r="E402" s="42" t="n">
        <v>45745.41666666666</v>
      </c>
      <c r="F402" s="50" t="inlineStr">
        <is>
          <t>Super Carlin Brothers</t>
        </is>
      </c>
      <c r="G402" t="inlineStr">
        <is>
          <t>Through the Griffin Door Supercut: Goblet of Fire Chapters 16-18</t>
        </is>
      </c>
      <c r="H402" s="44" t="n">
        <v>0.1984375</v>
      </c>
      <c r="I402" s="45" t="n">
        <v>15780</v>
      </c>
      <c r="J402" s="45" t="n">
        <v>273</v>
      </c>
      <c r="K402" s="45" t="n">
        <v>56</v>
      </c>
      <c r="L402" s="46" t="n"/>
      <c r="M402" s="47" t="n"/>
      <c r="N402" s="47" t="inlineStr">
        <is>
          <t>UCKZo4N0lVPccBkSiuyVh4yg</t>
        </is>
      </c>
      <c r="O402" s="48" t="n">
        <v>45745.58333333334</v>
      </c>
      <c r="P402" s="49" t="n">
        <v>45745</v>
      </c>
      <c r="Q402" s="47" t="n">
        <v>2866</v>
      </c>
      <c r="R402" s="47" t="inlineStr">
        <is>
          <t>No Video ID yet</t>
        </is>
      </c>
      <c r="S402" s="49" t="n"/>
      <c r="T402" s="49" t="n"/>
      <c r="U402" s="47" t="inlineStr">
        <is>
          <t>0:00:00 - Chapter 16: The Goblet of Fire 1:32:56 - Chapter 17: The Four Champions 3:05:07 - Chapter 18: The Weighing of the Wands</t>
        </is>
      </c>
      <c r="V402" s="47">
        <f>IF(AND(P402&gt;=Calendar!$K$2,P402&lt;EDATE(Calendar!$K$2,1),OR(Calendar!$K$4="*",N402=Calendar!$K$4)),P402*100+COUNTIFS($P$6:$P$3267,P402,$Q$6:$Q$3267,"&lt;="&amp;Q402,$N$6:$N$3267,Calendar!$K$4),"")</f>
        <v/>
      </c>
      <c r="W402" s="47">
        <f>IF(AND(B402=Queue!$C$4,OR(Queue!$K$4="*",N402=Queue!$K$4)),Q402,"")</f>
        <v/>
      </c>
    </row>
    <row r="403">
      <c r="A403" s="38">
        <f>IF(M403="","",HYPERLINK("https://www.youtube.com/watch?v="&amp;M403,"▶"))</f>
        <v/>
      </c>
      <c r="B403" s="39">
        <f>IF(C403&lt;&gt;"",C403,IF(P403&lt;=IFERROR(INDEX(tblChannels[Watched Through],MATCH(N403,tblChannels[Channel ID],0)),0),"Watched","Unwatched"))</f>
        <v/>
      </c>
      <c r="C403" s="40" t="n"/>
      <c r="D403" s="41" t="n"/>
      <c r="E403" s="42" t="n">
        <v>45745.23819444444</v>
      </c>
      <c r="F403" s="52" t="inlineStr">
        <is>
          <t>Super Carlin Gaming</t>
        </is>
      </c>
      <c r="G403" t="inlineStr">
        <is>
          <t>SURGING SPARKS - Pokemon Box Breakers SEASON 14-  Episode 2 - 03/28/2025</t>
        </is>
      </c>
      <c r="H403" s="44" t="n">
        <v>0.1165625</v>
      </c>
      <c r="I403" s="45" t="n">
        <v>1009</v>
      </c>
      <c r="J403" s="45" t="n">
        <v>37</v>
      </c>
      <c r="K403" s="45" t="n">
        <v>4</v>
      </c>
      <c r="L403" s="46" t="n"/>
      <c r="M403" s="47" t="n"/>
      <c r="N403" s="47" t="inlineStr">
        <is>
          <t>UCor_9jRnNNZVzTuQ92PKsaQ</t>
        </is>
      </c>
      <c r="O403" s="48" t="n">
        <v>45745.40486111111</v>
      </c>
      <c r="P403" s="49" t="n">
        <v>45745</v>
      </c>
      <c r="Q403" s="47" t="n">
        <v>2865</v>
      </c>
      <c r="R403" s="47" t="inlineStr">
        <is>
          <t>No Video ID yet</t>
        </is>
      </c>
      <c r="S403" s="49" t="n"/>
      <c r="T403" s="49" t="n"/>
      <c r="U403" s="47" t="n"/>
      <c r="V403" s="47">
        <f>IF(AND(P403&gt;=Calendar!$K$2,P403&lt;EDATE(Calendar!$K$2,1),OR(Calendar!$K$4="*",N403=Calendar!$K$4)),P403*100+COUNTIFS($P$6:$P$3267,P403,$Q$6:$Q$3267,"&lt;="&amp;Q403,$N$6:$N$3267,Calendar!$K$4),"")</f>
        <v/>
      </c>
      <c r="W403" s="47">
        <f>IF(AND(B403=Queue!$C$4,OR(Queue!$K$4="*",N403=Queue!$K$4)),Q403,"")</f>
        <v/>
      </c>
    </row>
    <row r="404">
      <c r="A404" s="38">
        <f>IF(M404="","",HYPERLINK("https://www.youtube.com/watch?v="&amp;M404,"▶"))</f>
        <v/>
      </c>
      <c r="B404" s="39">
        <f>IF(C404&lt;&gt;"",C404,IF(P404&lt;=IFERROR(INDEX(tblChannels[Watched Through],MATCH(N404,tblChannels[Channel ID],0)),0),"Watched","Unwatched"))</f>
        <v/>
      </c>
      <c r="C404" s="40" t="n"/>
      <c r="D404" s="41" t="n"/>
      <c r="E404" s="42" t="n">
        <v>45744.70763888889</v>
      </c>
      <c r="F404" s="50" t="inlineStr">
        <is>
          <t>Super Carlin Brothers</t>
        </is>
      </c>
      <c r="G404" t="inlineStr">
        <is>
          <t>Why Didn’t Voldemort KILL Slughorn!? | Harry Potter Film Theory</t>
        </is>
      </c>
      <c r="H404" s="44" t="n">
        <v>0.01232638888888889</v>
      </c>
      <c r="I404" s="45" t="n">
        <v>228648</v>
      </c>
      <c r="J404" s="45" t="n">
        <v>7461</v>
      </c>
      <c r="K404" s="45" t="n">
        <v>548</v>
      </c>
      <c r="L404" s="46" t="n"/>
      <c r="M404" s="47" t="n"/>
      <c r="N404" s="47" t="inlineStr">
        <is>
          <t>UCKZo4N0lVPccBkSiuyVh4yg</t>
        </is>
      </c>
      <c r="O404" s="48" t="n">
        <v>45744.87430555555</v>
      </c>
      <c r="P404" s="49" t="n">
        <v>45744</v>
      </c>
      <c r="Q404" s="47" t="n">
        <v>2864</v>
      </c>
      <c r="R404" s="47" t="inlineStr">
        <is>
          <t>No Video ID yet</t>
        </is>
      </c>
      <c r="S404" s="49" t="n"/>
      <c r="T404" s="49" t="n"/>
      <c r="U404" s="47" t="inlineStr">
        <is>
          <t>This episode is sponsored by Factor – Go to and use code super50off to get 50% off your first box plus free shipping. Today Ben dives into the Wizarding World of Harry Potter to reveal why Voldemort never killed Slughorn even though he possessed such sensitive and valuable information that lead to his downfall?! Written by :: Jonathan &amp; Ben Carlin</t>
        </is>
      </c>
      <c r="V404" s="47">
        <f>IF(AND(P404&gt;=Calendar!$K$2,P404&lt;EDATE(Calendar!$K$2,1),OR(Calendar!$K$4="*",N404=Calendar!$K$4)),P404*100+COUNTIFS($P$6:$P$3267,P404,$Q$6:$Q$3267,"&lt;="&amp;Q404,$N$6:$N$3267,Calendar!$K$4),"")</f>
        <v/>
      </c>
      <c r="W404" s="47">
        <f>IF(AND(B404=Queue!$C$4,OR(Queue!$K$4="*",N404=Queue!$K$4)),Q404,"")</f>
        <v/>
      </c>
    </row>
    <row r="405">
      <c r="A405" s="38">
        <f>IF(M405="","",HYPERLINK("https://www.youtube.com/watch?v="&amp;M405,"▶"))</f>
        <v/>
      </c>
      <c r="B405" s="39">
        <f>IF(C405&lt;&gt;"",C405,IF(P405&lt;=IFERROR(INDEX(tblChannels[Watched Through],MATCH(N405,tblChannels[Channel ID],0)),0),"Watched","Unwatched"))</f>
        <v/>
      </c>
      <c r="C405" s="40" t="n"/>
      <c r="D405" s="41" t="n"/>
      <c r="E405" s="42" t="n">
        <v>45744.42291666667</v>
      </c>
      <c r="F405" s="51" t="inlineStr">
        <is>
          <t>Through The Griffin Door</t>
        </is>
      </c>
      <c r="G405" t="inlineStr">
        <is>
          <t>Live in Atlanta: Chapter 18: Weighing of the Wands | Goblet of Fire</t>
        </is>
      </c>
      <c r="H405" s="44" t="n">
        <v>0.05873842592592592</v>
      </c>
      <c r="I405" s="45" t="n">
        <v>9928</v>
      </c>
      <c r="J405" s="45" t="n">
        <v>416</v>
      </c>
      <c r="K405" s="45" t="n">
        <v>134</v>
      </c>
      <c r="L405" s="46" t="n"/>
      <c r="M405" s="47" t="n"/>
      <c r="N405" s="47" t="inlineStr">
        <is>
          <t>UCEscP6ETYXWSSvsNrDHekMQ</t>
        </is>
      </c>
      <c r="O405" s="48" t="n">
        <v>45744.58958333333</v>
      </c>
      <c r="P405" s="49" t="n">
        <v>45744</v>
      </c>
      <c r="Q405" s="47" t="n">
        <v>2863</v>
      </c>
      <c r="R405" s="47" t="inlineStr">
        <is>
          <t>No Video ID yet</t>
        </is>
      </c>
      <c r="S405" s="49" t="n"/>
      <c r="T405" s="49" t="n"/>
      <c r="U405" s="47" t="inlineStr">
        <is>
          <t>J and Ben as they dive into BACK Chapter 18 of the Goblet of Fire and writing to Sirius, Rita Skeeter's introduction, Dumbledore's’ savage politeness, and wand components.</t>
        </is>
      </c>
      <c r="V405" s="47">
        <f>IF(AND(P405&gt;=Calendar!$K$2,P405&lt;EDATE(Calendar!$K$2,1),OR(Calendar!$K$4="*",N405=Calendar!$K$4)),P405*100+COUNTIFS($P$6:$P$3267,P405,$Q$6:$Q$3267,"&lt;="&amp;Q405,$N$6:$N$3267,Calendar!$K$4),"")</f>
        <v/>
      </c>
      <c r="W405" s="47">
        <f>IF(AND(B405=Queue!$C$4,OR(Queue!$K$4="*",N405=Queue!$K$4)),Q405,"")</f>
        <v/>
      </c>
    </row>
    <row r="406">
      <c r="A406" s="38">
        <f>IF(M406="","",HYPERLINK("https://www.youtube.com/watch?v="&amp;M406,"▶"))</f>
        <v/>
      </c>
      <c r="B406" s="39">
        <f>IF(C406&lt;&gt;"",C406,IF(P406&lt;=IFERROR(INDEX(tblChannels[Watched Through],MATCH(N406,tblChannels[Channel ID],0)),0),"Watched","Unwatched"))</f>
        <v/>
      </c>
      <c r="C406" s="40" t="n"/>
      <c r="D406" s="41" t="n"/>
      <c r="E406" s="42" t="n">
        <v>45744.41666666666</v>
      </c>
      <c r="F406" s="43" t="inlineStr">
        <is>
          <t>Popcorn Culture</t>
        </is>
      </c>
      <c r="G406" t="inlineStr">
        <is>
          <t>The Podcast is Mysterious and Important | Popcorn Culture</t>
        </is>
      </c>
      <c r="H406" s="44" t="n">
        <v>0.04209490740740741</v>
      </c>
      <c r="I406" s="45" t="n">
        <v>3005</v>
      </c>
      <c r="J406" s="45" t="n">
        <v>148</v>
      </c>
      <c r="K406" s="45" t="n">
        <v>21</v>
      </c>
      <c r="L406" s="46" t="n"/>
      <c r="M406" s="47" t="n"/>
      <c r="N406" s="47" t="inlineStr">
        <is>
          <t>UCHfIbq9thHPC8yrKjAdJgDA</t>
        </is>
      </c>
      <c r="O406" s="48" t="n">
        <v>45744.58333333334</v>
      </c>
      <c r="P406" s="49" t="n">
        <v>45744</v>
      </c>
      <c r="Q406" s="47" t="n">
        <v>2862</v>
      </c>
      <c r="R406" s="47" t="inlineStr">
        <is>
          <t>No Video ID yet</t>
        </is>
      </c>
      <c r="S406" s="49" t="n"/>
      <c r="T406" s="49" t="n"/>
      <c r="U406" s="47" t="inlineStr">
        <is>
          <t>In the 277th episode of the Pop, Ben and J discuss the show Severance, Ben’s felled tree, and J’s peach tree. Severance - Project Hail Mary - How Do You Take Down a Tree Smarter not Topper Infiltrating the HOA 00:00 - Intro, Severance 27:04 - Trees</t>
        </is>
      </c>
      <c r="V406" s="47">
        <f>IF(AND(P406&gt;=Calendar!$K$2,P406&lt;EDATE(Calendar!$K$2,1),OR(Calendar!$K$4="*",N406=Calendar!$K$4)),P406*100+COUNTIFS($P$6:$P$3267,P406,$Q$6:$Q$3267,"&lt;="&amp;Q406,$N$6:$N$3267,Calendar!$K$4),"")</f>
        <v/>
      </c>
      <c r="W406" s="47">
        <f>IF(AND(B406=Queue!$C$4,OR(Queue!$K$4="*",N406=Queue!$K$4)),Q406,"")</f>
        <v/>
      </c>
    </row>
    <row r="407">
      <c r="A407" s="38">
        <f>IF(M407="","",HYPERLINK("https://www.youtube.com/watch?v="&amp;M407,"▶"))</f>
        <v/>
      </c>
      <c r="B407" s="39">
        <f>IF(C407&lt;&gt;"",C407,IF(P407&lt;=IFERROR(INDEX(tblChannels[Watched Through],MATCH(N407,tblChannels[Channel ID],0)),0),"Watched","Unwatched"))</f>
        <v/>
      </c>
      <c r="C407" s="40" t="n"/>
      <c r="D407" s="41" t="n"/>
      <c r="E407" s="42" t="n">
        <v>45742.71944444445</v>
      </c>
      <c r="F407" s="50" t="inlineStr">
        <is>
          <t>Super Carlin Brothers</t>
        </is>
      </c>
      <c r="G407" t="inlineStr">
        <is>
          <t>J vs Ben: HARDEST Half-Blood Prince Movie Harry Potter Trivia Quiz EVER</t>
        </is>
      </c>
      <c r="H407" s="44" t="n">
        <v>0.02831018518518518</v>
      </c>
      <c r="I407" s="45" t="n">
        <v>126952</v>
      </c>
      <c r="J407" s="45" t="n">
        <v>4357</v>
      </c>
      <c r="K407" s="45" t="n">
        <v>679</v>
      </c>
      <c r="L407" s="46" t="n"/>
      <c r="M407" s="47" t="n"/>
      <c r="N407" s="47" t="inlineStr">
        <is>
          <t>UCKZo4N0lVPccBkSiuyVh4yg</t>
        </is>
      </c>
      <c r="O407" s="48" t="n">
        <v>45742.88611111111</v>
      </c>
      <c r="P407" s="49" t="n">
        <v>45742</v>
      </c>
      <c r="Q407" s="47" t="n">
        <v>2861</v>
      </c>
      <c r="R407" s="47" t="inlineStr">
        <is>
          <t>No Video ID yet</t>
        </is>
      </c>
      <c r="S407" s="49" t="n"/>
      <c r="T407" s="49" t="n"/>
      <c r="U407" s="47" t="inlineStr">
        <is>
          <t>Go to to get up to 10 free meals and a free high protein item for life. Today J and Ben face off once more to find out who knows the MOST about Harry Potter and the Half Blood Prince MOVIE! And let me just say… when it comes to Slughorn’s fish.. Even though we are wrong… I think we all know we are right. Written by :: Our Quiz Masters! Hosted by :: Isybelle Christley</t>
        </is>
      </c>
      <c r="V407" s="47">
        <f>IF(AND(P407&gt;=Calendar!$K$2,P407&lt;EDATE(Calendar!$K$2,1),OR(Calendar!$K$4="*",N407=Calendar!$K$4)),P407*100+COUNTIFS($P$6:$P$3267,P407,$Q$6:$Q$3267,"&lt;="&amp;Q407,$N$6:$N$3267,Calendar!$K$4),"")</f>
        <v/>
      </c>
      <c r="W407" s="47">
        <f>IF(AND(B407=Queue!$C$4,OR(Queue!$K$4="*",N407=Queue!$K$4)),Q407,"")</f>
        <v/>
      </c>
    </row>
    <row r="408">
      <c r="A408" s="38">
        <f>IF(M408="","",HYPERLINK("https://www.youtube.com/watch?v="&amp;M408,"▶"))</f>
        <v/>
      </c>
      <c r="B408" s="39">
        <f>IF(C408&lt;&gt;"",C408,IF(P408&lt;=IFERROR(INDEX(tblChannels[Watched Through],MATCH(N408,tblChannels[Channel ID],0)),0),"Watched","Unwatched"))</f>
        <v/>
      </c>
      <c r="C408" s="40" t="n"/>
      <c r="D408" s="41" t="n"/>
      <c r="E408" s="42" t="n">
        <v>45739.41666666666</v>
      </c>
      <c r="F408" s="51" t="inlineStr">
        <is>
          <t>Through The Griffin Door</t>
        </is>
      </c>
      <c r="G408" t="inlineStr">
        <is>
          <t>Chapter 18: Weighing of the Wands | Goblet of Fire</t>
        </is>
      </c>
      <c r="H408" s="44" t="n">
        <v>0.07116898148148149</v>
      </c>
      <c r="I408" s="45" t="n">
        <v>62788</v>
      </c>
      <c r="J408" s="45" t="n">
        <v>1619</v>
      </c>
      <c r="K408" s="45" t="n">
        <v>378</v>
      </c>
      <c r="L408" s="46" t="n"/>
      <c r="M408" s="47" t="n"/>
      <c r="N408" s="47" t="inlineStr">
        <is>
          <t>UCEscP6ETYXWSSvsNrDHekMQ</t>
        </is>
      </c>
      <c r="O408" s="48" t="n">
        <v>45739.58333333334</v>
      </c>
      <c r="P408" s="49" t="n">
        <v>45739</v>
      </c>
      <c r="Q408" s="47" t="n">
        <v>2860</v>
      </c>
      <c r="R408" s="47" t="inlineStr">
        <is>
          <t>No Video ID yet</t>
        </is>
      </c>
      <c r="S408" s="49" t="n"/>
      <c r="T408" s="49" t="n"/>
      <c r="U408" s="47" t="inlineStr">
        <is>
          <t>This episode is sponsored by Turtle Beach – Level up your game and get 10% off @TurtleBeach with code GRIFFIN at #turtlebeachpod Join J and Ben as they dive into Chapter 18 of the Goblet of Fire and discuss some Harmione moments, writing to Sirius, how the rest of the school treats Harry, Rita Skeeter’s official introduction, Dumbledores’ savage politeness, and wand components. 04:11 - Chapter Breakdown 30:22 - Ad Break 32:12 - More Chapter Breakdown 1:32:32- Closing Thoughts and Review</t>
        </is>
      </c>
      <c r="V408" s="47">
        <f>IF(AND(P408&gt;=Calendar!$K$2,P408&lt;EDATE(Calendar!$K$2,1),OR(Calendar!$K$4="*",N408=Calendar!$K$4)),P408*100+COUNTIFS($P$6:$P$3267,P408,$Q$6:$Q$3267,"&lt;="&amp;Q408,$N$6:$N$3267,Calendar!$K$4),"")</f>
        <v/>
      </c>
      <c r="W408" s="47">
        <f>IF(AND(B408=Queue!$C$4,OR(Queue!$K$4="*",N408=Queue!$K$4)),Q408,"")</f>
        <v/>
      </c>
    </row>
    <row r="409">
      <c r="A409" s="38">
        <f>IF(M409="","",HYPERLINK("https://www.youtube.com/watch?v="&amp;M409,"▶"))</f>
        <v/>
      </c>
      <c r="B409" s="39">
        <f>IF(C409&lt;&gt;"",C409,IF(P409&lt;=IFERROR(INDEX(tblChannels[Watched Through],MATCH(N409,tblChannels[Channel ID],0)),0),"Watched","Unwatched"))</f>
        <v/>
      </c>
      <c r="C409" s="40" t="n"/>
      <c r="D409" s="41" t="n"/>
      <c r="E409" s="42" t="n">
        <v>45737.68263888889</v>
      </c>
      <c r="F409" s="50" t="inlineStr">
        <is>
          <t>Super Carlin Brothers</t>
        </is>
      </c>
      <c r="G409" t="inlineStr">
        <is>
          <t>The WILD Mystery of the Sorting Hat Stool | Harry Potter Film Theory</t>
        </is>
      </c>
      <c r="H409" s="44" t="n">
        <v>0.01234953703703704</v>
      </c>
      <c r="I409" s="45" t="n">
        <v>79703</v>
      </c>
      <c r="J409" s="45" t="n">
        <v>4127</v>
      </c>
      <c r="K409" s="45" t="n">
        <v>560</v>
      </c>
      <c r="L409" s="46" t="n"/>
      <c r="M409" s="47" t="n"/>
      <c r="N409" s="47" t="inlineStr">
        <is>
          <t>UCKZo4N0lVPccBkSiuyVh4yg</t>
        </is>
      </c>
      <c r="O409" s="48" t="n">
        <v>45737.84930555556</v>
      </c>
      <c r="P409" s="49" t="n">
        <v>45737</v>
      </c>
      <c r="Q409" s="47" t="n">
        <v>2859</v>
      </c>
      <c r="R409" s="47" t="inlineStr">
        <is>
          <t>No Video ID yet</t>
        </is>
      </c>
      <c r="S409" s="49" t="n"/>
      <c r="T409" s="49" t="n"/>
      <c r="U409" s="47" t="inlineStr">
        <is>
          <t>This episode is sponsored by BetterHelp – go to to get 10% off your first month. This episode is sponsored by MeUndies – Go to and use code SUPER to get 20% off your first order, plus free shipping on orders of $75 or more. Today Ben dives into the Wizarding World of Harry Potter to try and figure out a basic question - How Many legs does the sorting hat stool have? While seemingly innocuous this little details has flitted back and fourth for YEARS now! And why change it? Does it matter? It must if they are changing it right? RIGHT? Written by :: Jonathan Carlin &amp; Ben Carlin</t>
        </is>
      </c>
      <c r="V409" s="47">
        <f>IF(AND(P409&gt;=Calendar!$K$2,P409&lt;EDATE(Calendar!$K$2,1),OR(Calendar!$K$4="*",N409=Calendar!$K$4)),P409*100+COUNTIFS($P$6:$P$3267,P409,$Q$6:$Q$3267,"&lt;="&amp;Q409,$N$6:$N$3267,Calendar!$K$4),"")</f>
        <v/>
      </c>
      <c r="W409" s="47">
        <f>IF(AND(B409=Queue!$C$4,OR(Queue!$K$4="*",N409=Queue!$K$4)),Q409,"")</f>
        <v/>
      </c>
    </row>
    <row r="410">
      <c r="A410" s="38">
        <f>IF(M410="","",HYPERLINK("https://www.youtube.com/watch?v="&amp;M410,"▶"))</f>
        <v/>
      </c>
      <c r="B410" s="39">
        <f>IF(C410&lt;&gt;"",C410,IF(P410&lt;=IFERROR(INDEX(tblChannels[Watched Through],MATCH(N410,tblChannels[Channel ID],0)),0),"Watched","Unwatched"))</f>
        <v/>
      </c>
      <c r="C410" s="40" t="n"/>
      <c r="D410" s="41" t="n"/>
      <c r="E410" s="42" t="n">
        <v>45737.41666666666</v>
      </c>
      <c r="F410" s="43" t="inlineStr">
        <is>
          <t>Popcorn Culture</t>
        </is>
      </c>
      <c r="G410" t="inlineStr">
        <is>
          <t>Paint Patrick’s Day | Popcorn Culture</t>
        </is>
      </c>
      <c r="H410" s="44" t="n">
        <v>0.04599537037037037</v>
      </c>
      <c r="I410" s="45" t="n">
        <v>3277</v>
      </c>
      <c r="J410" s="45" t="n">
        <v>162</v>
      </c>
      <c r="K410" s="45" t="n">
        <v>21</v>
      </c>
      <c r="L410" s="46" t="n"/>
      <c r="M410" s="47" t="n"/>
      <c r="N410" s="47" t="inlineStr">
        <is>
          <t>UCHfIbq9thHPC8yrKjAdJgDA</t>
        </is>
      </c>
      <c r="O410" s="48" t="n">
        <v>45737.58333333334</v>
      </c>
      <c r="P410" s="49" t="n">
        <v>45737</v>
      </c>
      <c r="Q410" s="47" t="n">
        <v>2858</v>
      </c>
      <c r="R410" s="47" t="inlineStr">
        <is>
          <t>No Video ID yet</t>
        </is>
      </c>
      <c r="S410" s="49" t="n"/>
      <c r="T410" s="49" t="n"/>
      <c r="U410" s="47" t="inlineStr">
        <is>
          <t>In the 276th episode of the Pop, Ben and J discuss their Irish heritage, the anniversary of the Celtics game, parades, papier mache dinosaur, Ben getting botox, fashion through the ages, Make a Bold Choice 00:00 - Intro, St. Patrick’s Day 25:53 - Ben’s Botox 43:38 - Caveman Times 55:10 - J’s Bachelor Party</t>
        </is>
      </c>
      <c r="V410" s="47">
        <f>IF(AND(P410&gt;=Calendar!$K$2,P410&lt;EDATE(Calendar!$K$2,1),OR(Calendar!$K$4="*",N410=Calendar!$K$4)),P410*100+COUNTIFS($P$6:$P$3267,P410,$Q$6:$Q$3267,"&lt;="&amp;Q410,$N$6:$N$3267,Calendar!$K$4),"")</f>
        <v/>
      </c>
      <c r="W410" s="47">
        <f>IF(AND(B410=Queue!$C$4,OR(Queue!$K$4="*",N410=Queue!$K$4)),Q410,"")</f>
        <v/>
      </c>
    </row>
    <row r="411">
      <c r="A411" s="38">
        <f>IF(M411="","",HYPERLINK("https://www.youtube.com/watch?v="&amp;M411,"▶"))</f>
        <v/>
      </c>
      <c r="B411" s="39">
        <f>IF(C411&lt;&gt;"",C411,IF(P411&lt;=IFERROR(INDEX(tblChannels[Watched Through],MATCH(N411,tblChannels[Channel ID],0)),0),"Watched","Unwatched"))</f>
        <v/>
      </c>
      <c r="C411" s="40" t="n"/>
      <c r="D411" s="41" t="n"/>
      <c r="E411" s="42" t="n">
        <v>45736.70833333334</v>
      </c>
      <c r="F411" s="51" t="inlineStr">
        <is>
          <t>Through The Griffin Door</t>
        </is>
      </c>
      <c r="G411" t="inlineStr">
        <is>
          <t>Live in Jacksonville: Chapter 17: The Four Champions | Goblet of Fire</t>
        </is>
      </c>
      <c r="H411" s="44" t="n">
        <v>0.04886574074074074</v>
      </c>
      <c r="I411" s="45" t="n">
        <v>10617</v>
      </c>
      <c r="J411" s="45" t="n">
        <v>413</v>
      </c>
      <c r="K411" s="45" t="n">
        <v>81</v>
      </c>
      <c r="L411" s="46" t="n"/>
      <c r="M411" s="47" t="n"/>
      <c r="N411" s="47" t="inlineStr">
        <is>
          <t>UCEscP6ETYXWSSvsNrDHekMQ</t>
        </is>
      </c>
      <c r="O411" s="48" t="n">
        <v>45736.875</v>
      </c>
      <c r="P411" s="49" t="n">
        <v>45736</v>
      </c>
      <c r="Q411" s="47" t="n">
        <v>2857</v>
      </c>
      <c r="R411" s="47" t="inlineStr">
        <is>
          <t>No Video ID yet</t>
        </is>
      </c>
      <c r="S411" s="49" t="n"/>
      <c r="T411" s="49" t="n"/>
      <c r="U411" s="47" t="inlineStr">
        <is>
          <t>Join J and Ben as they dive BACK into Chapter 17 of the Goblet of Fire and discuss Harry getting chosen and everyone’s reactions, Dumbledore’s famous line, Dumbledore wanting a drink, and Ron’s jealousy.</t>
        </is>
      </c>
      <c r="V411" s="47">
        <f>IF(AND(P411&gt;=Calendar!$K$2,P411&lt;EDATE(Calendar!$K$2,1),OR(Calendar!$K$4="*",N411=Calendar!$K$4)),P411*100+COUNTIFS($P$6:$P$3267,P411,$Q$6:$Q$3267,"&lt;="&amp;Q411,$N$6:$N$3267,Calendar!$K$4),"")</f>
        <v/>
      </c>
      <c r="W411" s="47">
        <f>IF(AND(B411=Queue!$C$4,OR(Queue!$K$4="*",N411=Queue!$K$4)),Q411,"")</f>
        <v/>
      </c>
    </row>
    <row r="412">
      <c r="A412" s="38">
        <f>IF(M412="","",HYPERLINK("https://www.youtube.com/watch?v="&amp;M412,"▶"))</f>
        <v/>
      </c>
      <c r="B412" s="39">
        <f>IF(C412&lt;&gt;"",C412,IF(P412&lt;=IFERROR(INDEX(tblChannels[Watched Through],MATCH(N412,tblChannels[Channel ID],0)),0),"Watched","Unwatched"))</f>
        <v/>
      </c>
      <c r="C412" s="40" t="n"/>
      <c r="D412" s="41" t="n"/>
      <c r="E412" s="42" t="n">
        <v>45735.675</v>
      </c>
      <c r="F412" s="50" t="inlineStr">
        <is>
          <t>Super Carlin Brothers</t>
        </is>
      </c>
      <c r="G412" t="inlineStr">
        <is>
          <t>What If NOBODY Heard the Chosen One Prophecy? | Harry Potter Film Theory</t>
        </is>
      </c>
      <c r="H412" s="44" t="n">
        <v>0.0125</v>
      </c>
      <c r="I412" s="45" t="n">
        <v>149756</v>
      </c>
      <c r="J412" s="45" t="n">
        <v>5983</v>
      </c>
      <c r="K412" s="45" t="n">
        <v>703</v>
      </c>
      <c r="L412" s="46" t="n"/>
      <c r="M412" s="47" t="n"/>
      <c r="N412" s="47" t="inlineStr">
        <is>
          <t>UCKZo4N0lVPccBkSiuyVh4yg</t>
        </is>
      </c>
      <c r="O412" s="48" t="n">
        <v>45735.84166666667</v>
      </c>
      <c r="P412" s="49" t="n">
        <v>45735</v>
      </c>
      <c r="Q412" s="47" t="n">
        <v>2856</v>
      </c>
      <c r="R412" s="47" t="inlineStr">
        <is>
          <t>No Video ID yet</t>
        </is>
      </c>
      <c r="S412" s="49" t="n"/>
      <c r="T412" s="49" t="n"/>
      <c r="U412" s="47" t="inlineStr">
        <is>
          <t>This episode is sponsored by BetterHelp — go to to get 10% off your first month. Today J dives into the Wizarding World of Harry Potter to find out what might have happened if NOBODY had heard professor Trelawny give the prophecy about “The Chosen One” with the power to defeat the Dark Lord! Would Voldemort still attack Harry? Would The Potters still go into hiding? Would Voldemort just… win? Written by :: Jonathan Carlin &amp; Ben Carlin</t>
        </is>
      </c>
      <c r="V412" s="47">
        <f>IF(AND(P412&gt;=Calendar!$K$2,P412&lt;EDATE(Calendar!$K$2,1),OR(Calendar!$K$4="*",N412=Calendar!$K$4)),P412*100+COUNTIFS($P$6:$P$3267,P412,$Q$6:$Q$3267,"&lt;="&amp;Q412,$N$6:$N$3267,Calendar!$K$4),"")</f>
        <v/>
      </c>
      <c r="W412" s="47">
        <f>IF(AND(B412=Queue!$C$4,OR(Queue!$K$4="*",N412=Queue!$K$4)),Q412,"")</f>
        <v/>
      </c>
    </row>
    <row r="413">
      <c r="A413" s="38">
        <f>IF(M413="","",HYPERLINK("https://www.youtube.com/watch?v="&amp;M413,"▶"))</f>
        <v/>
      </c>
      <c r="B413" s="39">
        <f>IF(C413&lt;&gt;"",C413,IF(P413&lt;=IFERROR(INDEX(tblChannels[Watched Through],MATCH(N413,tblChannels[Channel ID],0)),0),"Watched","Unwatched"))</f>
        <v/>
      </c>
      <c r="C413" s="40" t="n"/>
      <c r="D413" s="41" t="n"/>
      <c r="E413" s="42" t="n">
        <v>45732.41666666666</v>
      </c>
      <c r="F413" s="51" t="inlineStr">
        <is>
          <t>Through The Griffin Door</t>
        </is>
      </c>
      <c r="G413" t="inlineStr">
        <is>
          <t>Chapter 17: The Four Champions | Goblet of Fire</t>
        </is>
      </c>
      <c r="H413" s="44" t="n">
        <v>0.06517361111111111</v>
      </c>
      <c r="I413" s="45" t="n">
        <v>57666</v>
      </c>
      <c r="J413" s="45" t="n">
        <v>1651</v>
      </c>
      <c r="K413" s="45" t="n">
        <v>431</v>
      </c>
      <c r="L413" s="46" t="n"/>
      <c r="M413" s="47" t="n"/>
      <c r="N413" s="47" t="inlineStr">
        <is>
          <t>UCEscP6ETYXWSSvsNrDHekMQ</t>
        </is>
      </c>
      <c r="O413" s="48" t="n">
        <v>45732.58333333334</v>
      </c>
      <c r="P413" s="49" t="n">
        <v>45732</v>
      </c>
      <c r="Q413" s="47" t="n">
        <v>2855</v>
      </c>
      <c r="R413" s="47" t="inlineStr">
        <is>
          <t>No Video ID yet</t>
        </is>
      </c>
      <c r="S413" s="49" t="n"/>
      <c r="T413" s="49" t="n"/>
      <c r="U413" s="47" t="inlineStr">
        <is>
          <t>This episode is sponsored by Shopify — Go to to sign up for your $1-per-month trial period. Join J and Ben as they dive into Chapter 17 of the Goblet of Fire and discuss Harry getting chosen and everyone’s reactions, lots of red herring bait, Dumbledore’s famous line, the Imperius curse, Dumbledore wanting a drink, and Ron’s jealousy. Get Your Sorting Candle Here: 09:17 - Chapter Breakdown 33:45 - Ad Break 34:56 - More Chapter Breakdown 1:26:17 - Closing Thoughts and Review</t>
        </is>
      </c>
      <c r="V413" s="47">
        <f>IF(AND(P413&gt;=Calendar!$K$2,P413&lt;EDATE(Calendar!$K$2,1),OR(Calendar!$K$4="*",N413=Calendar!$K$4)),P413*100+COUNTIFS($P$6:$P$3267,P413,$Q$6:$Q$3267,"&lt;="&amp;Q413,$N$6:$N$3267,Calendar!$K$4),"")</f>
        <v/>
      </c>
      <c r="W413" s="47">
        <f>IF(AND(B413=Queue!$C$4,OR(Queue!$K$4="*",N413=Queue!$K$4)),Q413,"")</f>
        <v/>
      </c>
    </row>
    <row r="414">
      <c r="A414" s="38">
        <f>IF(M414="","",HYPERLINK("https://www.youtube.com/watch?v="&amp;M414,"▶"))</f>
        <v/>
      </c>
      <c r="B414" s="39">
        <f>IF(C414&lt;&gt;"",C414,IF(P414&lt;=IFERROR(INDEX(tblChannels[Watched Through],MATCH(N414,tblChannels[Channel ID],0)),0),"Watched","Unwatched"))</f>
        <v/>
      </c>
      <c r="C414" s="40" t="n"/>
      <c r="D414" s="41" t="n"/>
      <c r="E414" s="42" t="n">
        <v>45731.625</v>
      </c>
      <c r="F414" s="50" t="inlineStr">
        <is>
          <t>Super Carlin Brothers</t>
        </is>
      </c>
      <c r="G414" t="inlineStr">
        <is>
          <t>J vs Ben: Special Edition Harry Potter TRIVIA | Mary Murphy Tribute</t>
        </is>
      </c>
      <c r="H414" s="44" t="n">
        <v>0.01541666666666667</v>
      </c>
      <c r="I414" s="45" t="n">
        <v>81356</v>
      </c>
      <c r="J414" s="45" t="n">
        <v>5504</v>
      </c>
      <c r="K414" s="45" t="n">
        <v>572</v>
      </c>
      <c r="L414" s="46" t="n"/>
      <c r="M414" s="47" t="n"/>
      <c r="N414" s="47" t="inlineStr">
        <is>
          <t>UCKZo4N0lVPccBkSiuyVh4yg</t>
        </is>
      </c>
      <c r="O414" s="48" t="n">
        <v>45731.79166666666</v>
      </c>
      <c r="P414" s="49" t="n">
        <v>45731</v>
      </c>
      <c r="Q414" s="47" t="n">
        <v>2854</v>
      </c>
      <c r="R414" s="47" t="inlineStr">
        <is>
          <t>No Video ID yet</t>
        </is>
      </c>
      <c r="S414" s="49" t="n"/>
      <c r="T414" s="49" t="n"/>
      <c r="U414" s="47" t="inlineStr">
        <is>
          <t>Today we are giving you guys a Special Episode of J vs Ben dedicated to a Quiz Master who was recently taken from us by Cancer: Mary Murphy. Mary was a long-time patron and Quiz Master and would watch SCB videos and J vs Ben’s during chemo treatments and our community will miss her. Please Consider Donating :: Written by :: Quiz Master Mary Murphy Hosted by :: Ethan Edghill &amp; Kat Stine</t>
        </is>
      </c>
      <c r="V414" s="47">
        <f>IF(AND(P414&gt;=Calendar!$K$2,P414&lt;EDATE(Calendar!$K$2,1),OR(Calendar!$K$4="*",N414=Calendar!$K$4)),P414*100+COUNTIFS($P$6:$P$3267,P414,$Q$6:$Q$3267,"&lt;="&amp;Q414,$N$6:$N$3267,Calendar!$K$4),"")</f>
        <v/>
      </c>
      <c r="W414" s="47">
        <f>IF(AND(B414=Queue!$C$4,OR(Queue!$K$4="*",N414=Queue!$K$4)),Q414,"")</f>
        <v/>
      </c>
    </row>
    <row r="415">
      <c r="A415" s="38">
        <f>IF(M415="","",HYPERLINK("https://www.youtube.com/watch?v="&amp;M415,"▶"))</f>
        <v/>
      </c>
      <c r="B415" s="39">
        <f>IF(C415&lt;&gt;"",C415,IF(P415&lt;=IFERROR(INDEX(tblChannels[Watched Through],MATCH(N415,tblChannels[Channel ID],0)),0),"Watched","Unwatched"))</f>
        <v/>
      </c>
      <c r="C415" s="40" t="n"/>
      <c r="D415" s="41" t="n"/>
      <c r="E415" s="42" t="n">
        <v>45731.21597222222</v>
      </c>
      <c r="F415" s="52" t="inlineStr">
        <is>
          <t>Super Carlin Gaming</t>
        </is>
      </c>
      <c r="G415" t="inlineStr">
        <is>
          <t>SURGING SPARKS - Pokemon Box Breakers SEASON 14-  Episode 1 - 03/14/2025 (Happy Pi Day!)</t>
        </is>
      </c>
      <c r="H415" s="44" t="n">
        <v>0.1165046296296296</v>
      </c>
      <c r="I415" s="45" t="n">
        <v>1076</v>
      </c>
      <c r="J415" s="45" t="n">
        <v>46</v>
      </c>
      <c r="K415" s="45" t="n">
        <v>3</v>
      </c>
      <c r="L415" s="46" t="n"/>
      <c r="M415" s="47" t="n"/>
      <c r="N415" s="47" t="inlineStr">
        <is>
          <t>UCor_9jRnNNZVzTuQ92PKsaQ</t>
        </is>
      </c>
      <c r="O415" s="48" t="n">
        <v>45731.38263888889</v>
      </c>
      <c r="P415" s="49" t="n">
        <v>45731</v>
      </c>
      <c r="Q415" s="47" t="n">
        <v>2853</v>
      </c>
      <c r="R415" s="47" t="inlineStr">
        <is>
          <t>No Video ID yet</t>
        </is>
      </c>
      <c r="S415" s="49" t="n"/>
      <c r="T415" s="49" t="n"/>
      <c r="U415" s="47" t="n"/>
      <c r="V415" s="47">
        <f>IF(AND(P415&gt;=Calendar!$K$2,P415&lt;EDATE(Calendar!$K$2,1),OR(Calendar!$K$4="*",N415=Calendar!$K$4)),P415*100+COUNTIFS($P$6:$P$3267,P415,$Q$6:$Q$3267,"&lt;="&amp;Q415,$N$6:$N$3267,Calendar!$K$4),"")</f>
        <v/>
      </c>
      <c r="W415" s="47">
        <f>IF(AND(B415=Queue!$C$4,OR(Queue!$K$4="*",N415=Queue!$K$4)),Q415,"")</f>
        <v/>
      </c>
    </row>
    <row r="416">
      <c r="A416" s="38">
        <f>IF(M416="","",HYPERLINK("https://www.youtube.com/watch?v="&amp;M416,"▶"))</f>
        <v/>
      </c>
      <c r="B416" s="39">
        <f>IF(C416&lt;&gt;"",C416,IF(P416&lt;=IFERROR(INDEX(tblChannels[Watched Through],MATCH(N416,tblChannels[Channel ID],0)),0),"Watched","Unwatched"))</f>
        <v/>
      </c>
      <c r="C416" s="40" t="n"/>
      <c r="D416" s="41" t="n"/>
      <c r="E416" s="42" t="n">
        <v>45730.71319444444</v>
      </c>
      <c r="F416" s="50" t="inlineStr">
        <is>
          <t>Super Carlin Brothers</t>
        </is>
      </c>
      <c r="G416" t="inlineStr">
        <is>
          <t>Wicked Predictions - REACTING To Our Old Theories!</t>
        </is>
      </c>
      <c r="H416" s="44" t="n">
        <v>0.04440972222222223</v>
      </c>
      <c r="I416" s="45" t="n">
        <v>52512</v>
      </c>
      <c r="J416" s="45" t="n">
        <v>2197</v>
      </c>
      <c r="K416" s="45" t="n">
        <v>656</v>
      </c>
      <c r="L416" s="46" t="n"/>
      <c r="M416" s="47" t="n"/>
      <c r="N416" s="47" t="inlineStr">
        <is>
          <t>UCKZo4N0lVPccBkSiuyVh4yg</t>
        </is>
      </c>
      <c r="O416" s="48" t="n">
        <v>45730.87986111111</v>
      </c>
      <c r="P416" s="49" t="n">
        <v>45730</v>
      </c>
      <c r="Q416" s="47" t="n">
        <v>2852</v>
      </c>
      <c r="R416" s="47" t="inlineStr">
        <is>
          <t>No Video ID yet</t>
        </is>
      </c>
      <c r="S416" s="49" t="n"/>
      <c r="T416" s="49" t="n"/>
      <c r="U416" s="47" t="inlineStr">
        <is>
          <t>This episode is sponsored by BetterHelp — go to to get 10% off your first month. This episode is sponsored by Shopify — Go to to sign up for your $1-per-month trial period. We finally saw WICKED on Broadway and at LOOOONG last know the ending of Wicked and can therefore react to the theories we made after seeing part 1 in theatres! Where were we right? Where were we wrong? Did we invent any new theories? Original Wicked Theories :: #supercarlinbrothers #Wicked #Broadway Written by :: Jonathan Carlin &amp; Ben Carlin</t>
        </is>
      </c>
      <c r="V416" s="47">
        <f>IF(AND(P416&gt;=Calendar!$K$2,P416&lt;EDATE(Calendar!$K$2,1),OR(Calendar!$K$4="*",N416=Calendar!$K$4)),P416*100+COUNTIFS($P$6:$P$3267,P416,$Q$6:$Q$3267,"&lt;="&amp;Q416,$N$6:$N$3267,Calendar!$K$4),"")</f>
        <v/>
      </c>
      <c r="W416" s="47">
        <f>IF(AND(B416=Queue!$C$4,OR(Queue!$K$4="*",N416=Queue!$K$4)),Q416,"")</f>
        <v/>
      </c>
    </row>
    <row r="417">
      <c r="A417" s="38">
        <f>IF(M417="","",HYPERLINK("https://www.youtube.com/watch?v="&amp;M417,"▶"))</f>
        <v/>
      </c>
      <c r="B417" s="39">
        <f>IF(C417&lt;&gt;"",C417,IF(P417&lt;=IFERROR(INDEX(tblChannels[Watched Through],MATCH(N417,tblChannels[Channel ID],0)),0),"Watched","Unwatched"))</f>
        <v/>
      </c>
      <c r="C417" s="40" t="n"/>
      <c r="D417" s="41" t="n"/>
      <c r="E417" s="42" t="n">
        <v>45730.42708333334</v>
      </c>
      <c r="F417" s="43" t="inlineStr">
        <is>
          <t>Popcorn Culture</t>
        </is>
      </c>
      <c r="G417" t="inlineStr">
        <is>
          <t>Call Me BIG JELLY | Popcorn Culture</t>
        </is>
      </c>
      <c r="H417" s="44" t="n">
        <v>0.05311342592592593</v>
      </c>
      <c r="I417" s="45" t="n">
        <v>3548</v>
      </c>
      <c r="J417" s="45" t="n">
        <v>175</v>
      </c>
      <c r="K417" s="45" t="n">
        <v>24</v>
      </c>
      <c r="L417" s="46" t="n"/>
      <c r="M417" s="47" t="n"/>
      <c r="N417" s="47" t="inlineStr">
        <is>
          <t>UCHfIbq9thHPC8yrKjAdJgDA</t>
        </is>
      </c>
      <c r="O417" s="48" t="n">
        <v>45730.59375</v>
      </c>
      <c r="P417" s="49" t="n">
        <v>45730</v>
      </c>
      <c r="Q417" s="47" t="n">
        <v>2851</v>
      </c>
      <c r="R417" s="47" t="inlineStr">
        <is>
          <t>No Video ID yet</t>
        </is>
      </c>
      <c r="S417" s="49" t="n"/>
      <c r="T417" s="49" t="n"/>
      <c r="U417" s="47" t="inlineStr">
        <is>
          <t>Level up your game and get 10% off @TurtleBeach with code POPCORN at #turtlebeachpod In episode 275 of the Pop, Ben and J discuss their newest candle, swimming at the YMCA, the New York City trip, seeing Wicked on Broadway, Liberty Bagels, Peloton, and the food tour. Get Your Sorting Candle Here - The Wicked Movie - Liberty Bagels - Regé-Jean Page - Lost - Severance - Xul Brewing - Human Bread Soda Bottle THE NUMBERS! 00:00 - Intro, Sorting Candle 02:36 - Swimming 21:31 - Wicked 33:12 - The Rest of the NYC Trip</t>
        </is>
      </c>
      <c r="V417" s="47">
        <f>IF(AND(P417&gt;=Calendar!$K$2,P417&lt;EDATE(Calendar!$K$2,1),OR(Calendar!$K$4="*",N417=Calendar!$K$4)),P417*100+COUNTIFS($P$6:$P$3267,P417,$Q$6:$Q$3267,"&lt;="&amp;Q417,$N$6:$N$3267,Calendar!$K$4),"")</f>
        <v/>
      </c>
      <c r="W417" s="47">
        <f>IF(AND(B417=Queue!$C$4,OR(Queue!$K$4="*",N417=Queue!$K$4)),Q417,"")</f>
        <v/>
      </c>
    </row>
    <row r="418">
      <c r="A418" s="38">
        <f>IF(M418="","",HYPERLINK("https://www.youtube.com/watch?v="&amp;M418,"▶"))</f>
        <v/>
      </c>
      <c r="B418" s="39">
        <f>IF(C418&lt;&gt;"",C418,IF(P418&lt;=IFERROR(INDEX(tblChannels[Watched Through],MATCH(N418,tblChannels[Channel ID],0)),0),"Watched","Unwatched"))</f>
        <v/>
      </c>
      <c r="C418" s="40" t="n"/>
      <c r="D418" s="41" t="n"/>
      <c r="E418" s="42" t="n">
        <v>45729.70833333334</v>
      </c>
      <c r="F418" s="51" t="inlineStr">
        <is>
          <t>Through The Griffin Door</t>
        </is>
      </c>
      <c r="G418" t="inlineStr">
        <is>
          <t>Live in Tampa - Chapter 16: The Goblet of Fire | Goblet of Fire</t>
        </is>
      </c>
      <c r="H418" s="44" t="n">
        <v>0.05146990740740741</v>
      </c>
      <c r="I418" s="45" t="n">
        <v>11353</v>
      </c>
      <c r="J418" s="45" t="n">
        <v>474</v>
      </c>
      <c r="K418" s="45" t="n">
        <v>90</v>
      </c>
      <c r="L418" s="46" t="n"/>
      <c r="M418" s="47" t="n"/>
      <c r="N418" s="47" t="inlineStr">
        <is>
          <t>UCEscP6ETYXWSSvsNrDHekMQ</t>
        </is>
      </c>
      <c r="O418" s="48" t="n">
        <v>45729.875</v>
      </c>
      <c r="P418" s="49" t="n">
        <v>45729</v>
      </c>
      <c r="Q418" s="47" t="n">
        <v>2850</v>
      </c>
      <c r="R418" s="47" t="inlineStr">
        <is>
          <t>No Video ID yet</t>
        </is>
      </c>
      <c r="S418" s="49" t="n"/>
      <c r="T418" s="49" t="n"/>
      <c r="U418" s="47" t="inlineStr">
        <is>
          <t>Join J and Ben as they dive BACK into Chapter 16 of the Goblet of Fire and discuss seating arrangements, bouillabaisse, and the Cup's selection.</t>
        </is>
      </c>
      <c r="V418" s="47">
        <f>IF(AND(P418&gt;=Calendar!$K$2,P418&lt;EDATE(Calendar!$K$2,1),OR(Calendar!$K$4="*",N418=Calendar!$K$4)),P418*100+COUNTIFS($P$6:$P$3267,P418,$Q$6:$Q$3267,"&lt;="&amp;Q418,$N$6:$N$3267,Calendar!$K$4),"")</f>
        <v/>
      </c>
      <c r="W418" s="47">
        <f>IF(AND(B418=Queue!$C$4,OR(Queue!$K$4="*",N418=Queue!$K$4)),Q418,"")</f>
        <v/>
      </c>
    </row>
    <row r="419">
      <c r="A419" s="38">
        <f>IF(M419="","",HYPERLINK("https://www.youtube.com/watch?v="&amp;M419,"▶"))</f>
        <v/>
      </c>
      <c r="B419" s="39">
        <f>IF(C419&lt;&gt;"",C419,IF(P419&lt;=IFERROR(INDEX(tblChannels[Watched Through],MATCH(N419,tblChannels[Channel ID],0)),0),"Watched","Unwatched"))</f>
        <v/>
      </c>
      <c r="C419" s="40" t="n"/>
      <c r="D419" s="41" t="n"/>
      <c r="E419" s="42" t="n">
        <v>45728.69166666667</v>
      </c>
      <c r="F419" s="50" t="inlineStr">
        <is>
          <t>Super Carlin Brothers</t>
        </is>
      </c>
      <c r="G419" t="inlineStr">
        <is>
          <t>J vs Ben: HARDEST Harry Potter and the Order of the Phoenix MOVIE Trivia Quiz</t>
        </is>
      </c>
      <c r="H419" s="44" t="n">
        <v>0.02650462962962963</v>
      </c>
      <c r="I419" s="45" t="n">
        <v>137470</v>
      </c>
      <c r="J419" s="45" t="n">
        <v>4555</v>
      </c>
      <c r="K419" s="45" t="n">
        <v>498</v>
      </c>
      <c r="L419" s="46" t="n"/>
      <c r="M419" s="47" t="n"/>
      <c r="N419" s="47" t="inlineStr">
        <is>
          <t>UCKZo4N0lVPccBkSiuyVh4yg</t>
        </is>
      </c>
      <c r="O419" s="48" t="n">
        <v>45728.85833333333</v>
      </c>
      <c r="P419" s="49" t="n">
        <v>45728</v>
      </c>
      <c r="Q419" s="47" t="n">
        <v>2849</v>
      </c>
      <c r="R419" s="47" t="inlineStr">
        <is>
          <t>No Video ID yet</t>
        </is>
      </c>
      <c r="S419" s="49" t="n"/>
      <c r="T419" s="49" t="n"/>
      <c r="U419" s="47" t="inlineStr">
        <is>
          <t>Go to and use code BROTHER for 20% off your first order, plus free shipping on orders of $75 or more. Go to and use code FACTORPODCAST to get 50% off your first box and free shipping. Today J and Ben face off once more to find out who knows more about Harry Potter and the Order of the Phoenix… THE MOVIE. Play Along with us :: Become a Quiz Master :: Edited by :: Ethan Edghill &amp; Isybelle Christley Written by :: Our Lovely Quizmasters over on Patreon! Hosted by :: Kat Stine (aka Kangaroo Kat)</t>
        </is>
      </c>
      <c r="V419" s="47">
        <f>IF(AND(P419&gt;=Calendar!$K$2,P419&lt;EDATE(Calendar!$K$2,1),OR(Calendar!$K$4="*",N419=Calendar!$K$4)),P419*100+COUNTIFS($P$6:$P$3267,P419,$Q$6:$Q$3267,"&lt;="&amp;Q419,$N$6:$N$3267,Calendar!$K$4),"")</f>
        <v/>
      </c>
      <c r="W419" s="47">
        <f>IF(AND(B419=Queue!$C$4,OR(Queue!$K$4="*",N419=Queue!$K$4)),Q419,"")</f>
        <v/>
      </c>
    </row>
    <row r="420">
      <c r="A420" s="38">
        <f>IF(M420="","",HYPERLINK("https://www.youtube.com/watch?v="&amp;M420,"▶"))</f>
        <v/>
      </c>
      <c r="B420" s="39">
        <f>IF(C420&lt;&gt;"",C420,IF(P420&lt;=IFERROR(INDEX(tblChannels[Watched Through],MATCH(N420,tblChannels[Channel ID],0)),0),"Watched","Unwatched"))</f>
        <v/>
      </c>
      <c r="C420" s="40" t="n"/>
      <c r="D420" s="41" t="n"/>
      <c r="E420" s="42" t="n">
        <v>45725.41666666666</v>
      </c>
      <c r="F420" s="51" t="inlineStr">
        <is>
          <t>Through The Griffin Door</t>
        </is>
      </c>
      <c r="G420" t="inlineStr">
        <is>
          <t>Chapter 16: The Goblet of Fire | Goblet of Fire</t>
        </is>
      </c>
      <c r="H420" s="44" t="n">
        <v>0.06604166666666667</v>
      </c>
      <c r="I420" s="45" t="n">
        <v>58368</v>
      </c>
      <c r="J420" s="45" t="n">
        <v>1603</v>
      </c>
      <c r="K420" s="45" t="n">
        <v>548</v>
      </c>
      <c r="L420" s="46" t="n"/>
      <c r="M420" s="47" t="n"/>
      <c r="N420" s="47" t="inlineStr">
        <is>
          <t>UCEscP6ETYXWSSvsNrDHekMQ</t>
        </is>
      </c>
      <c r="O420" s="48" t="n">
        <v>45725.58333333334</v>
      </c>
      <c r="P420" s="49" t="n">
        <v>45725</v>
      </c>
      <c r="Q420" s="47" t="n">
        <v>2848</v>
      </c>
      <c r="R420" s="47" t="inlineStr">
        <is>
          <t>No Video ID yet</t>
        </is>
      </c>
      <c r="S420" s="49" t="n"/>
      <c r="T420" s="49" t="n"/>
      <c r="U420" s="47" t="inlineStr">
        <is>
          <t>Join J and Ben as they dive into Chapter 16 of the Goblet of Fire and discuss seating arrangements, bouillabaisse, the tournament intro, poor Polikov, students putting their name in the cup, visiting Hagrid, and announcing the selected students. John Lithgow Casting - 00:00 - Intro and Chapter Art (Movie News) 08:26 - Chapter Breakdown 30:50 - Ad Break 32:30 - More Chapter Breakdown 1:27:24 - Closing Thoughts and Review</t>
        </is>
      </c>
      <c r="V420" s="47">
        <f>IF(AND(P420&gt;=Calendar!$K$2,P420&lt;EDATE(Calendar!$K$2,1),OR(Calendar!$K$4="*",N420=Calendar!$K$4)),P420*100+COUNTIFS($P$6:$P$3267,P420,$Q$6:$Q$3267,"&lt;="&amp;Q420,$N$6:$N$3267,Calendar!$K$4),"")</f>
        <v/>
      </c>
      <c r="W420" s="47">
        <f>IF(AND(B420=Queue!$C$4,OR(Queue!$K$4="*",N420=Queue!$K$4)),Q420,"")</f>
        <v/>
      </c>
    </row>
    <row r="421">
      <c r="A421" s="38">
        <f>IF(M421="","",HYPERLINK("https://www.youtube.com/watch?v="&amp;M421,"▶"))</f>
        <v/>
      </c>
      <c r="B421" s="39">
        <f>IF(C421&lt;&gt;"",C421,IF(P421&lt;=IFERROR(INDEX(tblChannels[Watched Through],MATCH(N421,tblChannels[Channel ID],0)),0),"Watched","Unwatched"))</f>
        <v/>
      </c>
      <c r="C421" s="40" t="n"/>
      <c r="D421" s="41" t="n"/>
      <c r="E421" s="42" t="n">
        <v>45724.41736111111</v>
      </c>
      <c r="F421" s="50" t="inlineStr">
        <is>
          <t>Super Carlin Brothers</t>
        </is>
      </c>
      <c r="G421" t="inlineStr">
        <is>
          <t>Through the Griffin Door Supercut: Goblet of Fire Chapters 13 - 15</t>
        </is>
      </c>
      <c r="H421" s="44" t="n">
        <v>0.1905787037037037</v>
      </c>
      <c r="I421" s="45" t="n">
        <v>17086</v>
      </c>
      <c r="J421" s="45" t="n">
        <v>318</v>
      </c>
      <c r="K421" s="45" t="n">
        <v>71</v>
      </c>
      <c r="L421" s="46" t="n"/>
      <c r="M421" s="47" t="n"/>
      <c r="N421" s="47" t="inlineStr">
        <is>
          <t>UCKZo4N0lVPccBkSiuyVh4yg</t>
        </is>
      </c>
      <c r="O421" s="48" t="n">
        <v>45724.62569444445</v>
      </c>
      <c r="P421" s="49" t="n">
        <v>45724</v>
      </c>
      <c r="Q421" s="47" t="n">
        <v>2847</v>
      </c>
      <c r="R421" s="47" t="inlineStr">
        <is>
          <t>No Video ID yet</t>
        </is>
      </c>
      <c r="S421" s="49" t="n"/>
      <c r="T421" s="49" t="n"/>
      <c r="U421" s="47" t="inlineStr">
        <is>
          <t>0:00:00 - Chapter 13: Mad-Eye Moody 1:22:17 - Chapter 14: The Unforgivable Curses 2:58:41 - Chapter 15: Beauxbaton and Durmstrang</t>
        </is>
      </c>
      <c r="V421" s="47">
        <f>IF(AND(P421&gt;=Calendar!$K$2,P421&lt;EDATE(Calendar!$K$2,1),OR(Calendar!$K$4="*",N421=Calendar!$K$4)),P421*100+COUNTIFS($P$6:$P$3267,P421,$Q$6:$Q$3267,"&lt;="&amp;Q421,$N$6:$N$3267,Calendar!$K$4),"")</f>
        <v/>
      </c>
      <c r="W421" s="47">
        <f>IF(AND(B421=Queue!$C$4,OR(Queue!$K$4="*",N421=Queue!$K$4)),Q421,"")</f>
        <v/>
      </c>
    </row>
    <row r="422">
      <c r="A422" s="38">
        <f>IF(M422="","",HYPERLINK("https://www.youtube.com/watch?v="&amp;M422,"▶"))</f>
        <v/>
      </c>
      <c r="B422" s="39">
        <f>IF(C422&lt;&gt;"",C422,IF(P422&lt;=IFERROR(INDEX(tblChannels[Watched Through],MATCH(N422,tblChannels[Channel ID],0)),0),"Watched","Unwatched"))</f>
        <v/>
      </c>
      <c r="C422" s="40" t="n"/>
      <c r="D422" s="41" t="n"/>
      <c r="E422" s="42" t="n">
        <v>45723.625</v>
      </c>
      <c r="F422" s="50" t="inlineStr">
        <is>
          <t>Super Carlin Brothers</t>
        </is>
      </c>
      <c r="G422" t="inlineStr">
        <is>
          <t>The COMPLETE History Of Pluto The Pup | Disney History Explained</t>
        </is>
      </c>
      <c r="H422" s="44" t="n">
        <v>0.01377314814814815</v>
      </c>
      <c r="I422" s="45" t="n">
        <v>40827</v>
      </c>
      <c r="J422" s="45" t="n">
        <v>2488</v>
      </c>
      <c r="K422" s="45" t="n">
        <v>342</v>
      </c>
      <c r="L422" s="46" t="n"/>
      <c r="M422" s="47" t="n"/>
      <c r="N422" s="47" t="inlineStr">
        <is>
          <t>UCKZo4N0lVPccBkSiuyVh4yg</t>
        </is>
      </c>
      <c r="O422" s="48" t="n">
        <v>45723.83333333334</v>
      </c>
      <c r="P422" s="49" t="n">
        <v>45723</v>
      </c>
      <c r="Q422" s="47" t="n">
        <v>2846</v>
      </c>
      <c r="R422" s="47" t="inlineStr">
        <is>
          <t>No Video ID yet</t>
        </is>
      </c>
      <c r="S422" s="49" t="n"/>
      <c r="T422" s="49" t="n"/>
      <c r="U422" s="47" t="inlineStr">
        <is>
          <t>This episode is sponsored by Raycon – Go to to get 20% off best-selling Everyday Earbuds. Today J dives into the Disney Vault to give the COMPLETE History of Mickey Mouse’s best friend: Pluto the Pup! Pluto has been around since the 1930’s, but did you know he wasn’t even supposed to exist? Or that he went on to change animation FOREVER?! #supercarlinbrothers #Disney Written by :: Jonathan Carlin &amp; Isybelle Christley</t>
        </is>
      </c>
      <c r="V422" s="47">
        <f>IF(AND(P422&gt;=Calendar!$K$2,P422&lt;EDATE(Calendar!$K$2,1),OR(Calendar!$K$4="*",N422=Calendar!$K$4)),P422*100+COUNTIFS($P$6:$P$3267,P422,$Q$6:$Q$3267,"&lt;="&amp;Q422,$N$6:$N$3267,Calendar!$K$4),"")</f>
        <v/>
      </c>
      <c r="W422" s="47">
        <f>IF(AND(B422=Queue!$C$4,OR(Queue!$K$4="*",N422=Queue!$K$4)),Q422,"")</f>
        <v/>
      </c>
    </row>
    <row r="423">
      <c r="A423" s="38">
        <f>IF(M423="","",HYPERLINK("https://www.youtube.com/watch?v="&amp;M423,"▶"))</f>
        <v/>
      </c>
      <c r="B423" s="39">
        <f>IF(C423&lt;&gt;"",C423,IF(P423&lt;=IFERROR(INDEX(tblChannels[Watched Through],MATCH(N423,tblChannels[Channel ID],0)),0),"Watched","Unwatched"))</f>
        <v/>
      </c>
      <c r="C423" s="40" t="n"/>
      <c r="D423" s="41" t="n"/>
      <c r="E423" s="42" t="n">
        <v>45723.41666666666</v>
      </c>
      <c r="F423" s="43" t="inlineStr">
        <is>
          <t>Popcorn Culture</t>
        </is>
      </c>
      <c r="G423" t="inlineStr">
        <is>
          <t>Is Nature Art? | Popcorn Culture</t>
        </is>
      </c>
      <c r="H423" s="44" t="n">
        <v>0.04150462962962963</v>
      </c>
      <c r="I423" s="45" t="n">
        <v>3552</v>
      </c>
      <c r="J423" s="45" t="n">
        <v>180</v>
      </c>
      <c r="K423" s="45" t="n">
        <v>30</v>
      </c>
      <c r="L423" s="46" t="n"/>
      <c r="M423" s="47" t="n"/>
      <c r="N423" s="47" t="inlineStr">
        <is>
          <t>UCHfIbq9thHPC8yrKjAdJgDA</t>
        </is>
      </c>
      <c r="O423" s="48" t="n">
        <v>45723.625</v>
      </c>
      <c r="P423" s="49" t="n">
        <v>45723</v>
      </c>
      <c r="Q423" s="47" t="n">
        <v>2845</v>
      </c>
      <c r="R423" s="47" t="inlineStr">
        <is>
          <t>No Video ID yet</t>
        </is>
      </c>
      <c r="S423" s="49" t="n"/>
      <c r="T423" s="49" t="n"/>
      <c r="U423" s="47" t="inlineStr">
        <is>
          <t>In the 274th episode of the Pop, Ben and J discuss microphones, art and nature, Name of the Wind, standing ovations, spicy wings, tasty beer, and celebrity interviews. Hot Ones Sauce - PBJ Beer - Snoop Dogg Ice Cream - The Death of Yelling J’s a PBJ Guy 00:00 - Intro, Opera 17:09 - Is Nature Art? 28:41 - Favorite Tour Moments 41:03 - PBJ Beer</t>
        </is>
      </c>
      <c r="V423" s="47">
        <f>IF(AND(P423&gt;=Calendar!$K$2,P423&lt;EDATE(Calendar!$K$2,1),OR(Calendar!$K$4="*",N423=Calendar!$K$4)),P423*100+COUNTIFS($P$6:$P$3267,P423,$Q$6:$Q$3267,"&lt;="&amp;Q423,$N$6:$N$3267,Calendar!$K$4),"")</f>
        <v/>
      </c>
      <c r="W423" s="47">
        <f>IF(AND(B423=Queue!$C$4,OR(Queue!$K$4="*",N423=Queue!$K$4)),Q423,"")</f>
        <v/>
      </c>
    </row>
    <row r="424">
      <c r="A424" s="38">
        <f>IF(M424="","",HYPERLINK("https://www.youtube.com/watch?v="&amp;M424,"▶"))</f>
        <v/>
      </c>
      <c r="B424" s="39">
        <f>IF(C424&lt;&gt;"",C424,IF(P424&lt;=IFERROR(INDEX(tblChannels[Watched Through],MATCH(N424,tblChannels[Channel ID],0)),0),"Watched","Unwatched"))</f>
        <v/>
      </c>
      <c r="C424" s="40" t="n"/>
      <c r="D424" s="41" t="n"/>
      <c r="E424" s="42" t="n">
        <v>45722.70833333334</v>
      </c>
      <c r="F424" s="51" t="inlineStr">
        <is>
          <t>Through The Griffin Door</t>
        </is>
      </c>
      <c r="G424" t="inlineStr">
        <is>
          <t>Live In Orlando - Chapter 15: Beauxbaton and Durmstrang | Goblet of Fire</t>
        </is>
      </c>
      <c r="H424" s="44" t="n">
        <v>0.05001157407407408</v>
      </c>
      <c r="I424" s="45" t="n">
        <v>11589</v>
      </c>
      <c r="J424" s="45" t="n">
        <v>490</v>
      </c>
      <c r="K424" s="45" t="n">
        <v>115</v>
      </c>
      <c r="L424" s="46" t="n"/>
      <c r="M424" s="47" t="n"/>
      <c r="N424" s="47" t="inlineStr">
        <is>
          <t>UCEscP6ETYXWSSvsNrDHekMQ</t>
        </is>
      </c>
      <c r="O424" s="48" t="n">
        <v>45722.91666666666</v>
      </c>
      <c r="P424" s="49" t="n">
        <v>45722</v>
      </c>
      <c r="Q424" s="47" t="n">
        <v>2844</v>
      </c>
      <c r="R424" s="47" t="inlineStr">
        <is>
          <t>No Video ID yet</t>
        </is>
      </c>
      <c r="S424" s="49" t="n"/>
      <c r="T424" s="49" t="n"/>
      <c r="U424" s="47" t="inlineStr">
        <is>
          <t>Join J and Ben as they dive BACK into Chapter 15 of the Goblet of Fire and discuss ships, Harry’s bad letter, the Owlery floor, the Imperious curse, feisty McGonagall, and the other schools entrances.</t>
        </is>
      </c>
      <c r="V424" s="47">
        <f>IF(AND(P424&gt;=Calendar!$K$2,P424&lt;EDATE(Calendar!$K$2,1),OR(Calendar!$K$4="*",N424=Calendar!$K$4)),P424*100+COUNTIFS($P$6:$P$3267,P424,$Q$6:$Q$3267,"&lt;="&amp;Q424,$N$6:$N$3267,Calendar!$K$4),"")</f>
        <v/>
      </c>
      <c r="W424" s="47">
        <f>IF(AND(B424=Queue!$C$4,OR(Queue!$K$4="*",N424=Queue!$K$4)),Q424,"")</f>
        <v/>
      </c>
    </row>
    <row r="425">
      <c r="A425" s="38">
        <f>IF(M425="","",HYPERLINK("https://www.youtube.com/watch?v="&amp;M425,"▶"))</f>
        <v/>
      </c>
      <c r="B425" s="39">
        <f>IF(C425&lt;&gt;"",C425,IF(P425&lt;=IFERROR(INDEX(tblChannels[Watched Through],MATCH(N425,tblChannels[Channel ID],0)),0),"Watched","Unwatched"))</f>
        <v/>
      </c>
      <c r="C425" s="40" t="n"/>
      <c r="D425" s="41" t="n"/>
      <c r="E425" s="42" t="n">
        <v>45721.84097222222</v>
      </c>
      <c r="F425" s="50" t="inlineStr">
        <is>
          <t>Super Carlin Brothers</t>
        </is>
      </c>
      <c r="G425" t="inlineStr">
        <is>
          <t>The REAL Reason Harry Can Resist The Imperius Curse | Harry Potter Theory</t>
        </is>
      </c>
      <c r="H425" s="44" t="n">
        <v>0.01258101851851852</v>
      </c>
      <c r="I425" s="45" t="n">
        <v>153395</v>
      </c>
      <c r="J425" s="45" t="n">
        <v>6434</v>
      </c>
      <c r="K425" s="45" t="n">
        <v>701</v>
      </c>
      <c r="L425" s="46" t="n"/>
      <c r="M425" s="47" t="n"/>
      <c r="N425" s="47" t="inlineStr">
        <is>
          <t>UCKZo4N0lVPccBkSiuyVh4yg</t>
        </is>
      </c>
      <c r="O425" s="48" t="n">
        <v>45722.04930555556</v>
      </c>
      <c r="P425" s="49" t="n">
        <v>45721</v>
      </c>
      <c r="Q425" s="47" t="n">
        <v>2843</v>
      </c>
      <c r="R425" s="47" t="inlineStr">
        <is>
          <t>No Video ID yet</t>
        </is>
      </c>
      <c r="S425" s="49" t="n"/>
      <c r="T425" s="49" t="n"/>
      <c r="U425" s="47" t="inlineStr">
        <is>
          <t>Today Ben dives into the Wizarding World of Harry Potter to reveal HOW Harry Potter is able to resist the Imperius Curse on his VERY first try after Barty Crouch Jr puts the spell on him in class.</t>
        </is>
      </c>
      <c r="V425" s="47">
        <f>IF(AND(P425&gt;=Calendar!$K$2,P425&lt;EDATE(Calendar!$K$2,1),OR(Calendar!$K$4="*",N425=Calendar!$K$4)),P425*100+COUNTIFS($P$6:$P$3267,P425,$Q$6:$Q$3267,"&lt;="&amp;Q425,$N$6:$N$3267,Calendar!$K$4),"")</f>
        <v/>
      </c>
      <c r="W425" s="47">
        <f>IF(AND(B425=Queue!$C$4,OR(Queue!$K$4="*",N425=Queue!$K$4)),Q425,"")</f>
        <v/>
      </c>
    </row>
    <row r="426">
      <c r="A426" s="38">
        <f>IF(M426="","",HYPERLINK("https://www.youtube.com/watch?v="&amp;M426,"▶"))</f>
        <v/>
      </c>
      <c r="B426" s="39">
        <f>IF(C426&lt;&gt;"",C426,IF(P426&lt;=IFERROR(INDEX(tblChannels[Watched Through],MATCH(N426,tblChannels[Channel ID],0)),0),"Watched","Unwatched"))</f>
        <v/>
      </c>
      <c r="C426" s="40" t="n"/>
      <c r="D426" s="41" t="n"/>
      <c r="E426" s="42" t="n">
        <v>45718.41666666666</v>
      </c>
      <c r="F426" s="51" t="inlineStr">
        <is>
          <t>Through The Griffin Door</t>
        </is>
      </c>
      <c r="G426" t="inlineStr">
        <is>
          <t>Chapter 15: Beauxbaton and Durmstrang | Goblet of Fire</t>
        </is>
      </c>
      <c r="H426" s="44" t="n">
        <v>0.06646990740740741</v>
      </c>
      <c r="I426" s="45" t="n">
        <v>59848</v>
      </c>
      <c r="J426" s="45" t="n">
        <v>1613</v>
      </c>
      <c r="K426" s="45" t="n">
        <v>526</v>
      </c>
      <c r="L426" s="46" t="n"/>
      <c r="M426" s="47" t="n"/>
      <c r="N426" s="47" t="inlineStr">
        <is>
          <t>UCEscP6ETYXWSSvsNrDHekMQ</t>
        </is>
      </c>
      <c r="O426" s="48" t="n">
        <v>45718.625</v>
      </c>
      <c r="P426" s="49" t="n">
        <v>45718</v>
      </c>
      <c r="Q426" s="47" t="n">
        <v>2842</v>
      </c>
      <c r="R426" s="47" t="inlineStr">
        <is>
          <t>No Video ID yet</t>
        </is>
      </c>
      <c r="S426" s="49" t="n"/>
      <c r="T426" s="49" t="n"/>
      <c r="U426" s="47" t="inlineStr">
        <is>
          <t>Join J and Ben as they dive into Chapter 15 of the Goblet of Fire and discuss ships, Harry’s bad letter, the Owlery floor, the Imperious curse, feisty McGonagall, and the other schools entrances. Hogwarts Plumbing - 05:18 - Chapter Breakdown 1:22:53 - Closing Thoughts and Review</t>
        </is>
      </c>
      <c r="V426" s="47">
        <f>IF(AND(P426&gt;=Calendar!$K$2,P426&lt;EDATE(Calendar!$K$2,1),OR(Calendar!$K$4="*",N426=Calendar!$K$4)),P426*100+COUNTIFS($P$6:$P$3267,P426,$Q$6:$Q$3267,"&lt;="&amp;Q426,$N$6:$N$3267,Calendar!$K$4),"")</f>
        <v/>
      </c>
      <c r="W426" s="47">
        <f>IF(AND(B426=Queue!$C$4,OR(Queue!$K$4="*",N426=Queue!$K$4)),Q426,"")</f>
        <v/>
      </c>
    </row>
    <row r="427">
      <c r="A427" s="38">
        <f>IF(M427="","",HYPERLINK("https://www.youtube.com/watch?v="&amp;M427,"▶"))</f>
        <v/>
      </c>
      <c r="B427" s="39">
        <f>IF(C427&lt;&gt;"",C427,IF(P427&lt;=IFERROR(INDEX(tblChannels[Watched Through],MATCH(N427,tblChannels[Channel ID],0)),0),"Watched","Unwatched"))</f>
        <v/>
      </c>
      <c r="C427" s="40" t="n"/>
      <c r="D427" s="41" t="n"/>
      <c r="E427" s="42" t="n">
        <v>45716.69444444445</v>
      </c>
      <c r="F427" s="50" t="inlineStr">
        <is>
          <t>Super Carlin Brothers</t>
        </is>
      </c>
      <c r="G427" t="inlineStr">
        <is>
          <t>How The Resurrection Stone Was Created | Harry Potter Film Theory</t>
        </is>
      </c>
      <c r="H427" s="44" t="n">
        <v>0.01134259259259259</v>
      </c>
      <c r="I427" s="45" t="n">
        <v>108879</v>
      </c>
      <c r="J427" s="45" t="n">
        <v>5008</v>
      </c>
      <c r="K427" s="45" t="n">
        <v>661</v>
      </c>
      <c r="L427" s="46" t="n"/>
      <c r="M427" s="47" t="n"/>
      <c r="N427" s="47" t="inlineStr">
        <is>
          <t>UCKZo4N0lVPccBkSiuyVh4yg</t>
        </is>
      </c>
      <c r="O427" s="48" t="n">
        <v>45716.90277777778</v>
      </c>
      <c r="P427" s="49" t="n">
        <v>45716</v>
      </c>
      <c r="Q427" s="47" t="n">
        <v>2841</v>
      </c>
      <c r="R427" s="47" t="inlineStr">
        <is>
          <t>No Video ID yet</t>
        </is>
      </c>
      <c r="S427" s="49" t="n"/>
      <c r="T427" s="49" t="n"/>
      <c r="U427" s="47" t="inlineStr">
        <is>
          <t>This episode is sponsored by Hello Fresh – Go to to get up to 10 free meals and a free high protein item for life. Today J dives into the Wizarding World of Harry Potter to reveal HOW the Resurrection Stone and maybe even the Elder Wand were created and what their creation reveals about their owners and the unique relationship between Dumbledore and Grindelwald.</t>
        </is>
      </c>
      <c r="V427" s="47">
        <f>IF(AND(P427&gt;=Calendar!$K$2,P427&lt;EDATE(Calendar!$K$2,1),OR(Calendar!$K$4="*",N427=Calendar!$K$4)),P427*100+COUNTIFS($P$6:$P$3267,P427,$Q$6:$Q$3267,"&lt;="&amp;Q427,$N$6:$N$3267,Calendar!$K$4),"")</f>
        <v/>
      </c>
      <c r="W427" s="47">
        <f>IF(AND(B427=Queue!$C$4,OR(Queue!$K$4="*",N427=Queue!$K$4)),Q427,"")</f>
        <v/>
      </c>
    </row>
    <row r="428">
      <c r="A428" s="38">
        <f>IF(M428="","",HYPERLINK("https://www.youtube.com/watch?v="&amp;M428,"▶"))</f>
        <v/>
      </c>
      <c r="B428" s="39">
        <f>IF(C428&lt;&gt;"",C428,IF(P428&lt;=IFERROR(INDEX(tblChannels[Watched Through],MATCH(N428,tblChannels[Channel ID],0)),0),"Watched","Unwatched"))</f>
        <v/>
      </c>
      <c r="C428" s="40" t="n"/>
      <c r="D428" s="41" t="n"/>
      <c r="E428" s="42" t="n">
        <v>45716.41666666666</v>
      </c>
      <c r="F428" s="43" t="inlineStr">
        <is>
          <t>Popcorn Culture</t>
        </is>
      </c>
      <c r="G428" t="inlineStr">
        <is>
          <t>Ben Got Caught STEALING | Popcorn Culture</t>
        </is>
      </c>
      <c r="H428" s="44" t="n">
        <v>0.05115740740740741</v>
      </c>
      <c r="I428" s="45" t="n">
        <v>4245</v>
      </c>
      <c r="J428" s="45" t="n">
        <v>203</v>
      </c>
      <c r="K428" s="45" t="n">
        <v>35</v>
      </c>
      <c r="L428" s="46" t="n"/>
      <c r="M428" s="47" t="n"/>
      <c r="N428" s="47" t="inlineStr">
        <is>
          <t>UCHfIbq9thHPC8yrKjAdJgDA</t>
        </is>
      </c>
      <c r="O428" s="48" t="n">
        <v>45716.625</v>
      </c>
      <c r="P428" s="49" t="n">
        <v>45716</v>
      </c>
      <c r="Q428" s="47" t="n">
        <v>2840</v>
      </c>
      <c r="R428" s="47" t="inlineStr">
        <is>
          <t>No Video ID yet</t>
        </is>
      </c>
      <c r="S428" s="49" t="n"/>
      <c r="T428" s="49" t="n"/>
      <c r="U428" s="47" t="inlineStr">
        <is>
          <t>In the 273rd episode of the Pop, Ben and J discuss CuisinArt, sloshy water, cold feet, tour music, crocheted patronuses, the twins' birthday, PinHQ and the guestbooks. Pin HQ - In the Way Way Back Pickle Buckets Stop Talking About Your Feet 00:00 - Intro, Kitchen Appliances 24:07 - Tour!!!! 1:01:25 - The Guestbooks</t>
        </is>
      </c>
      <c r="V428" s="47">
        <f>IF(AND(P428&gt;=Calendar!$K$2,P428&lt;EDATE(Calendar!$K$2,1),OR(Calendar!$K$4="*",N428=Calendar!$K$4)),P428*100+COUNTIFS($P$6:$P$3267,P428,$Q$6:$Q$3267,"&lt;="&amp;Q428,$N$6:$N$3267,Calendar!$K$4),"")</f>
        <v/>
      </c>
      <c r="W428" s="47">
        <f>IF(AND(B428=Queue!$C$4,OR(Queue!$K$4="*",N428=Queue!$K$4)),Q428,"")</f>
        <v/>
      </c>
    </row>
    <row r="429">
      <c r="A429" s="38">
        <f>IF(M429="","",HYPERLINK("https://www.youtube.com/watch?v="&amp;M429,"▶"))</f>
        <v/>
      </c>
      <c r="B429" s="39">
        <f>IF(C429&lt;&gt;"",C429,IF(P429&lt;=IFERROR(INDEX(tblChannels[Watched Through],MATCH(N429,tblChannels[Channel ID],0)),0),"Watched","Unwatched"))</f>
        <v/>
      </c>
      <c r="C429" s="40" t="n"/>
      <c r="D429" s="41" t="n"/>
      <c r="E429" s="42" t="n">
        <v>45715.70833333334</v>
      </c>
      <c r="F429" s="51" t="inlineStr">
        <is>
          <t>Through The Griffin Door</t>
        </is>
      </c>
      <c r="G429" t="inlineStr">
        <is>
          <t>Live in Charlotte - Chapter 14: The Unforgivable Curses | Goblet of Fire</t>
        </is>
      </c>
      <c r="H429" s="44" t="n">
        <v>0.05266203703703703</v>
      </c>
      <c r="I429" s="45" t="n">
        <v>13090</v>
      </c>
      <c r="J429" s="45" t="n">
        <v>570</v>
      </c>
      <c r="K429" s="45" t="n">
        <v>145</v>
      </c>
      <c r="L429" s="46" t="n"/>
      <c r="M429" s="47" t="n"/>
      <c r="N429" s="47" t="inlineStr">
        <is>
          <t>UCEscP6ETYXWSSvsNrDHekMQ</t>
        </is>
      </c>
      <c r="O429" s="48" t="n">
        <v>45715.91666666666</v>
      </c>
      <c r="P429" s="49" t="n">
        <v>45715</v>
      </c>
      <c r="Q429" s="47" t="n">
        <v>2839</v>
      </c>
      <c r="R429" s="47" t="inlineStr">
        <is>
          <t>No Video ID yet</t>
        </is>
      </c>
      <c r="S429" s="49" t="n"/>
      <c r="T429" s="49" t="n"/>
      <c r="U429" s="47" t="inlineStr">
        <is>
          <t>Join J and Ben as they dive BACK into Chapter 14 of the Goblet of Fire (in CHARLOTTE!!!) and discuss Neville’s detention of disemboweling toads, the duality of everything Moody/Crouch says, and Moody and Neville’s interaction after class.</t>
        </is>
      </c>
      <c r="V429" s="47">
        <f>IF(AND(P429&gt;=Calendar!$K$2,P429&lt;EDATE(Calendar!$K$2,1),OR(Calendar!$K$4="*",N429=Calendar!$K$4)),P429*100+COUNTIFS($P$6:$P$3267,P429,$Q$6:$Q$3267,"&lt;="&amp;Q429,$N$6:$N$3267,Calendar!$K$4),"")</f>
        <v/>
      </c>
      <c r="W429" s="47">
        <f>IF(AND(B429=Queue!$C$4,OR(Queue!$K$4="*",N429=Queue!$K$4)),Q429,"")</f>
        <v/>
      </c>
    </row>
    <row r="430">
      <c r="A430" s="38">
        <f>IF(M430="","",HYPERLINK("https://www.youtube.com/watch?v="&amp;M430,"▶"))</f>
        <v/>
      </c>
      <c r="B430" s="39">
        <f>IF(C430&lt;&gt;"",C430,IF(P430&lt;=IFERROR(INDEX(tblChannels[Watched Through],MATCH(N430,tblChannels[Channel ID],0)),0),"Watched","Unwatched"))</f>
        <v/>
      </c>
      <c r="C430" s="40" t="n"/>
      <c r="D430" s="41" t="n"/>
      <c r="E430" s="42" t="n">
        <v>45714.70277777778</v>
      </c>
      <c r="F430" s="50" t="inlineStr">
        <is>
          <t>Super Carlin Brothers</t>
        </is>
      </c>
      <c r="G430" t="inlineStr">
        <is>
          <t>J vs Ben: HARDEST Goblet of Fire Movie Harry Potter TRIVIA Battle</t>
        </is>
      </c>
      <c r="H430" s="44" t="n">
        <v>0.02991898148148148</v>
      </c>
      <c r="I430" s="45" t="n">
        <v>154723</v>
      </c>
      <c r="J430" s="45" t="n">
        <v>4771</v>
      </c>
      <c r="K430" s="45" t="n">
        <v>650</v>
      </c>
      <c r="L430" s="46" t="n"/>
      <c r="M430" s="47" t="n"/>
      <c r="N430" s="47" t="inlineStr">
        <is>
          <t>UCKZo4N0lVPccBkSiuyVh4yg</t>
        </is>
      </c>
      <c r="O430" s="48" t="n">
        <v>45714.91111111111</v>
      </c>
      <c r="P430" s="49" t="n">
        <v>45714</v>
      </c>
      <c r="Q430" s="47" t="n">
        <v>2838</v>
      </c>
      <c r="R430" s="47" t="inlineStr">
        <is>
          <t>No Video ID yet</t>
        </is>
      </c>
      <c r="S430" s="49" t="n"/>
      <c r="T430" s="49" t="n"/>
      <c r="U430" s="47" t="inlineStr">
        <is>
          <t>Go to to get up to 10 free meals and a free high protein item for life. Today J and Ben face off once more to find out who knows more about the Harry Potter movies as they duke it out over Goblet of Fire!</t>
        </is>
      </c>
      <c r="V430" s="47">
        <f>IF(AND(P430&gt;=Calendar!$K$2,P430&lt;EDATE(Calendar!$K$2,1),OR(Calendar!$K$4="*",N430=Calendar!$K$4)),P430*100+COUNTIFS($P$6:$P$3267,P430,$Q$6:$Q$3267,"&lt;="&amp;Q430,$N$6:$N$3267,Calendar!$K$4),"")</f>
        <v/>
      </c>
      <c r="W430" s="47">
        <f>IF(AND(B430=Queue!$C$4,OR(Queue!$K$4="*",N430=Queue!$K$4)),Q430,"")</f>
        <v/>
      </c>
    </row>
    <row r="431">
      <c r="A431" s="38">
        <f>IF(M431="","",HYPERLINK("https://www.youtube.com/watch?v="&amp;M431,"▶"))</f>
        <v/>
      </c>
      <c r="B431" s="39">
        <f>IF(C431&lt;&gt;"",C431,IF(P431&lt;=IFERROR(INDEX(tblChannels[Watched Through],MATCH(N431,tblChannels[Channel ID],0)),0),"Watched","Unwatched"))</f>
        <v/>
      </c>
      <c r="C431" s="40" t="n"/>
      <c r="D431" s="41" t="n"/>
      <c r="E431" s="42" t="n">
        <v>45711.41736111111</v>
      </c>
      <c r="F431" s="51" t="inlineStr">
        <is>
          <t>Through The Griffin Door</t>
        </is>
      </c>
      <c r="G431" t="inlineStr">
        <is>
          <t>Chapter 14: The Unforgivable Curses | Goblet of Fire</t>
        </is>
      </c>
      <c r="H431" s="44" t="n">
        <v>0.06688657407407407</v>
      </c>
      <c r="I431" s="45" t="n">
        <v>61558</v>
      </c>
      <c r="J431" s="45" t="n">
        <v>1734</v>
      </c>
      <c r="K431" s="45" t="n">
        <v>468</v>
      </c>
      <c r="L431" s="46" t="n"/>
      <c r="M431" s="47" t="n"/>
      <c r="N431" s="47" t="inlineStr">
        <is>
          <t>UCEscP6ETYXWSSvsNrDHekMQ</t>
        </is>
      </c>
      <c r="O431" s="48" t="n">
        <v>45711.62569444445</v>
      </c>
      <c r="P431" s="49" t="n">
        <v>45711</v>
      </c>
      <c r="Q431" s="47" t="n">
        <v>2837</v>
      </c>
      <c r="R431" s="47" t="inlineStr">
        <is>
          <t>No Video ID yet</t>
        </is>
      </c>
      <c r="S431" s="49" t="n"/>
      <c r="T431" s="49" t="n"/>
      <c r="U431" s="47" t="inlineStr">
        <is>
          <t>Join J and Ben as they dive into Chapter 14 of the Goblet of Fire and discuss Neville’s detention of disemboweling toads, Moody’s class, the duality of everything Moody/Crouch says, each of the curses, Moody and Neville’s interaction after class, Divination homework predictions, S.P.E.W. and Sirius’s letter. 07:34 - Chapter Breakdown 1:20:51 - Closing Thoughts and Review</t>
        </is>
      </c>
      <c r="V431" s="47">
        <f>IF(AND(P431&gt;=Calendar!$K$2,P431&lt;EDATE(Calendar!$K$2,1),OR(Calendar!$K$4="*",N431=Calendar!$K$4)),P431*100+COUNTIFS($P$6:$P$3267,P431,$Q$6:$Q$3267,"&lt;="&amp;Q431,$N$6:$N$3267,Calendar!$K$4),"")</f>
        <v/>
      </c>
      <c r="W431" s="47">
        <f>IF(AND(B431=Queue!$C$4,OR(Queue!$K$4="*",N431=Queue!$K$4)),Q431,"")</f>
        <v/>
      </c>
    </row>
    <row r="432">
      <c r="A432" s="38">
        <f>IF(M432="","",HYPERLINK("https://www.youtube.com/watch?v="&amp;M432,"▶"))</f>
        <v/>
      </c>
      <c r="B432" s="39">
        <f>IF(C432&lt;&gt;"",C432,IF(P432&lt;=IFERROR(INDEX(tblChannels[Watched Through],MATCH(N432,tblChannels[Channel ID],0)),0),"Watched","Unwatched"))</f>
        <v/>
      </c>
      <c r="C432" s="40" t="n"/>
      <c r="D432" s="41" t="n"/>
      <c r="E432" s="42" t="n">
        <v>45709.625</v>
      </c>
      <c r="F432" s="50" t="inlineStr">
        <is>
          <t>Super Carlin Brothers</t>
        </is>
      </c>
      <c r="G432" t="inlineStr">
        <is>
          <t>Who REALLY Brought Aragog to Hagrid? | Harry Potter Film Theory</t>
        </is>
      </c>
      <c r="H432" s="44" t="n">
        <v>0.01359953703703704</v>
      </c>
      <c r="I432" s="45" t="n">
        <v>121792</v>
      </c>
      <c r="J432" s="45" t="n">
        <v>5199</v>
      </c>
      <c r="K432" s="45" t="n">
        <v>530</v>
      </c>
      <c r="L432" s="46" t="n"/>
      <c r="M432" s="47" t="n"/>
      <c r="N432" s="47" t="inlineStr">
        <is>
          <t>UCKZo4N0lVPccBkSiuyVh4yg</t>
        </is>
      </c>
      <c r="O432" s="48" t="n">
        <v>45709.83333333334</v>
      </c>
      <c r="P432" s="49" t="n">
        <v>45709</v>
      </c>
      <c r="Q432" s="47" t="n">
        <v>2836</v>
      </c>
      <c r="R432" s="47" t="inlineStr">
        <is>
          <t>No Video ID yet</t>
        </is>
      </c>
      <c r="S432" s="49" t="n"/>
      <c r="T432" s="49" t="n"/>
      <c r="U432" s="47" t="inlineStr">
        <is>
          <t>This episode is sponsored by MeUndies -- Go to and use code SUPER to get 20% off your first order, plus free shipping on orders of $75 or more. Today Ben dives into the Wizarding World of Harry Potter to find out Where Hagrid got Aragog the Giant Spider aka Acromantula! Was it from the wonderful Newt Scamander.. or perhaps a more nefarious source?</t>
        </is>
      </c>
      <c r="V432" s="47">
        <f>IF(AND(P432&gt;=Calendar!$K$2,P432&lt;EDATE(Calendar!$K$2,1),OR(Calendar!$K$4="*",N432=Calendar!$K$4)),P432*100+COUNTIFS($P$6:$P$3267,P432,$Q$6:$Q$3267,"&lt;="&amp;Q432,$N$6:$N$3267,Calendar!$K$4),"")</f>
        <v/>
      </c>
      <c r="W432" s="47">
        <f>IF(AND(B432=Queue!$C$4,OR(Queue!$K$4="*",N432=Queue!$K$4)),Q432,"")</f>
        <v/>
      </c>
    </row>
    <row r="433">
      <c r="A433" s="38">
        <f>IF(M433="","",HYPERLINK("https://www.youtube.com/watch?v="&amp;M433,"▶"))</f>
        <v/>
      </c>
      <c r="B433" s="39">
        <f>IF(C433&lt;&gt;"",C433,IF(P433&lt;=IFERROR(INDEX(tblChannels[Watched Through],MATCH(N433,tblChannels[Channel ID],0)),0),"Watched","Unwatched"))</f>
        <v/>
      </c>
      <c r="C433" s="40" t="n"/>
      <c r="D433" s="41" t="n"/>
      <c r="E433" s="42" t="n">
        <v>45709.41666666666</v>
      </c>
      <c r="F433" s="43" t="inlineStr">
        <is>
          <t>Popcorn Culture</t>
        </is>
      </c>
      <c r="G433" t="inlineStr">
        <is>
          <t>Re-Popped Popcorn | Popcorn Culture</t>
        </is>
      </c>
      <c r="H433" s="44" t="n">
        <v>0.04461805555555556</v>
      </c>
      <c r="I433" s="45" t="n">
        <v>3463</v>
      </c>
      <c r="J433" s="45" t="n">
        <v>164</v>
      </c>
      <c r="K433" s="45" t="n">
        <v>21</v>
      </c>
      <c r="L433" s="46" t="n"/>
      <c r="M433" s="47" t="n"/>
      <c r="N433" s="47" t="inlineStr">
        <is>
          <t>UCHfIbq9thHPC8yrKjAdJgDA</t>
        </is>
      </c>
      <c r="O433" s="48" t="n">
        <v>45709.625</v>
      </c>
      <c r="P433" s="49" t="n">
        <v>45709</v>
      </c>
      <c r="Q433" s="47" t="n">
        <v>2835</v>
      </c>
      <c r="R433" s="47" t="inlineStr">
        <is>
          <t>No Video ID yet</t>
        </is>
      </c>
      <c r="S433" s="49" t="n"/>
      <c r="T433" s="49" t="n"/>
      <c r="U433" s="47" t="inlineStr">
        <is>
          <t>In the 272nd Pop, we wanted to give everyone another little preview of what it’s like over on ye ol’ patreon with a few of the After the Final Pop episodes. If these pique your interest and you are not yet a member of our Patreon community you can sign up right here: Ben and J discuss oatmeal raisin cookies, Ben’s introspection, smoothie life, Pez candy, eggnog, and more details about their eventual, maybe, hopefully upcoming film 27 Buttes. 00:00 - Intro - ATFPs!! 05:07 - ATFP Part 1 (ep. 220): Oatmeal Cookies and Introspection 22:33 - ATFP Part 2 (ep. 229): Pez Dispensers 42:18 - ATFP Part 3 (ep. 263): Probably One of the Funnies ATFPs Ever</t>
        </is>
      </c>
      <c r="V433" s="47">
        <f>IF(AND(P433&gt;=Calendar!$K$2,P433&lt;EDATE(Calendar!$K$2,1),OR(Calendar!$K$4="*",N433=Calendar!$K$4)),P433*100+COUNTIFS($P$6:$P$3267,P433,$Q$6:$Q$3267,"&lt;="&amp;Q433,$N$6:$N$3267,Calendar!$K$4),"")</f>
        <v/>
      </c>
      <c r="W433" s="47">
        <f>IF(AND(B433=Queue!$C$4,OR(Queue!$K$4="*",N433=Queue!$K$4)),Q433,"")</f>
        <v/>
      </c>
    </row>
    <row r="434">
      <c r="A434" s="38">
        <f>IF(M434="","",HYPERLINK("https://www.youtube.com/watch?v="&amp;M434,"▶"))</f>
        <v/>
      </c>
      <c r="B434" s="39">
        <f>IF(C434&lt;&gt;"",C434,IF(P434&lt;=IFERROR(INDEX(tblChannels[Watched Through],MATCH(N434,tblChannels[Channel ID],0)),0),"Watched","Unwatched"))</f>
        <v/>
      </c>
      <c r="C434" s="40" t="n"/>
      <c r="D434" s="41" t="n"/>
      <c r="E434" s="42" t="n">
        <v>45707.625</v>
      </c>
      <c r="F434" s="50" t="inlineStr">
        <is>
          <t>Super Carlin Brothers</t>
        </is>
      </c>
      <c r="G434" t="inlineStr">
        <is>
          <t>Why Moody Can See Through Harry’s Cloak | Harry Potter Film Theory</t>
        </is>
      </c>
      <c r="H434" s="44" t="n">
        <v>0.01337962962962963</v>
      </c>
      <c r="I434" s="45" t="n">
        <v>153543</v>
      </c>
      <c r="J434" s="45" t="n">
        <v>6502</v>
      </c>
      <c r="K434" s="45" t="n">
        <v>907</v>
      </c>
      <c r="L434" s="46" t="n"/>
      <c r="M434" s="47" t="n"/>
      <c r="N434" s="47" t="inlineStr">
        <is>
          <t>UCKZo4N0lVPccBkSiuyVh4yg</t>
        </is>
      </c>
      <c r="O434" s="48" t="n">
        <v>45707.83333333334</v>
      </c>
      <c r="P434" s="49" t="n">
        <v>45707</v>
      </c>
      <c r="Q434" s="47" t="n">
        <v>2834</v>
      </c>
      <c r="R434" s="47" t="inlineStr">
        <is>
          <t>No Video ID yet</t>
        </is>
      </c>
      <c r="S434" s="49" t="n"/>
      <c r="T434" s="49" t="n"/>
      <c r="U434" s="47" t="inlineStr">
        <is>
          <t>This episode is sponsored by BetterHelp — go to to get 10% off your first month. Today J dives into the Wizarding World of Harry Potter to find out why Mad-Eye’s Moody’s Eye can see through the Invisibility Cloak one of Death’s own hallows! Is it a 4th Hallow? Was it created by one? Is it one of Death’s own EYES?</t>
        </is>
      </c>
      <c r="V434" s="47">
        <f>IF(AND(P434&gt;=Calendar!$K$2,P434&lt;EDATE(Calendar!$K$2,1),OR(Calendar!$K$4="*",N434=Calendar!$K$4)),P434*100+COUNTIFS($P$6:$P$3267,P434,$Q$6:$Q$3267,"&lt;="&amp;Q434,$N$6:$N$3267,Calendar!$K$4),"")</f>
        <v/>
      </c>
      <c r="W434" s="47">
        <f>IF(AND(B434=Queue!$C$4,OR(Queue!$K$4="*",N434=Queue!$K$4)),Q434,"")</f>
        <v/>
      </c>
    </row>
    <row r="435">
      <c r="A435" s="38">
        <f>IF(M435="","",HYPERLINK("https://www.youtube.com/watch?v="&amp;M435,"▶"))</f>
        <v/>
      </c>
      <c r="B435" s="39">
        <f>IF(C435&lt;&gt;"",C435,IF(P435&lt;=IFERROR(INDEX(tblChannels[Watched Through],MATCH(N435,tblChannels[Channel ID],0)),0),"Watched","Unwatched"))</f>
        <v/>
      </c>
      <c r="C435" s="40" t="n"/>
      <c r="D435" s="41" t="n"/>
      <c r="E435" s="42" t="n">
        <v>45704.41666666666</v>
      </c>
      <c r="F435" s="51" t="inlineStr">
        <is>
          <t>Through The Griffin Door</t>
        </is>
      </c>
      <c r="G435" t="inlineStr">
        <is>
          <t>Chapter 13: Mad-Eye Moody | Goblet of Fire</t>
        </is>
      </c>
      <c r="H435" s="44" t="n">
        <v>0.05840277777777778</v>
      </c>
      <c r="I435" s="45" t="n">
        <v>57186</v>
      </c>
      <c r="J435" s="45" t="n">
        <v>1658</v>
      </c>
      <c r="K435" s="45" t="n">
        <v>370</v>
      </c>
      <c r="L435" s="46" t="n"/>
      <c r="M435" s="47" t="n"/>
      <c r="N435" s="47" t="inlineStr">
        <is>
          <t>UCEscP6ETYXWSSvsNrDHekMQ</t>
        </is>
      </c>
      <c r="O435" s="48" t="n">
        <v>45704.625</v>
      </c>
      <c r="P435" s="49" t="n">
        <v>45704</v>
      </c>
      <c r="Q435" s="47" t="n">
        <v>2833</v>
      </c>
      <c r="R435" s="47" t="inlineStr">
        <is>
          <t>No Video ID yet</t>
        </is>
      </c>
      <c r="S435" s="49" t="n"/>
      <c r="T435" s="49" t="n"/>
      <c r="U435" s="47" t="inlineStr">
        <is>
          <t>This episode is sponsored by Shopify -- Sign up for your one-dollar-per-month trial period at shopify.com/griffin Join J and Ben as they dive into Chapter 13 of the Goblet of Fire and discuss the year four schedule, bubotuber pus, blast ended skrewts, Divination class, Malfoy being a jerk then getting turned into a ferret, and the twins’ reaction to Moody. 05:09 - Chapter Breakdown 34:35 - Ad 36:05 - More Chapter Breakdown 1:10:25 - Closing Thoughts and Review</t>
        </is>
      </c>
      <c r="V435" s="47">
        <f>IF(AND(P435&gt;=Calendar!$K$2,P435&lt;EDATE(Calendar!$K$2,1),OR(Calendar!$K$4="*",N435=Calendar!$K$4)),P435*100+COUNTIFS($P$6:$P$3267,P435,$Q$6:$Q$3267,"&lt;="&amp;Q435,$N$6:$N$3267,Calendar!$K$4),"")</f>
        <v/>
      </c>
      <c r="W435" s="47">
        <f>IF(AND(B435=Queue!$C$4,OR(Queue!$K$4="*",N435=Queue!$K$4)),Q435,"")</f>
        <v/>
      </c>
    </row>
    <row r="436">
      <c r="A436" s="38">
        <f>IF(M436="","",HYPERLINK("https://www.youtube.com/watch?v="&amp;M436,"▶"))</f>
        <v/>
      </c>
      <c r="B436" s="39">
        <f>IF(C436&lt;&gt;"",C436,IF(P436&lt;=IFERROR(INDEX(tblChannels[Watched Through],MATCH(N436,tblChannels[Channel ID],0)),0),"Watched","Unwatched"))</f>
        <v/>
      </c>
      <c r="C436" s="40" t="n"/>
      <c r="D436" s="41" t="n"/>
      <c r="E436" s="42" t="n">
        <v>45703.41666666666</v>
      </c>
      <c r="F436" s="50" t="inlineStr">
        <is>
          <t>Super Carlin Brothers</t>
        </is>
      </c>
      <c r="G436" t="inlineStr">
        <is>
          <t>Through the Griffin Door Supercut: Goblet of Fire Chapters 10-12</t>
        </is>
      </c>
      <c r="H436" s="44" t="n">
        <v>0.195474537037037</v>
      </c>
      <c r="I436" s="45" t="n">
        <v>20016</v>
      </c>
      <c r="J436" s="45" t="n">
        <v>361</v>
      </c>
      <c r="K436" s="45" t="n">
        <v>96</v>
      </c>
      <c r="L436" s="46" t="n"/>
      <c r="M436" s="47" t="n"/>
      <c r="N436" s="47" t="inlineStr">
        <is>
          <t>UCKZo4N0lVPccBkSiuyVh4yg</t>
        </is>
      </c>
      <c r="O436" s="48" t="n">
        <v>45703.625</v>
      </c>
      <c r="P436" s="49" t="n">
        <v>45703</v>
      </c>
      <c r="Q436" s="47" t="n">
        <v>2832</v>
      </c>
      <c r="R436" s="47" t="inlineStr">
        <is>
          <t>No Video ID yet</t>
        </is>
      </c>
      <c r="S436" s="49" t="n"/>
      <c r="T436" s="49" t="n"/>
      <c r="U436" s="47" t="inlineStr">
        <is>
          <t>0:00:00 - Chapter 10: Mayhem at the Ministry 1:20:25 - Chapter 11: Aboard the Hogwarts Express 2:48:08 - Chapter 12: Mad-Eye Moody</t>
        </is>
      </c>
      <c r="V436" s="47">
        <f>IF(AND(P436&gt;=Calendar!$K$2,P436&lt;EDATE(Calendar!$K$2,1),OR(Calendar!$K$4="*",N436=Calendar!$K$4)),P436*100+COUNTIFS($P$6:$P$3267,P436,$Q$6:$Q$3267,"&lt;="&amp;Q436,$N$6:$N$3267,Calendar!$K$4),"")</f>
        <v/>
      </c>
      <c r="W436" s="47">
        <f>IF(AND(B436=Queue!$C$4,OR(Queue!$K$4="*",N436=Queue!$K$4)),Q436,"")</f>
        <v/>
      </c>
    </row>
    <row r="437">
      <c r="A437" s="38">
        <f>IF(M437="","",HYPERLINK("https://www.youtube.com/watch?v="&amp;M437,"▶"))</f>
        <v/>
      </c>
      <c r="B437" s="39">
        <f>IF(C437&lt;&gt;"",C437,IF(P437&lt;=IFERROR(INDEX(tblChannels[Watched Through],MATCH(N437,tblChannels[Channel ID],0)),0),"Watched","Unwatched"))</f>
        <v/>
      </c>
      <c r="C437" s="40" t="n"/>
      <c r="D437" s="41" t="n"/>
      <c r="E437" s="42" t="n">
        <v>45702.625</v>
      </c>
      <c r="F437" s="50" t="inlineStr">
        <is>
          <t>Super Carlin Brothers</t>
        </is>
      </c>
      <c r="G437" t="inlineStr">
        <is>
          <t>Dumbledore's Horcrux - REACTING To Our Old Theories!</t>
        </is>
      </c>
      <c r="H437" s="44" t="n">
        <v>0.02850694444444445</v>
      </c>
      <c r="I437" s="45" t="n">
        <v>193741</v>
      </c>
      <c r="J437" s="45" t="n">
        <v>7785</v>
      </c>
      <c r="K437" s="45" t="n">
        <v>1268</v>
      </c>
      <c r="L437" s="46" t="n"/>
      <c r="M437" s="47" t="n"/>
      <c r="N437" s="47" t="inlineStr">
        <is>
          <t>UCKZo4N0lVPccBkSiuyVh4yg</t>
        </is>
      </c>
      <c r="O437" s="48" t="n">
        <v>45702.83333333334</v>
      </c>
      <c r="P437" s="49" t="n">
        <v>45702</v>
      </c>
      <c r="Q437" s="47" t="n">
        <v>2831</v>
      </c>
      <c r="R437" s="47" t="inlineStr">
        <is>
          <t>No Video ID yet</t>
        </is>
      </c>
      <c r="S437" s="49" t="n"/>
      <c r="T437" s="49" t="n"/>
      <c r="U437" s="47" t="inlineStr">
        <is>
          <t>This episode is sponsored by BetterHelp — go to to get 10% off your first month. This episode is sponsored by Shopify — Go to to sign up for your $1-per-month trial period. Today J and Ben look back at one of their most infamous Theories: Dubledores Horcrux. How does "The One Theory JK Rowling Hates" hold up after all this time?</t>
        </is>
      </c>
      <c r="V437" s="47">
        <f>IF(AND(P437&gt;=Calendar!$K$2,P437&lt;EDATE(Calendar!$K$2,1),OR(Calendar!$K$4="*",N437=Calendar!$K$4)),P437*100+COUNTIFS($P$6:$P$3267,P437,$Q$6:$Q$3267,"&lt;="&amp;Q437,$N$6:$N$3267,Calendar!$K$4),"")</f>
        <v/>
      </c>
      <c r="W437" s="47">
        <f>IF(AND(B437=Queue!$C$4,OR(Queue!$K$4="*",N437=Queue!$K$4)),Q437,"")</f>
        <v/>
      </c>
    </row>
    <row r="438">
      <c r="A438" s="38">
        <f>IF(M438="","",HYPERLINK("https://www.youtube.com/watch?v="&amp;M438,"▶"))</f>
        <v/>
      </c>
      <c r="B438" s="39">
        <f>IF(C438&lt;&gt;"",C438,IF(P438&lt;=IFERROR(INDEX(tblChannels[Watched Through],MATCH(N438,tblChannels[Channel ID],0)),0),"Watched","Unwatched"))</f>
        <v/>
      </c>
      <c r="C438" s="40" t="n"/>
      <c r="D438" s="41" t="n"/>
      <c r="E438" s="42" t="n">
        <v>45702.41666666666</v>
      </c>
      <c r="F438" s="43" t="inlineStr">
        <is>
          <t>Popcorn Culture</t>
        </is>
      </c>
      <c r="G438" t="inlineStr">
        <is>
          <t>The Freaky Friday Q+A |  Popcorn Culture</t>
        </is>
      </c>
      <c r="H438" s="44" t="n">
        <v>0.0466550925925926</v>
      </c>
      <c r="I438" s="45" t="n">
        <v>3772</v>
      </c>
      <c r="J438" s="45" t="n">
        <v>187</v>
      </c>
      <c r="K438" s="45" t="n">
        <v>20</v>
      </c>
      <c r="L438" s="46" t="n"/>
      <c r="M438" s="47" t="n"/>
      <c r="N438" s="47" t="inlineStr">
        <is>
          <t>UCHfIbq9thHPC8yrKjAdJgDA</t>
        </is>
      </c>
      <c r="O438" s="48" t="n">
        <v>45702.625</v>
      </c>
      <c r="P438" s="49" t="n">
        <v>45702</v>
      </c>
      <c r="Q438" s="47" t="n">
        <v>2830</v>
      </c>
      <c r="R438" s="47" t="inlineStr">
        <is>
          <t>No Video ID yet</t>
        </is>
      </c>
      <c r="S438" s="49" t="n"/>
      <c r="T438" s="49" t="n"/>
      <c r="U438" s="47" t="inlineStr">
        <is>
          <t>In the 271st episode of the Pop, Ben and J answer YOUR questions and discuss therapy, Disney Punk, OG YouTubers, rewards at jobs, Freaky Friday-ing, doing content outdoors, and the Worst Uber Ever. A Whole New Sound - The Nostalgic Critic - Philip DeFranco - Community Channel - Vlogbrothers - Ze Frank - Weezy Waiter - Devinsupertramp - Freaky Friday - We Are Legion, We Are Bob - The Outdoor Boys - I Say More Swears Antipodes 00:00 - Intro, True Personalities 12:30 - A Whole New Sound 17:17 - OG YouTubers 26:32 - Old Jobs 33:39 - Freaky Friday 45:12 - Outdoor Content 56:32 - Worst Uber Ever</t>
        </is>
      </c>
      <c r="V438" s="47">
        <f>IF(AND(P438&gt;=Calendar!$K$2,P438&lt;EDATE(Calendar!$K$2,1),OR(Calendar!$K$4="*",N438=Calendar!$K$4)),P438*100+COUNTIFS($P$6:$P$3267,P438,$Q$6:$Q$3267,"&lt;="&amp;Q438,$N$6:$N$3267,Calendar!$K$4),"")</f>
        <v/>
      </c>
      <c r="W438" s="47">
        <f>IF(AND(B438=Queue!$C$4,OR(Queue!$K$4="*",N438=Queue!$K$4)),Q438,"")</f>
        <v/>
      </c>
    </row>
    <row r="439">
      <c r="A439" s="38">
        <f>IF(M439="","",HYPERLINK("https://www.youtube.com/watch?v="&amp;M439,"▶"))</f>
        <v/>
      </c>
      <c r="B439" s="39">
        <f>IF(C439&lt;&gt;"",C439,IF(P439&lt;=IFERROR(INDEX(tblChannels[Watched Through],MATCH(N439,tblChannels[Channel ID],0)),0),"Watched","Unwatched"))</f>
        <v/>
      </c>
      <c r="C439" s="40" t="n"/>
      <c r="D439" s="41" t="n"/>
      <c r="E439" s="42" t="n">
        <v>45700.625</v>
      </c>
      <c r="F439" s="50" t="inlineStr">
        <is>
          <t>Super Carlin Brothers</t>
        </is>
      </c>
      <c r="G439" t="inlineStr">
        <is>
          <t>J vs Ben: HARDEST Prisoner of Azkaban Movie Harry Potter TRIVIA Battle</t>
        </is>
      </c>
      <c r="H439" s="44" t="n">
        <v>0.03003472222222222</v>
      </c>
      <c r="I439" s="45" t="n">
        <v>159522</v>
      </c>
      <c r="J439" s="45" t="n">
        <v>4865</v>
      </c>
      <c r="K439" s="45" t="n">
        <v>768</v>
      </c>
      <c r="L439" s="46" t="n"/>
      <c r="M439" s="47" t="n"/>
      <c r="N439" s="47" t="inlineStr">
        <is>
          <t>UCKZo4N0lVPccBkSiuyVh4yg</t>
        </is>
      </c>
      <c r="O439" s="48" t="n">
        <v>45700.83333333334</v>
      </c>
      <c r="P439" s="49" t="n">
        <v>45700</v>
      </c>
      <c r="Q439" s="47" t="n">
        <v>2829</v>
      </c>
      <c r="R439" s="47" t="inlineStr">
        <is>
          <t>No Video ID yet</t>
        </is>
      </c>
      <c r="S439" s="49" t="n"/>
      <c r="T439" s="49" t="n"/>
      <c r="U439" s="47" t="inlineStr">
        <is>
          <t>This episode is sponsored by MeUndies – Go to and use code BROTHER to get 20% off your first order, plus free shipping on orders of $75 or more. This episode is sponsored by Factor – Go to and use code jvsb50off to get 50% off your first box plus free shipping. Today J and Ben face off once more to find out who knows more about the Harry Potter movies as they duke it out over Prisoner of Azkaban</t>
        </is>
      </c>
      <c r="V439" s="47">
        <f>IF(AND(P439&gt;=Calendar!$K$2,P439&lt;EDATE(Calendar!$K$2,1),OR(Calendar!$K$4="*",N439=Calendar!$K$4)),P439*100+COUNTIFS($P$6:$P$3267,P439,$Q$6:$Q$3267,"&lt;="&amp;Q439,$N$6:$N$3267,Calendar!$K$4),"")</f>
        <v/>
      </c>
      <c r="W439" s="47">
        <f>IF(AND(B439=Queue!$C$4,OR(Queue!$K$4="*",N439=Queue!$K$4)),Q439,"")</f>
        <v/>
      </c>
    </row>
    <row r="440">
      <c r="A440" s="38">
        <f>IF(M440="","",HYPERLINK("https://www.youtube.com/watch?v="&amp;M440,"▶"))</f>
        <v/>
      </c>
      <c r="B440" s="39">
        <f>IF(C440&lt;&gt;"",C440,IF(P440&lt;=IFERROR(INDEX(tblChannels[Watched Through],MATCH(N440,tblChannels[Channel ID],0)),0),"Watched","Unwatched"))</f>
        <v/>
      </c>
      <c r="C440" s="40" t="n"/>
      <c r="D440" s="41" t="n"/>
      <c r="E440" s="42" t="n">
        <v>45697.41666666666</v>
      </c>
      <c r="F440" s="51" t="inlineStr">
        <is>
          <t>Through The Griffin Door</t>
        </is>
      </c>
      <c r="G440" t="inlineStr">
        <is>
          <t>Chapter 12: The Triwizard Tournament | Goblet of Fire</t>
        </is>
      </c>
      <c r="H440" s="44" t="n">
        <v>0.07981481481481481</v>
      </c>
      <c r="I440" s="45" t="n">
        <v>72713</v>
      </c>
      <c r="J440" s="45" t="n">
        <v>1838</v>
      </c>
      <c r="K440" s="45" t="n">
        <v>718</v>
      </c>
      <c r="L440" s="46" t="n"/>
      <c r="M440" s="47" t="n"/>
      <c r="N440" s="47" t="inlineStr">
        <is>
          <t>UCEscP6ETYXWSSvsNrDHekMQ</t>
        </is>
      </c>
      <c r="O440" s="48" t="n">
        <v>45697.625</v>
      </c>
      <c r="P440" s="49" t="n">
        <v>45697</v>
      </c>
      <c r="Q440" s="47" t="n">
        <v>2828</v>
      </c>
      <c r="R440" s="47" t="inlineStr">
        <is>
          <t>No Video ID yet</t>
        </is>
      </c>
      <c r="S440" s="49" t="n"/>
      <c r="T440" s="49" t="n"/>
      <c r="U440" s="47" t="inlineStr">
        <is>
          <t>This episode is sponsored by Pair Eyewear -- Go to paireyewear.com and use code GRIFFIN for 15% off your first pair. Join J and Ben as they dive into Chapter 12 of the Goblet of Fire and discuss, thestrals, Voldemort’s Pokemon team, Peeves, the sorting, the Creevy brothers, where the founders are buried, the Bloody Baron, Moody’s entrance, the tournament details and the age line. Potter Puppet Pals: Triwizard Tournament Pottermore Article: 02:40 - Chapter Breakdown 1:00:02 - Ad 1:01:37 - More Chapter Breakdown 1:41:21 - Closing Thoughts and Review</t>
        </is>
      </c>
      <c r="V440" s="47">
        <f>IF(AND(P440&gt;=Calendar!$K$2,P440&lt;EDATE(Calendar!$K$2,1),OR(Calendar!$K$4="*",N440=Calendar!$K$4)),P440*100+COUNTIFS($P$6:$P$3267,P440,$Q$6:$Q$3267,"&lt;="&amp;Q440,$N$6:$N$3267,Calendar!$K$4),"")</f>
        <v/>
      </c>
      <c r="W440" s="47">
        <f>IF(AND(B440=Queue!$C$4,OR(Queue!$K$4="*",N440=Queue!$K$4)),Q440,"")</f>
        <v/>
      </c>
    </row>
    <row r="441">
      <c r="A441" s="38">
        <f>IF(M441="","",HYPERLINK("https://www.youtube.com/watch?v="&amp;M441,"▶"))</f>
        <v/>
      </c>
      <c r="B441" s="39">
        <f>IF(C441&lt;&gt;"",C441,IF(P441&lt;=IFERROR(INDEX(tblChannels[Watched Through],MATCH(N441,tblChannels[Channel ID],0)),0),"Watched","Unwatched"))</f>
        <v/>
      </c>
      <c r="C441" s="40" t="n"/>
      <c r="D441" s="41" t="n"/>
      <c r="E441" s="42" t="n">
        <v>45695.7</v>
      </c>
      <c r="F441" s="50" t="inlineStr">
        <is>
          <t>Super Carlin Brothers</t>
        </is>
      </c>
      <c r="G441" t="inlineStr">
        <is>
          <t>Why Petunia Didn’t REVEAL The Wizarding World | Harry Potter Film Theory</t>
        </is>
      </c>
      <c r="H441" s="44" t="n">
        <v>0.01356481481481481</v>
      </c>
      <c r="I441" s="45" t="n">
        <v>210589</v>
      </c>
      <c r="J441" s="45" t="n">
        <v>7875</v>
      </c>
      <c r="K441" s="45" t="n">
        <v>834</v>
      </c>
      <c r="L441" s="46" t="n"/>
      <c r="M441" s="47" t="n"/>
      <c r="N441" s="47" t="inlineStr">
        <is>
          <t>UCKZo4N0lVPccBkSiuyVh4yg</t>
        </is>
      </c>
      <c r="O441" s="48" t="n">
        <v>45695.90833333333</v>
      </c>
      <c r="P441" s="49" t="n">
        <v>45695</v>
      </c>
      <c r="Q441" s="47" t="n">
        <v>2827</v>
      </c>
      <c r="R441" s="47" t="inlineStr">
        <is>
          <t>No Video ID yet</t>
        </is>
      </c>
      <c r="S441" s="49" t="n"/>
      <c r="T441" s="49" t="n"/>
      <c r="U441" s="47" t="inlineStr">
        <is>
          <t>This episode is sponsored by Raycon – Go to to get 15% off sitewide. Today Ben dives into the Wizarding World of Harry Potter to reveal why Petunia, or any muggle for that matter, NEVER goes about revealing the Wizarding World and all of the odd rules that surround this issue. Like if its legal to marry muggles.. But illegal to reveal the Wizarding World… how does that work?</t>
        </is>
      </c>
      <c r="V441" s="47">
        <f>IF(AND(P441&gt;=Calendar!$K$2,P441&lt;EDATE(Calendar!$K$2,1),OR(Calendar!$K$4="*",N441=Calendar!$K$4)),P441*100+COUNTIFS($P$6:$P$3267,P441,$Q$6:$Q$3267,"&lt;="&amp;Q441,$N$6:$N$3267,Calendar!$K$4),"")</f>
        <v/>
      </c>
      <c r="W441" s="47">
        <f>IF(AND(B441=Queue!$C$4,OR(Queue!$K$4="*",N441=Queue!$K$4)),Q441,"")</f>
        <v/>
      </c>
    </row>
    <row r="442">
      <c r="A442" s="38">
        <f>IF(M442="","",HYPERLINK("https://www.youtube.com/watch?v="&amp;M442,"▶"))</f>
        <v/>
      </c>
      <c r="B442" s="39">
        <f>IF(C442&lt;&gt;"",C442,IF(P442&lt;=IFERROR(INDEX(tblChannels[Watched Through],MATCH(N442,tblChannels[Channel ID],0)),0),"Watched","Unwatched"))</f>
        <v/>
      </c>
      <c r="C442" s="40" t="n"/>
      <c r="D442" s="41" t="n"/>
      <c r="E442" s="42" t="n">
        <v>45695.41666666666</v>
      </c>
      <c r="F442" s="43" t="inlineStr">
        <is>
          <t>Popcorn Culture</t>
        </is>
      </c>
      <c r="G442" t="inlineStr">
        <is>
          <t>Pin Trading Goes Hard | Popcorn Culture</t>
        </is>
      </c>
      <c r="H442" s="44" t="n">
        <v>0.06259259259259259</v>
      </c>
      <c r="I442" s="45" t="n">
        <v>4293</v>
      </c>
      <c r="J442" s="45" t="n">
        <v>215</v>
      </c>
      <c r="K442" s="45" t="n">
        <v>37</v>
      </c>
      <c r="L442" s="46" t="n"/>
      <c r="M442" s="47" t="n"/>
      <c r="N442" s="47" t="inlineStr">
        <is>
          <t>UCHfIbq9thHPC8yrKjAdJgDA</t>
        </is>
      </c>
      <c r="O442" s="48" t="n">
        <v>45695.625</v>
      </c>
      <c r="P442" s="49" t="n">
        <v>45695</v>
      </c>
      <c r="Q442" s="47" t="n">
        <v>2826</v>
      </c>
      <c r="R442" s="47" t="inlineStr">
        <is>
          <t>No Video ID yet</t>
        </is>
      </c>
      <c r="S442" s="49" t="n"/>
      <c r="T442" s="49" t="n"/>
      <c r="U442" s="47" t="inlineStr">
        <is>
          <t>In the 270th episode of the Pop, Ben and J discuss J nearly missing the trip, the results of their Disney over/unders, pin hunting and trading, the Bippity Boppity Boutique and Big Lick Comic Con. 00:00 - Intro, A Near Miss 05:23 - Over/Under Results 1:10:53 - Extra Disney Stuff</t>
        </is>
      </c>
      <c r="V442" s="47">
        <f>IF(AND(P442&gt;=Calendar!$K$2,P442&lt;EDATE(Calendar!$K$2,1),OR(Calendar!$K$4="*",N442=Calendar!$K$4)),P442*100+COUNTIFS($P$6:$P$3267,P442,$Q$6:$Q$3267,"&lt;="&amp;Q442,$N$6:$N$3267,Calendar!$K$4),"")</f>
        <v/>
      </c>
      <c r="W442" s="47">
        <f>IF(AND(B442=Queue!$C$4,OR(Queue!$K$4="*",N442=Queue!$K$4)),Q442,"")</f>
        <v/>
      </c>
    </row>
    <row r="443">
      <c r="A443" s="38">
        <f>IF(M443="","",HYPERLINK("https://www.youtube.com/watch?v="&amp;M443,"▶"))</f>
        <v/>
      </c>
      <c r="B443" s="39">
        <f>IF(C443&lt;&gt;"",C443,IF(P443&lt;=IFERROR(INDEX(tblChannels[Watched Through],MATCH(N443,tblChannels[Channel ID],0)),0),"Watched","Unwatched"))</f>
        <v/>
      </c>
      <c r="C443" s="40" t="n"/>
      <c r="D443" s="41" t="n"/>
      <c r="E443" s="42" t="n">
        <v>45693.70625</v>
      </c>
      <c r="F443" s="50" t="inlineStr">
        <is>
          <t>Super Carlin Brothers</t>
        </is>
      </c>
      <c r="G443" t="inlineStr">
        <is>
          <t>How Spells Are CREATED In Harry Potter | Harry Potter Film Theory</t>
        </is>
      </c>
      <c r="H443" s="44" t="n">
        <v>0.01179398148148148</v>
      </c>
      <c r="I443" s="45" t="n">
        <v>486068</v>
      </c>
      <c r="J443" s="45" t="n">
        <v>15081</v>
      </c>
      <c r="K443" s="45" t="n">
        <v>1330</v>
      </c>
      <c r="L443" s="46" t="n"/>
      <c r="M443" s="47" t="n"/>
      <c r="N443" s="47" t="inlineStr">
        <is>
          <t>UCKZo4N0lVPccBkSiuyVh4yg</t>
        </is>
      </c>
      <c r="O443" s="48" t="n">
        <v>45693.91458333333</v>
      </c>
      <c r="P443" s="49" t="n">
        <v>45693</v>
      </c>
      <c r="Q443" s="47" t="n">
        <v>2825</v>
      </c>
      <c r="R443" s="47" t="inlineStr">
        <is>
          <t>No Video ID yet</t>
        </is>
      </c>
      <c r="S443" s="49" t="n"/>
      <c r="T443" s="49" t="n"/>
      <c r="U443" s="47" t="inlineStr">
        <is>
          <t>Today J dives into the Wizarding World of Harry Potter to explain how Spells are created. Are they just waiting to be discovered? Or are Wizards able to craft them with their own intent? Do Magic words matter at all?</t>
        </is>
      </c>
      <c r="V443" s="47">
        <f>IF(AND(P443&gt;=Calendar!$K$2,P443&lt;EDATE(Calendar!$K$2,1),OR(Calendar!$K$4="*",N443=Calendar!$K$4)),P443*100+COUNTIFS($P$6:$P$3267,P443,$Q$6:$Q$3267,"&lt;="&amp;Q443,$N$6:$N$3267,Calendar!$K$4),"")</f>
        <v/>
      </c>
      <c r="W443" s="47">
        <f>IF(AND(B443=Queue!$C$4,OR(Queue!$K$4="*",N443=Queue!$K$4)),Q443,"")</f>
        <v/>
      </c>
    </row>
    <row r="444">
      <c r="A444" s="38">
        <f>IF(M444="","",HYPERLINK("https://www.youtube.com/watch?v="&amp;M444,"▶"))</f>
        <v/>
      </c>
      <c r="B444" s="39">
        <f>IF(C444&lt;&gt;"",C444,IF(P444&lt;=IFERROR(INDEX(tblChannels[Watched Through],MATCH(N444,tblChannels[Channel ID],0)),0),"Watched","Unwatched"))</f>
        <v/>
      </c>
      <c r="C444" s="40" t="n"/>
      <c r="D444" s="41" t="n"/>
      <c r="E444" s="42" t="n">
        <v>45690.41666666666</v>
      </c>
      <c r="F444" s="51" t="inlineStr">
        <is>
          <t>Through The Griffin Door</t>
        </is>
      </c>
      <c r="G444" t="inlineStr">
        <is>
          <t>Chapter 11: Aboard The Hogwarts Express | Goblet Of Fire</t>
        </is>
      </c>
      <c r="H444" s="44" t="n">
        <v>0.06196759259259259</v>
      </c>
      <c r="I444" s="45" t="n">
        <v>62695</v>
      </c>
      <c r="J444" s="45" t="n">
        <v>1697</v>
      </c>
      <c r="K444" s="45" t="n">
        <v>473</v>
      </c>
      <c r="L444" s="46" t="n"/>
      <c r="M444" s="47" t="n"/>
      <c r="N444" s="47" t="inlineStr">
        <is>
          <t>UCEscP6ETYXWSSvsNrDHekMQ</t>
        </is>
      </c>
      <c r="O444" s="48" t="n">
        <v>45690.625</v>
      </c>
      <c r="P444" s="49" t="n">
        <v>45690</v>
      </c>
      <c r="Q444" s="47" t="n">
        <v>2824</v>
      </c>
      <c r="R444" s="47" t="inlineStr">
        <is>
          <t>No Video ID yet</t>
        </is>
      </c>
      <c r="S444" s="49" t="n"/>
      <c r="T444" s="49" t="n"/>
      <c r="U444" s="47" t="inlineStr">
        <is>
          <t>Join J and Ben as they dive into Chapter 11 of the Goblet of Fire and discuss whether or not Voldemort intended to live at Hogwarts, all the things that are set up in this book before they even get on the train, why James liked Peter better than Remus, and if it’s rude to floo directly into someone’s house. 08:42 - Chapter Breakdown 23:20 - Ad 24:52 - More Chapter Breakdown 1:19:28 - Closing Thoughts and Review</t>
        </is>
      </c>
      <c r="V444" s="47">
        <f>IF(AND(P444&gt;=Calendar!$K$2,P444&lt;EDATE(Calendar!$K$2,1),OR(Calendar!$K$4="*",N444=Calendar!$K$4)),P444*100+COUNTIFS($P$6:$P$3267,P444,$Q$6:$Q$3267,"&lt;="&amp;Q444,$N$6:$N$3267,Calendar!$K$4),"")</f>
        <v/>
      </c>
      <c r="W444" s="47">
        <f>IF(AND(B444=Queue!$C$4,OR(Queue!$K$4="*",N444=Queue!$K$4)),Q444,"")</f>
        <v/>
      </c>
    </row>
    <row r="445">
      <c r="A445" s="38">
        <f>IF(M445="","",HYPERLINK("https://www.youtube.com/watch?v="&amp;M445,"▶"))</f>
        <v/>
      </c>
      <c r="B445" s="39">
        <f>IF(C445&lt;&gt;"",C445,IF(P445&lt;=IFERROR(INDEX(tblChannels[Watched Through],MATCH(N445,tblChannels[Channel ID],0)),0),"Watched","Unwatched"))</f>
        <v/>
      </c>
      <c r="C445" s="40" t="n"/>
      <c r="D445" s="41" t="n"/>
      <c r="E445" s="42" t="n">
        <v>45688.625</v>
      </c>
      <c r="F445" s="50" t="inlineStr">
        <is>
          <t>Super Carlin Brothers</t>
        </is>
      </c>
      <c r="G445" t="inlineStr">
        <is>
          <t>J vs Ben: HARDEST Harry Potter and the Chamber of Secrets MOVIE Trivia Quiz</t>
        </is>
      </c>
      <c r="H445" s="44" t="n">
        <v>0.03291666666666666</v>
      </c>
      <c r="I445" s="45" t="n">
        <v>199426</v>
      </c>
      <c r="J445" s="45" t="n">
        <v>4861</v>
      </c>
      <c r="K445" s="45" t="n">
        <v>757</v>
      </c>
      <c r="L445" s="46" t="n"/>
      <c r="M445" s="47" t="n"/>
      <c r="N445" s="47" t="inlineStr">
        <is>
          <t>UCKZo4N0lVPccBkSiuyVh4yg</t>
        </is>
      </c>
      <c r="O445" s="48" t="n">
        <v>45688.83333333334</v>
      </c>
      <c r="P445" s="49" t="n">
        <v>45688</v>
      </c>
      <c r="Q445" s="47" t="n">
        <v>2823</v>
      </c>
      <c r="R445" s="47" t="inlineStr">
        <is>
          <t>No Video ID yet</t>
        </is>
      </c>
      <c r="S445" s="49" t="n"/>
      <c r="T445" s="49" t="n"/>
      <c r="U445" s="47" t="inlineStr">
        <is>
          <t>This episode is sponsored by Factor – Go to and use code jvsb50off to get 50% off your first box plus free shipping. Today J and Ben once again go off book and into the Wizarding World of the Harry Potter MOVIES to find out who knows more about the Second Harry Potter Movie “The Chamber of Secrets” Play along with us at :: Harry Potter Trivia LIVE at Big-Lick ComicCon :: #supercarlinbrothers #HarryPotter # JvsBen</t>
        </is>
      </c>
      <c r="V445" s="47">
        <f>IF(AND(P445&gt;=Calendar!$K$2,P445&lt;EDATE(Calendar!$K$2,1),OR(Calendar!$K$4="*",N445=Calendar!$K$4)),P445*100+COUNTIFS($P$6:$P$3267,P445,$Q$6:$Q$3267,"&lt;="&amp;Q445,$N$6:$N$3267,Calendar!$K$4),"")</f>
        <v/>
      </c>
      <c r="W445" s="47">
        <f>IF(AND(B445=Queue!$C$4,OR(Queue!$K$4="*",N445=Queue!$K$4)),Q445,"")</f>
        <v/>
      </c>
    </row>
    <row r="446">
      <c r="A446" s="38">
        <f>IF(M446="","",HYPERLINK("https://www.youtube.com/watch?v="&amp;M446,"▶"))</f>
        <v/>
      </c>
      <c r="B446" s="39">
        <f>IF(C446&lt;&gt;"",C446,IF(P446&lt;=IFERROR(INDEX(tblChannels[Watched Through],MATCH(N446,tblChannels[Channel ID],0)),0),"Watched","Unwatched"))</f>
        <v/>
      </c>
      <c r="C446" s="40" t="n"/>
      <c r="D446" s="41" t="n"/>
      <c r="E446" s="42" t="n">
        <v>45688.41666666666</v>
      </c>
      <c r="F446" s="43" t="inlineStr">
        <is>
          <t>Popcorn Culture</t>
        </is>
      </c>
      <c r="G446" t="inlineStr">
        <is>
          <t>Wives Pop 3.0! | Popcorn Culture</t>
        </is>
      </c>
      <c r="H446" s="44" t="n">
        <v>0.04211805555555555</v>
      </c>
      <c r="I446" s="45" t="n">
        <v>5607</v>
      </c>
      <c r="J446" s="45" t="n">
        <v>317</v>
      </c>
      <c r="K446" s="45" t="n">
        <v>37</v>
      </c>
      <c r="L446" s="46" t="n"/>
      <c r="M446" s="47" t="n"/>
      <c r="N446" s="47" t="inlineStr">
        <is>
          <t>UCHfIbq9thHPC8yrKjAdJgDA</t>
        </is>
      </c>
      <c r="O446" s="48" t="n">
        <v>45688.625</v>
      </c>
      <c r="P446" s="49" t="n">
        <v>45688</v>
      </c>
      <c r="Q446" s="47" t="n">
        <v>2822</v>
      </c>
      <c r="R446" s="47" t="inlineStr">
        <is>
          <t>No Video ID yet</t>
        </is>
      </c>
      <c r="S446" s="49" t="n"/>
      <c r="T446" s="49" t="n"/>
      <c r="U446" s="47" t="inlineStr">
        <is>
          <t>On the 269th episode of the Pop, Ben and J AND Alyce AND Beth discuss their upcoming Disney trip! The Outdoor Boys - Sonic Movies - Our Bluey Video from that day -</t>
        </is>
      </c>
      <c r="V446" s="47">
        <f>IF(AND(P446&gt;=Calendar!$K$2,P446&lt;EDATE(Calendar!$K$2,1),OR(Calendar!$K$4="*",N446=Calendar!$K$4)),P446*100+COUNTIFS($P$6:$P$3267,P446,$Q$6:$Q$3267,"&lt;="&amp;Q446,$N$6:$N$3267,Calendar!$K$4),"")</f>
        <v/>
      </c>
      <c r="W446" s="47">
        <f>IF(AND(B446=Queue!$C$4,OR(Queue!$K$4="*",N446=Queue!$K$4)),Q446,"")</f>
        <v/>
      </c>
    </row>
    <row r="447">
      <c r="A447" s="38">
        <f>IF(M447="","",HYPERLINK("https://www.youtube.com/watch?v="&amp;M447,"▶"))</f>
        <v/>
      </c>
      <c r="B447" s="39">
        <f>IF(C447&lt;&gt;"",C447,IF(P447&lt;=IFERROR(INDEX(tblChannels[Watched Through],MATCH(N447,tblChannels[Channel ID],0)),0),"Watched","Unwatched"))</f>
        <v/>
      </c>
      <c r="C447" s="40" t="n"/>
      <c r="D447" s="41" t="n"/>
      <c r="E447" s="42" t="n">
        <v>45686.625</v>
      </c>
      <c r="F447" s="50" t="inlineStr">
        <is>
          <t>Super Carlin Brothers</t>
        </is>
      </c>
      <c r="G447" t="inlineStr">
        <is>
          <t>Why Does Ron Weasley GOOGLE AUTOFILL | Harry Potter Film Theory</t>
        </is>
      </c>
      <c r="H447" s="44" t="n">
        <v>0.01498842592592593</v>
      </c>
      <c r="I447" s="45" t="n">
        <v>74384</v>
      </c>
      <c r="J447" s="45" t="n">
        <v>3482</v>
      </c>
      <c r="K447" s="45" t="n">
        <v>413</v>
      </c>
      <c r="L447" s="46" t="n"/>
      <c r="M447" s="47" t="n"/>
      <c r="N447" s="47" t="inlineStr">
        <is>
          <t>UCKZo4N0lVPccBkSiuyVh4yg</t>
        </is>
      </c>
      <c r="O447" s="48" t="n">
        <v>45686.83333333334</v>
      </c>
      <c r="P447" s="49" t="n">
        <v>45686</v>
      </c>
      <c r="Q447" s="47" t="n">
        <v>2821</v>
      </c>
      <c r="R447" s="47" t="inlineStr">
        <is>
          <t>No Video ID yet</t>
        </is>
      </c>
      <c r="S447" s="49" t="n"/>
      <c r="T447" s="49" t="n"/>
      <c r="U447" s="47" t="inlineStr">
        <is>
          <t>This episode is sponsored by BetterHelp – This episode is sponsored by BetterHelp — go to to get 10% off your first month. This episode is sponsored by Mando – Go to and use code SUPERCARLIN to get $5 off your Starter Pack (that’s over 40% off). Today J dives into the Wizarding World of Harry Potter to answer Google's most asked questions about the red-head with hand-me-down robes Ronald Weasley! Why does he get to bring a rat to Hogwarts? Why does he date Lavender Brown? And WHY doesn’t he just jump off the Knight?? Harry Potter Trivia LIVE at Big-Lick ComicCon :: #supercarlinbrothers #HarryPotter #GoogleAutofill</t>
        </is>
      </c>
      <c r="V447" s="47">
        <f>IF(AND(P447&gt;=Calendar!$K$2,P447&lt;EDATE(Calendar!$K$2,1),OR(Calendar!$K$4="*",N447=Calendar!$K$4)),P447*100+COUNTIFS($P$6:$P$3267,P447,$Q$6:$Q$3267,"&lt;="&amp;Q447,$N$6:$N$3267,Calendar!$K$4),"")</f>
        <v/>
      </c>
      <c r="W447" s="47">
        <f>IF(AND(B447=Queue!$C$4,OR(Queue!$K$4="*",N447=Queue!$K$4)),Q447,"")</f>
        <v/>
      </c>
    </row>
    <row r="448">
      <c r="A448" s="38">
        <f>IF(M448="","",HYPERLINK("https://www.youtube.com/watch?v="&amp;M448,"▶"))</f>
        <v/>
      </c>
      <c r="B448" s="39">
        <f>IF(C448&lt;&gt;"",C448,IF(P448&lt;=IFERROR(INDEX(tblChannels[Watched Through],MATCH(N448,tblChannels[Channel ID],0)),0),"Watched","Unwatched"))</f>
        <v/>
      </c>
      <c r="C448" s="40" t="n"/>
      <c r="D448" s="41" t="n"/>
      <c r="E448" s="42" t="n">
        <v>45683.41666666666</v>
      </c>
      <c r="F448" s="51" t="inlineStr">
        <is>
          <t>Through The Griffin Door</t>
        </is>
      </c>
      <c r="G448" t="inlineStr">
        <is>
          <t>Chapter 10: Mayhem at the Ministry | Goblet of Fire</t>
        </is>
      </c>
      <c r="H448" s="44" t="n">
        <v>0.05695601851851852</v>
      </c>
      <c r="I448" s="45" t="n">
        <v>61460</v>
      </c>
      <c r="J448" s="45" t="n">
        <v>1690</v>
      </c>
      <c r="K448" s="45" t="n">
        <v>389</v>
      </c>
      <c r="L448" s="46" t="n"/>
      <c r="M448" s="47" t="n"/>
      <c r="N448" s="47" t="inlineStr">
        <is>
          <t>UCEscP6ETYXWSSvsNrDHekMQ</t>
        </is>
      </c>
      <c r="O448" s="48" t="n">
        <v>45683.625</v>
      </c>
      <c r="P448" s="49" t="n">
        <v>45683</v>
      </c>
      <c r="Q448" s="47" t="n">
        <v>2820</v>
      </c>
      <c r="R448" s="47" t="inlineStr">
        <is>
          <t>No Video ID yet</t>
        </is>
      </c>
      <c r="S448" s="49" t="n"/>
      <c r="T448" s="49" t="n"/>
      <c r="U448" s="47" t="inlineStr">
        <is>
          <t>Join J and Ben as they dive into Chapter 10 of the Goblet of Fire and discuss returning home, the first mention of Rita Skeeter, Harry telling them about his scar, how the Weasley clock works, Percy being a jerk, and the last few days of summer break. 05:39 - Chapter Breakdown 36:09 - Ad 37:44 - More Chapter Breakdown 1:09:56 - Closing Thoughts and Review</t>
        </is>
      </c>
      <c r="V448" s="47">
        <f>IF(AND(P448&gt;=Calendar!$K$2,P448&lt;EDATE(Calendar!$K$2,1),OR(Calendar!$K$4="*",N448=Calendar!$K$4)),P448*100+COUNTIFS($P$6:$P$3267,P448,$Q$6:$Q$3267,"&lt;="&amp;Q448,$N$6:$N$3267,Calendar!$K$4),"")</f>
        <v/>
      </c>
      <c r="W448" s="47">
        <f>IF(AND(B448=Queue!$C$4,OR(Queue!$K$4="*",N448=Queue!$K$4)),Q448,"")</f>
        <v/>
      </c>
    </row>
    <row r="449">
      <c r="A449" s="38">
        <f>IF(M449="","",HYPERLINK("https://www.youtube.com/watch?v="&amp;M449,"▶"))</f>
        <v/>
      </c>
      <c r="B449" s="39">
        <f>IF(C449&lt;&gt;"",C449,IF(P449&lt;=IFERROR(INDEX(tblChannels[Watched Through],MATCH(N449,tblChannels[Channel ID],0)),0),"Watched","Unwatched"))</f>
        <v/>
      </c>
      <c r="C449" s="40" t="n"/>
      <c r="D449" s="41" t="n"/>
      <c r="E449" s="42" t="n">
        <v>45682.41666666666</v>
      </c>
      <c r="F449" s="50" t="inlineStr">
        <is>
          <t>Super Carlin Brothers</t>
        </is>
      </c>
      <c r="G449" t="inlineStr">
        <is>
          <t>Through the Griffin Door Supercut: Goblet of Fire Chapters 7-9</t>
        </is>
      </c>
      <c r="H449" s="44" t="n">
        <v>0.232337962962963</v>
      </c>
      <c r="I449" s="45" t="n">
        <v>23143</v>
      </c>
      <c r="J449" s="45" t="n">
        <v>368</v>
      </c>
      <c r="K449" s="45" t="n">
        <v>183</v>
      </c>
      <c r="L449" s="46" t="n"/>
      <c r="M449" s="47" t="n"/>
      <c r="N449" s="47" t="inlineStr">
        <is>
          <t>UCKZo4N0lVPccBkSiuyVh4yg</t>
        </is>
      </c>
      <c r="O449" s="48" t="n">
        <v>45682.625</v>
      </c>
      <c r="P449" s="49" t="n">
        <v>45682</v>
      </c>
      <c r="Q449" s="47" t="n">
        <v>2819</v>
      </c>
      <c r="R449" s="47" t="inlineStr">
        <is>
          <t>No Video ID yet</t>
        </is>
      </c>
      <c r="S449" s="49" t="n"/>
      <c r="T449" s="49" t="n"/>
      <c r="U449" s="47" t="inlineStr">
        <is>
          <t>00:00:00 - Chapter 7: Bagman and Crouch 1:52:46 - Chapter 8: Weasleys' Wizard Wheezes 3:37:51 - Chapter 9: The Portkey</t>
        </is>
      </c>
      <c r="V449" s="47">
        <f>IF(AND(P449&gt;=Calendar!$K$2,P449&lt;EDATE(Calendar!$K$2,1),OR(Calendar!$K$4="*",N449=Calendar!$K$4)),P449*100+COUNTIFS($P$6:$P$3267,P449,$Q$6:$Q$3267,"&lt;="&amp;Q449,$N$6:$N$3267,Calendar!$K$4),"")</f>
        <v/>
      </c>
      <c r="W449" s="47">
        <f>IF(AND(B449=Queue!$C$4,OR(Queue!$K$4="*",N449=Queue!$K$4)),Q449,"")</f>
        <v/>
      </c>
    </row>
    <row r="450">
      <c r="A450" s="38">
        <f>IF(M450="","",HYPERLINK("https://www.youtube.com/watch?v="&amp;M450,"▶"))</f>
        <v/>
      </c>
      <c r="B450" s="39">
        <f>IF(C450&lt;&gt;"",C450,IF(P450&lt;=IFERROR(INDEX(tblChannels[Watched Through],MATCH(N450,tblChannels[Channel ID],0)),0),"Watched","Unwatched"))</f>
        <v/>
      </c>
      <c r="C450" s="40" t="n"/>
      <c r="D450" s="41" t="n"/>
      <c r="E450" s="42" t="n">
        <v>45681.62569444445</v>
      </c>
      <c r="F450" s="50" t="inlineStr">
        <is>
          <t>Super Carlin Brothers</t>
        </is>
      </c>
      <c r="G450" t="inlineStr">
        <is>
          <t>How Dumbledore Knew About Sacrificial Love | Harry Potter Film Theory</t>
        </is>
      </c>
      <c r="H450" s="44" t="n">
        <v>0.01351851851851852</v>
      </c>
      <c r="I450" s="45" t="n">
        <v>209530</v>
      </c>
      <c r="J450" s="45" t="n">
        <v>7453</v>
      </c>
      <c r="K450" s="45" t="n">
        <v>576</v>
      </c>
      <c r="L450" s="46" t="n"/>
      <c r="M450" s="47" t="n"/>
      <c r="N450" s="47" t="inlineStr">
        <is>
          <t>UCKZo4N0lVPccBkSiuyVh4yg</t>
        </is>
      </c>
      <c r="O450" s="48" t="n">
        <v>45681.83402777778</v>
      </c>
      <c r="P450" s="49" t="n">
        <v>45681</v>
      </c>
      <c r="Q450" s="47" t="n">
        <v>2818</v>
      </c>
      <c r="R450" s="47" t="inlineStr">
        <is>
          <t>No Video ID yet</t>
        </is>
      </c>
      <c r="S450" s="49" t="n"/>
      <c r="T450" s="49" t="n"/>
      <c r="U450" s="47" t="inlineStr">
        <is>
          <t>This episode is sponsored by MeUndies – Go to and use code super to get 20% off your first order and free shipping. Today J dives into the Wizarding World of Harry Potter to find out how Dumbledore knew what happened to Harry when he was attacked as a baby even though nobody was there?? How did he learn about sacrificial love? And what does it have to do with Grindelwald?</t>
        </is>
      </c>
      <c r="V450" s="47">
        <f>IF(AND(P450&gt;=Calendar!$K$2,P450&lt;EDATE(Calendar!$K$2,1),OR(Calendar!$K$4="*",N450=Calendar!$K$4)),P450*100+COUNTIFS($P$6:$P$3267,P450,$Q$6:$Q$3267,"&lt;="&amp;Q450,$N$6:$N$3267,Calendar!$K$4),"")</f>
        <v/>
      </c>
      <c r="W450" s="47">
        <f>IF(AND(B450=Queue!$C$4,OR(Queue!$K$4="*",N450=Queue!$K$4)),Q450,"")</f>
        <v/>
      </c>
    </row>
    <row r="451">
      <c r="A451" s="38">
        <f>IF(M451="","",HYPERLINK("https://www.youtube.com/watch?v="&amp;M451,"▶"))</f>
        <v/>
      </c>
      <c r="B451" s="39">
        <f>IF(C451&lt;&gt;"",C451,IF(P451&lt;=IFERROR(INDEX(tblChannels[Watched Through],MATCH(N451,tblChannels[Channel ID],0)),0),"Watched","Unwatched"))</f>
        <v/>
      </c>
      <c r="C451" s="40" t="n"/>
      <c r="D451" s="41" t="n"/>
      <c r="E451" s="42" t="n">
        <v>45681.41666666666</v>
      </c>
      <c r="F451" s="43" t="inlineStr">
        <is>
          <t>Popcorn Culture</t>
        </is>
      </c>
      <c r="G451" t="inlineStr">
        <is>
          <t>Disney Over/Unders | Popcorn Culture</t>
        </is>
      </c>
      <c r="H451" s="44" t="n">
        <v>0.05224537037037037</v>
      </c>
      <c r="I451" s="45" t="n">
        <v>4000</v>
      </c>
      <c r="J451" s="45" t="n">
        <v>204</v>
      </c>
      <c r="K451" s="45" t="n">
        <v>32</v>
      </c>
      <c r="L451" s="46" t="n"/>
      <c r="M451" s="47" t="n"/>
      <c r="N451" s="47" t="inlineStr">
        <is>
          <t>UCHfIbq9thHPC8yrKjAdJgDA</t>
        </is>
      </c>
      <c r="O451" s="48" t="n">
        <v>45681.625</v>
      </c>
      <c r="P451" s="49" t="n">
        <v>45681</v>
      </c>
      <c r="Q451" s="47" t="n">
        <v>2817</v>
      </c>
      <c r="R451" s="47" t="inlineStr">
        <is>
          <t>No Video ID yet</t>
        </is>
      </c>
      <c r="S451" s="49" t="n"/>
      <c r="T451" s="49" t="n"/>
      <c r="U451" s="47" t="inlineStr">
        <is>
          <t>In the 268th episode of the Pop Ben and J discuss wearing belts, nasal strips, over/under bets on the Disney trip, the Commanders playoff games, and McDonalds toys. Sonic the Hedgehog 3 - Allergy to Belts There’s Ham Everywhere!!! 00:00 - Cold Open - Belts and Nasal Strips 17:40 - Intro, Disney Over/Under 36:51 - Ad 38:23 - Disney Over/Under Continued 48:13 - Commanders (Obviously) 58:57 - Happy Meal Story</t>
        </is>
      </c>
      <c r="V451" s="47">
        <f>IF(AND(P451&gt;=Calendar!$K$2,P451&lt;EDATE(Calendar!$K$2,1),OR(Calendar!$K$4="*",N451=Calendar!$K$4)),P451*100+COUNTIFS($P$6:$P$3267,P451,$Q$6:$Q$3267,"&lt;="&amp;Q451,$N$6:$N$3267,Calendar!$K$4),"")</f>
        <v/>
      </c>
      <c r="W451" s="47">
        <f>IF(AND(B451=Queue!$C$4,OR(Queue!$K$4="*",N451=Queue!$K$4)),Q451,"")</f>
        <v/>
      </c>
    </row>
    <row r="452">
      <c r="A452" s="38">
        <f>IF(M452="","",HYPERLINK("https://www.youtube.com/watch?v="&amp;M452,"▶"))</f>
        <v/>
      </c>
      <c r="B452" s="39">
        <f>IF(C452&lt;&gt;"",C452,IF(P452&lt;=IFERROR(INDEX(tblChannels[Watched Through],MATCH(N452,tblChannels[Channel ID],0)),0),"Watched","Unwatched"))</f>
        <v/>
      </c>
      <c r="C452" s="40" t="n"/>
      <c r="D452" s="41" t="n"/>
      <c r="E452" s="42" t="n">
        <v>45679.70763888889</v>
      </c>
      <c r="F452" s="50" t="inlineStr">
        <is>
          <t>Super Carlin Brothers</t>
        </is>
      </c>
      <c r="G452" t="inlineStr">
        <is>
          <t>Who is Bluey's HUSBAND? | Bluey Theory</t>
        </is>
      </c>
      <c r="H452" s="44" t="n">
        <v>0.01269675925925926</v>
      </c>
      <c r="I452" s="45" t="n">
        <v>49188</v>
      </c>
      <c r="J452" s="45" t="n">
        <v>2602</v>
      </c>
      <c r="K452" s="45" t="n">
        <v>550</v>
      </c>
      <c r="L452" s="46" t="n"/>
      <c r="M452" s="47" t="n"/>
      <c r="N452" s="47" t="inlineStr">
        <is>
          <t>UCKZo4N0lVPccBkSiuyVh4yg</t>
        </is>
      </c>
      <c r="O452" s="48" t="n">
        <v>45679.91597222222</v>
      </c>
      <c r="P452" s="49" t="n">
        <v>45679</v>
      </c>
      <c r="Q452" s="47" t="n">
        <v>2816</v>
      </c>
      <c r="R452" s="47" t="inlineStr">
        <is>
          <t>No Video ID yet</t>
        </is>
      </c>
      <c r="S452" s="49" t="n"/>
      <c r="T452" s="49" t="n"/>
      <c r="U452" s="47" t="inlineStr">
        <is>
          <t>Who Does Bluey Marry? Who is Bluey’s Husband? Today J dives into the world of BLUEY to try and figure out: Who Does Bluey have a child with? Surprise left us all with a lot of questions and not a lot of clear answers.. Is it Jean-Luc? Is it Mackenzie? Neither? Are you team Mackenzie or Team Jean-Luc?? #supercarlinbrothers #Bluey</t>
        </is>
      </c>
      <c r="V452" s="47">
        <f>IF(AND(P452&gt;=Calendar!$K$2,P452&lt;EDATE(Calendar!$K$2,1),OR(Calendar!$K$4="*",N452=Calendar!$K$4)),P452*100+COUNTIFS($P$6:$P$3267,P452,$Q$6:$Q$3267,"&lt;="&amp;Q452,$N$6:$N$3267,Calendar!$K$4),"")</f>
        <v/>
      </c>
      <c r="W452" s="47">
        <f>IF(AND(B452=Queue!$C$4,OR(Queue!$K$4="*",N452=Queue!$K$4)),Q452,"")</f>
        <v/>
      </c>
    </row>
    <row r="453">
      <c r="A453" s="38">
        <f>IF(M453="","",HYPERLINK("https://www.youtube.com/watch?v="&amp;M453,"▶"))</f>
        <v/>
      </c>
      <c r="B453" s="39">
        <f>IF(C453&lt;&gt;"",C453,IF(P453&lt;=IFERROR(INDEX(tblChannels[Watched Through],MATCH(N453,tblChannels[Channel ID],0)),0),"Watched","Unwatched"))</f>
        <v/>
      </c>
      <c r="C453" s="40" t="n"/>
      <c r="D453" s="41" t="n"/>
      <c r="E453" s="42" t="n">
        <v>45676.41736111111</v>
      </c>
      <c r="F453" s="51" t="inlineStr">
        <is>
          <t>Through The Griffin Door</t>
        </is>
      </c>
      <c r="G453" t="inlineStr">
        <is>
          <t>Chapter 9: The Dark Mark | Goblet of Fire</t>
        </is>
      </c>
      <c r="H453" s="44" t="n">
        <v>0.08105324074074075</v>
      </c>
      <c r="I453" s="45" t="n">
        <v>71896</v>
      </c>
      <c r="J453" s="45" t="n">
        <v>1808</v>
      </c>
      <c r="K453" s="45" t="n">
        <v>569</v>
      </c>
      <c r="L453" s="46" t="n"/>
      <c r="M453" s="47" t="n"/>
      <c r="N453" s="47" t="inlineStr">
        <is>
          <t>UCEscP6ETYXWSSvsNrDHekMQ</t>
        </is>
      </c>
      <c r="O453" s="48" t="n">
        <v>45676.62569444445</v>
      </c>
      <c r="P453" s="49" t="n">
        <v>45676</v>
      </c>
      <c r="Q453" s="47" t="n">
        <v>2815</v>
      </c>
      <c r="R453" s="47" t="inlineStr">
        <is>
          <t>No Video ID yet</t>
        </is>
      </c>
      <c r="S453" s="49" t="n"/>
      <c r="T453" s="49" t="n"/>
      <c r="U453" s="47" t="inlineStr">
        <is>
          <t>Join J and Ben as they dive into Chapter 9 of the Goblet of Fire and discuss betting, hot cocoa, the chaos of the chapter, weird House Elf rules, confusion after the Dark Mark, and the following investigation. 04:58 - Chapter Breakdown 1:48:31 - Closing Thoughts and Review</t>
        </is>
      </c>
      <c r="V453" s="47">
        <f>IF(AND(P453&gt;=Calendar!$K$2,P453&lt;EDATE(Calendar!$K$2,1),OR(Calendar!$K$4="*",N453=Calendar!$K$4)),P453*100+COUNTIFS($P$6:$P$3267,P453,$Q$6:$Q$3267,"&lt;="&amp;Q453,$N$6:$N$3267,Calendar!$K$4),"")</f>
        <v/>
      </c>
      <c r="W453" s="47">
        <f>IF(AND(B453=Queue!$C$4,OR(Queue!$K$4="*",N453=Queue!$K$4)),Q453,"")</f>
        <v/>
      </c>
    </row>
    <row r="454">
      <c r="A454" s="38">
        <f>IF(M454="","",HYPERLINK("https://www.youtube.com/watch?v="&amp;M454,"▶"))</f>
        <v/>
      </c>
      <c r="B454" s="39">
        <f>IF(C454&lt;&gt;"",C454,IF(P454&lt;=IFERROR(INDEX(tblChannels[Watched Through],MATCH(N454,tblChannels[Channel ID],0)),0),"Watched","Unwatched"))</f>
        <v/>
      </c>
      <c r="C454" s="40" t="n"/>
      <c r="D454" s="41" t="n"/>
      <c r="E454" s="42" t="n">
        <v>45675.24027777778</v>
      </c>
      <c r="F454" s="52" t="inlineStr">
        <is>
          <t>Super Carlin Gaming</t>
        </is>
      </c>
      <c r="G454" t="inlineStr">
        <is>
          <t>Pokemon Box Breakers SEASON 13 Episode 3 - 01/17/2025</t>
        </is>
      </c>
      <c r="H454" s="44" t="n">
        <v>0.128599537037037</v>
      </c>
      <c r="I454" s="45" t="n">
        <v>1119</v>
      </c>
      <c r="J454" s="45" t="n">
        <v>35</v>
      </c>
      <c r="K454" s="45" t="n">
        <v>0</v>
      </c>
      <c r="L454" s="46" t="n"/>
      <c r="M454" s="47" t="n"/>
      <c r="N454" s="47" t="inlineStr">
        <is>
          <t>UCor_9jRnNNZVzTuQ92PKsaQ</t>
        </is>
      </c>
      <c r="O454" s="48" t="n">
        <v>45675.44861111111</v>
      </c>
      <c r="P454" s="49" t="n">
        <v>45675</v>
      </c>
      <c r="Q454" s="47" t="n">
        <v>2814</v>
      </c>
      <c r="R454" s="47" t="inlineStr">
        <is>
          <t>No Video ID yet</t>
        </is>
      </c>
      <c r="S454" s="49" t="n"/>
      <c r="T454" s="49" t="n"/>
      <c r="U454" s="47" t="n"/>
      <c r="V454" s="47">
        <f>IF(AND(P454&gt;=Calendar!$K$2,P454&lt;EDATE(Calendar!$K$2,1),OR(Calendar!$K$4="*",N454=Calendar!$K$4)),P454*100+COUNTIFS($P$6:$P$3267,P454,$Q$6:$Q$3267,"&lt;="&amp;Q454,$N$6:$N$3267,Calendar!$K$4),"")</f>
        <v/>
      </c>
      <c r="W454" s="47">
        <f>IF(AND(B454=Queue!$C$4,OR(Queue!$K$4="*",N454=Queue!$K$4)),Q454,"")</f>
        <v/>
      </c>
    </row>
    <row r="455">
      <c r="A455" s="38">
        <f>IF(M455="","",HYPERLINK("https://www.youtube.com/watch?v="&amp;M455,"▶"))</f>
        <v/>
      </c>
      <c r="B455" s="39">
        <f>IF(C455&lt;&gt;"",C455,IF(P455&lt;=IFERROR(INDEX(tblChannels[Watched Through],MATCH(N455,tblChannels[Channel ID],0)),0),"Watched","Unwatched"))</f>
        <v/>
      </c>
      <c r="C455" s="40" t="n"/>
      <c r="D455" s="41" t="n"/>
      <c r="E455" s="42" t="n">
        <v>45674.72430555556</v>
      </c>
      <c r="F455" s="50" t="inlineStr">
        <is>
          <t>Super Carlin Brothers</t>
        </is>
      </c>
      <c r="G455" t="inlineStr">
        <is>
          <t>J vs Ben: HARDEST Harry Potter and the Sorcerer’s Stone MOVIE Trivia Quiz</t>
        </is>
      </c>
      <c r="H455" s="44" t="n">
        <v>0.02944444444444444</v>
      </c>
      <c r="I455" s="45" t="n">
        <v>158644</v>
      </c>
      <c r="J455" s="45" t="n">
        <v>5193</v>
      </c>
      <c r="K455" s="45" t="n">
        <v>723</v>
      </c>
      <c r="L455" s="46" t="n"/>
      <c r="M455" s="47" t="n"/>
      <c r="N455" s="47" t="inlineStr">
        <is>
          <t>UCKZo4N0lVPccBkSiuyVh4yg</t>
        </is>
      </c>
      <c r="O455" s="48" t="n">
        <v>45674.93263888889</v>
      </c>
      <c r="P455" s="49" t="n">
        <v>45674</v>
      </c>
      <c r="Q455" s="47" t="n">
        <v>2813</v>
      </c>
      <c r="R455" s="47" t="inlineStr">
        <is>
          <t>No Video ID yet</t>
        </is>
      </c>
      <c r="S455" s="49" t="n"/>
      <c r="T455" s="49" t="n"/>
      <c r="U455" s="47" t="inlineStr">
        <is>
          <t>This episode is sponsored by MeUndies: Go to and use code BROTHER to get 20% off your first order and free shipping. This episode is sponsored by Factor: Go to and use code jvsb50off to get 50% off your first box plus free shipping. Today J and Ben venture off book and into the Wizarding World of the Harry Potter movies to find out who knows more about the FIRST Harry Potter Movie “The Sorcerer’s Stone” (For real though this is HARD) Play along with us at :: Edited by :: Ethan Edghill and Isybelle Christley</t>
        </is>
      </c>
      <c r="V455" s="47">
        <f>IF(AND(P455&gt;=Calendar!$K$2,P455&lt;EDATE(Calendar!$K$2,1),OR(Calendar!$K$4="*",N455=Calendar!$K$4)),P455*100+COUNTIFS($P$6:$P$3267,P455,$Q$6:$Q$3267,"&lt;="&amp;Q455,$N$6:$N$3267,Calendar!$K$4),"")</f>
        <v/>
      </c>
      <c r="W455" s="47">
        <f>IF(AND(B455=Queue!$C$4,OR(Queue!$K$4="*",N455=Queue!$K$4)),Q455,"")</f>
        <v/>
      </c>
    </row>
    <row r="456">
      <c r="A456" s="38">
        <f>IF(M456="","",HYPERLINK("https://www.youtube.com/watch?v="&amp;M456,"▶"))</f>
        <v/>
      </c>
      <c r="B456" s="39">
        <f>IF(C456&lt;&gt;"",C456,IF(P456&lt;=IFERROR(INDEX(tblChannels[Watched Through],MATCH(N456,tblChannels[Channel ID],0)),0),"Watched","Unwatched"))</f>
        <v/>
      </c>
      <c r="C456" s="40" t="n"/>
      <c r="D456" s="41" t="n"/>
      <c r="E456" s="42" t="n">
        <v>45674.41666666666</v>
      </c>
      <c r="F456" s="43" t="inlineStr">
        <is>
          <t>Popcorn Culture</t>
        </is>
      </c>
      <c r="G456" t="inlineStr">
        <is>
          <t>The UNEXPECTED Mayonnaise | Popcorn Culture</t>
        </is>
      </c>
      <c r="H456" s="44" t="n">
        <v>0.04773148148148148</v>
      </c>
      <c r="I456" s="45" t="n">
        <v>3799</v>
      </c>
      <c r="J456" s="45" t="n">
        <v>180</v>
      </c>
      <c r="K456" s="45" t="n">
        <v>37</v>
      </c>
      <c r="L456" s="46" t="n"/>
      <c r="M456" s="47" t="n"/>
      <c r="N456" s="47" t="inlineStr">
        <is>
          <t>UCHfIbq9thHPC8yrKjAdJgDA</t>
        </is>
      </c>
      <c r="O456" s="48" t="n">
        <v>45674.625</v>
      </c>
      <c r="P456" s="49" t="n">
        <v>45674</v>
      </c>
      <c r="Q456" s="47" t="n">
        <v>2812</v>
      </c>
      <c r="R456" s="47" t="inlineStr">
        <is>
          <t>No Video ID yet</t>
        </is>
      </c>
      <c r="S456" s="49" t="n"/>
      <c r="T456" s="49" t="n"/>
      <c r="U456" s="47" t="inlineStr">
        <is>
          <t>In the 267th episode of the Pop, Ben and J discuss mayonnaise, Ben’s goofy shirts, ice baths, sacrifices, the wild west, and homesteading. Of Course Reference - Woody Jackson Cows - Lonesome Dove - The Big Green - Too Many Toes However; Grace P-Utter’s Poster Best Pancakes Ever Anti Win-Win 00:00 - Intro, Mayo 06:40 - Woody Jackson Cows 17:39 - Ice Baths 24:18 - What Are You Willing to Sacrifice 40:47 - Lonesome Dove and Western Living</t>
        </is>
      </c>
      <c r="V456" s="47">
        <f>IF(AND(P456&gt;=Calendar!$K$2,P456&lt;EDATE(Calendar!$K$2,1),OR(Calendar!$K$4="*",N456=Calendar!$K$4)),P456*100+COUNTIFS($P$6:$P$3267,P456,$Q$6:$Q$3267,"&lt;="&amp;Q456,$N$6:$N$3267,Calendar!$K$4),"")</f>
        <v/>
      </c>
      <c r="W456" s="47">
        <f>IF(AND(B456=Queue!$C$4,OR(Queue!$K$4="*",N456=Queue!$K$4)),Q456,"")</f>
        <v/>
      </c>
    </row>
    <row r="457">
      <c r="A457" s="38">
        <f>IF(M457="","",HYPERLINK("https://www.youtube.com/watch?v="&amp;M457,"▶"))</f>
        <v/>
      </c>
      <c r="B457" s="39">
        <f>IF(C457&lt;&gt;"",C457,IF(P457&lt;=IFERROR(INDEX(tblChannels[Watched Through],MATCH(N457,tblChannels[Channel ID],0)),0),"Watched","Unwatched"))</f>
        <v/>
      </c>
      <c r="C457" s="40" t="n"/>
      <c r="D457" s="41" t="n"/>
      <c r="E457" s="42" t="n">
        <v>45672.65763888889</v>
      </c>
      <c r="F457" s="50" t="inlineStr">
        <is>
          <t>Super Carlin Brothers</t>
        </is>
      </c>
      <c r="G457" t="inlineStr">
        <is>
          <t>The Gryffindor PARADOX Explained | Harry Potter Film Theory</t>
        </is>
      </c>
      <c r="H457" s="44" t="n">
        <v>0.01077546296296296</v>
      </c>
      <c r="I457" s="45" t="n">
        <v>178860</v>
      </c>
      <c r="J457" s="45" t="n">
        <v>7551</v>
      </c>
      <c r="K457" s="45" t="n">
        <v>1192</v>
      </c>
      <c r="L457" s="46" t="n"/>
      <c r="M457" s="47" t="n"/>
      <c r="N457" s="47" t="inlineStr">
        <is>
          <t>UCKZo4N0lVPccBkSiuyVh4yg</t>
        </is>
      </c>
      <c r="O457" s="48" t="n">
        <v>45672.86597222222</v>
      </c>
      <c r="P457" s="49" t="n">
        <v>45672</v>
      </c>
      <c r="Q457" s="47" t="n">
        <v>2811</v>
      </c>
      <c r="R457" s="47" t="inlineStr">
        <is>
          <t>No Video ID yet</t>
        </is>
      </c>
      <c r="S457" s="49" t="n"/>
      <c r="T457" s="49" t="n"/>
      <c r="U457" s="47" t="inlineStr">
        <is>
          <t>This episode is sponsored by Shopify - Go to to sign up for your $1-per-month trial period Today J dives into the Wizarding World of Harry Potter to look back at the History of Gryffindor House and what it's meant to be a member here in the real world for the past 20 years. It feels like it would be the best house and yet... there have been some ups and downs..</t>
        </is>
      </c>
      <c r="V457" s="47">
        <f>IF(AND(P457&gt;=Calendar!$K$2,P457&lt;EDATE(Calendar!$K$2,1),OR(Calendar!$K$4="*",N457=Calendar!$K$4)),P457*100+COUNTIFS($P$6:$P$3267,P457,$Q$6:$Q$3267,"&lt;="&amp;Q457,$N$6:$N$3267,Calendar!$K$4),"")</f>
        <v/>
      </c>
      <c r="W457" s="47">
        <f>IF(AND(B457=Queue!$C$4,OR(Queue!$K$4="*",N457=Queue!$K$4)),Q457,"")</f>
        <v/>
      </c>
    </row>
    <row r="458">
      <c r="A458" s="38">
        <f>IF(M458="","",HYPERLINK("https://www.youtube.com/watch?v="&amp;M458,"▶"))</f>
        <v/>
      </c>
      <c r="B458" s="39">
        <f>IF(C458&lt;&gt;"",C458,IF(P458&lt;=IFERROR(INDEX(tblChannels[Watched Through],MATCH(N458,tblChannels[Channel ID],0)),0),"Watched","Unwatched"))</f>
        <v/>
      </c>
      <c r="C458" s="40" t="n"/>
      <c r="D458" s="41" t="n"/>
      <c r="E458" s="42" t="n">
        <v>45669.41666666666</v>
      </c>
      <c r="F458" s="51" t="inlineStr">
        <is>
          <t>Through The Griffin Door</t>
        </is>
      </c>
      <c r="G458" t="inlineStr">
        <is>
          <t>Chapter 8: The Quidditch World Cup | Goblet of Fire</t>
        </is>
      </c>
      <c r="H458" s="44" t="n">
        <v>0.0730787037037037</v>
      </c>
      <c r="I458" s="45" t="n">
        <v>69375</v>
      </c>
      <c r="J458" s="45" t="n">
        <v>1759</v>
      </c>
      <c r="K458" s="45" t="n">
        <v>553</v>
      </c>
      <c r="L458" s="46" t="n"/>
      <c r="M458" s="47" t="n"/>
      <c r="N458" s="47" t="inlineStr">
        <is>
          <t>UCEscP6ETYXWSSvsNrDHekMQ</t>
        </is>
      </c>
      <c r="O458" s="48" t="n">
        <v>45669.625</v>
      </c>
      <c r="P458" s="49" t="n">
        <v>45669</v>
      </c>
      <c r="Q458" s="47" t="n">
        <v>2810</v>
      </c>
      <c r="R458" s="47" t="inlineStr">
        <is>
          <t>No Video ID yet</t>
        </is>
      </c>
      <c r="S458" s="49" t="n"/>
      <c r="T458" s="49" t="n"/>
      <c r="U458" s="47" t="inlineStr">
        <is>
          <t>Join J and Ben as they dive into Chapter 8 of the Goblet of Fire and discuss the excited environment, seat math, Winky, Krum and Veela, the mechanics and outcome of the game. How the Weasley Twins Knew What to Bet Ludo Bagman - 09:35 - Chapter Breakdown 1:34:21 - Closing Thoughts and Review</t>
        </is>
      </c>
      <c r="V458" s="47">
        <f>IF(AND(P458&gt;=Calendar!$K$2,P458&lt;EDATE(Calendar!$K$2,1),OR(Calendar!$K$4="*",N458=Calendar!$K$4)),P458*100+COUNTIFS($P$6:$P$3267,P458,$Q$6:$Q$3267,"&lt;="&amp;Q458,$N$6:$N$3267,Calendar!$K$4),"")</f>
        <v/>
      </c>
      <c r="W458" s="47">
        <f>IF(AND(B458=Queue!$C$4,OR(Queue!$K$4="*",N458=Queue!$K$4)),Q458,"")</f>
        <v/>
      </c>
    </row>
    <row r="459">
      <c r="A459" s="38">
        <f>IF(M459="","",HYPERLINK("https://www.youtube.com/watch?v="&amp;M459,"▶"))</f>
        <v/>
      </c>
      <c r="B459" s="39">
        <f>IF(C459&lt;&gt;"",C459,IF(P459&lt;=IFERROR(INDEX(tblChannels[Watched Through],MATCH(N459,tblChannels[Channel ID],0)),0),"Watched","Unwatched"))</f>
        <v/>
      </c>
      <c r="C459" s="40" t="n"/>
      <c r="D459" s="41" t="n"/>
      <c r="E459" s="42" t="n">
        <v>45667.71597222222</v>
      </c>
      <c r="F459" s="50" t="inlineStr">
        <is>
          <t>Super Carlin Brothers</t>
        </is>
      </c>
      <c r="G459" t="inlineStr">
        <is>
          <t>How Harry Mirror’s Every DRAGON | Harry Potter Film Theory</t>
        </is>
      </c>
      <c r="H459" s="44" t="n">
        <v>0.008888888888888889</v>
      </c>
      <c r="I459" s="45" t="n">
        <v>81230</v>
      </c>
      <c r="J459" s="45" t="n">
        <v>3808</v>
      </c>
      <c r="K459" s="45" t="n">
        <v>280</v>
      </c>
      <c r="L459" s="46" t="n"/>
      <c r="M459" s="47" t="n"/>
      <c r="N459" s="47" t="inlineStr">
        <is>
          <t>UCKZo4N0lVPccBkSiuyVh4yg</t>
        </is>
      </c>
      <c r="O459" s="48" t="n">
        <v>45667.92430555556</v>
      </c>
      <c r="P459" s="49" t="n">
        <v>45667</v>
      </c>
      <c r="Q459" s="47" t="n">
        <v>2809</v>
      </c>
      <c r="R459" s="47" t="inlineStr">
        <is>
          <t>No Video ID yet</t>
        </is>
      </c>
      <c r="S459" s="49" t="n"/>
      <c r="T459" s="49" t="n"/>
      <c r="U459" s="47" t="inlineStr">
        <is>
          <t>This episode is sponsored by Raycon - Go to to get 15% off sitewide Today Ben dives into the Wizarding World to reveal how every Dragon Harry encounters throughout the series serves as a mirror to not just Harry, but also the circumstances he currently finds himself in often literally and metaphorically.</t>
        </is>
      </c>
      <c r="V459" s="47">
        <f>IF(AND(P459&gt;=Calendar!$K$2,P459&lt;EDATE(Calendar!$K$2,1),OR(Calendar!$K$4="*",N459=Calendar!$K$4)),P459*100+COUNTIFS($P$6:$P$3267,P459,$Q$6:$Q$3267,"&lt;="&amp;Q459,$N$6:$N$3267,Calendar!$K$4),"")</f>
        <v/>
      </c>
      <c r="W459" s="47">
        <f>IF(AND(B459=Queue!$C$4,OR(Queue!$K$4="*",N459=Queue!$K$4)),Q459,"")</f>
        <v/>
      </c>
    </row>
    <row r="460">
      <c r="A460" s="38">
        <f>IF(M460="","",HYPERLINK("https://www.youtube.com/watch?v="&amp;M460,"▶"))</f>
        <v/>
      </c>
      <c r="B460" s="39">
        <f>IF(C460&lt;&gt;"",C460,IF(P460&lt;=IFERROR(INDEX(tblChannels[Watched Through],MATCH(N460,tblChannels[Channel ID],0)),0),"Watched","Unwatched"))</f>
        <v/>
      </c>
      <c r="C460" s="40" t="n"/>
      <c r="D460" s="41" t="n"/>
      <c r="E460" s="42" t="n">
        <v>45667.41666666666</v>
      </c>
      <c r="F460" s="43" t="inlineStr">
        <is>
          <t>Popcorn Culture</t>
        </is>
      </c>
      <c r="G460" t="inlineStr">
        <is>
          <t>Touching Sharks…? | Popcorn Culture</t>
        </is>
      </c>
      <c r="H460" s="44" t="n">
        <v>0.05217592592592592</v>
      </c>
      <c r="I460" s="45" t="n">
        <v>4092</v>
      </c>
      <c r="J460" s="45" t="n">
        <v>191</v>
      </c>
      <c r="K460" s="45" t="n">
        <v>48</v>
      </c>
      <c r="L460" s="46" t="n"/>
      <c r="M460" s="47" t="n"/>
      <c r="N460" s="47" t="inlineStr">
        <is>
          <t>UCHfIbq9thHPC8yrKjAdJgDA</t>
        </is>
      </c>
      <c r="O460" s="48" t="n">
        <v>45667.625</v>
      </c>
      <c r="P460" s="49" t="n">
        <v>45667</v>
      </c>
      <c r="Q460" s="47" t="n">
        <v>2808</v>
      </c>
      <c r="R460" s="47" t="inlineStr">
        <is>
          <t>No Video ID yet</t>
        </is>
      </c>
      <c r="S460" s="49" t="n"/>
      <c r="T460" s="49" t="n"/>
      <c r="U460" s="47" t="inlineStr">
        <is>
          <t>In the 266th episode of the Pop, Ben and J discuss mic stands, office BeyBlades, corals, a western book, accents, adaptations for roommate living, apologizing, and their upcoming Disney trip. HARDEST Frozen Trivia Quiz | POLAR PLUNGE PUNISHMENT - Lonesome Dove - Beavers do Beavering Indulging Your Voice Unexplored Places 00:00 - Cold Open, Mic Stand 02:52 - Intro, The Commanders 07:20 - BeyBlades 32:02 - Lonesome Dove 50:31 - Unusual Home Habits</t>
        </is>
      </c>
      <c r="V460" s="47">
        <f>IF(AND(P460&gt;=Calendar!$K$2,P460&lt;EDATE(Calendar!$K$2,1),OR(Calendar!$K$4="*",N460=Calendar!$K$4)),P460*100+COUNTIFS($P$6:$P$3267,P460,$Q$6:$Q$3267,"&lt;="&amp;Q460,$N$6:$N$3267,Calendar!$K$4),"")</f>
        <v/>
      </c>
      <c r="W460" s="47">
        <f>IF(AND(B460=Queue!$C$4,OR(Queue!$K$4="*",N460=Queue!$K$4)),Q460,"")</f>
        <v/>
      </c>
    </row>
    <row r="461">
      <c r="A461" s="38">
        <f>IF(M461="","",HYPERLINK("https://www.youtube.com/watch?v="&amp;M461,"▶"))</f>
        <v/>
      </c>
      <c r="B461" s="39">
        <f>IF(C461&lt;&gt;"",C461,IF(P461&lt;=IFERROR(INDEX(tblChannels[Watched Through],MATCH(N461,tblChannels[Channel ID],0)),0),"Watched","Unwatched"))</f>
        <v/>
      </c>
      <c r="C461" s="40" t="n"/>
      <c r="D461" s="41" t="n"/>
      <c r="E461" s="42" t="n">
        <v>45665.67222222222</v>
      </c>
      <c r="F461" s="50" t="inlineStr">
        <is>
          <t>Super Carlin Brothers</t>
        </is>
      </c>
      <c r="G461" t="inlineStr">
        <is>
          <t>What If Harry Asked Cho To The Ball FIRST | Harry Potter Film Theory</t>
        </is>
      </c>
      <c r="H461" s="44" t="n">
        <v>0.01668981481481481</v>
      </c>
      <c r="I461" s="45" t="n">
        <v>229262</v>
      </c>
      <c r="J461" s="45" t="n">
        <v>9050</v>
      </c>
      <c r="K461" s="45" t="n">
        <v>982</v>
      </c>
      <c r="L461" s="46" t="n"/>
      <c r="M461" s="47" t="n"/>
      <c r="N461" s="47" t="inlineStr">
        <is>
          <t>UCKZo4N0lVPccBkSiuyVh4yg</t>
        </is>
      </c>
      <c r="O461" s="48" t="n">
        <v>45665.88055555556</v>
      </c>
      <c r="P461" s="49" t="n">
        <v>45665</v>
      </c>
      <c r="Q461" s="47" t="n">
        <v>2807</v>
      </c>
      <c r="R461" s="47" t="inlineStr">
        <is>
          <t>No Video ID yet</t>
        </is>
      </c>
      <c r="S461" s="49" t="n"/>
      <c r="T461" s="49" t="n"/>
      <c r="U461" s="47" t="inlineStr">
        <is>
          <t>Today J dives into the Wizarding World of Harry Potter to ask What If Harry Potter had just asked Cho Chang to the Yule Ball before Cedric Diggory? Would they have started dating? Would he still end up with Ginny? What about Ron's date - and... does he still defeat Voldemort?!</t>
        </is>
      </c>
      <c r="V461" s="47">
        <f>IF(AND(P461&gt;=Calendar!$K$2,P461&lt;EDATE(Calendar!$K$2,1),OR(Calendar!$K$4="*",N461=Calendar!$K$4)),P461*100+COUNTIFS($P$6:$P$3267,P461,$Q$6:$Q$3267,"&lt;="&amp;Q461,$N$6:$N$3267,Calendar!$K$4),"")</f>
        <v/>
      </c>
      <c r="W461" s="47">
        <f>IF(AND(B461=Queue!$C$4,OR(Queue!$K$4="*",N461=Queue!$K$4)),Q461,"")</f>
        <v/>
      </c>
    </row>
    <row r="462">
      <c r="A462" s="38">
        <f>IF(M462="","",HYPERLINK("https://www.youtube.com/watch?v="&amp;M462,"▶"))</f>
        <v/>
      </c>
      <c r="B462" s="39">
        <f>IF(C462&lt;&gt;"",C462,IF(P462&lt;=IFERROR(INDEX(tblChannels[Watched Through],MATCH(N462,tblChannels[Channel ID],0)),0),"Watched","Unwatched"))</f>
        <v/>
      </c>
      <c r="C462" s="40" t="n"/>
      <c r="D462" s="41" t="n"/>
      <c r="E462" s="42" t="n">
        <v>45662.41666666666</v>
      </c>
      <c r="F462" s="51" t="inlineStr">
        <is>
          <t>Through The Griffin Door</t>
        </is>
      </c>
      <c r="G462" t="inlineStr">
        <is>
          <t>Chapter 7: Bagman and Crouch | Goblet of Fire</t>
        </is>
      </c>
      <c r="H462" s="44" t="n">
        <v>0.07841435185185185</v>
      </c>
      <c r="I462" s="45" t="n">
        <v>75682</v>
      </c>
      <c r="J462" s="45" t="n">
        <v>1851</v>
      </c>
      <c r="K462" s="45" t="n">
        <v>697</v>
      </c>
      <c r="L462" s="46" t="n"/>
      <c r="M462" s="47" t="n"/>
      <c r="N462" s="47" t="inlineStr">
        <is>
          <t>UCEscP6ETYXWSSvsNrDHekMQ</t>
        </is>
      </c>
      <c r="O462" s="48" t="n">
        <v>45662.625</v>
      </c>
      <c r="P462" s="49" t="n">
        <v>45662</v>
      </c>
      <c r="Q462" s="47" t="n">
        <v>2806</v>
      </c>
      <c r="R462" s="47" t="inlineStr">
        <is>
          <t>No Video ID yet</t>
        </is>
      </c>
      <c r="S462" s="49" t="n"/>
      <c r="T462" s="49" t="n"/>
      <c r="U462" s="47" t="inlineStr">
        <is>
          <t>Join J and Ben as they dive into Chapter 7 of the Goblet of Fire and discuss muggle vs wizard clothes, Arthur’s luck, Mr. Roberts, exploring the campground, Ludo’s bets, Crouch’s sternness, and souvenirs. 05:15 - Chapter Breakdown 1:42:28 - Closing Thoughts and Review</t>
        </is>
      </c>
      <c r="V462" s="47">
        <f>IF(AND(P462&gt;=Calendar!$K$2,P462&lt;EDATE(Calendar!$K$2,1),OR(Calendar!$K$4="*",N462=Calendar!$K$4)),P462*100+COUNTIFS($P$6:$P$3267,P462,$Q$6:$Q$3267,"&lt;="&amp;Q462,$N$6:$N$3267,Calendar!$K$4),"")</f>
        <v/>
      </c>
      <c r="W462" s="47">
        <f>IF(AND(B462=Queue!$C$4,OR(Queue!$K$4="*",N462=Queue!$K$4)),Q462,"")</f>
        <v/>
      </c>
    </row>
    <row r="463">
      <c r="A463" s="38">
        <f>IF(M463="","",HYPERLINK("https://www.youtube.com/watch?v="&amp;M463,"▶"))</f>
        <v/>
      </c>
      <c r="B463" s="39">
        <f>IF(C463&lt;&gt;"",C463,IF(P463&lt;=IFERROR(INDEX(tblChannels[Watched Through],MATCH(N463,tblChannels[Channel ID],0)),0),"Watched","Unwatched"))</f>
        <v/>
      </c>
      <c r="C463" s="40" t="n"/>
      <c r="D463" s="41" t="n"/>
      <c r="E463" s="42" t="n">
        <v>45660.71111111111</v>
      </c>
      <c r="F463" s="50" t="inlineStr">
        <is>
          <t>Super Carlin Brothers</t>
        </is>
      </c>
      <c r="G463" t="inlineStr">
        <is>
          <t>J vs Ben: ULTIMATE Hogwarts Castle Harry Potter TRIVIA Battle</t>
        </is>
      </c>
      <c r="H463" s="44" t="n">
        <v>0.02732638888888889</v>
      </c>
      <c r="I463" s="45" t="n">
        <v>122935</v>
      </c>
      <c r="J463" s="45" t="n">
        <v>4605</v>
      </c>
      <c r="K463" s="45" t="n">
        <v>978</v>
      </c>
      <c r="L463" s="46" t="n"/>
      <c r="M463" s="47" t="n"/>
      <c r="N463" s="47" t="inlineStr">
        <is>
          <t>UCKZo4N0lVPccBkSiuyVh4yg</t>
        </is>
      </c>
      <c r="O463" s="48" t="n">
        <v>45660.91944444444</v>
      </c>
      <c r="P463" s="49" t="n">
        <v>45660</v>
      </c>
      <c r="Q463" s="47" t="n">
        <v>2805</v>
      </c>
      <c r="R463" s="47" t="inlineStr">
        <is>
          <t>No Video ID yet</t>
        </is>
      </c>
      <c r="S463" s="49" t="n"/>
      <c r="T463" s="49" t="n"/>
      <c r="U463" s="47" t="inlineStr">
        <is>
          <t>Today J and Ben kick off the new year with a Trivia Battle about Hogwarts Castle to find out who knows the most about the ancient stronghold! Celebrate Yourself Hoodie :: Play Along With Us :: #supercarlinbrothers #Harry Potter #JvsBen</t>
        </is>
      </c>
      <c r="V463" s="47">
        <f>IF(AND(P463&gt;=Calendar!$K$2,P463&lt;EDATE(Calendar!$K$2,1),OR(Calendar!$K$4="*",N463=Calendar!$K$4)),P463*100+COUNTIFS($P$6:$P$3267,P463,$Q$6:$Q$3267,"&lt;="&amp;Q463,$N$6:$N$3267,Calendar!$K$4),"")</f>
        <v/>
      </c>
      <c r="W463" s="47">
        <f>IF(AND(B463=Queue!$C$4,OR(Queue!$K$4="*",N463=Queue!$K$4)),Q463,"")</f>
        <v/>
      </c>
    </row>
    <row r="464">
      <c r="A464" s="38">
        <f>IF(M464="","",HYPERLINK("https://www.youtube.com/watch?v="&amp;M464,"▶"))</f>
        <v/>
      </c>
      <c r="B464" s="39">
        <f>IF(C464&lt;&gt;"",C464,IF(P464&lt;=IFERROR(INDEX(tblChannels[Watched Through],MATCH(N464,tblChannels[Channel ID],0)),0),"Watched","Unwatched"))</f>
        <v/>
      </c>
      <c r="C464" s="40" t="n"/>
      <c r="D464" s="41" t="n"/>
      <c r="E464" s="42" t="n">
        <v>45660.5</v>
      </c>
      <c r="F464" s="43" t="inlineStr">
        <is>
          <t>Popcorn Culture</t>
        </is>
      </c>
      <c r="G464" t="inlineStr">
        <is>
          <t>Rezzies! | Popcorn Culture</t>
        </is>
      </c>
      <c r="H464" s="44" t="n">
        <v>0.05434027777777778</v>
      </c>
      <c r="I464" s="45" t="n">
        <v>4193</v>
      </c>
      <c r="J464" s="45" t="n">
        <v>193</v>
      </c>
      <c r="K464" s="45" t="n">
        <v>34</v>
      </c>
      <c r="L464" s="46" t="n"/>
      <c r="M464" s="47" t="n"/>
      <c r="N464" s="47" t="inlineStr">
        <is>
          <t>UCHfIbq9thHPC8yrKjAdJgDA</t>
        </is>
      </c>
      <c r="O464" s="48" t="n">
        <v>45660.70833333334</v>
      </c>
      <c r="P464" s="49" t="n">
        <v>45660</v>
      </c>
      <c r="Q464" s="47" t="n">
        <v>2804</v>
      </c>
      <c r="R464" s="47" t="inlineStr">
        <is>
          <t>No Video ID yet</t>
        </is>
      </c>
      <c r="S464" s="49" t="n"/>
      <c r="T464" s="49" t="n"/>
      <c r="U464" s="47" t="inlineStr">
        <is>
          <t>In the 265th episode of the Pop, Ben and J discuss New Years resolutions, Survivor, Bey Blades, camping, ice baths, New Years Eve dancing, and Diablo 4. Hunger Games - Survivor - Diablo 4 - You Know How Horses Neigh? I Wanna Play MY Game I Could Punch the Moon I Never De-Vigorated New Years Rocking Chair Eve Stop Standing In Your Own Way 00:00 - Intro, Quarter Quell 01:40 - News Years Rezzies 16:56 - Survivor 30:07 - Various Christmas Gifts 42:29 - Camping 1:01:02 - Ice Baths and Hot Tubs 1:06:12 - NYE Party and Diablo 4</t>
        </is>
      </c>
      <c r="V464" s="47">
        <f>IF(AND(P464&gt;=Calendar!$K$2,P464&lt;EDATE(Calendar!$K$2,1),OR(Calendar!$K$4="*",N464=Calendar!$K$4)),P464*100+COUNTIFS($P$6:$P$3267,P464,$Q$6:$Q$3267,"&lt;="&amp;Q464,$N$6:$N$3267,Calendar!$K$4),"")</f>
        <v/>
      </c>
      <c r="W464" s="47">
        <f>IF(AND(B464=Queue!$C$4,OR(Queue!$K$4="*",N464=Queue!$K$4)),Q464,"")</f>
        <v/>
      </c>
    </row>
    <row r="465">
      <c r="A465" s="38">
        <f>IF(M465="","",HYPERLINK("https://www.youtube.com/watch?v="&amp;M465,"▶"))</f>
        <v/>
      </c>
      <c r="B465" s="39">
        <f>IF(C465&lt;&gt;"",C465,IF(P465&lt;=IFERROR(INDEX(tblChannels[Watched Through],MATCH(N465,tblChannels[Channel ID],0)),0),"Watched","Unwatched"))</f>
        <v/>
      </c>
      <c r="C465" s="40" t="n"/>
      <c r="D465" s="41" t="n"/>
      <c r="E465" s="42" t="n">
        <v>45658.41666666666</v>
      </c>
      <c r="F465" s="50" t="inlineStr">
        <is>
          <t>Super Carlin Brothers</t>
        </is>
      </c>
      <c r="G465" t="inlineStr">
        <is>
          <t>The Insane Adventures Of 2024! Check Out Everything We Got Up To</t>
        </is>
      </c>
      <c r="H465" s="44" t="n">
        <v>0.05688657407407408</v>
      </c>
      <c r="I465" s="45" t="n">
        <v>12556</v>
      </c>
      <c r="J465" s="45" t="n">
        <v>526</v>
      </c>
      <c r="K465" s="45" t="n">
        <v>75</v>
      </c>
      <c r="L465" s="46" t="n"/>
      <c r="M465" s="47" t="n"/>
      <c r="N465" s="47" t="inlineStr">
        <is>
          <t>UCKZo4N0lVPccBkSiuyVh4yg</t>
        </is>
      </c>
      <c r="O465" s="48" t="n">
        <v>45658.625</v>
      </c>
      <c r="P465" s="49" t="n">
        <v>45658</v>
      </c>
      <c r="Q465" s="47" t="n">
        <v>2803</v>
      </c>
      <c r="R465" s="47" t="inlineStr">
        <is>
          <t>No Video ID yet</t>
        </is>
      </c>
      <c r="S465" s="49" t="n"/>
      <c r="T465" s="49" t="n"/>
      <c r="U465" s="47" t="inlineStr">
        <is>
          <t>Happy New Year! As we enter the new year we wanted to share all our favorite moments from the last one as recorded for our podcast Popcorn Culture! Thanks for watching! TW: Pregnancy Loss (if you would like to skip, the timestamp for that conversation is 19:48 - 23:31. It is discussed in as light and gentle a tone as is possible for that topic.) In celebration of the New Year, we wanted to share some reflections on our highs and lows of each month! We did this over on our podcast, Popcorn Culture and wanted to share it with you guys here! If you are interested in hearing more about Popcorn Culture, the links are all below! In the 264th episode of the Pop, Ben and J discuss sourdough, cruises, solo adventures, birthdays, boats, recognition, the Celtics, Easter, Bluey, auctions, the mustache, tour, gardening, lake trip, new set, cousins wedding, preschool, tour again, the beer mile, sports, Wicked, and prepping for Christmas. Brooklyn Nine-Nine - Our Bluey Video - Listen wherever Pods are Cast :: 04:39 - January 17:21 - February 23:31 - March 29:00 - April 33:34 - May 41:57 - June 48:01 - July 55:52 - August 59:01 - September 1:06:16 - October 1:10:10 - November 1:17:20 - December an</t>
        </is>
      </c>
      <c r="V465" s="47">
        <f>IF(AND(P465&gt;=Calendar!$K$2,P465&lt;EDATE(Calendar!$K$2,1),OR(Calendar!$K$4="*",N465=Calendar!$K$4)),P465*100+COUNTIFS($P$6:$P$3267,P465,$Q$6:$Q$3267,"&lt;="&amp;Q465,$N$6:$N$3267,Calendar!$K$4),"")</f>
        <v/>
      </c>
      <c r="W465" s="47">
        <f>IF(AND(B465=Queue!$C$4,OR(Queue!$K$4="*",N465=Queue!$K$4)),Q465,"")</f>
        <v/>
      </c>
    </row>
    <row r="466">
      <c r="A466" s="38">
        <f>IF(M466="","",HYPERLINK("https://www.youtube.com/watch?v="&amp;M466,"▶"))</f>
        <v/>
      </c>
      <c r="B466" s="39">
        <f>IF(C466&lt;&gt;"",C466,IF(P466&lt;=IFERROR(INDEX(tblChannels[Watched Through],MATCH(N466,tblChannels[Channel ID],0)),0),"Watched","Unwatched"))</f>
        <v/>
      </c>
      <c r="C466" s="40" t="n"/>
      <c r="D466" s="41" t="n"/>
      <c r="E466" s="42" t="n">
        <v>45655.41666666666</v>
      </c>
      <c r="F466" s="51" t="inlineStr">
        <is>
          <t>Through The Griffin Door</t>
        </is>
      </c>
      <c r="G466" t="inlineStr">
        <is>
          <t>Special Owlery Episode!!</t>
        </is>
      </c>
      <c r="H466" s="44" t="n">
        <v>0.03866898148148148</v>
      </c>
      <c r="I466" s="45" t="n">
        <v>30917</v>
      </c>
      <c r="J466" s="45" t="n">
        <v>1181</v>
      </c>
      <c r="K466" s="45" t="n">
        <v>325</v>
      </c>
      <c r="L466" s="46" t="n"/>
      <c r="M466" s="47" t="n"/>
      <c r="N466" s="47" t="inlineStr">
        <is>
          <t>UCEscP6ETYXWSSvsNrDHekMQ</t>
        </is>
      </c>
      <c r="O466" s="48" t="n">
        <v>45655.625</v>
      </c>
      <c r="P466" s="49" t="n">
        <v>45655</v>
      </c>
      <c r="Q466" s="47" t="n">
        <v>2802</v>
      </c>
      <c r="R466" s="47" t="inlineStr">
        <is>
          <t>No Video ID yet</t>
        </is>
      </c>
      <c r="S466" s="49" t="n"/>
      <c r="T466" s="49" t="n"/>
      <c r="U466" s="47" t="inlineStr">
        <is>
          <t>In lieu of a typical episode, this week we wanted to give you a sneak peak at what you could get every week over on our Patreon as a member of The Owlery! We hope you enjoy and are having a lovely holiday season! 02:40 - What Would Happen If Harry Was Raised By The Weasleys 29:19 - What If Dudley Was A Wizard</t>
        </is>
      </c>
      <c r="V466" s="47">
        <f>IF(AND(P466&gt;=Calendar!$K$2,P466&lt;EDATE(Calendar!$K$2,1),OR(Calendar!$K$4="*",N466=Calendar!$K$4)),P466*100+COUNTIFS($P$6:$P$3267,P466,$Q$6:$Q$3267,"&lt;="&amp;Q466,$N$6:$N$3267,Calendar!$K$4),"")</f>
        <v/>
      </c>
      <c r="W466" s="47">
        <f>IF(AND(B466=Queue!$C$4,OR(Queue!$K$4="*",N466=Queue!$K$4)),Q466,"")</f>
        <v/>
      </c>
    </row>
    <row r="467">
      <c r="A467" s="38">
        <f>IF(M467="","",HYPERLINK("https://www.youtube.com/watch?v="&amp;M467,"▶"))</f>
        <v/>
      </c>
      <c r="B467" s="39">
        <f>IF(C467&lt;&gt;"",C467,IF(P467&lt;=IFERROR(INDEX(tblChannels[Watched Through],MATCH(N467,tblChannels[Channel ID],0)),0),"Watched","Unwatched"))</f>
        <v/>
      </c>
      <c r="C467" s="40" t="n"/>
      <c r="D467" s="41" t="n"/>
      <c r="E467" s="42" t="n">
        <v>45654.41666666666</v>
      </c>
      <c r="F467" s="50" t="inlineStr">
        <is>
          <t>Super Carlin Brothers</t>
        </is>
      </c>
      <c r="G467" t="inlineStr">
        <is>
          <t>Through the Griffin Door Supercut: Goblet of Fire Chapters 4-6</t>
        </is>
      </c>
      <c r="H467" s="44" t="n">
        <v>0.1814583333333333</v>
      </c>
      <c r="I467" s="45" t="n">
        <v>22517</v>
      </c>
      <c r="J467" s="45" t="n">
        <v>365</v>
      </c>
      <c r="K467" s="45" t="n">
        <v>81</v>
      </c>
      <c r="L467" s="46" t="n"/>
      <c r="M467" s="47" t="n"/>
      <c r="N467" s="47" t="inlineStr">
        <is>
          <t>UCKZo4N0lVPccBkSiuyVh4yg</t>
        </is>
      </c>
      <c r="O467" s="48" t="n">
        <v>45654.625</v>
      </c>
      <c r="P467" s="49" t="n">
        <v>45654</v>
      </c>
      <c r="Q467" s="47" t="n">
        <v>2801</v>
      </c>
      <c r="R467" s="47" t="inlineStr">
        <is>
          <t>No Video ID yet</t>
        </is>
      </c>
      <c r="S467" s="49" t="n"/>
      <c r="T467" s="49" t="n"/>
      <c r="U467" s="47" t="inlineStr">
        <is>
          <t>00:00:00 - Chapter 4: Back to the Burrow 1:25:46 - Chapter 5: Weasleys' Wizard Wheezes 2:58:05 - Chapter 6: The Portkey</t>
        </is>
      </c>
      <c r="V467" s="47">
        <f>IF(AND(P467&gt;=Calendar!$K$2,P467&lt;EDATE(Calendar!$K$2,1),OR(Calendar!$K$4="*",N467=Calendar!$K$4)),P467*100+COUNTIFS($P$6:$P$3267,P467,$Q$6:$Q$3267,"&lt;="&amp;Q467,$N$6:$N$3267,Calendar!$K$4),"")</f>
        <v/>
      </c>
      <c r="W467" s="47">
        <f>IF(AND(B467=Queue!$C$4,OR(Queue!$K$4="*",N467=Queue!$K$4)),Q467,"")</f>
        <v/>
      </c>
    </row>
    <row r="468">
      <c r="A468" s="38">
        <f>IF(M468="","",HYPERLINK("https://www.youtube.com/watch?v="&amp;M468,"▶"))</f>
        <v/>
      </c>
      <c r="B468" s="39">
        <f>IF(C468&lt;&gt;"",C468,IF(P468&lt;=IFERROR(INDEX(tblChannels[Watched Through],MATCH(N468,tblChannels[Channel ID],0)),0),"Watched","Unwatched"))</f>
        <v/>
      </c>
      <c r="C468" s="40" t="n"/>
      <c r="D468" s="41" t="n"/>
      <c r="E468" s="42" t="n">
        <v>45653.41736111111</v>
      </c>
      <c r="F468" s="50" t="inlineStr">
        <is>
          <t>Super Carlin Brothers</t>
        </is>
      </c>
      <c r="G468" t="inlineStr">
        <is>
          <t>What If Ron Was In Hufflepuff - FULL STORY</t>
        </is>
      </c>
      <c r="H468" s="44" t="n">
        <v>0.1284490740740741</v>
      </c>
      <c r="I468" s="45" t="n">
        <v>688453</v>
      </c>
      <c r="J468" s="45" t="n">
        <v>7720</v>
      </c>
      <c r="K468" s="45" t="n">
        <v>1036</v>
      </c>
      <c r="L468" s="46" t="n"/>
      <c r="M468" s="47" t="n"/>
      <c r="N468" s="47" t="inlineStr">
        <is>
          <t>UCKZo4N0lVPccBkSiuyVh4yg</t>
        </is>
      </c>
      <c r="O468" s="48" t="n">
        <v>45653.62569444445</v>
      </c>
      <c r="P468" s="49" t="n">
        <v>45653</v>
      </c>
      <c r="Q468" s="47" t="n">
        <v>2800</v>
      </c>
      <c r="R468" s="47" t="inlineStr">
        <is>
          <t>No Video ID yet</t>
        </is>
      </c>
      <c r="S468" s="49" t="n"/>
      <c r="T468" s="49" t="n"/>
      <c r="U468" s="47" t="inlineStr">
        <is>
          <t>What If Ron Weasely had been sorted into Hufflepuff instead of Gyrffindor like he usually is? Well it all starts when the Weasly’s decided to raise Harry as their own rather than being brough up by the Dursley’s a decision that changes not just Harry, but Ron’s life forever. We loved writing this series and have stitched together all of our main video coivering this topic in to one MASSIVE video from Philosophers Stone to the final showdown with Voldemort - ENJOY! #supercarlinbrothers #HarryPotter WhatIf Edited by :: Isybelle Christley &amp; Ethan Edghill</t>
        </is>
      </c>
      <c r="V468" s="47">
        <f>IF(AND(P468&gt;=Calendar!$K$2,P468&lt;EDATE(Calendar!$K$2,1),OR(Calendar!$K$4="*",N468=Calendar!$K$4)),P468*100+COUNTIFS($P$6:$P$3267,P468,$Q$6:$Q$3267,"&lt;="&amp;Q468,$N$6:$N$3267,Calendar!$K$4),"")</f>
        <v/>
      </c>
      <c r="W468" s="47">
        <f>IF(AND(B468=Queue!$C$4,OR(Queue!$K$4="*",N468=Queue!$K$4)),Q468,"")</f>
        <v/>
      </c>
    </row>
    <row r="469">
      <c r="A469" s="38">
        <f>IF(M469="","",HYPERLINK("https://www.youtube.com/watch?v="&amp;M469,"▶"))</f>
        <v/>
      </c>
      <c r="B469" s="39">
        <f>IF(C469&lt;&gt;"",C469,IF(P469&lt;=IFERROR(INDEX(tblChannels[Watched Through],MATCH(N469,tblChannels[Channel ID],0)),0),"Watched","Unwatched"))</f>
        <v/>
      </c>
      <c r="C469" s="40" t="n"/>
      <c r="D469" s="41" t="n"/>
      <c r="E469" s="42" t="n">
        <v>45653.41666666666</v>
      </c>
      <c r="F469" s="43" t="inlineStr">
        <is>
          <t>Popcorn Culture</t>
        </is>
      </c>
      <c r="G469" t="inlineStr">
        <is>
          <t>Year in Review | Popcorn Culture</t>
        </is>
      </c>
      <c r="H469" s="44" t="n">
        <v>0.05688657407407408</v>
      </c>
      <c r="I469" s="45" t="n">
        <v>3793</v>
      </c>
      <c r="J469" s="45" t="n">
        <v>196</v>
      </c>
      <c r="K469" s="45" t="n">
        <v>19</v>
      </c>
      <c r="L469" s="46" t="n"/>
      <c r="M469" s="47" t="n"/>
      <c r="N469" s="47" t="inlineStr">
        <is>
          <t>UCHfIbq9thHPC8yrKjAdJgDA</t>
        </is>
      </c>
      <c r="O469" s="48" t="n">
        <v>45653.625</v>
      </c>
      <c r="P469" s="49" t="n">
        <v>45653</v>
      </c>
      <c r="Q469" s="47" t="n">
        <v>2799</v>
      </c>
      <c r="R469" s="47" t="inlineStr">
        <is>
          <t>No Video ID yet</t>
        </is>
      </c>
      <c r="S469" s="49" t="n"/>
      <c r="T469" s="49" t="n"/>
      <c r="U469" s="47" t="inlineStr">
        <is>
          <t>TW: Pregnancy Loss (if you would like to skip, the timestamp for that conversation is 19:48 - 23:31. It is discussed in as light and gentle a tone as is possible for that topic.) Ben and J discuss sourdough, cruises, solo adventures, birthdays, boats, recognition, the Celtics, Easter, Bluey, auctions, the mustache, tour, gardening, lake trip, new set, cousins wedding, preschool, tour again, the beer mile, sports, Wicked, and prepping for Christmas. Brooklyn Nine-Nine - Our Bluey Video - 04:39 - January 17:21 - February 23:31 - March 29:00 - April 33:34 - May 41:57 - June 48:01 - July 55:52 - August 59:01 - September 1:06:16 - October 1:10:10 - November 1:17:20 - December and Thanks</t>
        </is>
      </c>
      <c r="V469" s="47">
        <f>IF(AND(P469&gt;=Calendar!$K$2,P469&lt;EDATE(Calendar!$K$2,1),OR(Calendar!$K$4="*",N469=Calendar!$K$4)),P469*100+COUNTIFS($P$6:$P$3267,P469,$Q$6:$Q$3267,"&lt;="&amp;Q469,$N$6:$N$3267,Calendar!$K$4),"")</f>
        <v/>
      </c>
      <c r="W469" s="47">
        <f>IF(AND(B469=Queue!$C$4,OR(Queue!$K$4="*",N469=Queue!$K$4)),Q469,"")</f>
        <v/>
      </c>
    </row>
    <row r="470">
      <c r="A470" s="38">
        <f>IF(M470="","",HYPERLINK("https://www.youtube.com/watch?v="&amp;M470,"▶"))</f>
        <v/>
      </c>
      <c r="B470" s="39">
        <f>IF(C470&lt;&gt;"",C470,IF(P470&lt;=IFERROR(INDEX(tblChannels[Watched Through],MATCH(N470,tblChannels[Channel ID],0)),0),"Watched","Unwatched"))</f>
        <v/>
      </c>
      <c r="C470" s="40" t="n"/>
      <c r="D470" s="41" t="n"/>
      <c r="E470" s="42" t="n">
        <v>45651.41666666666</v>
      </c>
      <c r="F470" s="50" t="inlineStr">
        <is>
          <t>Super Carlin Brothers</t>
        </is>
      </c>
      <c r="G470" t="inlineStr">
        <is>
          <t>J vs Ben: FULL YEAR SHOWDOWN - Who is the Ultimate Champion of 2024?</t>
        </is>
      </c>
      <c r="H470" s="44" t="n">
        <v>0.4802662037037037</v>
      </c>
      <c r="I470" s="45" t="n">
        <v>173543</v>
      </c>
      <c r="J470" s="45" t="n">
        <v>2972</v>
      </c>
      <c r="K470" s="45" t="n">
        <v>716</v>
      </c>
      <c r="L470" s="46" t="n"/>
      <c r="M470" s="47" t="n"/>
      <c r="N470" s="47" t="inlineStr">
        <is>
          <t>UCKZo4N0lVPccBkSiuyVh4yg</t>
        </is>
      </c>
      <c r="O470" s="48" t="n">
        <v>45651.625</v>
      </c>
      <c r="P470" s="49" t="n">
        <v>45651</v>
      </c>
      <c r="Q470" s="47" t="n">
        <v>2798</v>
      </c>
      <c r="R470" s="47" t="inlineStr">
        <is>
          <t>No Video ID yet</t>
        </is>
      </c>
      <c r="S470" s="49" t="n"/>
      <c r="T470" s="49" t="n"/>
      <c r="U470" s="47" t="inlineStr">
        <is>
          <t>The 12 HOUR video you've all been waiting for! It's time for the FULL YEAR SHOWDOWN to determine the Ultimate Champion of 2024! Who will earn Glory for another year!? FIND OUT NOW! If you want to play along with us, all these quizzes (and more!) are on our website ::</t>
        </is>
      </c>
      <c r="V470" s="47">
        <f>IF(AND(P470&gt;=Calendar!$K$2,P470&lt;EDATE(Calendar!$K$2,1),OR(Calendar!$K$4="*",N470=Calendar!$K$4)),P470*100+COUNTIFS($P$6:$P$3267,P470,$Q$6:$Q$3267,"&lt;="&amp;Q470,$N$6:$N$3267,Calendar!$K$4),"")</f>
        <v/>
      </c>
      <c r="W470" s="47">
        <f>IF(AND(B470=Queue!$C$4,OR(Queue!$K$4="*",N470=Queue!$K$4)),Q470,"")</f>
        <v/>
      </c>
    </row>
    <row r="471">
      <c r="A471" s="38">
        <f>IF(M471="","",HYPERLINK("https://www.youtube.com/watch?v="&amp;M471,"▶"))</f>
        <v/>
      </c>
      <c r="B471" s="39">
        <f>IF(C471&lt;&gt;"",C471,IF(P471&lt;=IFERROR(INDEX(tblChannels[Watched Through],MATCH(N471,tblChannels[Channel ID],0)),0),"Watched","Unwatched"))</f>
        <v/>
      </c>
      <c r="C471" s="40" t="n"/>
      <c r="D471" s="41" t="n"/>
      <c r="E471" s="42" t="n">
        <v>45648.41666666666</v>
      </c>
      <c r="F471" s="51" t="inlineStr">
        <is>
          <t>Through The Griffin Door</t>
        </is>
      </c>
      <c r="G471" t="inlineStr">
        <is>
          <t>Chapter 6: The Portkey | Goblet of Fire</t>
        </is>
      </c>
      <c r="H471" s="44" t="n">
        <v>0.05778935185185185</v>
      </c>
      <c r="I471" s="45" t="n">
        <v>60117</v>
      </c>
      <c r="J471" s="45" t="n">
        <v>1633</v>
      </c>
      <c r="K471" s="45" t="n">
        <v>481</v>
      </c>
      <c r="L471" s="46" t="n"/>
      <c r="M471" s="47" t="n"/>
      <c r="N471" s="47" t="inlineStr">
        <is>
          <t>UCEscP6ETYXWSSvsNrDHekMQ</t>
        </is>
      </c>
      <c r="O471" s="48" t="n">
        <v>45648.625</v>
      </c>
      <c r="P471" s="49" t="n">
        <v>45648</v>
      </c>
      <c r="Q471" s="47" t="n">
        <v>2797</v>
      </c>
      <c r="R471" s="47" t="inlineStr">
        <is>
          <t>No Video ID yet</t>
        </is>
      </c>
      <c r="S471" s="49" t="n"/>
      <c r="T471" s="49" t="n"/>
      <c r="U471" s="47" t="inlineStr">
        <is>
          <t>Join J and Ben as they dive into Chapter 6 of the Goblet of Fire and discuss the word manky, splinching, Molly’s threshold for success, exposition for Harry, and Amos’s lack of humility. 06:00 - Chapter Breakdown 1:06:49 - Closing Thoughts and Review</t>
        </is>
      </c>
      <c r="V471" s="47">
        <f>IF(AND(P471&gt;=Calendar!$K$2,P471&lt;EDATE(Calendar!$K$2,1),OR(Calendar!$K$4="*",N471=Calendar!$K$4)),P471*100+COUNTIFS($P$6:$P$3267,P471,$Q$6:$Q$3267,"&lt;="&amp;Q471,$N$6:$N$3267,Calendar!$K$4),"")</f>
        <v/>
      </c>
      <c r="W471" s="47">
        <f>IF(AND(B471=Queue!$C$4,OR(Queue!$K$4="*",N471=Queue!$K$4)),Q471,"")</f>
        <v/>
      </c>
    </row>
    <row r="472">
      <c r="A472" s="38">
        <f>IF(M472="","",HYPERLINK("https://www.youtube.com/watch?v="&amp;M472,"▶"))</f>
        <v/>
      </c>
      <c r="B472" s="39">
        <f>IF(C472&lt;&gt;"",C472,IF(P472&lt;=IFERROR(INDEX(tblChannels[Watched Through],MATCH(N472,tblChannels[Channel ID],0)),0),"Watched","Unwatched"))</f>
        <v/>
      </c>
      <c r="C472" s="40" t="n"/>
      <c r="D472" s="41" t="n"/>
      <c r="E472" s="42" t="n">
        <v>45647.27013888889</v>
      </c>
      <c r="F472" s="52" t="inlineStr">
        <is>
          <t>Super Carlin Gaming</t>
        </is>
      </c>
      <c r="G472" t="inlineStr">
        <is>
          <t>Pokemon Box Breakers SEASON 13 Episode 2 - 12/20/2024</t>
        </is>
      </c>
      <c r="H472" s="44" t="n">
        <v>0.1220601851851852</v>
      </c>
      <c r="I472" s="45" t="n">
        <v>1169</v>
      </c>
      <c r="J472" s="45" t="n">
        <v>42</v>
      </c>
      <c r="K472" s="45" t="n">
        <v>2</v>
      </c>
      <c r="L472" s="46" t="n"/>
      <c r="M472" s="47" t="n"/>
      <c r="N472" s="47" t="inlineStr">
        <is>
          <t>UCor_9jRnNNZVzTuQ92PKsaQ</t>
        </is>
      </c>
      <c r="O472" s="48" t="n">
        <v>45647.47847222222</v>
      </c>
      <c r="P472" s="49" t="n">
        <v>45647</v>
      </c>
      <c r="Q472" s="47" t="n">
        <v>2796</v>
      </c>
      <c r="R472" s="47" t="inlineStr">
        <is>
          <t>No Video ID yet</t>
        </is>
      </c>
      <c r="S472" s="49" t="n"/>
      <c r="T472" s="49" t="n"/>
      <c r="U472" s="47" t="n"/>
      <c r="V472" s="47">
        <f>IF(AND(P472&gt;=Calendar!$K$2,P472&lt;EDATE(Calendar!$K$2,1),OR(Calendar!$K$4="*",N472=Calendar!$K$4)),P472*100+COUNTIFS($P$6:$P$3267,P472,$Q$6:$Q$3267,"&lt;="&amp;Q472,$N$6:$N$3267,Calendar!$K$4),"")</f>
        <v/>
      </c>
      <c r="W472" s="47">
        <f>IF(AND(B472=Queue!$C$4,OR(Queue!$K$4="*",N472=Queue!$K$4)),Q472,"")</f>
        <v/>
      </c>
    </row>
    <row r="473">
      <c r="A473" s="38">
        <f>IF(M473="","",HYPERLINK("https://www.youtube.com/watch?v="&amp;M473,"▶"))</f>
        <v/>
      </c>
      <c r="B473" s="39">
        <f>IF(C473&lt;&gt;"",C473,IF(P473&lt;=IFERROR(INDEX(tblChannels[Watched Through],MATCH(N473,tblChannels[Channel ID],0)),0),"Watched","Unwatched"))</f>
        <v/>
      </c>
      <c r="C473" s="40" t="n"/>
      <c r="D473" s="41" t="n"/>
      <c r="E473" s="42" t="n">
        <v>45646.73055555556</v>
      </c>
      <c r="F473" s="50" t="inlineStr">
        <is>
          <t>Super Carlin Brothers</t>
        </is>
      </c>
      <c r="G473" t="inlineStr">
        <is>
          <t>What If Ron Was In Hufflepuff - THE END | Harry Potter Film Theory</t>
        </is>
      </c>
      <c r="H473" s="44" t="n">
        <v>0.01886574074074074</v>
      </c>
      <c r="I473" s="45" t="n">
        <v>76596</v>
      </c>
      <c r="J473" s="45" t="n">
        <v>3863</v>
      </c>
      <c r="K473" s="45" t="n">
        <v>452</v>
      </c>
      <c r="L473" s="46" t="n"/>
      <c r="M473" s="47" t="n"/>
      <c r="N473" s="47" t="inlineStr">
        <is>
          <t>UCKZo4N0lVPccBkSiuyVh4yg</t>
        </is>
      </c>
      <c r="O473" s="48" t="n">
        <v>45646.93888888889</v>
      </c>
      <c r="P473" s="49" t="n">
        <v>45646</v>
      </c>
      <c r="Q473" s="47" t="n">
        <v>2795</v>
      </c>
      <c r="R473" s="47" t="inlineStr">
        <is>
          <t>No Video ID yet</t>
        </is>
      </c>
      <c r="S473" s="49" t="n"/>
      <c r="T473" s="49" t="n"/>
      <c r="U473" s="47" t="inlineStr">
        <is>
          <t>This episode is sponsored by BetterHelp — go to to get 10% off your first month. Today Ben dives into the What If verse Ron in Hufflepuff to find out how it all ends! How will they find the final horcruxes? Will Ron survive? What about Harry since Voldemort didn’t take his blood! Find out today! #supercarlinbrothers #Harry Potter #JvsBen</t>
        </is>
      </c>
      <c r="V473" s="47">
        <f>IF(AND(P473&gt;=Calendar!$K$2,P473&lt;EDATE(Calendar!$K$2,1),OR(Calendar!$K$4="*",N473=Calendar!$K$4)),P473*100+COUNTIFS($P$6:$P$3267,P473,$Q$6:$Q$3267,"&lt;="&amp;Q473,$N$6:$N$3267,Calendar!$K$4),"")</f>
        <v/>
      </c>
      <c r="W473" s="47">
        <f>IF(AND(B473=Queue!$C$4,OR(Queue!$K$4="*",N473=Queue!$K$4)),Q473,"")</f>
        <v/>
      </c>
    </row>
    <row r="474">
      <c r="A474" s="38">
        <f>IF(M474="","",HYPERLINK("https://www.youtube.com/watch?v="&amp;M474,"▶"))</f>
        <v/>
      </c>
      <c r="B474" s="39">
        <f>IF(C474&lt;&gt;"",C474,IF(P474&lt;=IFERROR(INDEX(tblChannels[Watched Through],MATCH(N474,tblChannels[Channel ID],0)),0),"Watched","Unwatched"))</f>
        <v/>
      </c>
      <c r="C474" s="40" t="n"/>
      <c r="D474" s="41" t="n"/>
      <c r="E474" s="42" t="n">
        <v>45646.41666666666</v>
      </c>
      <c r="F474" s="43" t="inlineStr">
        <is>
          <t>Popcorn Culture</t>
        </is>
      </c>
      <c r="G474" t="inlineStr">
        <is>
          <t>The Unusual Circumstances Episode | Popcorn Culture</t>
        </is>
      </c>
      <c r="H474" s="44" t="n">
        <v>0.04934027777777777</v>
      </c>
      <c r="I474" s="45" t="n">
        <v>3831</v>
      </c>
      <c r="J474" s="45" t="n">
        <v>193</v>
      </c>
      <c r="K474" s="45" t="n">
        <v>59</v>
      </c>
      <c r="L474" s="46" t="n"/>
      <c r="M474" s="47" t="n"/>
      <c r="N474" s="47" t="inlineStr">
        <is>
          <t>UCHfIbq9thHPC8yrKjAdJgDA</t>
        </is>
      </c>
      <c r="O474" s="48" t="n">
        <v>45646.625</v>
      </c>
      <c r="P474" s="49" t="n">
        <v>45646</v>
      </c>
      <c r="Q474" s="47" t="n">
        <v>2794</v>
      </c>
      <c r="R474" s="47" t="inlineStr">
        <is>
          <t>No Video ID yet</t>
        </is>
      </c>
      <c r="S474" s="49" t="n"/>
      <c r="T474" s="49" t="n"/>
      <c r="U474" s="47" t="inlineStr">
        <is>
          <t>In the 263rd episode of the Pop, Ben and J discuss the stars at Christmas, confirmation bias, chosen ones, sonder, competitive Pokemon, the reason for art, and reminisce about the Pop over the years. What Even Is Myrrh? Am I the Chosen One? 00:00 - Mic Cold Open 02:01 - Intro, The Christmas Star Story 31:58 - The Chosen One 46:54 - Competitive Pokemon</t>
        </is>
      </c>
      <c r="V474" s="47">
        <f>IF(AND(P474&gt;=Calendar!$K$2,P474&lt;EDATE(Calendar!$K$2,1),OR(Calendar!$K$4="*",N474=Calendar!$K$4)),P474*100+COUNTIFS($P$6:$P$3267,P474,$Q$6:$Q$3267,"&lt;="&amp;Q474,$N$6:$N$3267,Calendar!$K$4),"")</f>
        <v/>
      </c>
      <c r="W474" s="47">
        <f>IF(AND(B474=Queue!$C$4,OR(Queue!$K$4="*",N474=Queue!$K$4)),Q474,"")</f>
        <v/>
      </c>
    </row>
    <row r="475">
      <c r="A475" s="38">
        <f>IF(M475="","",HYPERLINK("https://www.youtube.com/watch?v="&amp;M475,"▶"))</f>
        <v/>
      </c>
      <c r="B475" s="39">
        <f>IF(C475&lt;&gt;"",C475,IF(P475&lt;=IFERROR(INDEX(tblChannels[Watched Through],MATCH(N475,tblChannels[Channel ID],0)),0),"Watched","Unwatched"))</f>
        <v/>
      </c>
      <c r="C475" s="40" t="n"/>
      <c r="D475" s="41" t="n"/>
      <c r="E475" s="42" t="n">
        <v>45644.72013888889</v>
      </c>
      <c r="F475" s="50" t="inlineStr">
        <is>
          <t>Super Carlin Brothers</t>
        </is>
      </c>
      <c r="G475" t="inlineStr">
        <is>
          <t>J vs Ben: FINAL Harry Potter Trivia Battle of the YEAR!</t>
        </is>
      </c>
      <c r="H475" s="44" t="n">
        <v>0.02606481481481481</v>
      </c>
      <c r="I475" s="45" t="n">
        <v>95037</v>
      </c>
      <c r="J475" s="45" t="n">
        <v>3988</v>
      </c>
      <c r="K475" s="45" t="n">
        <v>409</v>
      </c>
      <c r="L475" s="46" t="n"/>
      <c r="M475" s="47" t="n"/>
      <c r="N475" s="47" t="inlineStr">
        <is>
          <t>UCKZo4N0lVPccBkSiuyVh4yg</t>
        </is>
      </c>
      <c r="O475" s="48" t="n">
        <v>45644.92847222222</v>
      </c>
      <c r="P475" s="49" t="n">
        <v>45644</v>
      </c>
      <c r="Q475" s="47" t="n">
        <v>2793</v>
      </c>
      <c r="R475" s="47" t="inlineStr">
        <is>
          <t>No Video ID yet</t>
        </is>
      </c>
      <c r="S475" s="49" t="n"/>
      <c r="T475" s="49" t="n"/>
      <c r="U475" s="47" t="inlineStr">
        <is>
          <t>Go to and use code BROTHER to get exclusive holiday deals and savings all month long. The fastest card game in the Multiverse. Visit to make a new deck and try MARVEL SNAP for free on Steam, IOS or Android! Today J and Ben face off for the FINAL time this year as they conclude the Harry Potter Christmas Trivia Quiz! J’s SNAP Deck: # (1) Kingpin # (2) Kraven # (2) Scream # (2) Silk # (3) Juggernaut # (3) Red Guardian # (3) Polaris # (3) Spider-Man # (4) Miles Morales # (4) Stegron # (5) Aero # (6) Magneto # U2NybTYsS25ncG43LFNwZHJNbjksTWdudDcsU3Rncm43LEFyNCxNbHNNcmxzQyxSZEdyZG5CLFBscnM3LEtydm42LEpnZ3JudEEsU2xrNA== # # To use this deck, copy it to your clipboard and paste it from the deck editing menu in MARVEL SNAP. #supercarlinbrothers #Harry Potter #JvsBen</t>
        </is>
      </c>
      <c r="V475" s="47">
        <f>IF(AND(P475&gt;=Calendar!$K$2,P475&lt;EDATE(Calendar!$K$2,1),OR(Calendar!$K$4="*",N475=Calendar!$K$4)),P475*100+COUNTIFS($P$6:$P$3267,P475,$Q$6:$Q$3267,"&lt;="&amp;Q475,$N$6:$N$3267,Calendar!$K$4),"")</f>
        <v/>
      </c>
      <c r="W475" s="47">
        <f>IF(AND(B475=Queue!$C$4,OR(Queue!$K$4="*",N475=Queue!$K$4)),Q475,"")</f>
        <v/>
      </c>
    </row>
    <row r="476">
      <c r="A476" s="38">
        <f>IF(M476="","",HYPERLINK("https://www.youtube.com/watch?v="&amp;M476,"▶"))</f>
        <v/>
      </c>
      <c r="B476" s="39">
        <f>IF(C476&lt;&gt;"",C476,IF(P476&lt;=IFERROR(INDEX(tblChannels[Watched Through],MATCH(N476,tblChannels[Channel ID],0)),0),"Watched","Unwatched"))</f>
        <v/>
      </c>
      <c r="C476" s="40" t="n"/>
      <c r="D476" s="41" t="n"/>
      <c r="E476" s="42" t="n">
        <v>45641.41666666666</v>
      </c>
      <c r="F476" s="51" t="inlineStr">
        <is>
          <t>Through The Griffin Door</t>
        </is>
      </c>
      <c r="G476" t="inlineStr">
        <is>
          <t>Chapter 5: Weasley’s Wizard Wheezes | Goblet of Fire</t>
        </is>
      </c>
      <c r="H476" s="44" t="n">
        <v>0.06412037037037037</v>
      </c>
      <c r="I476" s="45" t="n">
        <v>67861</v>
      </c>
      <c r="J476" s="45" t="n">
        <v>1788</v>
      </c>
      <c r="K476" s="45" t="n">
        <v>512</v>
      </c>
      <c r="L476" s="46" t="n"/>
      <c r="M476" s="47" t="n"/>
      <c r="N476" s="47" t="inlineStr">
        <is>
          <t>UCEscP6ETYXWSSvsNrDHekMQ</t>
        </is>
      </c>
      <c r="O476" s="48" t="n">
        <v>45641.625</v>
      </c>
      <c r="P476" s="49" t="n">
        <v>45641</v>
      </c>
      <c r="Q476" s="47" t="n">
        <v>2792</v>
      </c>
      <c r="R476" s="47" t="inlineStr">
        <is>
          <t>No Video ID yet</t>
        </is>
      </c>
      <c r="S476" s="49" t="n"/>
      <c r="T476" s="49" t="n"/>
      <c r="U476" s="47" t="inlineStr">
        <is>
          <t>Join J and Ben as they dive into Chapter 5 of the Goblet of Fire and discuss the Weasley family dynamics, the twins’ inventions, Percy being a wet blanket, the Burrow bedrooms, and little setups. 07:02 - Chapter Breakdown 1:21:21 - Closing Thoughts and Review</t>
        </is>
      </c>
      <c r="V476" s="47">
        <f>IF(AND(P476&gt;=Calendar!$K$2,P476&lt;EDATE(Calendar!$K$2,1),OR(Calendar!$K$4="*",N476=Calendar!$K$4)),P476*100+COUNTIFS($P$6:$P$3267,P476,$Q$6:$Q$3267,"&lt;="&amp;Q476,$N$6:$N$3267,Calendar!$K$4),"")</f>
        <v/>
      </c>
      <c r="W476" s="47">
        <f>IF(AND(B476=Queue!$C$4,OR(Queue!$K$4="*",N476=Queue!$K$4)),Q476,"")</f>
        <v/>
      </c>
    </row>
    <row r="477">
      <c r="A477" s="38">
        <f>IF(M477="","",HYPERLINK("https://www.youtube.com/watch?v="&amp;M477,"▶"))</f>
        <v/>
      </c>
      <c r="B477" s="39">
        <f>IF(C477&lt;&gt;"",C477,IF(P477&lt;=IFERROR(INDEX(tblChannels[Watched Through],MATCH(N477,tblChannels[Channel ID],0)),0),"Watched","Unwatched"))</f>
        <v/>
      </c>
      <c r="C477" s="40" t="n"/>
      <c r="D477" s="41" t="n"/>
      <c r="E477" s="42" t="n">
        <v>45640.41666666666</v>
      </c>
      <c r="F477" s="50" t="inlineStr">
        <is>
          <t>Super Carlin Brothers</t>
        </is>
      </c>
      <c r="G477" t="inlineStr">
        <is>
          <t>Through the Griffin Door Supercut: Goblet of Fire Chapters 1-3</t>
        </is>
      </c>
      <c r="H477" s="44" t="n">
        <v>0.1837962962962963</v>
      </c>
      <c r="I477" s="45" t="n">
        <v>24583</v>
      </c>
      <c r="J477" s="45" t="n">
        <v>439</v>
      </c>
      <c r="K477" s="45" t="n">
        <v>99</v>
      </c>
      <c r="L477" s="46" t="n"/>
      <c r="M477" s="47" t="n"/>
      <c r="N477" s="47" t="inlineStr">
        <is>
          <t>UCKZo4N0lVPccBkSiuyVh4yg</t>
        </is>
      </c>
      <c r="O477" s="48" t="n">
        <v>45640.625</v>
      </c>
      <c r="P477" s="49" t="n">
        <v>45640</v>
      </c>
      <c r="Q477" s="47" t="n">
        <v>2791</v>
      </c>
      <c r="R477" s="47" t="inlineStr">
        <is>
          <t>No Video ID yet</t>
        </is>
      </c>
      <c r="S477" s="49" t="n"/>
      <c r="T477" s="49" t="n"/>
      <c r="U477" s="47" t="inlineStr">
        <is>
          <t>00:00:00 - Chapter 1: The Riddle House 01:34:54 - Chapter 2: The Scar 02:55:56 - Chapter 3: The Invitation</t>
        </is>
      </c>
      <c r="V477" s="47">
        <f>IF(AND(P477&gt;=Calendar!$K$2,P477&lt;EDATE(Calendar!$K$2,1),OR(Calendar!$K$4="*",N477=Calendar!$K$4)),P477*100+COUNTIFS($P$6:$P$3267,P477,$Q$6:$Q$3267,"&lt;="&amp;Q477,$N$6:$N$3267,Calendar!$K$4),"")</f>
        <v/>
      </c>
      <c r="W477" s="47">
        <f>IF(AND(B477=Queue!$C$4,OR(Queue!$K$4="*",N477=Queue!$K$4)),Q477,"")</f>
        <v/>
      </c>
    </row>
    <row r="478">
      <c r="A478" s="38">
        <f>IF(M478="","",HYPERLINK("https://www.youtube.com/watch?v="&amp;M478,"▶"))</f>
        <v/>
      </c>
      <c r="B478" s="39">
        <f>IF(C478&lt;&gt;"",C478,IF(P478&lt;=IFERROR(INDEX(tblChannels[Watched Through],MATCH(N478,tblChannels[Channel ID],0)),0),"Watched","Unwatched"))</f>
        <v/>
      </c>
      <c r="C478" s="40" t="n"/>
      <c r="D478" s="41" t="n"/>
      <c r="E478" s="42" t="n">
        <v>45639.68125</v>
      </c>
      <c r="F478" s="50" t="inlineStr">
        <is>
          <t>Super Carlin Brothers</t>
        </is>
      </c>
      <c r="G478" t="inlineStr">
        <is>
          <t>A Siriusly SCATHING Review of Sirius Black | Harry Potter Film Theory</t>
        </is>
      </c>
      <c r="H478" s="44" t="n">
        <v>0.01142361111111111</v>
      </c>
      <c r="I478" s="45" t="n">
        <v>106419</v>
      </c>
      <c r="J478" s="45" t="n">
        <v>4507</v>
      </c>
      <c r="K478" s="45" t="n">
        <v>478</v>
      </c>
      <c r="L478" s="46" t="n"/>
      <c r="M478" s="47" t="n"/>
      <c r="N478" s="47" t="inlineStr">
        <is>
          <t>UCKZo4N0lVPccBkSiuyVh4yg</t>
        </is>
      </c>
      <c r="O478" s="48" t="n">
        <v>45639.88958333333</v>
      </c>
      <c r="P478" s="49" t="n">
        <v>45639</v>
      </c>
      <c r="Q478" s="47" t="n">
        <v>2790</v>
      </c>
      <c r="R478" s="47" t="inlineStr">
        <is>
          <t>No Video ID yet</t>
        </is>
      </c>
      <c r="S478" s="49" t="n"/>
      <c r="T478" s="49" t="n"/>
      <c r="U478" s="47" t="inlineStr">
        <is>
          <t>Go to to sign up for a $1-per-month trial period. Today Ben Dives into the Wizarding World of Harry Potter to give a SCATHING REVIEW of Sirius Black. Sirius is possibly the worst communicator in all of Harry Potter and his inability to say things in a straightforward manner gets him into a lot of trouble… and prison. #supercarlinbrothers #harrypotter</t>
        </is>
      </c>
      <c r="V478" s="47">
        <f>IF(AND(P478&gt;=Calendar!$K$2,P478&lt;EDATE(Calendar!$K$2,1),OR(Calendar!$K$4="*",N478=Calendar!$K$4)),P478*100+COUNTIFS($P$6:$P$3267,P478,$Q$6:$Q$3267,"&lt;="&amp;Q478,$N$6:$N$3267,Calendar!$K$4),"")</f>
        <v/>
      </c>
      <c r="W478" s="47">
        <f>IF(AND(B478=Queue!$C$4,OR(Queue!$K$4="*",N478=Queue!$K$4)),Q478,"")</f>
        <v/>
      </c>
    </row>
    <row r="479">
      <c r="A479" s="38">
        <f>IF(M479="","",HYPERLINK("https://www.youtube.com/watch?v="&amp;M479,"▶"))</f>
        <v/>
      </c>
      <c r="B479" s="39">
        <f>IF(C479&lt;&gt;"",C479,IF(P479&lt;=IFERROR(INDEX(tblChannels[Watched Through],MATCH(N479,tblChannels[Channel ID],0)),0),"Watched","Unwatched"))</f>
        <v/>
      </c>
      <c r="C479" s="40" t="n"/>
      <c r="D479" s="41" t="n"/>
      <c r="E479" s="42" t="n">
        <v>45639.41666666666</v>
      </c>
      <c r="F479" s="43" t="inlineStr">
        <is>
          <t>Popcorn Culture</t>
        </is>
      </c>
      <c r="G479" t="inlineStr">
        <is>
          <t>MOM ALMOST SCAMMED ME | Popcorn Culture</t>
        </is>
      </c>
      <c r="H479" s="44" t="n">
        <v>0.04651620370370371</v>
      </c>
      <c r="I479" s="45" t="n">
        <v>3741</v>
      </c>
      <c r="J479" s="45" t="n">
        <v>172</v>
      </c>
      <c r="K479" s="45" t="n">
        <v>25</v>
      </c>
      <c r="L479" s="46" t="n"/>
      <c r="M479" s="47" t="n"/>
      <c r="N479" s="47" t="inlineStr">
        <is>
          <t>UCHfIbq9thHPC8yrKjAdJgDA</t>
        </is>
      </c>
      <c r="O479" s="48" t="n">
        <v>45639.625</v>
      </c>
      <c r="P479" s="49" t="n">
        <v>45639</v>
      </c>
      <c r="Q479" s="47" t="n">
        <v>2789</v>
      </c>
      <c r="R479" s="47" t="inlineStr">
        <is>
          <t>No Video ID yet</t>
        </is>
      </c>
      <c r="S479" s="49" t="n"/>
      <c r="T479" s="49" t="n"/>
      <c r="U479" s="47" t="inlineStr">
        <is>
          <t>In the 262nd episode of the Pop, Ben and J discuss the shell game, getting Beth a piano, random talents and party tricks, and accidental non-scams. Wicked the Musical - Godzilla - Mighty Morphin Power Rangers - No Dull Moments! No Hands Pogo We’re Stilt Guys! 00:00 - Name of the Wind Cold Open 03:54 - Intro, Pianos 33:22 - Random Talents 55:11 - Scams</t>
        </is>
      </c>
      <c r="V479" s="47">
        <f>IF(AND(P479&gt;=Calendar!$K$2,P479&lt;EDATE(Calendar!$K$2,1),OR(Calendar!$K$4="*",N479=Calendar!$K$4)),P479*100+COUNTIFS($P$6:$P$3267,P479,$Q$6:$Q$3267,"&lt;="&amp;Q479,$N$6:$N$3267,Calendar!$K$4),"")</f>
        <v/>
      </c>
      <c r="W479" s="47">
        <f>IF(AND(B479=Queue!$C$4,OR(Queue!$K$4="*",N479=Queue!$K$4)),Q479,"")</f>
        <v/>
      </c>
    </row>
    <row r="480">
      <c r="A480" s="38">
        <f>IF(M480="","",HYPERLINK("https://www.youtube.com/watch?v="&amp;M480,"▶"))</f>
        <v/>
      </c>
      <c r="B480" s="39">
        <f>IF(C480&lt;&gt;"",C480,IF(P480&lt;=IFERROR(INDEX(tblChannels[Watched Through],MATCH(N480,tblChannels[Channel ID],0)),0),"Watched","Unwatched"))</f>
        <v/>
      </c>
      <c r="C480" s="40" t="n"/>
      <c r="D480" s="41" t="n"/>
      <c r="E480" s="42" t="n">
        <v>45637.74861111111</v>
      </c>
      <c r="F480" s="50" t="inlineStr">
        <is>
          <t>Super Carlin Brothers</t>
        </is>
      </c>
      <c r="G480" t="inlineStr">
        <is>
          <t>WICKED Theories From People Who Don’t Know the Ending | Wicked Film Theory</t>
        </is>
      </c>
      <c r="H480" s="44" t="n">
        <v>0.01354166666666667</v>
      </c>
      <c r="I480" s="45" t="n">
        <v>123074</v>
      </c>
      <c r="J480" s="45" t="n">
        <v>6107</v>
      </c>
      <c r="K480" s="45" t="n">
        <v>1125</v>
      </c>
      <c r="L480" s="46" t="n"/>
      <c r="M480" s="47" t="n"/>
      <c r="N480" s="47" t="inlineStr">
        <is>
          <t>UCKZo4N0lVPccBkSiuyVh4yg</t>
        </is>
      </c>
      <c r="O480" s="48" t="n">
        <v>45637.95694444444</v>
      </c>
      <c r="P480" s="49" t="n">
        <v>45637</v>
      </c>
      <c r="Q480" s="47" t="n">
        <v>2788</v>
      </c>
      <c r="R480" s="47" t="inlineStr">
        <is>
          <t>No Video ID yet</t>
        </is>
      </c>
      <c r="S480" s="49" t="n"/>
      <c r="T480" s="49" t="n"/>
      <c r="U480" s="47" t="inlineStr">
        <is>
          <t>Go to and use code super to get exclusive holiday deals and savings all month long. Today J dives into the Wonderful World of Oz to try and predict how Wicked will end in Part 2, even though the answers are just out there. Determined to not be spoiled though J and Ben have combed through part 1 to make their best predictions for the ending. Is Fiyero the Scarecrow? Is Boq the Tin Man? Is the Wizard Elphaba’s Father?! #supercarlinbrothers #Wicked #WizardOfOz</t>
        </is>
      </c>
      <c r="V480" s="47">
        <f>IF(AND(P480&gt;=Calendar!$K$2,P480&lt;EDATE(Calendar!$K$2,1),OR(Calendar!$K$4="*",N480=Calendar!$K$4)),P480*100+COUNTIFS($P$6:$P$3267,P480,$Q$6:$Q$3267,"&lt;="&amp;Q480,$N$6:$N$3267,Calendar!$K$4),"")</f>
        <v/>
      </c>
      <c r="W480" s="47">
        <f>IF(AND(B480=Queue!$C$4,OR(Queue!$K$4="*",N480=Queue!$K$4)),Q480,"")</f>
        <v/>
      </c>
    </row>
    <row r="481">
      <c r="A481" s="38">
        <f>IF(M481="","",HYPERLINK("https://www.youtube.com/watch?v="&amp;M481,"▶"))</f>
        <v/>
      </c>
      <c r="B481" s="39">
        <f>IF(C481&lt;&gt;"",C481,IF(P481&lt;=IFERROR(INDEX(tblChannels[Watched Through],MATCH(N481,tblChannels[Channel ID],0)),0),"Watched","Unwatched"))</f>
        <v/>
      </c>
      <c r="C481" s="40" t="n"/>
      <c r="D481" s="41" t="n"/>
      <c r="E481" s="42" t="n">
        <v>45634.41666666666</v>
      </c>
      <c r="F481" s="51" t="inlineStr">
        <is>
          <t>Through The Griffin Door</t>
        </is>
      </c>
      <c r="G481" t="inlineStr">
        <is>
          <t>Chapter 4: Back to the Burrow | Goblet of Fire</t>
        </is>
      </c>
      <c r="H481" s="44" t="n">
        <v>0.06060185185185185</v>
      </c>
      <c r="I481" s="45" t="n">
        <v>66151</v>
      </c>
      <c r="J481" s="45" t="n">
        <v>1815</v>
      </c>
      <c r="K481" s="45" t="n">
        <v>615</v>
      </c>
      <c r="L481" s="46" t="n"/>
      <c r="M481" s="47" t="n"/>
      <c r="N481" s="47" t="inlineStr">
        <is>
          <t>UCEscP6ETYXWSSvsNrDHekMQ</t>
        </is>
      </c>
      <c r="O481" s="48" t="n">
        <v>45634.625</v>
      </c>
      <c r="P481" s="49" t="n">
        <v>45634</v>
      </c>
      <c r="Q481" s="47" t="n">
        <v>2787</v>
      </c>
      <c r="R481" s="47" t="inlineStr">
        <is>
          <t>No Video ID yet</t>
        </is>
      </c>
      <c r="S481" s="49" t="n"/>
      <c r="T481" s="49" t="n"/>
      <c r="U481" s="47" t="inlineStr">
        <is>
          <t>Join J and Ben as they dive into Chapter 4 of the Goblet of Fire and discuss diets, muggle clothes, the fireplace, floo powder, and the general comedy of this chapter. Relevant Links Floo Powder’s SECRET Ingredient - The SECRET To Creating Harry Potter Characters - The Elder Wand Has A BROTHER - 06:20 - Chapter Breakdown 1:17:22 - Closing Thoughts and Review</t>
        </is>
      </c>
      <c r="V481" s="47">
        <f>IF(AND(P481&gt;=Calendar!$K$2,P481&lt;EDATE(Calendar!$K$2,1),OR(Calendar!$K$4="*",N481=Calendar!$K$4)),P481*100+COUNTIFS($P$6:$P$3267,P481,$Q$6:$Q$3267,"&lt;="&amp;Q481,$N$6:$N$3267,Calendar!$K$4),"")</f>
        <v/>
      </c>
      <c r="W481" s="47">
        <f>IF(AND(B481=Queue!$C$4,OR(Queue!$K$4="*",N481=Queue!$K$4)),Q481,"")</f>
        <v/>
      </c>
    </row>
    <row r="482">
      <c r="A482" s="38">
        <f>IF(M482="","",HYPERLINK("https://www.youtube.com/watch?v="&amp;M482,"▶"))</f>
        <v/>
      </c>
      <c r="B482" s="39">
        <f>IF(C482&lt;&gt;"",C482,IF(P482&lt;=IFERROR(INDEX(tblChannels[Watched Through],MATCH(N482,tblChannels[Channel ID],0)),0),"Watched","Unwatched"))</f>
        <v/>
      </c>
      <c r="C482" s="40" t="n"/>
      <c r="D482" s="41" t="n"/>
      <c r="E482" s="42" t="n">
        <v>45632.58125</v>
      </c>
      <c r="F482" s="50" t="inlineStr">
        <is>
          <t>Super Carlin Brothers</t>
        </is>
      </c>
      <c r="G482" t="inlineStr">
        <is>
          <t>What If Ron Was In Hufflepuff - THE CAVE | Harry Potter Film Theory</t>
        </is>
      </c>
      <c r="H482" s="44" t="n">
        <v>0.01240740740740741</v>
      </c>
      <c r="I482" s="45" t="n">
        <v>61930</v>
      </c>
      <c r="J482" s="45" t="n">
        <v>3575</v>
      </c>
      <c r="K482" s="45" t="n">
        <v>328</v>
      </c>
      <c r="L482" s="46" t="n"/>
      <c r="M482" s="47" t="n"/>
      <c r="N482" s="47" t="inlineStr">
        <is>
          <t>UCKZo4N0lVPccBkSiuyVh4yg</t>
        </is>
      </c>
      <c r="O482" s="48" t="n">
        <v>45632.78958333333</v>
      </c>
      <c r="P482" s="49" t="n">
        <v>45632</v>
      </c>
      <c r="Q482" s="47" t="n">
        <v>2786</v>
      </c>
      <c r="R482" s="47" t="inlineStr">
        <is>
          <t>No Video ID yet</t>
        </is>
      </c>
      <c r="S482" s="49" t="n"/>
      <c r="T482" s="49" t="n"/>
      <c r="U482" s="47" t="inlineStr">
        <is>
          <t>Today Ben returns to unfolding Wizarding World of Ron in Hufflepuff to find out what happens after the cup has been cleansed and Voldemort is alerted to the cups theft! Dumbledore hastens the boys to the cave after a mysterious vision, but what awaits them inside…? #supercarlinbrothers #WhatIf #HarryPotter</t>
        </is>
      </c>
      <c r="V482" s="47">
        <f>IF(AND(P482&gt;=Calendar!$K$2,P482&lt;EDATE(Calendar!$K$2,1),OR(Calendar!$K$4="*",N482=Calendar!$K$4)),P482*100+COUNTIFS($P$6:$P$3267,P482,$Q$6:$Q$3267,"&lt;="&amp;Q482,$N$6:$N$3267,Calendar!$K$4),"")</f>
        <v/>
      </c>
      <c r="W482" s="47">
        <f>IF(AND(B482=Queue!$C$4,OR(Queue!$K$4="*",N482=Queue!$K$4)),Q482,"")</f>
        <v/>
      </c>
    </row>
    <row r="483">
      <c r="A483" s="38">
        <f>IF(M483="","",HYPERLINK("https://www.youtube.com/watch?v="&amp;M483,"▶"))</f>
        <v/>
      </c>
      <c r="B483" s="39">
        <f>IF(C483&lt;&gt;"",C483,IF(P483&lt;=IFERROR(INDEX(tblChannels[Watched Through],MATCH(N483,tblChannels[Channel ID],0)),0),"Watched","Unwatched"))</f>
        <v/>
      </c>
      <c r="C483" s="40" t="n"/>
      <c r="D483" s="41" t="n"/>
      <c r="E483" s="42" t="n">
        <v>45632.41666666666</v>
      </c>
      <c r="F483" s="43" t="inlineStr">
        <is>
          <t>Popcorn Culture</t>
        </is>
      </c>
      <c r="G483" t="inlineStr">
        <is>
          <t>Good Popcorn Genes | Popcorn Culture</t>
        </is>
      </c>
      <c r="H483" s="44" t="n">
        <v>0.05891203703703703</v>
      </c>
      <c r="I483" s="45" t="n">
        <v>3821</v>
      </c>
      <c r="J483" s="45" t="n">
        <v>174</v>
      </c>
      <c r="K483" s="45" t="n">
        <v>30</v>
      </c>
      <c r="L483" s="46" t="n"/>
      <c r="M483" s="47" t="n"/>
      <c r="N483" s="47" t="inlineStr">
        <is>
          <t>UCHfIbq9thHPC8yrKjAdJgDA</t>
        </is>
      </c>
      <c r="O483" s="48" t="n">
        <v>45632.625</v>
      </c>
      <c r="P483" s="49" t="n">
        <v>45632</v>
      </c>
      <c r="Q483" s="47" t="n">
        <v>2785</v>
      </c>
      <c r="R483" s="47" t="inlineStr">
        <is>
          <t>No Video ID yet</t>
        </is>
      </c>
      <c r="S483" s="49" t="n"/>
      <c r="T483" s="49" t="n"/>
      <c r="U483" s="47" t="inlineStr">
        <is>
          <t>In the 261st episode of the Pop, Ben and J discuss Pop Watson, Thanksgiving prep, best animated shows of all time, the Drumstick Dash, Luke’s birthday, Addy’s first movie theater experience, Moana 2 disappointment, annual 12/05 day, and Beyblades. Dragon Ball Z: Budokai Tenkaichi - Arcane - Avatar the Last Airbender - Invincible - Bluey - You’re Gonna Miss This - Moana 2 - Minecraft Movie - Jumanji - Beyblades - Savory Eyes A Very Hectic Holiday Good Popcorn Genes 00:00 - Intro, VT Football 04:17 - Busy Thanksgiving Weekend and Wicks of the Peek 52:16 - Decorating Christmas Trees 1:08:11 - Luke’s Birthday Party</t>
        </is>
      </c>
      <c r="V483" s="47">
        <f>IF(AND(P483&gt;=Calendar!$K$2,P483&lt;EDATE(Calendar!$K$2,1),OR(Calendar!$K$4="*",N483=Calendar!$K$4)),P483*100+COUNTIFS($P$6:$P$3267,P483,$Q$6:$Q$3267,"&lt;="&amp;Q483,$N$6:$N$3267,Calendar!$K$4),"")</f>
        <v/>
      </c>
      <c r="W483" s="47">
        <f>IF(AND(B483=Queue!$C$4,OR(Queue!$K$4="*",N483=Queue!$K$4)),Q483,"")</f>
        <v/>
      </c>
    </row>
    <row r="484">
      <c r="A484" s="38">
        <f>IF(M484="","",HYPERLINK("https://www.youtube.com/watch?v="&amp;M484,"▶"))</f>
        <v/>
      </c>
      <c r="B484" s="39">
        <f>IF(C484&lt;&gt;"",C484,IF(P484&lt;=IFERROR(INDEX(tblChannels[Watched Through],MATCH(N484,tblChannels[Channel ID],0)),0),"Watched","Unwatched"))</f>
        <v/>
      </c>
      <c r="C484" s="40" t="n"/>
      <c r="D484" s="41" t="n"/>
      <c r="E484" s="42" t="n">
        <v>45630.75833333333</v>
      </c>
      <c r="F484" s="50" t="inlineStr">
        <is>
          <t>Super Carlin Brothers</t>
        </is>
      </c>
      <c r="G484" t="inlineStr">
        <is>
          <t>J vs Ben: Our LARGEST Harry Potter Christmas Trivia Battle EVER</t>
        </is>
      </c>
      <c r="H484" s="44" t="n">
        <v>0.02928240740740741</v>
      </c>
      <c r="I484" s="45" t="n">
        <v>117604</v>
      </c>
      <c r="J484" s="45" t="n">
        <v>4644</v>
      </c>
      <c r="K484" s="45" t="n">
        <v>460</v>
      </c>
      <c r="L484" s="46" t="n"/>
      <c r="M484" s="47" t="n"/>
      <c r="N484" s="47" t="inlineStr">
        <is>
          <t>UCKZo4N0lVPccBkSiuyVh4yg</t>
        </is>
      </c>
      <c r="O484" s="48" t="n">
        <v>45630.96666666667</v>
      </c>
      <c r="P484" s="49" t="n">
        <v>45630</v>
      </c>
      <c r="Q484" s="47" t="n">
        <v>2784</v>
      </c>
      <c r="R484" s="47" t="inlineStr">
        <is>
          <t>No Video ID yet</t>
        </is>
      </c>
      <c r="S484" s="49" t="n"/>
      <c r="T484" s="49" t="n"/>
      <c r="U484" s="47" t="inlineStr">
        <is>
          <t>Go to to cancel your unwanted subscriptions with Rocket Money. Go to and use code JVSB to get $35-off Aura’s best-selling Carver Mat frames. Today J and Ben face off in the penultimate J vs Ben of the year to find out who knows the most about the Wizarding World of Harry Potter and what happens each year at Christmas! #supercarlinbrothers #JvsBen #HarryPotter</t>
        </is>
      </c>
      <c r="V484" s="47">
        <f>IF(AND(P484&gt;=Calendar!$K$2,P484&lt;EDATE(Calendar!$K$2,1),OR(Calendar!$K$4="*",N484=Calendar!$K$4)),P484*100+COUNTIFS($P$6:$P$3267,P484,$Q$6:$Q$3267,"&lt;="&amp;Q484,$N$6:$N$3267,Calendar!$K$4),"")</f>
        <v/>
      </c>
      <c r="W484" s="47">
        <f>IF(AND(B484=Queue!$C$4,OR(Queue!$K$4="*",N484=Queue!$K$4)),Q484,"")</f>
        <v/>
      </c>
    </row>
    <row r="485">
      <c r="A485" s="38">
        <f>IF(M485="","",HYPERLINK("https://www.youtube.com/watch?v="&amp;M485,"▶"))</f>
        <v/>
      </c>
      <c r="B485" s="39">
        <f>IF(C485&lt;&gt;"",C485,IF(P485&lt;=IFERROR(INDEX(tblChannels[Watched Through],MATCH(N485,tblChannels[Channel ID],0)),0),"Watched","Unwatched"))</f>
        <v/>
      </c>
      <c r="C485" s="40" t="n"/>
      <c r="D485" s="41" t="n"/>
      <c r="E485" s="42" t="n">
        <v>45627.41666666666</v>
      </c>
      <c r="F485" s="51" t="inlineStr">
        <is>
          <t>Through The Griffin Door</t>
        </is>
      </c>
      <c r="G485" t="inlineStr">
        <is>
          <t>Chapter 3: The Invitation | Goblet Of Fire</t>
        </is>
      </c>
      <c r="H485" s="44" t="n">
        <v>0.05628472222222222</v>
      </c>
      <c r="I485" s="45" t="n">
        <v>64290</v>
      </c>
      <c r="J485" s="45" t="n">
        <v>1819</v>
      </c>
      <c r="K485" s="45" t="n">
        <v>459</v>
      </c>
      <c r="L485" s="46" t="n"/>
      <c r="M485" s="47" t="n"/>
      <c r="N485" s="47" t="inlineStr">
        <is>
          <t>UCEscP6ETYXWSSvsNrDHekMQ</t>
        </is>
      </c>
      <c r="O485" s="48" t="n">
        <v>45627.625</v>
      </c>
      <c r="P485" s="49" t="n">
        <v>45627</v>
      </c>
      <c r="Q485" s="47" t="n">
        <v>2783</v>
      </c>
      <c r="R485" s="47" t="inlineStr">
        <is>
          <t>No Video ID yet</t>
        </is>
      </c>
      <c r="S485" s="49" t="n"/>
      <c r="T485" s="49" t="n"/>
      <c r="U485" s="47" t="inlineStr">
        <is>
          <t>Join J and Ben as they dive into Chapter 3 of the Goblet of Fire and discuss how long a birthday cake is even good for, whether or not there's any truth to the grapefruit diet, and HOW ON EARTH ARTHUR WEASLEY MANAGED TO GET THOSE TICKETS AM I RIGHT?! Get your Through the Griffin Door MUG -</t>
        </is>
      </c>
      <c r="V485" s="47">
        <f>IF(AND(P485&gt;=Calendar!$K$2,P485&lt;EDATE(Calendar!$K$2,1),OR(Calendar!$K$4="*",N485=Calendar!$K$4)),P485*100+COUNTIFS($P$6:$P$3267,P485,$Q$6:$Q$3267,"&lt;="&amp;Q485,$N$6:$N$3267,Calendar!$K$4),"")</f>
        <v/>
      </c>
      <c r="W485" s="47">
        <f>IF(AND(B485=Queue!$C$4,OR(Queue!$K$4="*",N485=Queue!$K$4)),Q485,"")</f>
        <v/>
      </c>
    </row>
    <row r="486">
      <c r="A486" s="38">
        <f>IF(M486="","",HYPERLINK("https://www.youtube.com/watch?v="&amp;M486,"▶"))</f>
        <v/>
      </c>
      <c r="B486" s="39">
        <f>IF(C486&lt;&gt;"",C486,IF(P486&lt;=IFERROR(INDEX(tblChannels[Watched Through],MATCH(N486,tblChannels[Channel ID],0)),0),"Watched","Unwatched"))</f>
        <v/>
      </c>
      <c r="C486" s="40" t="n"/>
      <c r="D486" s="41" t="n"/>
      <c r="E486" s="42" t="n">
        <v>45624.70833333334</v>
      </c>
      <c r="F486" s="51" t="inlineStr">
        <is>
          <t>Through The Griffin Door</t>
        </is>
      </c>
      <c r="G486" t="inlineStr">
        <is>
          <t>Live in Los Angeles - Chapter 2: The Scar | Goblet of Fire</t>
        </is>
      </c>
      <c r="H486" s="44" t="n">
        <v>0.03912037037037037</v>
      </c>
      <c r="I486" s="45" t="n">
        <v>10880</v>
      </c>
      <c r="J486" s="45" t="n">
        <v>498</v>
      </c>
      <c r="K486" s="45" t="n">
        <v>70</v>
      </c>
      <c r="L486" s="46" t="n"/>
      <c r="M486" s="47" t="n"/>
      <c r="N486" s="47" t="inlineStr">
        <is>
          <t>UCEscP6ETYXWSSvsNrDHekMQ</t>
        </is>
      </c>
      <c r="O486" s="48" t="n">
        <v>45624.91666666666</v>
      </c>
      <c r="P486" s="49" t="n">
        <v>45624</v>
      </c>
      <c r="Q486" s="47" t="n">
        <v>2782</v>
      </c>
      <c r="R486" s="47" t="inlineStr">
        <is>
          <t>No Video ID yet</t>
        </is>
      </c>
      <c r="S486" s="49" t="n"/>
      <c r="T486" s="49" t="n"/>
      <c r="U486" s="47" t="inlineStr">
        <is>
          <t>Join J and Ben as they dive BACK into Chapter 2 of the Goblet of Fire (in LOS ANGELES!!!) and discuss Harry's weird dreams, the bond of blood charm, and who he should write a letter to. Do YOU want to see us LIVE? We're going back on tour! Tickets are ON SALE NOW for the Southeast leg of Through the Griffin TOUR!!!</t>
        </is>
      </c>
      <c r="V486" s="47">
        <f>IF(AND(P486&gt;=Calendar!$K$2,P486&lt;EDATE(Calendar!$K$2,1),OR(Calendar!$K$4="*",N486=Calendar!$K$4)),P486*100+COUNTIFS($P$6:$P$3267,P486,$Q$6:$Q$3267,"&lt;="&amp;Q486,$N$6:$N$3267,Calendar!$K$4),"")</f>
        <v/>
      </c>
      <c r="W486" s="47">
        <f>IF(AND(B486=Queue!$C$4,OR(Queue!$K$4="*",N486=Queue!$K$4)),Q486,"")</f>
        <v/>
      </c>
    </row>
    <row r="487">
      <c r="A487" s="38">
        <f>IF(M487="","",HYPERLINK("https://www.youtube.com/watch?v="&amp;M487,"▶"))</f>
        <v/>
      </c>
      <c r="B487" s="39">
        <f>IF(C487&lt;&gt;"",C487,IF(P487&lt;=IFERROR(INDEX(tblChannels[Watched Through],MATCH(N487,tblChannels[Channel ID],0)),0),"Watched","Unwatched"))</f>
        <v/>
      </c>
      <c r="C487" s="40" t="n"/>
      <c r="D487" s="41" t="n"/>
      <c r="E487" s="42" t="n">
        <v>45624.45833333334</v>
      </c>
      <c r="F487" s="43" t="inlineStr">
        <is>
          <t>Popcorn Culture</t>
        </is>
      </c>
      <c r="G487" t="inlineStr">
        <is>
          <t>The Would You Rather Thanksgiving EXTRAVAGANZA | Popcorn Culture</t>
        </is>
      </c>
      <c r="H487" s="44" t="n">
        <v>0.05543981481481482</v>
      </c>
      <c r="I487" s="45" t="n">
        <v>3977</v>
      </c>
      <c r="J487" s="45" t="n">
        <v>200</v>
      </c>
      <c r="K487" s="45" t="n">
        <v>34</v>
      </c>
      <c r="L487" s="46" t="n"/>
      <c r="M487" s="47" t="n"/>
      <c r="N487" s="47" t="inlineStr">
        <is>
          <t>UCHfIbq9thHPC8yrKjAdJgDA</t>
        </is>
      </c>
      <c r="O487" s="48" t="n">
        <v>45624.66666666666</v>
      </c>
      <c r="P487" s="49" t="n">
        <v>45624</v>
      </c>
      <c r="Q487" s="47" t="n">
        <v>2781</v>
      </c>
      <c r="R487" s="47" t="inlineStr">
        <is>
          <t>No Video ID yet</t>
        </is>
      </c>
      <c r="S487" s="49" t="n"/>
      <c r="T487" s="49" t="n"/>
      <c r="U487" s="47" t="inlineStr">
        <is>
          <t>In the 260th episode of the Pop, Ben and J discuss how GREAT Wicked was, a variety of would you rather questions, the Cheat Mountain Club, more of the Zeigarnik Effect, and going to the Chiefs vs. Panthers game. Ducks and Horses Wait Don’t Martyrs DIE? The Duality of Sports Mutually Agreed Upon Trash Talk 00:00 - Intro, A Corny Joke 01:30 - Wicked 10:15 - Would You Rather 45:20 - Chiefs vs Panthers Game LIVE</t>
        </is>
      </c>
      <c r="V487" s="47">
        <f>IF(AND(P487&gt;=Calendar!$K$2,P487&lt;EDATE(Calendar!$K$2,1),OR(Calendar!$K$4="*",N487=Calendar!$K$4)),P487*100+COUNTIFS($P$6:$P$3267,P487,$Q$6:$Q$3267,"&lt;="&amp;Q487,$N$6:$N$3267,Calendar!$K$4),"")</f>
        <v/>
      </c>
      <c r="W487" s="47">
        <f>IF(AND(B487=Queue!$C$4,OR(Queue!$K$4="*",N487=Queue!$K$4)),Q487,"")</f>
        <v/>
      </c>
    </row>
    <row r="488">
      <c r="A488" s="38">
        <f>IF(M488="","",HYPERLINK("https://www.youtube.com/watch?v="&amp;M488,"▶"))</f>
        <v/>
      </c>
      <c r="B488" s="39">
        <f>IF(C488&lt;&gt;"",C488,IF(P488&lt;=IFERROR(INDEX(tblChannels[Watched Through],MATCH(N488,tblChannels[Channel ID],0)),0),"Watched","Unwatched"))</f>
        <v/>
      </c>
      <c r="C488" s="40" t="n"/>
      <c r="D488" s="41" t="n"/>
      <c r="E488" s="42" t="n">
        <v>45624.41666666666</v>
      </c>
      <c r="F488" s="50" t="inlineStr">
        <is>
          <t>Super Carlin Brothers</t>
        </is>
      </c>
      <c r="G488" t="inlineStr">
        <is>
          <t>J vs Ben: LAST DAB Goblet of Fire Harry Potter TRIVIA Quiz</t>
        </is>
      </c>
      <c r="H488" s="44" t="n">
        <v>0.03703703703703703</v>
      </c>
      <c r="I488" s="45" t="n">
        <v>150609</v>
      </c>
      <c r="J488" s="45" t="n">
        <v>5700</v>
      </c>
      <c r="K488" s="45" t="n">
        <v>779</v>
      </c>
      <c r="L488" s="46" t="n"/>
      <c r="M488" s="47" t="n"/>
      <c r="N488" s="47" t="inlineStr">
        <is>
          <t>UCKZo4N0lVPccBkSiuyVh4yg</t>
        </is>
      </c>
      <c r="O488" s="48" t="n">
        <v>45624.625</v>
      </c>
      <c r="P488" s="49" t="n">
        <v>45624</v>
      </c>
      <c r="Q488" s="47" t="n">
        <v>2780</v>
      </c>
      <c r="R488" s="47" t="inlineStr">
        <is>
          <t>No Video ID yet</t>
        </is>
      </c>
      <c r="S488" s="49" t="n"/>
      <c r="T488" s="49" t="n"/>
      <c r="U488" s="47" t="inlineStr">
        <is>
          <t>Today J and Ben channel their inner Sean Evans as they take on their annual Goblet of Fire Trivia quiz and try to survive the legendary Hot Ones LAST DAB Hot Sauce every time they miss a question.. And boy do they have a lot of hard questions.. Check out Brett on Instagram :: Jacksonville, FL - 02/16/2025 ← Wanna see us do the Last Dab in person? #supercarlinbrothers #HarryPotter #hotones</t>
        </is>
      </c>
      <c r="V488" s="47">
        <f>IF(AND(P488&gt;=Calendar!$K$2,P488&lt;EDATE(Calendar!$K$2,1),OR(Calendar!$K$4="*",N488=Calendar!$K$4)),P488*100+COUNTIFS($P$6:$P$3267,P488,$Q$6:$Q$3267,"&lt;="&amp;Q488,$N$6:$N$3267,Calendar!$K$4),"")</f>
        <v/>
      </c>
      <c r="W488" s="47">
        <f>IF(AND(B488=Queue!$C$4,OR(Queue!$K$4="*",N488=Queue!$K$4)),Q488,"")</f>
        <v/>
      </c>
    </row>
    <row r="489">
      <c r="A489" s="38">
        <f>IF(M489="","",HYPERLINK("https://www.youtube.com/watch?v="&amp;M489,"▶"))</f>
        <v/>
      </c>
      <c r="B489" s="39">
        <f>IF(C489&lt;&gt;"",C489,IF(P489&lt;=IFERROR(INDEX(tblChannels[Watched Through],MATCH(N489,tblChannels[Channel ID],0)),0),"Watched","Unwatched"))</f>
        <v/>
      </c>
      <c r="C489" s="40" t="n"/>
      <c r="D489" s="41" t="n"/>
      <c r="E489" s="42" t="n">
        <v>45623.68055555555</v>
      </c>
      <c r="F489" s="50" t="inlineStr">
        <is>
          <t>Super Carlin Brothers</t>
        </is>
      </c>
      <c r="G489" t="inlineStr">
        <is>
          <t>The SECRET Meaning In How Far I’ll Go | Moana Disney Music Theory</t>
        </is>
      </c>
      <c r="H489" s="44" t="n">
        <v>0.01203703703703704</v>
      </c>
      <c r="I489" s="45" t="n">
        <v>30769</v>
      </c>
      <c r="J489" s="45" t="n">
        <v>1852</v>
      </c>
      <c r="K489" s="45" t="n">
        <v>215</v>
      </c>
      <c r="L489" s="46" t="n"/>
      <c r="M489" s="47" t="n"/>
      <c r="N489" s="47" t="inlineStr">
        <is>
          <t>UCKZo4N0lVPccBkSiuyVh4yg</t>
        </is>
      </c>
      <c r="O489" s="48" t="n">
        <v>45623.88888888889</v>
      </c>
      <c r="P489" s="49" t="n">
        <v>45623</v>
      </c>
      <c r="Q489" s="47" t="n">
        <v>2779</v>
      </c>
      <c r="R489" s="47" t="inlineStr">
        <is>
          <t>No Video ID yet</t>
        </is>
      </c>
      <c r="S489" s="49" t="n"/>
      <c r="T489" s="49" t="n"/>
      <c r="U489" s="47" t="inlineStr">
        <is>
          <t>Go to and use code SCB to get $45 off Aura’s best-selling Carver Mat frames. Today J interviews Brett Boles to learn a secret musical story hiding in Moana’s iconic, “How Far I’ll Go,” and to learn how song writers can utilize a single note to tell an entire story in a song. Check out Brett on Instagram :: #supercarlinbrothers #Moana2 #Disney</t>
        </is>
      </c>
      <c r="V489" s="47">
        <f>IF(AND(P489&gt;=Calendar!$K$2,P489&lt;EDATE(Calendar!$K$2,1),OR(Calendar!$K$4="*",N489=Calendar!$K$4)),P489*100+COUNTIFS($P$6:$P$3267,P489,$Q$6:$Q$3267,"&lt;="&amp;Q489,$N$6:$N$3267,Calendar!$K$4),"")</f>
        <v/>
      </c>
      <c r="W489" s="47">
        <f>IF(AND(B489=Queue!$C$4,OR(Queue!$K$4="*",N489=Queue!$K$4)),Q489,"")</f>
        <v/>
      </c>
    </row>
    <row r="490">
      <c r="A490" s="38">
        <f>IF(M490="","",HYPERLINK("https://www.youtube.com/watch?v="&amp;M490,"▶"))</f>
        <v/>
      </c>
      <c r="B490" s="39">
        <f>IF(C490&lt;&gt;"",C490,IF(P490&lt;=IFERROR(INDEX(tblChannels[Watched Through],MATCH(N490,tblChannels[Channel ID],0)),0),"Watched","Unwatched"))</f>
        <v/>
      </c>
      <c r="C490" s="40" t="n"/>
      <c r="D490" s="41" t="n"/>
      <c r="E490" s="42" t="n">
        <v>45620.41666666666</v>
      </c>
      <c r="F490" s="51" t="inlineStr">
        <is>
          <t>Through The Griffin Door</t>
        </is>
      </c>
      <c r="G490" t="inlineStr">
        <is>
          <t>Chapter 2: The Scar | Goblet of Fire</t>
        </is>
      </c>
      <c r="H490" s="44" t="n">
        <v>0.06160879629629629</v>
      </c>
      <c r="I490" s="45" t="n">
        <v>68727</v>
      </c>
      <c r="J490" s="45" t="n">
        <v>1837</v>
      </c>
      <c r="K490" s="45" t="n">
        <v>484</v>
      </c>
      <c r="L490" s="46" t="n"/>
      <c r="M490" s="47" t="n"/>
      <c r="N490" s="47" t="inlineStr">
        <is>
          <t>UCEscP6ETYXWSSvsNrDHekMQ</t>
        </is>
      </c>
      <c r="O490" s="48" t="n">
        <v>45620.625</v>
      </c>
      <c r="P490" s="49" t="n">
        <v>45620</v>
      </c>
      <c r="Q490" s="47" t="n">
        <v>2778</v>
      </c>
      <c r="R490" s="47" t="inlineStr">
        <is>
          <t>No Video ID yet</t>
        </is>
      </c>
      <c r="S490" s="49" t="n"/>
      <c r="T490" s="49" t="n"/>
      <c r="U490" s="47" t="inlineStr">
        <is>
          <t>Join J and Ben as they dive into Chapter 2 of the Goblet of Fire and discuss Harry's choice in confidants, the magic behind the Owl Post, and Sirius Black's whereabouts. Get your Through the Griffin Door MUG - 04:11 - Chapter Breakdown 1:15:16 - Closing Thoughts and Review</t>
        </is>
      </c>
      <c r="V490" s="47">
        <f>IF(AND(P490&gt;=Calendar!$K$2,P490&lt;EDATE(Calendar!$K$2,1),OR(Calendar!$K$4="*",N490=Calendar!$K$4)),P490*100+COUNTIFS($P$6:$P$3267,P490,$Q$6:$Q$3267,"&lt;="&amp;Q490,$N$6:$N$3267,Calendar!$K$4),"")</f>
        <v/>
      </c>
      <c r="W490" s="47">
        <f>IF(AND(B490=Queue!$C$4,OR(Queue!$K$4="*",N490=Queue!$K$4)),Q490,"")</f>
        <v/>
      </c>
    </row>
    <row r="491">
      <c r="A491" s="38">
        <f>IF(M491="","",HYPERLINK("https://www.youtube.com/watch?v="&amp;M491,"▶"))</f>
        <v/>
      </c>
      <c r="B491" s="39">
        <f>IF(C491&lt;&gt;"",C491,IF(P491&lt;=IFERROR(INDEX(tblChannels[Watched Through],MATCH(N491,tblChannels[Channel ID],0)),0),"Watched","Unwatched"))</f>
        <v/>
      </c>
      <c r="C491" s="40" t="n"/>
      <c r="D491" s="41" t="n"/>
      <c r="E491" s="42" t="n">
        <v>45619.41666666666</v>
      </c>
      <c r="F491" s="50" t="inlineStr">
        <is>
          <t>Super Carlin Brothers</t>
        </is>
      </c>
      <c r="G491" t="inlineStr">
        <is>
          <t>Why You NEED To See WICKED | MOVIE REVIEW</t>
        </is>
      </c>
      <c r="H491" s="44" t="n">
        <v>0.03671296296296296</v>
      </c>
      <c r="I491" s="45" t="n">
        <v>102210</v>
      </c>
      <c r="J491" s="45" t="n">
        <v>4225</v>
      </c>
      <c r="K491" s="45" t="n">
        <v>854</v>
      </c>
      <c r="L491" s="46" t="n"/>
      <c r="M491" s="47" t="n"/>
      <c r="N491" s="47" t="inlineStr">
        <is>
          <t>UCKZo4N0lVPccBkSiuyVh4yg</t>
        </is>
      </c>
      <c r="O491" s="48" t="n">
        <v>45619.625</v>
      </c>
      <c r="P491" s="49" t="n">
        <v>45619</v>
      </c>
      <c r="Q491" s="47" t="n">
        <v>2777</v>
      </c>
      <c r="R491" s="47" t="inlineStr">
        <is>
          <t>No Video ID yet</t>
        </is>
      </c>
      <c r="S491" s="49" t="n"/>
      <c r="T491" s="49" t="n"/>
      <c r="U491" s="47" t="inlineStr">
        <is>
          <t>Go to and use code JVSB to get $45 off Aura’s best-selling Carver Mat frames. Today J and Ben dive into the Wonderful Land of Oz to give their full spoiler review of WICKED and try to determine if its the BEST movie they have ever seen.</t>
        </is>
      </c>
      <c r="V491" s="47">
        <f>IF(AND(P491&gt;=Calendar!$K$2,P491&lt;EDATE(Calendar!$K$2,1),OR(Calendar!$K$4="*",N491=Calendar!$K$4)),P491*100+COUNTIFS($P$6:$P$3267,P491,$Q$6:$Q$3267,"&lt;="&amp;Q491,$N$6:$N$3267,Calendar!$K$4),"")</f>
        <v/>
      </c>
      <c r="W491" s="47">
        <f>IF(AND(B491=Queue!$C$4,OR(Queue!$K$4="*",N491=Queue!$K$4)),Q491,"")</f>
        <v/>
      </c>
    </row>
    <row r="492">
      <c r="A492" s="38">
        <f>IF(M492="","",HYPERLINK("https://www.youtube.com/watch?v="&amp;M492,"▶"))</f>
        <v/>
      </c>
      <c r="B492" s="39">
        <f>IF(C492&lt;&gt;"",C492,IF(P492&lt;=IFERROR(INDEX(tblChannels[Watched Through],MATCH(N492,tblChannels[Channel ID],0)),0),"Watched","Unwatched"))</f>
        <v/>
      </c>
      <c r="C492" s="40" t="n"/>
      <c r="D492" s="41" t="n"/>
      <c r="E492" s="42" t="n">
        <v>45619.23125</v>
      </c>
      <c r="F492" s="52" t="inlineStr">
        <is>
          <t>Super Carlin Gaming</t>
        </is>
      </c>
      <c r="G492" t="inlineStr">
        <is>
          <t>Pokemon Box Breakers SEASON 13 Episode 1 - 11/22/2024</t>
        </is>
      </c>
      <c r="H492" s="44" t="n">
        <v>0.1271990740740741</v>
      </c>
      <c r="I492" s="45" t="n">
        <v>1330</v>
      </c>
      <c r="J492" s="45" t="n">
        <v>45</v>
      </c>
      <c r="K492" s="45" t="n">
        <v>7</v>
      </c>
      <c r="L492" s="46" t="n"/>
      <c r="M492" s="47" t="n"/>
      <c r="N492" s="47" t="inlineStr">
        <is>
          <t>UCor_9jRnNNZVzTuQ92PKsaQ</t>
        </is>
      </c>
      <c r="O492" s="48" t="n">
        <v>45619.43958333333</v>
      </c>
      <c r="P492" s="49" t="n">
        <v>45619</v>
      </c>
      <c r="Q492" s="47" t="n">
        <v>2776</v>
      </c>
      <c r="R492" s="47" t="inlineStr">
        <is>
          <t>No Video ID yet</t>
        </is>
      </c>
      <c r="S492" s="49" t="n"/>
      <c r="T492" s="49" t="n"/>
      <c r="U492" s="47" t="n"/>
      <c r="V492" s="47">
        <f>IF(AND(P492&gt;=Calendar!$K$2,P492&lt;EDATE(Calendar!$K$2,1),OR(Calendar!$K$4="*",N492=Calendar!$K$4)),P492*100+COUNTIFS($P$6:$P$3267,P492,$Q$6:$Q$3267,"&lt;="&amp;Q492,$N$6:$N$3267,Calendar!$K$4),"")</f>
        <v/>
      </c>
      <c r="W492" s="47">
        <f>IF(AND(B492=Queue!$C$4,OR(Queue!$K$4="*",N492=Queue!$K$4)),Q492,"")</f>
        <v/>
      </c>
    </row>
    <row r="493">
      <c r="A493" s="38">
        <f>IF(M493="","",HYPERLINK("https://www.youtube.com/watch?v="&amp;M493,"▶"))</f>
        <v/>
      </c>
      <c r="B493" s="39">
        <f>IF(C493&lt;&gt;"",C493,IF(P493&lt;=IFERROR(INDEX(tblChannels[Watched Through],MATCH(N493,tblChannels[Channel ID],0)),0),"Watched","Unwatched"))</f>
        <v/>
      </c>
      <c r="C493" s="40" t="n"/>
      <c r="D493" s="41" t="n"/>
      <c r="E493" s="42" t="n">
        <v>45618.72361111111</v>
      </c>
      <c r="F493" s="50" t="inlineStr">
        <is>
          <t>Super Carlin Brothers</t>
        </is>
      </c>
      <c r="G493" t="inlineStr">
        <is>
          <t>Did Moana DIE?!| Disney Film Theory</t>
        </is>
      </c>
      <c r="H493" s="44" t="n">
        <v>0.01165509259259259</v>
      </c>
      <c r="I493" s="45" t="n">
        <v>52060</v>
      </c>
      <c r="J493" s="45" t="n">
        <v>2741</v>
      </c>
      <c r="K493" s="45" t="n">
        <v>265</v>
      </c>
      <c r="L493" s="46" t="n"/>
      <c r="M493" s="47" t="n"/>
      <c r="N493" s="47" t="inlineStr">
        <is>
          <t>UCKZo4N0lVPccBkSiuyVh4yg</t>
        </is>
      </c>
      <c r="O493" s="48" t="n">
        <v>45618.93194444444</v>
      </c>
      <c r="P493" s="49" t="n">
        <v>45618</v>
      </c>
      <c r="Q493" s="47" t="n">
        <v>2775</v>
      </c>
      <c r="R493" s="47" t="inlineStr">
        <is>
          <t>No Video ID yet</t>
        </is>
      </c>
      <c r="S493" s="49" t="n"/>
      <c r="T493" s="49" t="n"/>
      <c r="U493" s="47" t="inlineStr">
        <is>
          <t>This episode is sponsored by BetterHelp — go to to get 10% off your first month. Today Ben dives into the deep ocean of Moana to find out if Moana, as the chosen one, actually died in the first movie and if she will die AGAIN in the 2nd one!</t>
        </is>
      </c>
      <c r="V493" s="47">
        <f>IF(AND(P493&gt;=Calendar!$K$2,P493&lt;EDATE(Calendar!$K$2,1),OR(Calendar!$K$4="*",N493=Calendar!$K$4)),P493*100+COUNTIFS($P$6:$P$3267,P493,$Q$6:$Q$3267,"&lt;="&amp;Q493,$N$6:$N$3267,Calendar!$K$4),"")</f>
        <v/>
      </c>
      <c r="W493" s="47">
        <f>IF(AND(B493=Queue!$C$4,OR(Queue!$K$4="*",N493=Queue!$K$4)),Q493,"")</f>
        <v/>
      </c>
    </row>
    <row r="494">
      <c r="A494" s="38">
        <f>IF(M494="","",HYPERLINK("https://www.youtube.com/watch?v="&amp;M494,"▶"))</f>
        <v/>
      </c>
      <c r="B494" s="39">
        <f>IF(C494&lt;&gt;"",C494,IF(P494&lt;=IFERROR(INDEX(tblChannels[Watched Through],MATCH(N494,tblChannels[Channel ID],0)),0),"Watched","Unwatched"))</f>
        <v/>
      </c>
      <c r="C494" s="40" t="n"/>
      <c r="D494" s="41" t="n"/>
      <c r="E494" s="42" t="n">
        <v>45618.41666666666</v>
      </c>
      <c r="F494" s="43" t="inlineStr">
        <is>
          <t>Popcorn Culture</t>
        </is>
      </c>
      <c r="G494" t="inlineStr">
        <is>
          <t>Charles Entertainment Cheese | Popcorn Culture</t>
        </is>
      </c>
      <c r="H494" s="44" t="n">
        <v>0.05497685185185185</v>
      </c>
      <c r="I494" s="45" t="n">
        <v>3670</v>
      </c>
      <c r="J494" s="45" t="n">
        <v>187</v>
      </c>
      <c r="K494" s="45" t="n">
        <v>21</v>
      </c>
      <c r="L494" s="46" t="n"/>
      <c r="M494" s="47" t="n"/>
      <c r="N494" s="47" t="inlineStr">
        <is>
          <t>UCHfIbq9thHPC8yrKjAdJgDA</t>
        </is>
      </c>
      <c r="O494" s="48" t="n">
        <v>45618.625</v>
      </c>
      <c r="P494" s="49" t="n">
        <v>45618</v>
      </c>
      <c r="Q494" s="47" t="n">
        <v>2774</v>
      </c>
      <c r="R494" s="47" t="inlineStr">
        <is>
          <t>No Video ID yet</t>
        </is>
      </c>
      <c r="S494" s="49" t="n"/>
      <c r="T494" s="49" t="n"/>
      <c r="U494" s="47" t="inlineStr">
        <is>
          <t>In the 259th episode of the Pop, Ben and J discuss a potential new office??? Beth’s marathon, Chuck E. Cheese and Mike Tyson vs. Jake Paul. Show Notes Rob Dyrdek’s Fantasy Factory - Pop Pop Duck Duck Tshirt - Fantasy Office Woke Up in a Warm Sweat Barcade Bad Luck 00:00 - Intro, Dream Office 23:26 - Beth’s Marathon Weekend Away 52:45 - Mike Tyson Vs. Jake Paul</t>
        </is>
      </c>
      <c r="V494" s="47">
        <f>IF(AND(P494&gt;=Calendar!$K$2,P494&lt;EDATE(Calendar!$K$2,1),OR(Calendar!$K$4="*",N494=Calendar!$K$4)),P494*100+COUNTIFS($P$6:$P$3267,P494,$Q$6:$Q$3267,"&lt;="&amp;Q494,$N$6:$N$3267,Calendar!$K$4),"")</f>
        <v/>
      </c>
      <c r="W494" s="47">
        <f>IF(AND(B494=Queue!$C$4,OR(Queue!$K$4="*",N494=Queue!$K$4)),Q494,"")</f>
        <v/>
      </c>
    </row>
    <row r="495">
      <c r="A495" s="38">
        <f>IF(M495="","",HYPERLINK("https://www.youtube.com/watch?v="&amp;M495,"▶"))</f>
        <v/>
      </c>
      <c r="B495" s="39">
        <f>IF(C495&lt;&gt;"",C495,IF(P495&lt;=IFERROR(INDEX(tblChannels[Watched Through],MATCH(N495,tblChannels[Channel ID],0)),0),"Watched","Unwatched"))</f>
        <v/>
      </c>
      <c r="C495" s="40" t="n"/>
      <c r="D495" s="41" t="n"/>
      <c r="E495" s="42" t="n">
        <v>45617.70833333334</v>
      </c>
      <c r="F495" s="51" t="inlineStr">
        <is>
          <t>Through The Griffin Door</t>
        </is>
      </c>
      <c r="G495" t="inlineStr">
        <is>
          <t>Live in San Diego - Chapter 1: The Riddle House | Goblet of Fire</t>
        </is>
      </c>
      <c r="H495" s="44" t="n">
        <v>0.04664351851851852</v>
      </c>
      <c r="I495" s="45" t="n">
        <v>13373</v>
      </c>
      <c r="J495" s="45" t="n">
        <v>564</v>
      </c>
      <c r="K495" s="45" t="n">
        <v>111</v>
      </c>
      <c r="L495" s="46" t="n"/>
      <c r="M495" s="47" t="n"/>
      <c r="N495" s="47" t="inlineStr">
        <is>
          <t>UCEscP6ETYXWSSvsNrDHekMQ</t>
        </is>
      </c>
      <c r="O495" s="48" t="n">
        <v>45617.91666666666</v>
      </c>
      <c r="P495" s="49" t="n">
        <v>45617</v>
      </c>
      <c r="Q495" s="47" t="n">
        <v>2773</v>
      </c>
      <c r="R495" s="47" t="inlineStr">
        <is>
          <t>No Video ID yet</t>
        </is>
      </c>
      <c r="S495" s="49" t="n"/>
      <c r="T495" s="49" t="n"/>
      <c r="U495" s="47" t="inlineStr">
        <is>
          <t>Join J and Ben as they dive BACK into Chapter 1 of the Goblet of Fire (in SAN DIEGO!!!) and discuss Frank Bryce's drinking problem, Frank Bryce's earwax problem, Frank Bryce's eavesdropping problem, Voldemort's sick joke about right hands, and Why Nagini Move Like That Do YOU want to see us LIVE? We're going back on tour! Tickets are ON SALE NOW for the Southeast leg of Through the Griffin TOUR!!!</t>
        </is>
      </c>
      <c r="V495" s="47">
        <f>IF(AND(P495&gt;=Calendar!$K$2,P495&lt;EDATE(Calendar!$K$2,1),OR(Calendar!$K$4="*",N495=Calendar!$K$4)),P495*100+COUNTIFS($P$6:$P$3267,P495,$Q$6:$Q$3267,"&lt;="&amp;Q495,$N$6:$N$3267,Calendar!$K$4),"")</f>
        <v/>
      </c>
      <c r="W495" s="47">
        <f>IF(AND(B495=Queue!$C$4,OR(Queue!$K$4="*",N495=Queue!$K$4)),Q495,"")</f>
        <v/>
      </c>
    </row>
    <row r="496">
      <c r="A496" s="38">
        <f>IF(M496="","",HYPERLINK("https://www.youtube.com/watch?v="&amp;M496,"▶"))</f>
        <v/>
      </c>
      <c r="B496" s="39">
        <f>IF(C496&lt;&gt;"",C496,IF(P496&lt;=IFERROR(INDEX(tblChannels[Watched Through],MATCH(N496,tblChannels[Channel ID],0)),0),"Watched","Unwatched"))</f>
        <v/>
      </c>
      <c r="C496" s="40" t="n"/>
      <c r="D496" s="41" t="n"/>
      <c r="E496" s="42" t="n">
        <v>45616.74652777778</v>
      </c>
      <c r="F496" s="50" t="inlineStr">
        <is>
          <t>Super Carlin Brothers</t>
        </is>
      </c>
      <c r="G496" t="inlineStr">
        <is>
          <t>J vs Ben: EXPERT MODE Prisoner of Azkaban Harry Potter Trivia Battle</t>
        </is>
      </c>
      <c r="H496" s="44" t="n">
        <v>0.03114583333333333</v>
      </c>
      <c r="I496" s="45" t="n">
        <v>124720</v>
      </c>
      <c r="J496" s="45" t="n">
        <v>4479</v>
      </c>
      <c r="K496" s="45" t="n">
        <v>610</v>
      </c>
      <c r="L496" s="46" t="n"/>
      <c r="M496" s="47" t="n"/>
      <c r="N496" s="47" t="inlineStr">
        <is>
          <t>UCKZo4N0lVPccBkSiuyVh4yg</t>
        </is>
      </c>
      <c r="O496" s="48" t="n">
        <v>45616.95486111111</v>
      </c>
      <c r="P496" s="49" t="n">
        <v>45616</v>
      </c>
      <c r="Q496" s="47" t="n">
        <v>2772</v>
      </c>
      <c r="R496" s="47" t="inlineStr">
        <is>
          <t>No Video ID yet</t>
        </is>
      </c>
      <c r="S496" s="49" t="n"/>
      <c r="T496" s="49" t="n"/>
      <c r="U496" s="47" t="inlineStr">
        <is>
          <t>The fastest card game in the Multiverse. Visit to make a new deck and try MARVEL SNAP for free on Steam, IOS or Android! Go to and use code brother to get 20% off your first order and free shipping. J and Ben have just wrapped up Prisoner of Azkaban over on Through the Griffin Door, and after combing through the book sentence by sentence the question is… HOW MUCH DID THEY LEARN?! Kangaroo Kat has devised a TRULY EXPERT LEVEL quiz for the guys today! How will you fare? Through The Griffin Door MUG ::</t>
        </is>
      </c>
      <c r="V496" s="47">
        <f>IF(AND(P496&gt;=Calendar!$K$2,P496&lt;EDATE(Calendar!$K$2,1),OR(Calendar!$K$4="*",N496=Calendar!$K$4)),P496*100+COUNTIFS($P$6:$P$3267,P496,$Q$6:$Q$3267,"&lt;="&amp;Q496,$N$6:$N$3267,Calendar!$K$4),"")</f>
        <v/>
      </c>
      <c r="W496" s="47">
        <f>IF(AND(B496=Queue!$C$4,OR(Queue!$K$4="*",N496=Queue!$K$4)),Q496,"")</f>
        <v/>
      </c>
    </row>
    <row r="497">
      <c r="A497" s="38">
        <f>IF(M497="","",HYPERLINK("https://www.youtube.com/watch?v="&amp;M497,"▶"))</f>
        <v/>
      </c>
      <c r="B497" s="39">
        <f>IF(C497&lt;&gt;"",C497,IF(P497&lt;=IFERROR(INDEX(tblChannels[Watched Through],MATCH(N497,tblChannels[Channel ID],0)),0),"Watched","Unwatched"))</f>
        <v/>
      </c>
      <c r="C497" s="40" t="n"/>
      <c r="D497" s="41" t="n"/>
      <c r="E497" s="42" t="n">
        <v>45613.41666666666</v>
      </c>
      <c r="F497" s="51" t="inlineStr">
        <is>
          <t>Through The Griffin Door</t>
        </is>
      </c>
      <c r="G497" t="inlineStr">
        <is>
          <t>Chapter 1: The Riddle House | Goblet of Fire</t>
        </is>
      </c>
      <c r="H497" s="44" t="n">
        <v>0.06591435185185185</v>
      </c>
      <c r="I497" s="45" t="n">
        <v>80868</v>
      </c>
      <c r="J497" s="45" t="n">
        <v>2240</v>
      </c>
      <c r="K497" s="45" t="n">
        <v>739</v>
      </c>
      <c r="L497" s="46" t="n"/>
      <c r="M497" s="47" t="n"/>
      <c r="N497" s="47" t="inlineStr">
        <is>
          <t>UCEscP6ETYXWSSvsNrDHekMQ</t>
        </is>
      </c>
      <c r="O497" s="48" t="n">
        <v>45613.625</v>
      </c>
      <c r="P497" s="49" t="n">
        <v>45613</v>
      </c>
      <c r="Q497" s="47" t="n">
        <v>2771</v>
      </c>
      <c r="R497" s="47" t="inlineStr">
        <is>
          <t>No Video ID yet</t>
        </is>
      </c>
      <c r="S497" s="49" t="n"/>
      <c r="T497" s="49" t="n"/>
      <c r="U497" s="47" t="inlineStr">
        <is>
          <t>Join J and Ben as they dive into Chapter 1 of the Goblet of Fire and discuss the house’s appearance, the rumor mill, Frank's hearing, Voldemort’s exposition, Nagini’s description, and Frank’s death. Get your Through the Griffin Door MUG - 08:33 - Chapter Breakdown 1:28:20 - Closing Thoughts and Review</t>
        </is>
      </c>
      <c r="V497" s="47">
        <f>IF(AND(P497&gt;=Calendar!$K$2,P497&lt;EDATE(Calendar!$K$2,1),OR(Calendar!$K$4="*",N497=Calendar!$K$4)),P497*100+COUNTIFS($P$6:$P$3267,P497,$Q$6:$Q$3267,"&lt;="&amp;Q497,$N$6:$N$3267,Calendar!$K$4),"")</f>
        <v/>
      </c>
      <c r="W497" s="47">
        <f>IF(AND(B497=Queue!$C$4,OR(Queue!$K$4="*",N497=Queue!$K$4)),Q497,"")</f>
        <v/>
      </c>
    </row>
    <row r="498">
      <c r="A498" s="38">
        <f>IF(M498="","",HYPERLINK("https://www.youtube.com/watch?v="&amp;M498,"▶"))</f>
        <v/>
      </c>
      <c r="B498" s="39">
        <f>IF(C498&lt;&gt;"",C498,IF(P498&lt;=IFERROR(INDEX(tblChannels[Watched Through],MATCH(N498,tblChannels[Channel ID],0)),0),"Watched","Unwatched"))</f>
        <v/>
      </c>
      <c r="C498" s="40" t="n"/>
      <c r="D498" s="41" t="n"/>
      <c r="E498" s="42" t="n">
        <v>45611.62569444445</v>
      </c>
      <c r="F498" s="50" t="inlineStr">
        <is>
          <t>Super Carlin Brothers</t>
        </is>
      </c>
      <c r="G498" t="inlineStr">
        <is>
          <t>The SECRET To Creating Harry Potter Characters | Harry Potter Film Theory</t>
        </is>
      </c>
      <c r="H498" s="44" t="n">
        <v>0.01024305555555556</v>
      </c>
      <c r="I498" s="45" t="n">
        <v>57761</v>
      </c>
      <c r="J498" s="45" t="n">
        <v>2886</v>
      </c>
      <c r="K498" s="45" t="n">
        <v>225</v>
      </c>
      <c r="L498" s="46" t="n"/>
      <c r="M498" s="47" t="n"/>
      <c r="N498" s="47" t="inlineStr">
        <is>
          <t>UCKZo4N0lVPccBkSiuyVh4yg</t>
        </is>
      </c>
      <c r="O498" s="48" t="n">
        <v>45611.83402777778</v>
      </c>
      <c r="P498" s="49" t="n">
        <v>45611</v>
      </c>
      <c r="Q498" s="47" t="n">
        <v>2770</v>
      </c>
      <c r="R498" s="47" t="inlineStr">
        <is>
          <t>No Video ID yet</t>
        </is>
      </c>
      <c r="S498" s="49" t="n"/>
      <c r="T498" s="49" t="n"/>
      <c r="U498" s="47" t="inlineStr">
        <is>
          <t>Go to to sign up for a $1-per-month trial period. Today Ben dives into the Wizarding World of Harry Potter to reveal the secret formula for creating each of the characters conflicting yet complimentary personalities via the Chinese Symbol, the Yin Yang Through The Griffin Door MUG ::</t>
        </is>
      </c>
      <c r="V498" s="47">
        <f>IF(AND(P498&gt;=Calendar!$K$2,P498&lt;EDATE(Calendar!$K$2,1),OR(Calendar!$K$4="*",N498=Calendar!$K$4)),P498*100+COUNTIFS($P$6:$P$3267,P498,$Q$6:$Q$3267,"&lt;="&amp;Q498,$N$6:$N$3267,Calendar!$K$4),"")</f>
        <v/>
      </c>
      <c r="W498" s="47">
        <f>IF(AND(B498=Queue!$C$4,OR(Queue!$K$4="*",N498=Queue!$K$4)),Q498,"")</f>
        <v/>
      </c>
    </row>
    <row r="499">
      <c r="A499" s="38">
        <f>IF(M499="","",HYPERLINK("https://www.youtube.com/watch?v="&amp;M499,"▶"))</f>
        <v/>
      </c>
      <c r="B499" s="39">
        <f>IF(C499&lt;&gt;"",C499,IF(P499&lt;=IFERROR(INDEX(tblChannels[Watched Through],MATCH(N499,tblChannels[Channel ID],0)),0),"Watched","Unwatched"))</f>
        <v/>
      </c>
      <c r="C499" s="40" t="n"/>
      <c r="D499" s="41" t="n"/>
      <c r="E499" s="42" t="n">
        <v>45611.41666666666</v>
      </c>
      <c r="F499" s="43" t="inlineStr">
        <is>
          <t>Popcorn Culture</t>
        </is>
      </c>
      <c r="G499" t="inlineStr">
        <is>
          <t>The Way in Which You Hobby | Popcorn Culture</t>
        </is>
      </c>
      <c r="H499" s="44" t="n">
        <v>0.04256944444444444</v>
      </c>
      <c r="I499" s="45" t="n">
        <v>3723</v>
      </c>
      <c r="J499" s="45" t="n">
        <v>189</v>
      </c>
      <c r="K499" s="45" t="n">
        <v>20</v>
      </c>
      <c r="L499" s="46" t="n"/>
      <c r="M499" s="47" t="n"/>
      <c r="N499" s="47" t="inlineStr">
        <is>
          <t>UCHfIbq9thHPC8yrKjAdJgDA</t>
        </is>
      </c>
      <c r="O499" s="48" t="n">
        <v>45611.625</v>
      </c>
      <c r="P499" s="49" t="n">
        <v>45611</v>
      </c>
      <c r="Q499" s="47" t="n">
        <v>2769</v>
      </c>
      <c r="R499" s="47" t="inlineStr">
        <is>
          <t>No Video ID yet</t>
        </is>
      </c>
      <c r="S499" s="49" t="n"/>
      <c r="T499" s="49" t="n"/>
      <c r="U499" s="47" t="inlineStr">
        <is>
          <t>In the 258th episode of the Pop, Ben and J discuss dentists, tailgating, how small the mustache community is, running out of room for the Pluto Pins, and planting garlic. Show Notes Pop Pop Duck Duck Tshirt - A Day Full of Whimsy Anti-Dentite Sweet November Rain 00:00 - Intro, Spider Watchers 03:47 - Whimsy and Not Whimsy 11:09 - Tailgating and Mustaches 32:49 - Pluto Pins 54:44 - More Gardening Updates</t>
        </is>
      </c>
      <c r="V499" s="47">
        <f>IF(AND(P499&gt;=Calendar!$K$2,P499&lt;EDATE(Calendar!$K$2,1),OR(Calendar!$K$4="*",N499=Calendar!$K$4)),P499*100+COUNTIFS($P$6:$P$3267,P499,$Q$6:$Q$3267,"&lt;="&amp;Q499,$N$6:$N$3267,Calendar!$K$4),"")</f>
        <v/>
      </c>
      <c r="W499" s="47">
        <f>IF(AND(B499=Queue!$C$4,OR(Queue!$K$4="*",N499=Queue!$K$4)),Q499,"")</f>
        <v/>
      </c>
    </row>
    <row r="500">
      <c r="A500" s="38">
        <f>IF(M500="","",HYPERLINK("https://www.youtube.com/watch?v="&amp;M500,"▶"))</f>
        <v/>
      </c>
      <c r="B500" s="39">
        <f>IF(C500&lt;&gt;"",C500,IF(P500&lt;=IFERROR(INDEX(tblChannels[Watched Through],MATCH(N500,tblChannels[Channel ID],0)),0),"Watched","Unwatched"))</f>
        <v/>
      </c>
      <c r="C500" s="40" t="n"/>
      <c r="D500" s="41" t="n"/>
      <c r="E500" s="42" t="n">
        <v>45609.67361111111</v>
      </c>
      <c r="F500" s="50" t="inlineStr">
        <is>
          <t>Super Carlin Brothers</t>
        </is>
      </c>
      <c r="G500" t="inlineStr">
        <is>
          <t>A SCATHING REVIEW of Hagrid | Harry Potter Film Theory</t>
        </is>
      </c>
      <c r="H500" s="44" t="n">
        <v>0.0105787037037037</v>
      </c>
      <c r="I500" s="45" t="n">
        <v>107633</v>
      </c>
      <c r="J500" s="45" t="n">
        <v>4963</v>
      </c>
      <c r="K500" s="45" t="n">
        <v>727</v>
      </c>
      <c r="L500" s="46" t="n"/>
      <c r="M500" s="47" t="n"/>
      <c r="N500" s="47" t="inlineStr">
        <is>
          <t>UCKZo4N0lVPccBkSiuyVh4yg</t>
        </is>
      </c>
      <c r="O500" s="48" t="n">
        <v>45609.88194444445</v>
      </c>
      <c r="P500" s="49" t="n">
        <v>45609</v>
      </c>
      <c r="Q500" s="47" t="n">
        <v>2768</v>
      </c>
      <c r="R500" s="47" t="inlineStr">
        <is>
          <t>No Video ID yet</t>
        </is>
      </c>
      <c r="S500" s="49" t="n"/>
      <c r="T500" s="49" t="n"/>
      <c r="U500" s="47" t="inlineStr">
        <is>
          <t>Go to and use code SUPER to get 20% off your first order and free shipping. Today J dives into the Wizarding World of Harry Potter to give a SCATHING review of Rubeus Hagrid, Keeper of Keys and Grounds at Hogwarts. We all know Hagrid has his heart in the right place.. But that doesn’t stop him from continuously making horrible decisions one after the other. Through The Griffin Door MUG ::</t>
        </is>
      </c>
      <c r="V500" s="47">
        <f>IF(AND(P500&gt;=Calendar!$K$2,P500&lt;EDATE(Calendar!$K$2,1),OR(Calendar!$K$4="*",N500=Calendar!$K$4)),P500*100+COUNTIFS($P$6:$P$3267,P500,$Q$6:$Q$3267,"&lt;="&amp;Q500,$N$6:$N$3267,Calendar!$K$4),"")</f>
        <v/>
      </c>
      <c r="W500" s="47">
        <f>IF(AND(B500=Queue!$C$4,OR(Queue!$K$4="*",N500=Queue!$K$4)),Q500,"")</f>
        <v/>
      </c>
    </row>
    <row r="501">
      <c r="A501" s="38">
        <f>IF(M501="","",HYPERLINK("https://www.youtube.com/watch?v="&amp;M501,"▶"))</f>
        <v/>
      </c>
      <c r="B501" s="39">
        <f>IF(C501&lt;&gt;"",C501,IF(P501&lt;=IFERROR(INDEX(tblChannels[Watched Through],MATCH(N501,tblChannels[Channel ID],0)),0),"Watched","Unwatched"))</f>
        <v/>
      </c>
      <c r="C501" s="40" t="n"/>
      <c r="D501" s="41" t="n"/>
      <c r="E501" s="42" t="n">
        <v>45606.41666666666</v>
      </c>
      <c r="F501" s="51" t="inlineStr">
        <is>
          <t>Through The Griffin Door</t>
        </is>
      </c>
      <c r="G501" t="inlineStr">
        <is>
          <t>Dumbeldore’s Big Plan: Prisoner of Azkaban Edition</t>
        </is>
      </c>
      <c r="H501" s="44" t="n">
        <v>0.04856481481481482</v>
      </c>
      <c r="I501" s="45" t="n">
        <v>44804</v>
      </c>
      <c r="J501" s="45" t="n">
        <v>1361</v>
      </c>
      <c r="K501" s="45" t="n">
        <v>305</v>
      </c>
      <c r="L501" s="46" t="n"/>
      <c r="M501" s="47" t="n"/>
      <c r="N501" s="47" t="inlineStr">
        <is>
          <t>UCEscP6ETYXWSSvsNrDHekMQ</t>
        </is>
      </c>
      <c r="O501" s="48" t="n">
        <v>45606.625</v>
      </c>
      <c r="P501" s="49" t="n">
        <v>45606</v>
      </c>
      <c r="Q501" s="47" t="n">
        <v>2767</v>
      </c>
      <c r="R501" s="47" t="inlineStr">
        <is>
          <t>No Video ID yet</t>
        </is>
      </c>
      <c r="S501" s="49" t="n"/>
      <c r="T501" s="49" t="n"/>
      <c r="U501" s="47" t="inlineStr">
        <is>
          <t>Join J and Ben as they dive into how Dumbledore’s Big Plan fits into the Prisoner of Azkaban</t>
        </is>
      </c>
      <c r="V501" s="47">
        <f>IF(AND(P501&gt;=Calendar!$K$2,P501&lt;EDATE(Calendar!$K$2,1),OR(Calendar!$K$4="*",N501=Calendar!$K$4)),P501*100+COUNTIFS($P$6:$P$3267,P501,$Q$6:$Q$3267,"&lt;="&amp;Q501,$N$6:$N$3267,Calendar!$K$4),"")</f>
        <v/>
      </c>
      <c r="W501" s="47">
        <f>IF(AND(B501=Queue!$C$4,OR(Queue!$K$4="*",N501=Queue!$K$4)),Q501,"")</f>
        <v/>
      </c>
    </row>
    <row r="502">
      <c r="A502" s="38">
        <f>IF(M502="","",HYPERLINK("https://www.youtube.com/watch?v="&amp;M502,"▶"))</f>
        <v/>
      </c>
      <c r="B502" s="39">
        <f>IF(C502&lt;&gt;"",C502,IF(P502&lt;=IFERROR(INDEX(tblChannels[Watched Through],MATCH(N502,tblChannels[Channel ID],0)),0),"Watched","Unwatched"))</f>
        <v/>
      </c>
      <c r="C502" s="40" t="n"/>
      <c r="D502" s="41" t="n"/>
      <c r="E502" s="42" t="n">
        <v>45605.41666666666</v>
      </c>
      <c r="F502" s="50" t="inlineStr">
        <is>
          <t>Super Carlin Brothers</t>
        </is>
      </c>
      <c r="G502" t="inlineStr">
        <is>
          <t>Through the Griffin Door Supercut: Prisoner of Azkaban Chapters 20-22</t>
        </is>
      </c>
      <c r="H502" s="44" t="n">
        <v>0.208587962962963</v>
      </c>
      <c r="I502" s="45" t="n">
        <v>23416</v>
      </c>
      <c r="J502" s="45" t="n">
        <v>362</v>
      </c>
      <c r="K502" s="45" t="n">
        <v>93</v>
      </c>
      <c r="L502" s="46" t="n"/>
      <c r="M502" s="47" t="n"/>
      <c r="N502" s="47" t="inlineStr">
        <is>
          <t>UCKZo4N0lVPccBkSiuyVh4yg</t>
        </is>
      </c>
      <c r="O502" s="48" t="n">
        <v>45605.625</v>
      </c>
      <c r="P502" s="49" t="n">
        <v>45605</v>
      </c>
      <c r="Q502" s="47" t="n">
        <v>2766</v>
      </c>
      <c r="R502" s="47" t="inlineStr">
        <is>
          <t>No Video ID yet</t>
        </is>
      </c>
      <c r="S502" s="49" t="n"/>
      <c r="T502" s="49" t="n"/>
      <c r="U502" s="47" t="inlineStr">
        <is>
          <t>00:00:00 - Chapter 20: The Dementor's Kiss 01:15:26 - Chapter 21: Hermione's Secret 03:05:56 - Chapter 22: Owl Post Again</t>
        </is>
      </c>
      <c r="V502" s="47">
        <f>IF(AND(P502&gt;=Calendar!$K$2,P502&lt;EDATE(Calendar!$K$2,1),OR(Calendar!$K$4="*",N502=Calendar!$K$4)),P502*100+COUNTIFS($P$6:$P$3267,P502,$Q$6:$Q$3267,"&lt;="&amp;Q502,$N$6:$N$3267,Calendar!$K$4),"")</f>
        <v/>
      </c>
      <c r="W502" s="47">
        <f>IF(AND(B502=Queue!$C$4,OR(Queue!$K$4="*",N502=Queue!$K$4)),Q502,"")</f>
        <v/>
      </c>
    </row>
    <row r="503">
      <c r="A503" s="38">
        <f>IF(M503="","",HYPERLINK("https://www.youtube.com/watch?v="&amp;M503,"▶"))</f>
        <v/>
      </c>
      <c r="B503" s="39">
        <f>IF(C503&lt;&gt;"",C503,IF(P503&lt;=IFERROR(INDEX(tblChannels[Watched Through],MATCH(N503,tblChannels[Channel ID],0)),0),"Watched","Unwatched"))</f>
        <v/>
      </c>
      <c r="C503" s="40" t="n"/>
      <c r="D503" s="41" t="n"/>
      <c r="E503" s="42" t="n">
        <v>45604.85069444445</v>
      </c>
      <c r="F503" s="50" t="inlineStr">
        <is>
          <t>Super Carlin Brothers</t>
        </is>
      </c>
      <c r="G503" t="inlineStr">
        <is>
          <t>HARRY POTTER TRIVIA NIGHT! - Nov. 8, 2024</t>
        </is>
      </c>
      <c r="H503" s="44" t="n">
        <v>0.08980324074074074</v>
      </c>
      <c r="I503" s="45" t="n">
        <v>34387</v>
      </c>
      <c r="J503" s="45" t="n">
        <v>1051</v>
      </c>
      <c r="K503" s="45" t="n">
        <v>60</v>
      </c>
      <c r="L503" s="46" t="n"/>
      <c r="M503" s="47" t="n"/>
      <c r="N503" s="47" t="inlineStr">
        <is>
          <t>UCKZo4N0lVPccBkSiuyVh4yg</t>
        </is>
      </c>
      <c r="O503" s="48" t="n">
        <v>45605.05902777778</v>
      </c>
      <c r="P503" s="49" t="n">
        <v>45604</v>
      </c>
      <c r="Q503" s="47" t="n">
        <v>2765</v>
      </c>
      <c r="R503" s="47" t="inlineStr">
        <is>
          <t>No Video ID yet</t>
        </is>
      </c>
      <c r="S503" s="49" t="n"/>
      <c r="T503" s="49" t="n"/>
      <c r="U503" s="47" t="inlineStr">
        <is>
          <t>TTGD MUGS AVAILABLE NOW WHILE SUPPLIES LAST: Play along at OR by downloading the kahoot app</t>
        </is>
      </c>
      <c r="V503" s="47">
        <f>IF(AND(P503&gt;=Calendar!$K$2,P503&lt;EDATE(Calendar!$K$2,1),OR(Calendar!$K$4="*",N503=Calendar!$K$4)),P503*100+COUNTIFS($P$6:$P$3267,P503,$Q$6:$Q$3267,"&lt;="&amp;Q503,$N$6:$N$3267,Calendar!$K$4),"")</f>
        <v/>
      </c>
      <c r="W503" s="47">
        <f>IF(AND(B503=Queue!$C$4,OR(Queue!$K$4="*",N503=Queue!$K$4)),Q503,"")</f>
        <v/>
      </c>
    </row>
    <row r="504">
      <c r="A504" s="38">
        <f>IF(M504="","",HYPERLINK("https://www.youtube.com/watch?v="&amp;M504,"▶"))</f>
        <v/>
      </c>
      <c r="B504" s="39">
        <f>IF(C504&lt;&gt;"",C504,IF(P504&lt;=IFERROR(INDEX(tblChannels[Watched Through],MATCH(N504,tblChannels[Channel ID],0)),0),"Watched","Unwatched"))</f>
        <v/>
      </c>
      <c r="C504" s="40" t="n"/>
      <c r="D504" s="41" t="n"/>
      <c r="E504" s="42" t="n">
        <v>45604.72708333333</v>
      </c>
      <c r="F504" s="50" t="inlineStr">
        <is>
          <t>Super Carlin Brothers</t>
        </is>
      </c>
      <c r="G504" t="inlineStr">
        <is>
          <t>The Slytherin PARADOX Explained | Harry Potter Film Theory</t>
        </is>
      </c>
      <c r="H504" s="44" t="n">
        <v>0.01217592592592593</v>
      </c>
      <c r="I504" s="45" t="n">
        <v>440168</v>
      </c>
      <c r="J504" s="45" t="n">
        <v>14334</v>
      </c>
      <c r="K504" s="45" t="n">
        <v>2108</v>
      </c>
      <c r="L504" s="46" t="n"/>
      <c r="M504" s="47" t="n"/>
      <c r="N504" s="47" t="inlineStr">
        <is>
          <t>UCKZo4N0lVPccBkSiuyVh4yg</t>
        </is>
      </c>
      <c r="O504" s="48" t="n">
        <v>45604.93541666667</v>
      </c>
      <c r="P504" s="49" t="n">
        <v>45604</v>
      </c>
      <c r="Q504" s="47" t="n">
        <v>2764</v>
      </c>
      <c r="R504" s="47" t="inlineStr">
        <is>
          <t>No Video ID yet</t>
        </is>
      </c>
      <c r="S504" s="49" t="n"/>
      <c r="T504" s="49" t="n"/>
      <c r="U504" s="47" t="inlineStr">
        <is>
          <t>Today J dives into the Wizarding World of Harry Potter to explain the history of Slytherin House here in the real world. How the house was rebranded and what he calls “The Slytherin Paradox.” Gemma Farley Voice :: Isybelle Christley</t>
        </is>
      </c>
      <c r="V504" s="47">
        <f>IF(AND(P504&gt;=Calendar!$K$2,P504&lt;EDATE(Calendar!$K$2,1),OR(Calendar!$K$4="*",N504=Calendar!$K$4)),P504*100+COUNTIFS($P$6:$P$3267,P504,$Q$6:$Q$3267,"&lt;="&amp;Q504,$N$6:$N$3267,Calendar!$K$4),"")</f>
        <v/>
      </c>
      <c r="W504" s="47">
        <f>IF(AND(B504=Queue!$C$4,OR(Queue!$K$4="*",N504=Queue!$K$4)),Q504,"")</f>
        <v/>
      </c>
    </row>
    <row r="505">
      <c r="A505" s="38">
        <f>IF(M505="","",HYPERLINK("https://www.youtube.com/watch?v="&amp;M505,"▶"))</f>
        <v/>
      </c>
      <c r="B505" s="39">
        <f>IF(C505&lt;&gt;"",C505,IF(P505&lt;=IFERROR(INDEX(tblChannels[Watched Through],MATCH(N505,tblChannels[Channel ID],0)),0),"Watched","Unwatched"))</f>
        <v/>
      </c>
      <c r="C505" s="40" t="n"/>
      <c r="D505" s="41" t="n"/>
      <c r="E505" s="42" t="n">
        <v>45604.41666666666</v>
      </c>
      <c r="F505" s="43" t="inlineStr">
        <is>
          <t>Popcorn Culture</t>
        </is>
      </c>
      <c r="G505" t="inlineStr">
        <is>
          <t>The Banana King of Reddit | Popcorn Culture</t>
        </is>
      </c>
      <c r="H505" s="44" t="n">
        <v>0.05616898148148148</v>
      </c>
      <c r="I505" s="45" t="n">
        <v>3856</v>
      </c>
      <c r="J505" s="45" t="n">
        <v>172</v>
      </c>
      <c r="K505" s="45" t="n">
        <v>41</v>
      </c>
      <c r="L505" s="46" t="n"/>
      <c r="M505" s="47" t="n"/>
      <c r="N505" s="47" t="inlineStr">
        <is>
          <t>UCHfIbq9thHPC8yrKjAdJgDA</t>
        </is>
      </c>
      <c r="O505" s="48" t="n">
        <v>45604.625</v>
      </c>
      <c r="P505" s="49" t="n">
        <v>45604</v>
      </c>
      <c r="Q505" s="47" t="n">
        <v>2763</v>
      </c>
      <c r="R505" s="47" t="inlineStr">
        <is>
          <t>No Video ID yet</t>
        </is>
      </c>
      <c r="S505" s="49" t="n"/>
      <c r="T505" s="49" t="n"/>
      <c r="U505" s="47" t="inlineStr">
        <is>
          <t>In the 257th episode of the Pop, Ben and J discuss being distracted, trash, H, Reddit, bananas, and how awful Great Wolf Lodge is. Show Notes Ben’s Banana post - *Sad Trombone Noises* Mostly Bags of Trash If I’m Being H A Scathing Review of Great Wolf Lodge 00:00 - Intro, Stress and Trash 28:24 - Roasting Great Wolf Lodge</t>
        </is>
      </c>
      <c r="V505" s="47">
        <f>IF(AND(P505&gt;=Calendar!$K$2,P505&lt;EDATE(Calendar!$K$2,1),OR(Calendar!$K$4="*",N505=Calendar!$K$4)),P505*100+COUNTIFS($P$6:$P$3267,P505,$Q$6:$Q$3267,"&lt;="&amp;Q505,$N$6:$N$3267,Calendar!$K$4),"")</f>
        <v/>
      </c>
      <c r="W505" s="47">
        <f>IF(AND(B505=Queue!$C$4,OR(Queue!$K$4="*",N505=Queue!$K$4)),Q505,"")</f>
        <v/>
      </c>
    </row>
    <row r="506">
      <c r="A506" s="38">
        <f>IF(M506="","",HYPERLINK("https://www.youtube.com/watch?v="&amp;M506,"▶"))</f>
        <v/>
      </c>
      <c r="B506" s="39">
        <f>IF(C506&lt;&gt;"",C506,IF(P506&lt;=IFERROR(INDEX(tblChannels[Watched Through],MATCH(N506,tblChannels[Channel ID],0)),0),"Watched","Unwatched"))</f>
        <v/>
      </c>
      <c r="C506" s="40" t="n"/>
      <c r="D506" s="41" t="n"/>
      <c r="E506" s="42" t="n">
        <v>45602.74097222222</v>
      </c>
      <c r="F506" s="50" t="inlineStr">
        <is>
          <t>Super Carlin Brothers</t>
        </is>
      </c>
      <c r="G506" t="inlineStr">
        <is>
          <t>J Vs Ben: HARDEST Ginny Weasley Harry Potter Trivia BATTLE</t>
        </is>
      </c>
      <c r="H506" s="44" t="n">
        <v>0.02853009259259259</v>
      </c>
      <c r="I506" s="45" t="n">
        <v>91714</v>
      </c>
      <c r="J506" s="45" t="n">
        <v>3815</v>
      </c>
      <c r="K506" s="45" t="n">
        <v>501</v>
      </c>
      <c r="L506" s="46" t="n"/>
      <c r="M506" s="47" t="n"/>
      <c r="N506" s="47" t="inlineStr">
        <is>
          <t>UCKZo4N0lVPccBkSiuyVh4yg</t>
        </is>
      </c>
      <c r="O506" s="48" t="n">
        <v>45602.94930555556</v>
      </c>
      <c r="P506" s="49" t="n">
        <v>45602</v>
      </c>
      <c r="Q506" s="47" t="n">
        <v>2762</v>
      </c>
      <c r="R506" s="47" t="inlineStr">
        <is>
          <t>No Video ID yet</t>
        </is>
      </c>
      <c r="S506" s="49" t="n"/>
      <c r="T506" s="49" t="n"/>
      <c r="U506" s="47" t="inlineStr">
        <is>
          <t>Go to to cancel your unwanted subscriptions with Rocket Money. The fastest card game in the Multiverse. Visit to make a new deck and try MARVEL SNAP for free on Steam, IOS or Android! Today J and Ben face off once more to find out who knows the most about the shoe-lace tying, cookie feeding youngest sibling of the Weasley Family: Ginevra Molly "Ginny" Potter (née Weasley) J's War Machine Deck: # (1) Ghost-Spider # (1) Iron Fist # (1) Ebony Maw # (2) Dagger # (2) Madame Web # (3) Cosmo # (3) Vulture # (4) Storm # (4) War Machine # (5) Legion # (6) Alioth # (6) The Infinaut # QWx0aDYsQ3NtNSxEZ2dyNixFYm5NdzgsR2hzdFNwZHJCLEluZm50OCxMZ242LE1kbVdiOSxTdHJtNSxWbHRyNyxXck1jaG5BLElybkZzdDg= # # To use this deck, copy it to your clipboard and paste it from the deck editing menu in MARVEL SNAP.</t>
        </is>
      </c>
      <c r="V506" s="47">
        <f>IF(AND(P506&gt;=Calendar!$K$2,P506&lt;EDATE(Calendar!$K$2,1),OR(Calendar!$K$4="*",N506=Calendar!$K$4)),P506*100+COUNTIFS($P$6:$P$3267,P506,$Q$6:$Q$3267,"&lt;="&amp;Q506,$N$6:$N$3267,Calendar!$K$4),"")</f>
        <v/>
      </c>
      <c r="W506" s="47">
        <f>IF(AND(B506=Queue!$C$4,OR(Queue!$K$4="*",N506=Queue!$K$4)),Q506,"")</f>
        <v/>
      </c>
    </row>
    <row r="507">
      <c r="A507" s="38">
        <f>IF(M507="","",HYPERLINK("https://www.youtube.com/watch?v="&amp;M507,"▶"))</f>
        <v/>
      </c>
      <c r="B507" s="39">
        <f>IF(C507&lt;&gt;"",C507,IF(P507&lt;=IFERROR(INDEX(tblChannels[Watched Through],MATCH(N507,tblChannels[Channel ID],0)),0),"Watched","Unwatched"))</f>
        <v/>
      </c>
      <c r="C507" s="40" t="n"/>
      <c r="D507" s="41" t="n"/>
      <c r="E507" s="42" t="n">
        <v>45599.41666666666</v>
      </c>
      <c r="F507" s="51" t="inlineStr">
        <is>
          <t>Through The Griffin Door</t>
        </is>
      </c>
      <c r="G507" t="inlineStr">
        <is>
          <t>Chapter 22: Owl Post Again | Prisoner of Azkaban</t>
        </is>
      </c>
      <c r="H507" s="44" t="n">
        <v>0.08111111111111111</v>
      </c>
      <c r="I507" s="45" t="n">
        <v>76753</v>
      </c>
      <c r="J507" s="45" t="n">
        <v>1999</v>
      </c>
      <c r="K507" s="45" t="n">
        <v>699</v>
      </c>
      <c r="L507" s="46" t="n"/>
      <c r="M507" s="47" t="n"/>
      <c r="N507" s="47" t="inlineStr">
        <is>
          <t>UCEscP6ETYXWSSvsNrDHekMQ</t>
        </is>
      </c>
      <c r="O507" s="48" t="n">
        <v>45599.625</v>
      </c>
      <c r="P507" s="49" t="n">
        <v>45599</v>
      </c>
      <c r="Q507" s="47" t="n">
        <v>2761</v>
      </c>
      <c r="R507" s="47" t="inlineStr">
        <is>
          <t>No Video ID yet</t>
        </is>
      </c>
      <c r="S507" s="49" t="n"/>
      <c r="T507" s="49" t="n"/>
      <c r="U507" s="47" t="inlineStr">
        <is>
          <t>Join J and Ben as they dive into Chapter 22 of the Prisoner of Azkaban and discuss getting back to the hospital wing, Dumbledore’s mischief, Hagrid being happy, lycanthropy, Lupin leaving, telling Dumbledore about Trelawney’s prophecy, more time travel details, Dumbledore’s lessons, returning to the Dursleys, and Sirius’s letter. Death Is A DEMENTOR - What if Ron Was in Hufflepuff (Part 1) - Trelawney's Actually ALWAYS Right? - How Time Travel ACTUALLY Works in Harry Potter - 07:17 - Chapter Breakdown 1:19:02 - Closing Thoughts and Review</t>
        </is>
      </c>
      <c r="V507" s="47">
        <f>IF(AND(P507&gt;=Calendar!$K$2,P507&lt;EDATE(Calendar!$K$2,1),OR(Calendar!$K$4="*",N507=Calendar!$K$4)),P507*100+COUNTIFS($P$6:$P$3267,P507,$Q$6:$Q$3267,"&lt;="&amp;Q507,$N$6:$N$3267,Calendar!$K$4),"")</f>
        <v/>
      </c>
      <c r="W507" s="47">
        <f>IF(AND(B507=Queue!$C$4,OR(Queue!$K$4="*",N507=Queue!$K$4)),Q507,"")</f>
        <v/>
      </c>
    </row>
    <row r="508">
      <c r="A508" s="38">
        <f>IF(M508="","",HYPERLINK("https://www.youtube.com/watch?v="&amp;M508,"▶"))</f>
        <v/>
      </c>
      <c r="B508" s="39">
        <f>IF(C508&lt;&gt;"",C508,IF(P508&lt;=IFERROR(INDEX(tblChannels[Watched Through],MATCH(N508,tblChannels[Channel ID],0)),0),"Watched","Unwatched"))</f>
        <v/>
      </c>
      <c r="C508" s="40" t="n"/>
      <c r="D508" s="41" t="n"/>
      <c r="E508" s="42" t="n">
        <v>45597.67430555556</v>
      </c>
      <c r="F508" s="50" t="inlineStr">
        <is>
          <t>Super Carlin Brothers</t>
        </is>
      </c>
      <c r="G508" t="inlineStr">
        <is>
          <t>What If Ron Was In Hufflepuff - The Ring and The Cup | Harry Potter Film Theory</t>
        </is>
      </c>
      <c r="H508" s="44" t="n">
        <v>0.01434027777777778</v>
      </c>
      <c r="I508" s="45" t="n">
        <v>91545</v>
      </c>
      <c r="J508" s="45" t="n">
        <v>4647</v>
      </c>
      <c r="K508" s="45" t="n">
        <v>526</v>
      </c>
      <c r="L508" s="46" t="n"/>
      <c r="M508" s="47" t="n"/>
      <c r="N508" s="47" t="inlineStr">
        <is>
          <t>UCKZo4N0lVPccBkSiuyVh4yg</t>
        </is>
      </c>
      <c r="O508" s="48" t="n">
        <v>45597.84097222222</v>
      </c>
      <c r="P508" s="49" t="n">
        <v>45597</v>
      </c>
      <c r="Q508" s="47" t="n">
        <v>2760</v>
      </c>
      <c r="R508" s="47" t="inlineStr">
        <is>
          <t>No Video ID yet</t>
        </is>
      </c>
      <c r="S508" s="49" t="n"/>
      <c r="T508" s="49" t="n"/>
      <c r="U508" s="47" t="inlineStr">
        <is>
          <t>Go to to get 15% off your next gift. Today Ben returns to the What if World of Ron in Hufflepuff to find out what happens after Ron returns from the maze with the dead body of Lucius Malfoy and proof that Voldemort is back! How does the ministry realizing this change things? How many Death Eaters if Voldemort left with? How will Dumbledore track down the Horcruxes, and will Ron get to come too?</t>
        </is>
      </c>
      <c r="V508" s="47">
        <f>IF(AND(P508&gt;=Calendar!$K$2,P508&lt;EDATE(Calendar!$K$2,1),OR(Calendar!$K$4="*",N508=Calendar!$K$4)),P508*100+COUNTIFS($P$6:$P$3267,P508,$Q$6:$Q$3267,"&lt;="&amp;Q508,$N$6:$N$3267,Calendar!$K$4),"")</f>
        <v/>
      </c>
      <c r="W508" s="47">
        <f>IF(AND(B508=Queue!$C$4,OR(Queue!$K$4="*",N508=Queue!$K$4)),Q508,"")</f>
        <v/>
      </c>
    </row>
    <row r="509">
      <c r="A509" s="38">
        <f>IF(M509="","",HYPERLINK("https://www.youtube.com/watch?v="&amp;M509,"▶"))</f>
        <v/>
      </c>
      <c r="B509" s="39">
        <f>IF(C509&lt;&gt;"",C509,IF(P509&lt;=IFERROR(INDEX(tblChannels[Watched Through],MATCH(N509,tblChannels[Channel ID],0)),0),"Watched","Unwatched"))</f>
        <v/>
      </c>
      <c r="C509" s="40" t="n"/>
      <c r="D509" s="41" t="n"/>
      <c r="E509" s="42" t="n">
        <v>45597.41666666666</v>
      </c>
      <c r="F509" s="43" t="inlineStr">
        <is>
          <t>Popcorn Culture</t>
        </is>
      </c>
      <c r="G509" t="inlineStr">
        <is>
          <t>Post-Spoop Week | Popcorn Culture</t>
        </is>
      </c>
      <c r="H509" s="44" t="n">
        <v>0.04510416666666667</v>
      </c>
      <c r="I509" s="45" t="n">
        <v>3266</v>
      </c>
      <c r="J509" s="45" t="n">
        <v>176</v>
      </c>
      <c r="K509" s="45" t="n">
        <v>19</v>
      </c>
      <c r="L509" s="46" t="n"/>
      <c r="M509" s="47" t="n"/>
      <c r="N509" s="47" t="inlineStr">
        <is>
          <t>UCHfIbq9thHPC8yrKjAdJgDA</t>
        </is>
      </c>
      <c r="O509" s="48" t="n">
        <v>45597.58333333334</v>
      </c>
      <c r="P509" s="49" t="n">
        <v>45597</v>
      </c>
      <c r="Q509" s="47" t="n">
        <v>2759</v>
      </c>
      <c r="R509" s="47" t="inlineStr">
        <is>
          <t>No Video ID yet</t>
        </is>
      </c>
      <c r="S509" s="49" t="n"/>
      <c r="T509" s="49" t="n"/>
      <c r="U509" s="47" t="inlineStr">
        <is>
          <t>In the 256th episode of the Pop, Ben and J discuss a crazy Hail Mary, figuring out what you want to do, anticipatory travel, and big life goals. Post-Spoop Week Importance of Exploration</t>
        </is>
      </c>
      <c r="V509" s="47">
        <f>IF(AND(P509&gt;=Calendar!$K$2,P509&lt;EDATE(Calendar!$K$2,1),OR(Calendar!$K$4="*",N509=Calendar!$K$4)),P509*100+COUNTIFS($P$6:$P$3267,P509,$Q$6:$Q$3267,"&lt;="&amp;Q509,$N$6:$N$3267,Calendar!$K$4),"")</f>
        <v/>
      </c>
      <c r="W509" s="47">
        <f>IF(AND(B509=Queue!$C$4,OR(Queue!$K$4="*",N509=Queue!$K$4)),Q509,"")</f>
        <v/>
      </c>
    </row>
    <row r="510">
      <c r="A510" s="38">
        <f>IF(M510="","",HYPERLINK("https://www.youtube.com/watch?v="&amp;M510,"▶"))</f>
        <v/>
      </c>
      <c r="B510" s="39">
        <f>IF(C510&lt;&gt;"",C510,IF(P510&lt;=IFERROR(INDEX(tblChannels[Watched Through],MATCH(N510,tblChannels[Channel ID],0)),0),"Watched","Unwatched"))</f>
        <v/>
      </c>
      <c r="C510" s="40" t="n"/>
      <c r="D510" s="41" t="n"/>
      <c r="E510" s="42" t="n">
        <v>45596.70833333334</v>
      </c>
      <c r="F510" s="51" t="inlineStr">
        <is>
          <t>Through The Griffin Door</t>
        </is>
      </c>
      <c r="G510" t="inlineStr">
        <is>
          <t>Live In Berkeley - Chapter 21: Hermione's Secret | Prisoner of Azkaban</t>
        </is>
      </c>
      <c r="H510" s="44" t="n">
        <v>0.06121527777777778</v>
      </c>
      <c r="I510" s="45" t="n">
        <v>13647</v>
      </c>
      <c r="J510" s="45" t="n">
        <v>536</v>
      </c>
      <c r="K510" s="45" t="n">
        <v>92</v>
      </c>
      <c r="L510" s="46" t="n"/>
      <c r="M510" s="47" t="n"/>
      <c r="N510" s="47" t="inlineStr">
        <is>
          <t>UCEscP6ETYXWSSvsNrDHekMQ</t>
        </is>
      </c>
      <c r="O510" s="48" t="n">
        <v>45596.875</v>
      </c>
      <c r="P510" s="49" t="n">
        <v>45596</v>
      </c>
      <c r="Q510" s="47" t="n">
        <v>2758</v>
      </c>
      <c r="R510" s="47" t="inlineStr">
        <is>
          <t>No Video ID yet</t>
        </is>
      </c>
      <c r="S510" s="49" t="n"/>
      <c r="T510" s="49" t="n"/>
      <c r="U510" s="47" t="inlineStr">
        <is>
          <t>Join J and Ben as they dive BACK into Chapter 21 of the Prisoner of Azkaban (in BERKELEY!!!) and discuss why Harry can't go grab the cloak, why Harry can't free buckbeak, why Harry can't stop Snape from going into the Shrieking Shack, and why Dumbledore thinks brandy and tea are the same category of beverage. Do YOU want to see us LIVE? We're going back on tour! Tickets are ON SALE NOW for the Southeast leg of Through the Griffin TOUR!!!</t>
        </is>
      </c>
      <c r="V510" s="47">
        <f>IF(AND(P510&gt;=Calendar!$K$2,P510&lt;EDATE(Calendar!$K$2,1),OR(Calendar!$K$4="*",N510=Calendar!$K$4)),P510*100+COUNTIFS($P$6:$P$3267,P510,$Q$6:$Q$3267,"&lt;="&amp;Q510,$N$6:$N$3267,Calendar!$K$4),"")</f>
        <v/>
      </c>
      <c r="W510" s="47">
        <f>IF(AND(B510=Queue!$C$4,OR(Queue!$K$4="*",N510=Queue!$K$4)),Q510,"")</f>
        <v/>
      </c>
    </row>
    <row r="511">
      <c r="A511" s="38">
        <f>IF(M511="","",HYPERLINK("https://www.youtube.com/watch?v="&amp;M511,"▶"))</f>
        <v/>
      </c>
      <c r="B511" s="39">
        <f>IF(C511&lt;&gt;"",C511,IF(P511&lt;=IFERROR(INDEX(tblChannels[Watched Through],MATCH(N511,tblChannels[Channel ID],0)),0),"Watched","Unwatched"))</f>
        <v/>
      </c>
      <c r="C511" s="40" t="n"/>
      <c r="D511" s="41" t="n"/>
      <c r="E511" s="42" t="n">
        <v>45595.74236111111</v>
      </c>
      <c r="F511" s="50" t="inlineStr">
        <is>
          <t>Super Carlin Brothers</t>
        </is>
      </c>
      <c r="G511" t="inlineStr">
        <is>
          <t>How Time Travel ACTUALLY Works in Harry Potter</t>
        </is>
      </c>
      <c r="H511" s="44" t="n">
        <v>0.01216435185185185</v>
      </c>
      <c r="I511" s="45" t="n">
        <v>110165</v>
      </c>
      <c r="J511" s="45" t="n">
        <v>5334</v>
      </c>
      <c r="K511" s="45" t="n">
        <v>799</v>
      </c>
      <c r="L511" s="46" t="n"/>
      <c r="M511" s="47" t="n"/>
      <c r="N511" s="47" t="inlineStr">
        <is>
          <t>UCKZo4N0lVPccBkSiuyVh4yg</t>
        </is>
      </c>
      <c r="O511" s="48" t="n">
        <v>45595.90902777778</v>
      </c>
      <c r="P511" s="49" t="n">
        <v>45595</v>
      </c>
      <c r="Q511" s="47" t="n">
        <v>2757</v>
      </c>
      <c r="R511" s="47" t="inlineStr">
        <is>
          <t>No Video ID yet</t>
        </is>
      </c>
      <c r="S511" s="49" t="n"/>
      <c r="T511" s="49" t="n"/>
      <c r="U511" s="47" t="inlineStr">
        <is>
          <t>The fastest card game in the Multiverse. Visit to make a new deck and try MARVEL SNAP for free on Steam, IOS or Android! Today J dives into the Wizarding World of Harry Potter to explain how Time Travel and Time Turners work. We always say “Whatever happened always happens,” but what does that really mean? Do time turners violate the bootstrap paradox? Does it control your actions? Does it remove free will? J’s Marvel SNAP Deck :: # (1) The Hood # (1) Rocket Raccoon # (1) Silver Sable # (1) Iceman # (1) Nico Minoru # (2) Toxin # (2) Black Swan # (2) Falcon # (2) Agent Venom # (3) Sage # (3) Hit-Monkey # (3) Beast # U2x2clNibEIsQnN0NSxIZDQsU2c0LFJja3RSY2NuRCxGbGNuNixOY01uckEsQmxja1N3bjksSWNtbjYsVHhuNSxBZ250Vm5tQSxIdE1uazk= # # To use this deck, copy it to your clipboard and paste it from the deck editing menu in MARVEL SNAP.</t>
        </is>
      </c>
      <c r="V511" s="47">
        <f>IF(AND(P511&gt;=Calendar!$K$2,P511&lt;EDATE(Calendar!$K$2,1),OR(Calendar!$K$4="*",N511=Calendar!$K$4)),P511*100+COUNTIFS($P$6:$P$3267,P511,$Q$6:$Q$3267,"&lt;="&amp;Q511,$N$6:$N$3267,Calendar!$K$4),"")</f>
        <v/>
      </c>
      <c r="W511" s="47">
        <f>IF(AND(B511=Queue!$C$4,OR(Queue!$K$4="*",N511=Queue!$K$4)),Q511,"")</f>
        <v/>
      </c>
    </row>
    <row r="512">
      <c r="A512" s="38">
        <f>IF(M512="","",HYPERLINK("https://www.youtube.com/watch?v="&amp;M512,"▶"))</f>
        <v/>
      </c>
      <c r="B512" s="39">
        <f>IF(C512&lt;&gt;"",C512,IF(P512&lt;=IFERROR(INDEX(tblChannels[Watched Through],MATCH(N512,tblChannels[Channel ID],0)),0),"Watched","Unwatched"))</f>
        <v/>
      </c>
      <c r="C512" s="40" t="n"/>
      <c r="D512" s="41" t="n"/>
      <c r="E512" s="42" t="n">
        <v>45592.41666666666</v>
      </c>
      <c r="F512" s="51" t="inlineStr">
        <is>
          <t>Through The Griffin Door</t>
        </is>
      </c>
      <c r="G512" t="inlineStr">
        <is>
          <t>Chapter 21: Hermione’s Secret | Prisoner of Azkaban</t>
        </is>
      </c>
      <c r="H512" s="44" t="n">
        <v>0.07684027777777777</v>
      </c>
      <c r="I512" s="45" t="n">
        <v>68319</v>
      </c>
      <c r="J512" s="45" t="n">
        <v>1753</v>
      </c>
      <c r="K512" s="45" t="n">
        <v>625</v>
      </c>
      <c r="L512" s="46" t="n"/>
      <c r="M512" s="47" t="n"/>
      <c r="N512" s="47" t="inlineStr">
        <is>
          <t>UCEscP6ETYXWSSvsNrDHekMQ</t>
        </is>
      </c>
      <c r="O512" s="48" t="n">
        <v>45592.58333333334</v>
      </c>
      <c r="P512" s="49" t="n">
        <v>45592</v>
      </c>
      <c r="Q512" s="47" t="n">
        <v>2756</v>
      </c>
      <c r="R512" s="47" t="inlineStr">
        <is>
          <t>No Video ID yet</t>
        </is>
      </c>
      <c r="S512" s="49" t="n"/>
      <c r="T512" s="49" t="n"/>
      <c r="U512" s="47" t="inlineStr">
        <is>
          <t>Join J and Ben as they dive into Chapter 21 of the Prisoner of Azkaban and discuss Snape and Fudge’s conversation, why Dumbledore believes Sirius, the time turner, saving Buckbeak, the in-between-the-action moments, Harry’s belief that the patronus was cast by his dad, Harry actually casting the patronus, and saving Sirius. Death Is A DEMENTOR - J vs Ben: We Tested EVERY Harry Potter Candy - 04:36 - Chapter Breakdown 1:39:03 - Closing Thoughts and Review</t>
        </is>
      </c>
      <c r="V512" s="47">
        <f>IF(AND(P512&gt;=Calendar!$K$2,P512&lt;EDATE(Calendar!$K$2,1),OR(Calendar!$K$4="*",N512=Calendar!$K$4)),P512*100+COUNTIFS($P$6:$P$3267,P512,$Q$6:$Q$3267,"&lt;="&amp;Q512,$N$6:$N$3267,Calendar!$K$4),"")</f>
        <v/>
      </c>
      <c r="W512" s="47">
        <f>IF(AND(B512=Queue!$C$4,OR(Queue!$K$4="*",N512=Queue!$K$4)),Q512,"")</f>
        <v/>
      </c>
    </row>
    <row r="513">
      <c r="A513" s="38">
        <f>IF(M513="","",HYPERLINK("https://www.youtube.com/watch?v="&amp;M513,"▶"))</f>
        <v/>
      </c>
      <c r="B513" s="39">
        <f>IF(C513&lt;&gt;"",C513,IF(P513&lt;=IFERROR(INDEX(tblChannels[Watched Through],MATCH(N513,tblChannels[Channel ID],0)),0),"Watched","Unwatched"))</f>
        <v/>
      </c>
      <c r="C513" s="40" t="n"/>
      <c r="D513" s="41" t="n"/>
      <c r="E513" s="42" t="n">
        <v>45590.70069444444</v>
      </c>
      <c r="F513" s="50" t="inlineStr">
        <is>
          <t>Super Carlin Brothers</t>
        </is>
      </c>
      <c r="G513" t="inlineStr">
        <is>
          <t>What If Ron Was In Hufflepuff - The Graveyard | Harry Potter Film Theory</t>
        </is>
      </c>
      <c r="H513" s="44" t="n">
        <v>0.01033564814814815</v>
      </c>
      <c r="I513" s="45" t="n">
        <v>82201</v>
      </c>
      <c r="J513" s="45" t="n">
        <v>4430</v>
      </c>
      <c r="K513" s="45" t="n">
        <v>432</v>
      </c>
      <c r="L513" s="46" t="n"/>
      <c r="M513" s="47" t="n"/>
      <c r="N513" s="47" t="inlineStr">
        <is>
          <t>UCKZo4N0lVPccBkSiuyVh4yg</t>
        </is>
      </c>
      <c r="O513" s="48" t="n">
        <v>45590.86736111111</v>
      </c>
      <c r="P513" s="49" t="n">
        <v>45590</v>
      </c>
      <c r="Q513" s="47" t="n">
        <v>2755</v>
      </c>
      <c r="R513" s="47" t="inlineStr">
        <is>
          <t>No Video ID yet</t>
        </is>
      </c>
      <c r="S513" s="49" t="n"/>
      <c r="T513" s="49" t="n"/>
      <c r="U513" s="47" t="inlineStr">
        <is>
          <t>Go to to get 15% off your next gift. Today Ben continues the story of Ron in Hufflepuff! Last we left him Ron had just grabbed the Tri-Wizard Cup and suddenly Vanished… we all know where he’s headed but what is his fate? Will Voldemort return? Can Harry help at all? And what about Barty Crouch Jr.?</t>
        </is>
      </c>
      <c r="V513" s="47">
        <f>IF(AND(P513&gt;=Calendar!$K$2,P513&lt;EDATE(Calendar!$K$2,1),OR(Calendar!$K$4="*",N513=Calendar!$K$4)),P513*100+COUNTIFS($P$6:$P$3267,P513,$Q$6:$Q$3267,"&lt;="&amp;Q513,$N$6:$N$3267,Calendar!$K$4),"")</f>
        <v/>
      </c>
      <c r="W513" s="47">
        <f>IF(AND(B513=Queue!$C$4,OR(Queue!$K$4="*",N513=Queue!$K$4)),Q513,"")</f>
        <v/>
      </c>
    </row>
    <row r="514">
      <c r="A514" s="38">
        <f>IF(M514="","",HYPERLINK("https://www.youtube.com/watch?v="&amp;M514,"▶"))</f>
        <v/>
      </c>
      <c r="B514" s="39">
        <f>IF(C514&lt;&gt;"",C514,IF(P514&lt;=IFERROR(INDEX(tblChannels[Watched Through],MATCH(N514,tblChannels[Channel ID],0)),0),"Watched","Unwatched"))</f>
        <v/>
      </c>
      <c r="C514" s="40" t="n"/>
      <c r="D514" s="41" t="n"/>
      <c r="E514" s="42" t="n">
        <v>45590.41666666666</v>
      </c>
      <c r="F514" s="43" t="inlineStr">
        <is>
          <t>Popcorn Culture</t>
        </is>
      </c>
      <c r="G514" t="inlineStr">
        <is>
          <t>Should I Get a Flamethrower?| Popcorn Culture</t>
        </is>
      </c>
      <c r="H514" s="44" t="n">
        <v>0.04679398148148148</v>
      </c>
      <c r="I514" s="45" t="n">
        <v>3674</v>
      </c>
      <c r="J514" s="45" t="n">
        <v>199</v>
      </c>
      <c r="K514" s="45" t="n">
        <v>16</v>
      </c>
      <c r="L514" s="46" t="n"/>
      <c r="M514" s="47" t="n"/>
      <c r="N514" s="47" t="inlineStr">
        <is>
          <t>UCHfIbq9thHPC8yrKjAdJgDA</t>
        </is>
      </c>
      <c r="O514" s="48" t="n">
        <v>45590.58333333334</v>
      </c>
      <c r="P514" s="49" t="n">
        <v>45590</v>
      </c>
      <c r="Q514" s="47" t="n">
        <v>2754</v>
      </c>
      <c r="R514" s="47" t="inlineStr">
        <is>
          <t>No Video ID yet</t>
        </is>
      </c>
      <c r="S514" s="49" t="n"/>
      <c r="T514" s="49" t="n"/>
      <c r="U514" s="47" t="inlineStr">
        <is>
          <t>In the 255th episode of the Pop, Ben and J discuss beer mile debrief, optimizing Go Fest, caving, skiing, choosing confidence, and flamethrowers. Show Notes A Goofy Movie - Diablo II -</t>
        </is>
      </c>
      <c r="V514" s="47">
        <f>IF(AND(P514&gt;=Calendar!$K$2,P514&lt;EDATE(Calendar!$K$2,1),OR(Calendar!$K$4="*",N514=Calendar!$K$4)),P514*100+COUNTIFS($P$6:$P$3267,P514,$Q$6:$Q$3267,"&lt;="&amp;Q514,$N$6:$N$3267,Calendar!$K$4),"")</f>
        <v/>
      </c>
      <c r="W514" s="47">
        <f>IF(AND(B514=Queue!$C$4,OR(Queue!$K$4="*",N514=Queue!$K$4)),Q514,"")</f>
        <v/>
      </c>
    </row>
    <row r="515">
      <c r="A515" s="38">
        <f>IF(M515="","",HYPERLINK("https://www.youtube.com/watch?v="&amp;M515,"▶"))</f>
        <v/>
      </c>
      <c r="B515" s="39">
        <f>IF(C515&lt;&gt;"",C515,IF(P515&lt;=IFERROR(INDEX(tblChannels[Watched Through],MATCH(N515,tblChannels[Channel ID],0)),0),"Watched","Unwatched"))</f>
        <v/>
      </c>
      <c r="C515" s="40" t="n"/>
      <c r="D515" s="41" t="n"/>
      <c r="E515" s="42" t="n">
        <v>45589.70833333334</v>
      </c>
      <c r="F515" s="51" t="inlineStr">
        <is>
          <t>Through The Griffin Door</t>
        </is>
      </c>
      <c r="G515" t="inlineStr">
        <is>
          <t>Live In Sacramento - Chapter 20: The Dementor's Kiss | Prisoner of Azkaban</t>
        </is>
      </c>
      <c r="H515" s="44" t="n">
        <v>0.04363425925925926</v>
      </c>
      <c r="I515" s="45" t="n">
        <v>12304</v>
      </c>
      <c r="J515" s="45" t="n">
        <v>560</v>
      </c>
      <c r="K515" s="45" t="n">
        <v>146</v>
      </c>
      <c r="L515" s="46" t="n"/>
      <c r="M515" s="47" t="n"/>
      <c r="N515" s="47" t="inlineStr">
        <is>
          <t>UCEscP6ETYXWSSvsNrDHekMQ</t>
        </is>
      </c>
      <c r="O515" s="48" t="n">
        <v>45589.875</v>
      </c>
      <c r="P515" s="49" t="n">
        <v>45589</v>
      </c>
      <c r="Q515" s="47" t="n">
        <v>2753</v>
      </c>
      <c r="R515" s="47" t="inlineStr">
        <is>
          <t>No Video ID yet</t>
        </is>
      </c>
      <c r="S515" s="49" t="n"/>
      <c r="T515" s="49" t="n"/>
      <c r="U515" s="47" t="inlineStr">
        <is>
          <t>Join J and Ben as they dive BACK into Chapter 20 of the Prisoner of Azkaban (in SACRAMENTO!!!) and discuss who could possibly be the mystery person in the chapter art, why Peter needs a wand to transform and Sirius doesn't, and whether or not Snape was the one casting the Prongs-Tronus. Do YOU want to see us LIVE? We're going back on tour! Tickets are ON SALE NOW for the Southeast leg of Through the Griffin TOUR!!!</t>
        </is>
      </c>
      <c r="V515" s="47">
        <f>IF(AND(P515&gt;=Calendar!$K$2,P515&lt;EDATE(Calendar!$K$2,1),OR(Calendar!$K$4="*",N515=Calendar!$K$4)),P515*100+COUNTIFS($P$6:$P$3267,P515,$Q$6:$Q$3267,"&lt;="&amp;Q515,$N$6:$N$3267,Calendar!$K$4),"")</f>
        <v/>
      </c>
      <c r="W515" s="47">
        <f>IF(AND(B515=Queue!$C$4,OR(Queue!$K$4="*",N515=Queue!$K$4)),Q515,"")</f>
        <v/>
      </c>
    </row>
    <row r="516">
      <c r="A516" s="38">
        <f>IF(M516="","",HYPERLINK("https://www.youtube.com/watch?v="&amp;M516,"▶"))</f>
        <v/>
      </c>
      <c r="B516" s="39">
        <f>IF(C516&lt;&gt;"",C516,IF(P516&lt;=IFERROR(INDEX(tblChannels[Watched Through],MATCH(N516,tblChannels[Channel ID],0)),0),"Watched","Unwatched"))</f>
        <v/>
      </c>
      <c r="C516" s="40" t="n"/>
      <c r="D516" s="41" t="n"/>
      <c r="E516" s="42" t="n">
        <v>45588.69583333333</v>
      </c>
      <c r="F516" s="50" t="inlineStr">
        <is>
          <t>Super Carlin Brothers</t>
        </is>
      </c>
      <c r="G516" t="inlineStr">
        <is>
          <t>Worst Harry Potter Candy EVER?!</t>
        </is>
      </c>
      <c r="H516" s="44" t="n">
        <v>0.02387731481481482</v>
      </c>
      <c r="I516" s="45" t="n">
        <v>131909</v>
      </c>
      <c r="J516" s="45" t="n">
        <v>5030</v>
      </c>
      <c r="K516" s="45" t="n">
        <v>547</v>
      </c>
      <c r="L516" s="46" t="n"/>
      <c r="M516" s="47" t="n"/>
      <c r="N516" s="47" t="inlineStr">
        <is>
          <t>UCKZo4N0lVPccBkSiuyVh4yg</t>
        </is>
      </c>
      <c r="O516" s="48" t="n">
        <v>45588.8625</v>
      </c>
      <c r="P516" s="49" t="n">
        <v>45588</v>
      </c>
      <c r="Q516" s="47" t="n">
        <v>2752</v>
      </c>
      <c r="R516" s="47" t="inlineStr">
        <is>
          <t>No Video ID yet</t>
        </is>
      </c>
      <c r="S516" s="49" t="n"/>
      <c r="T516" s="49" t="n"/>
      <c r="U516" s="47" t="inlineStr">
        <is>
          <t>Go to to get 20% off your first order and free shipping. Today J and Ben try EVERY bit of Wizarding World Candy available on HarryPotter shop. We’ve got it all from Chocolate Frogs to Butter Beer to Bertie Bott’s Every Flavour Beans (and they MEAN every flavor!) Make your own tier list :: Not a sponsor but if you wanna try the candy for yourself :: #supercarlinbrothers #HarryPotter #jvsben</t>
        </is>
      </c>
      <c r="V516" s="47">
        <f>IF(AND(P516&gt;=Calendar!$K$2,P516&lt;EDATE(Calendar!$K$2,1),OR(Calendar!$K$4="*",N516=Calendar!$K$4)),P516*100+COUNTIFS($P$6:$P$3267,P516,$Q$6:$Q$3267,"&lt;="&amp;Q516,$N$6:$N$3267,Calendar!$K$4),"")</f>
        <v/>
      </c>
      <c r="W516" s="47">
        <f>IF(AND(B516=Queue!$C$4,OR(Queue!$K$4="*",N516=Queue!$K$4)),Q516,"")</f>
        <v/>
      </c>
    </row>
    <row r="517">
      <c r="A517" s="38">
        <f>IF(M517="","",HYPERLINK("https://www.youtube.com/watch?v="&amp;M517,"▶"))</f>
        <v/>
      </c>
      <c r="B517" s="39">
        <f>IF(C517&lt;&gt;"",C517,IF(P517&lt;=IFERROR(INDEX(tblChannels[Watched Through],MATCH(N517,tblChannels[Channel ID],0)),0),"Watched","Unwatched"))</f>
        <v/>
      </c>
      <c r="C517" s="40" t="n"/>
      <c r="D517" s="41" t="n"/>
      <c r="E517" s="42" t="n">
        <v>45587.5</v>
      </c>
      <c r="F517" s="43" t="inlineStr">
        <is>
          <t>Popcorn Culture</t>
        </is>
      </c>
      <c r="G517" t="inlineStr">
        <is>
          <t>THROUGH THE GRIFFIN TOUR - SOUTHEAST!</t>
        </is>
      </c>
      <c r="H517" s="44" t="n">
        <v>0.0007407407407407407</v>
      </c>
      <c r="I517" s="45" t="n">
        <v>496</v>
      </c>
      <c r="J517" s="45" t="n">
        <v>40</v>
      </c>
      <c r="K517" s="45" t="n">
        <v>6</v>
      </c>
      <c r="L517" s="46" t="n"/>
      <c r="M517" s="47" t="n"/>
      <c r="N517" s="47" t="inlineStr">
        <is>
          <t>UCHfIbq9thHPC8yrKjAdJgDA</t>
        </is>
      </c>
      <c r="O517" s="48" t="n">
        <v>45587.66666666666</v>
      </c>
      <c r="P517" s="49" t="n">
        <v>45587</v>
      </c>
      <c r="Q517" s="47" t="n">
        <v>2751</v>
      </c>
      <c r="R517" s="47" t="inlineStr">
        <is>
          <t>No Video ID yet</t>
        </is>
      </c>
      <c r="S517" s="49" t="n"/>
      <c r="T517" s="49" t="n"/>
      <c r="U517" s="47" t="inlineStr">
        <is>
          <t>We are so excited to announce that we will be continuing the Through the Griffin TOUR in the Southeast this February! Tickets go on sale THIS FRIDAY, October 25th at 10:00am ET. Charlotte, NC - 02/11/2025 - Orlando, FL - 02/13/2025 - Tampa, FL - 02/14/2025 - Jacksonville, FL - 02/16/2025 - Atlanta, GA - 02/18/2025 - Nashville, TN - 02/19/2025 - VIP tickets will be available yet again for this tour as well for an additional $50! Again, you can get your tickets here: on Friday, October 25th at 10:00am ET. We can’t wait to see you in real life, brother!</t>
        </is>
      </c>
      <c r="V517" s="47">
        <f>IF(AND(P517&gt;=Calendar!$K$2,P517&lt;EDATE(Calendar!$K$2,1),OR(Calendar!$K$4="*",N517=Calendar!$K$4)),P517*100+COUNTIFS($P$6:$P$3267,P517,$Q$6:$Q$3267,"&lt;="&amp;Q517,$N$6:$N$3267,Calendar!$K$4),"")</f>
        <v/>
      </c>
      <c r="W517" s="47">
        <f>IF(AND(B517=Queue!$C$4,OR(Queue!$K$4="*",N517=Queue!$K$4)),Q517,"")</f>
        <v/>
      </c>
    </row>
    <row r="518">
      <c r="A518" s="38">
        <f>IF(M518="","",HYPERLINK("https://www.youtube.com/watch?v="&amp;M518,"▶"))</f>
        <v/>
      </c>
      <c r="B518" s="39">
        <f>IF(C518&lt;&gt;"",C518,IF(P518&lt;=IFERROR(INDEX(tblChannels[Watched Through],MATCH(N518,tblChannels[Channel ID],0)),0),"Watched","Unwatched"))</f>
        <v/>
      </c>
      <c r="C518" s="40" t="n"/>
      <c r="D518" s="41" t="n"/>
      <c r="E518" s="42" t="n">
        <v>45587.5</v>
      </c>
      <c r="F518" s="51" t="inlineStr">
        <is>
          <t>Through The Griffin Door</t>
        </is>
      </c>
      <c r="G518" t="inlineStr">
        <is>
          <t>THROUGH THE GRIFFIN TOUR - SOUTHEAST!</t>
        </is>
      </c>
      <c r="H518" s="44" t="n">
        <v>0.001597222222222222</v>
      </c>
      <c r="I518" s="45" t="n">
        <v>3445</v>
      </c>
      <c r="J518" s="45" t="n">
        <v>232</v>
      </c>
      <c r="K518" s="45" t="n">
        <v>85</v>
      </c>
      <c r="L518" s="46" t="n"/>
      <c r="M518" s="47" t="n"/>
      <c r="N518" s="47" t="inlineStr">
        <is>
          <t>UCEscP6ETYXWSSvsNrDHekMQ</t>
        </is>
      </c>
      <c r="O518" s="48" t="n">
        <v>45587.66666666666</v>
      </c>
      <c r="P518" s="49" t="n">
        <v>45587</v>
      </c>
      <c r="Q518" s="47" t="n">
        <v>2750</v>
      </c>
      <c r="R518" s="47" t="inlineStr">
        <is>
          <t>No Video ID yet</t>
        </is>
      </c>
      <c r="S518" s="49" t="n"/>
      <c r="T518" s="49" t="n"/>
      <c r="U518" s="47" t="inlineStr">
        <is>
          <t>We are so excited to announce that we will be continuing the Through the Griffin TOUR in the Southeast this February! Tickets go on sale THIS FRIDAY, October 25th at 10:00am ET. Charlotte, NC - 02/11/2025 - Orlando, FL - 02/13/2025 - Tampa, FL - 02/14/2025 - Jacksonville, FL - 02/16/2025 - Atlanta, GA - 02/18/2025 - Nashville, TN - 02/19/2025 - VIP tickets will be available yet again for this tour as well for an additional $50! Again, you can get your tickets here: on Friday, October 25th at 10:00am ET. We can’t wait to see you in real life, brother!</t>
        </is>
      </c>
      <c r="V518" s="47">
        <f>IF(AND(P518&gt;=Calendar!$K$2,P518&lt;EDATE(Calendar!$K$2,1),OR(Calendar!$K$4="*",N518=Calendar!$K$4)),P518*100+COUNTIFS($P$6:$P$3267,P518,$Q$6:$Q$3267,"&lt;="&amp;Q518,$N$6:$N$3267,Calendar!$K$4),"")</f>
        <v/>
      </c>
      <c r="W518" s="47">
        <f>IF(AND(B518=Queue!$C$4,OR(Queue!$K$4="*",N518=Queue!$K$4)),Q518,"")</f>
        <v/>
      </c>
    </row>
    <row r="519">
      <c r="A519" s="38">
        <f>IF(M519="","",HYPERLINK("https://www.youtube.com/watch?v="&amp;M519,"▶"))</f>
        <v/>
      </c>
      <c r="B519" s="39">
        <f>IF(C519&lt;&gt;"",C519,IF(P519&lt;=IFERROR(INDEX(tblChannels[Watched Through],MATCH(N519,tblChannels[Channel ID],0)),0),"Watched","Unwatched"))</f>
        <v/>
      </c>
      <c r="C519" s="40" t="n"/>
      <c r="D519" s="41" t="n"/>
      <c r="E519" s="42" t="n">
        <v>45587.5</v>
      </c>
      <c r="F519" s="50" t="inlineStr">
        <is>
          <t>Super Carlin Brothers</t>
        </is>
      </c>
      <c r="G519" t="inlineStr">
        <is>
          <t>THROUGH THE GRIFFIN TOUR - SOUTHEAST!</t>
        </is>
      </c>
      <c r="H519" s="44" t="n">
        <v>0.001539351851851852</v>
      </c>
      <c r="I519" s="45" t="n">
        <v>7607</v>
      </c>
      <c r="J519" s="45" t="n">
        <v>394</v>
      </c>
      <c r="K519" s="45" t="n">
        <v>97</v>
      </c>
      <c r="L519" s="46" t="n"/>
      <c r="M519" s="47" t="n"/>
      <c r="N519" s="47" t="inlineStr">
        <is>
          <t>UCKZo4N0lVPccBkSiuyVh4yg</t>
        </is>
      </c>
      <c r="O519" s="48" t="n">
        <v>45587.66666666666</v>
      </c>
      <c r="P519" s="49" t="n">
        <v>45587</v>
      </c>
      <c r="Q519" s="47" t="n">
        <v>2749</v>
      </c>
      <c r="R519" s="47" t="inlineStr">
        <is>
          <t>No Video ID yet</t>
        </is>
      </c>
      <c r="S519" s="49" t="n"/>
      <c r="T519" s="49" t="n"/>
      <c r="U519" s="47" t="inlineStr">
        <is>
          <t>We are so excited to announce that we will be continuing the Through the Griffin TOUR in the Southeast this February! Tickets go on sale THIS FRIDAY, October 25th at 10:00am ET. Charlotte, NC - 02/11/2025 - Orlando, FL - 02/13/2025 - Tampa, FL - 02/14/2025 - Jacksonville, FL - 02/16/2025 - Atlanta, GA - 02/18/2025 - Nashville, TN - 02/19/2025 - VIP tickets will be available yet again for this tour as well for an additional $50! Again, you can get your tickets here: on Friday, October 25th at 10:00am ET. We can’t wait to see you in real life, brother!</t>
        </is>
      </c>
      <c r="V519" s="47">
        <f>IF(AND(P519&gt;=Calendar!$K$2,P519&lt;EDATE(Calendar!$K$2,1),OR(Calendar!$K$4="*",N519=Calendar!$K$4)),P519*100+COUNTIFS($P$6:$P$3267,P519,$Q$6:$Q$3267,"&lt;="&amp;Q519,$N$6:$N$3267,Calendar!$K$4),"")</f>
        <v/>
      </c>
      <c r="W519" s="47">
        <f>IF(AND(B519=Queue!$C$4,OR(Queue!$K$4="*",N519=Queue!$K$4)),Q519,"")</f>
        <v/>
      </c>
    </row>
    <row r="520">
      <c r="A520" s="38">
        <f>IF(M520="","",HYPERLINK("https://www.youtube.com/watch?v="&amp;M520,"▶"))</f>
        <v/>
      </c>
      <c r="B520" s="39">
        <f>IF(C520&lt;&gt;"",C520,IF(P520&lt;=IFERROR(INDEX(tblChannels[Watched Through],MATCH(N520,tblChannels[Channel ID],0)),0),"Watched","Unwatched"))</f>
        <v/>
      </c>
      <c r="C520" s="40" t="n"/>
      <c r="D520" s="41" t="n"/>
      <c r="E520" s="42" t="n">
        <v>45585.41666666666</v>
      </c>
      <c r="F520" s="51" t="inlineStr">
        <is>
          <t>Through The Griffin Door</t>
        </is>
      </c>
      <c r="G520" t="inlineStr">
        <is>
          <t>Chapter 20: The Dementor’s Kiss | Prisoner of Azkaban</t>
        </is>
      </c>
      <c r="H520" s="44" t="n">
        <v>0.05365740740740741</v>
      </c>
      <c r="I520" s="45" t="n">
        <v>52622</v>
      </c>
      <c r="J520" s="45" t="n">
        <v>1664</v>
      </c>
      <c r="K520" s="45" t="n">
        <v>502</v>
      </c>
      <c r="L520" s="46" t="n"/>
      <c r="M520" s="47" t="n"/>
      <c r="N520" s="47" t="inlineStr">
        <is>
          <t>UCEscP6ETYXWSSvsNrDHekMQ</t>
        </is>
      </c>
      <c r="O520" s="48" t="n">
        <v>45585.58333333334</v>
      </c>
      <c r="P520" s="49" t="n">
        <v>45585</v>
      </c>
      <c r="Q520" s="47" t="n">
        <v>2748</v>
      </c>
      <c r="R520" s="47" t="inlineStr">
        <is>
          <t>No Video ID yet</t>
        </is>
      </c>
      <c r="S520" s="49" t="n"/>
      <c r="T520" s="49" t="n"/>
      <c r="U520" s="47" t="inlineStr">
        <is>
          <t>Join J and Ben as they dive into Chapter 20 of the Prisoner of Azkaban and discuss Flints, Sirius’ offer for Harry to live with him, Lupin’s transformation, Peter’s escape, Sirius’ love for Harry, the dementors, and various wacky theories. 08:23 - Chapter Breakdown 1:10:23 - Closing Thoughts and Review</t>
        </is>
      </c>
      <c r="V520" s="47">
        <f>IF(AND(P520&gt;=Calendar!$K$2,P520&lt;EDATE(Calendar!$K$2,1),OR(Calendar!$K$4="*",N520=Calendar!$K$4)),P520*100+COUNTIFS($P$6:$P$3267,P520,$Q$6:$Q$3267,"&lt;="&amp;Q520,$N$6:$N$3267,Calendar!$K$4),"")</f>
        <v/>
      </c>
      <c r="W520" s="47">
        <f>IF(AND(B520=Queue!$C$4,OR(Queue!$K$4="*",N520=Queue!$K$4)),Q520,"")</f>
        <v/>
      </c>
    </row>
    <row r="521">
      <c r="A521" s="38">
        <f>IF(M521="","",HYPERLINK("https://www.youtube.com/watch?v="&amp;M521,"▶"))</f>
        <v/>
      </c>
      <c r="B521" s="39">
        <f>IF(C521&lt;&gt;"",C521,IF(P521&lt;=IFERROR(INDEX(tblChannels[Watched Through],MATCH(N521,tblChannels[Channel ID],0)),0),"Watched","Unwatched"))</f>
        <v/>
      </c>
      <c r="C521" s="40" t="n"/>
      <c r="D521" s="41" t="n"/>
      <c r="E521" s="42" t="n">
        <v>45584.41666666666</v>
      </c>
      <c r="F521" s="50" t="inlineStr">
        <is>
          <t>Super Carlin Brothers</t>
        </is>
      </c>
      <c r="G521" t="inlineStr">
        <is>
          <t>Through the Griffin Door Supercut: Prisoner of Azkaban Chapters 16-18</t>
        </is>
      </c>
      <c r="H521" s="44" t="n">
        <v>0.1883564814814815</v>
      </c>
      <c r="I521" s="45" t="n">
        <v>23996</v>
      </c>
      <c r="J521" s="45" t="n">
        <v>416</v>
      </c>
      <c r="K521" s="45" t="n">
        <v>70</v>
      </c>
      <c r="L521" s="46" t="n"/>
      <c r="M521" s="47" t="n"/>
      <c r="N521" s="47" t="inlineStr">
        <is>
          <t>UCKZo4N0lVPccBkSiuyVh4yg</t>
        </is>
      </c>
      <c r="O521" s="48" t="n">
        <v>45584.58333333334</v>
      </c>
      <c r="P521" s="49" t="n">
        <v>45584</v>
      </c>
      <c r="Q521" s="47" t="n">
        <v>2747</v>
      </c>
      <c r="R521" s="47" t="inlineStr">
        <is>
          <t>No Video ID yet</t>
        </is>
      </c>
      <c r="S521" s="49" t="n"/>
      <c r="T521" s="49" t="n"/>
      <c r="U521" s="47" t="n"/>
      <c r="V521" s="47">
        <f>IF(AND(P521&gt;=Calendar!$K$2,P521&lt;EDATE(Calendar!$K$2,1),OR(Calendar!$K$4="*",N521=Calendar!$K$4)),P521*100+COUNTIFS($P$6:$P$3267,P521,$Q$6:$Q$3267,"&lt;="&amp;Q521,$N$6:$N$3267,Calendar!$K$4),"")</f>
        <v/>
      </c>
      <c r="W521" s="47">
        <f>IF(AND(B521=Queue!$C$4,OR(Queue!$K$4="*",N521=Queue!$K$4)),Q521,"")</f>
        <v/>
      </c>
    </row>
    <row r="522">
      <c r="A522" s="38">
        <f>IF(M522="","",HYPERLINK("https://www.youtube.com/watch?v="&amp;M522,"▶"))</f>
        <v/>
      </c>
      <c r="B522" s="39">
        <f>IF(C522&lt;&gt;"",C522,IF(P522&lt;=IFERROR(INDEX(tblChannels[Watched Through],MATCH(N522,tblChannels[Channel ID],0)),0),"Watched","Unwatched"))</f>
        <v/>
      </c>
      <c r="C522" s="40" t="n"/>
      <c r="D522" s="41" t="n"/>
      <c r="E522" s="42" t="n">
        <v>45584.22222222222</v>
      </c>
      <c r="F522" s="52" t="inlineStr">
        <is>
          <t>Super Carlin Gaming</t>
        </is>
      </c>
      <c r="G522" t="inlineStr">
        <is>
          <t>Pokemon Box Breakers FINALE LIVE! OCTOBER 18, 2024</t>
        </is>
      </c>
      <c r="H522" s="44" t="n">
        <v>0.1255902777777778</v>
      </c>
      <c r="I522" s="45" t="n">
        <v>1196</v>
      </c>
      <c r="J522" s="45" t="n">
        <v>43</v>
      </c>
      <c r="K522" s="45" t="n">
        <v>3</v>
      </c>
      <c r="L522" s="46" t="n"/>
      <c r="M522" s="47" t="n"/>
      <c r="N522" s="47" t="inlineStr">
        <is>
          <t>UCor_9jRnNNZVzTuQ92PKsaQ</t>
        </is>
      </c>
      <c r="O522" s="48" t="n">
        <v>45584.38888888889</v>
      </c>
      <c r="P522" s="49" t="n">
        <v>45584</v>
      </c>
      <c r="Q522" s="47" t="n">
        <v>2746</v>
      </c>
      <c r="R522" s="47" t="inlineStr">
        <is>
          <t>No Video ID yet</t>
        </is>
      </c>
      <c r="S522" s="49" t="n"/>
      <c r="T522" s="49" t="n"/>
      <c r="U522" s="47" t="n"/>
      <c r="V522" s="47">
        <f>IF(AND(P522&gt;=Calendar!$K$2,P522&lt;EDATE(Calendar!$K$2,1),OR(Calendar!$K$4="*",N522=Calendar!$K$4)),P522*100+COUNTIFS($P$6:$P$3267,P522,$Q$6:$Q$3267,"&lt;="&amp;Q522,$N$6:$N$3267,Calendar!$K$4),"")</f>
        <v/>
      </c>
      <c r="W522" s="47">
        <f>IF(AND(B522=Queue!$C$4,OR(Queue!$K$4="*",N522=Queue!$K$4)),Q522,"")</f>
        <v/>
      </c>
    </row>
    <row r="523">
      <c r="A523" s="38">
        <f>IF(M523="","",HYPERLINK("https://www.youtube.com/watch?v="&amp;M523,"▶"))</f>
        <v/>
      </c>
      <c r="B523" s="39">
        <f>IF(C523&lt;&gt;"",C523,IF(P523&lt;=IFERROR(INDEX(tblChannels[Watched Through],MATCH(N523,tblChannels[Channel ID],0)),0),"Watched","Unwatched"))</f>
        <v/>
      </c>
      <c r="C523" s="40" t="n"/>
      <c r="D523" s="41" t="n"/>
      <c r="E523" s="42" t="n">
        <v>45583.67847222222</v>
      </c>
      <c r="F523" s="50" t="inlineStr">
        <is>
          <t>Super Carlin Brothers</t>
        </is>
      </c>
      <c r="G523" t="inlineStr">
        <is>
          <t>What If Ron Was In Hufflepuff - The Tri-Wizard Tournament | Harry Potter Film Theory</t>
        </is>
      </c>
      <c r="H523" s="44" t="n">
        <v>0.01313657407407407</v>
      </c>
      <c r="I523" s="45" t="n">
        <v>91769</v>
      </c>
      <c r="J523" s="45" t="n">
        <v>4492</v>
      </c>
      <c r="K523" s="45" t="n">
        <v>710</v>
      </c>
      <c r="L523" s="46" t="n"/>
      <c r="M523" s="47" t="n"/>
      <c r="N523" s="47" t="inlineStr">
        <is>
          <t>UCKZo4N0lVPccBkSiuyVh4yg</t>
        </is>
      </c>
      <c r="O523" s="48" t="n">
        <v>45583.84513888889</v>
      </c>
      <c r="P523" s="49" t="n">
        <v>45583</v>
      </c>
      <c r="Q523" s="47" t="n">
        <v>2745</v>
      </c>
      <c r="R523" s="47" t="inlineStr">
        <is>
          <t>No Video ID yet</t>
        </is>
      </c>
      <c r="S523" s="49" t="n"/>
      <c r="T523" s="49" t="n"/>
      <c r="U523" s="47" t="inlineStr">
        <is>
          <t>This episode is sponsored by Shopify — Go to to sign up for a $1-per-month trial period. Today Ben returns to the ongoing story of What If Ron Weasley had been sorted into Hufflepuff instead of Gryffindor! This week Harry and Ron take on the Yule Ball and the 2nd and 3rd tasks! Who will they take to the dance? Who will be captive at the bottom of the lake? Who will win the Tri-Wizard Tournament!? And Will Voldemort still return?</t>
        </is>
      </c>
      <c r="V523" s="47">
        <f>IF(AND(P523&gt;=Calendar!$K$2,P523&lt;EDATE(Calendar!$K$2,1),OR(Calendar!$K$4="*",N523=Calendar!$K$4)),P523*100+COUNTIFS($P$6:$P$3267,P523,$Q$6:$Q$3267,"&lt;="&amp;Q523,$N$6:$N$3267,Calendar!$K$4),"")</f>
        <v/>
      </c>
      <c r="W523" s="47">
        <f>IF(AND(B523=Queue!$C$4,OR(Queue!$K$4="*",N523=Queue!$K$4)),Q523,"")</f>
        <v/>
      </c>
    </row>
    <row r="524">
      <c r="A524" s="38">
        <f>IF(M524="","",HYPERLINK("https://www.youtube.com/watch?v="&amp;M524,"▶"))</f>
        <v/>
      </c>
      <c r="B524" s="39">
        <f>IF(C524&lt;&gt;"",C524,IF(P524&lt;=IFERROR(INDEX(tblChannels[Watched Through],MATCH(N524,tblChannels[Channel ID],0)),0),"Watched","Unwatched"))</f>
        <v/>
      </c>
      <c r="C524" s="40" t="n"/>
      <c r="D524" s="41" t="n"/>
      <c r="E524" s="42" t="n">
        <v>45583.41666666666</v>
      </c>
      <c r="F524" s="43" t="inlineStr">
        <is>
          <t>Popcorn Culture</t>
        </is>
      </c>
      <c r="G524" t="inlineStr">
        <is>
          <t>The Den of Evil | Popcorn Culture</t>
        </is>
      </c>
      <c r="H524" s="44" t="n">
        <v>0.04722222222222222</v>
      </c>
      <c r="I524" s="45" t="n">
        <v>3420</v>
      </c>
      <c r="J524" s="45" t="n">
        <v>176</v>
      </c>
      <c r="K524" s="45" t="n">
        <v>36</v>
      </c>
      <c r="L524" s="46" t="n"/>
      <c r="M524" s="47" t="n"/>
      <c r="N524" s="47" t="inlineStr">
        <is>
          <t>UCHfIbq9thHPC8yrKjAdJgDA</t>
        </is>
      </c>
      <c r="O524" s="48" t="n">
        <v>45583.58333333334</v>
      </c>
      <c r="P524" s="49" t="n">
        <v>45583</v>
      </c>
      <c r="Q524" s="47" t="n">
        <v>2744</v>
      </c>
      <c r="R524" s="47" t="inlineStr">
        <is>
          <t>No Video ID yet</t>
        </is>
      </c>
      <c r="S524" s="49" t="n"/>
      <c r="T524" s="49" t="n"/>
      <c r="U524" s="47" t="inlineStr">
        <is>
          <t>Ben and J discuss pumpkin things, thoughts on Nightmare Before Christmas, the beer mile, Alyce’s seance, Diablo II, and refinding hobbies late in life. Show Notes Nightmare Before Christmas - Diablo II - Carve Out the Time The Man in the Hat The Renaissance of Hobbies 00:00 - Intro, Pumpkins 14:48 - Nightmare Before Christmas 35:04 - Go Fest 43:43 - Diablo II</t>
        </is>
      </c>
      <c r="V524" s="47">
        <f>IF(AND(P524&gt;=Calendar!$K$2,P524&lt;EDATE(Calendar!$K$2,1),OR(Calendar!$K$4="*",N524=Calendar!$K$4)),P524*100+COUNTIFS($P$6:$P$3267,P524,$Q$6:$Q$3267,"&lt;="&amp;Q524,$N$6:$N$3267,Calendar!$K$4),"")</f>
        <v/>
      </c>
      <c r="W524" s="47">
        <f>IF(AND(B524=Queue!$C$4,OR(Queue!$K$4="*",N524=Queue!$K$4)),Q524,"")</f>
        <v/>
      </c>
    </row>
    <row r="525">
      <c r="A525" s="38">
        <f>IF(M525="","",HYPERLINK("https://www.youtube.com/watch?v="&amp;M525,"▶"))</f>
        <v/>
      </c>
      <c r="B525" s="39">
        <f>IF(C525&lt;&gt;"",C525,IF(P525&lt;=IFERROR(INDEX(tblChannels[Watched Through],MATCH(N525,tblChannels[Channel ID],0)),0),"Watched","Unwatched"))</f>
        <v/>
      </c>
      <c r="C525" s="40" t="n"/>
      <c r="D525" s="41" t="n"/>
      <c r="E525" s="42" t="n">
        <v>45582.70833333334</v>
      </c>
      <c r="F525" s="51" t="inlineStr">
        <is>
          <t>Through The Griffin Door</t>
        </is>
      </c>
      <c r="G525" t="inlineStr">
        <is>
          <t>Chapter 19: The Servant Of Lord Voldemort | Prisoner of Azkaban</t>
        </is>
      </c>
      <c r="H525" s="44" t="n">
        <v>0.04809027777777778</v>
      </c>
      <c r="I525" s="45" t="n">
        <v>14581</v>
      </c>
      <c r="J525" s="45" t="n">
        <v>623</v>
      </c>
      <c r="K525" s="45" t="n">
        <v>126</v>
      </c>
      <c r="L525" s="46" t="n"/>
      <c r="M525" s="47" t="n"/>
      <c r="N525" s="47" t="inlineStr">
        <is>
          <t>UCEscP6ETYXWSSvsNrDHekMQ</t>
        </is>
      </c>
      <c r="O525" s="48" t="n">
        <v>45582.875</v>
      </c>
      <c r="P525" s="49" t="n">
        <v>45582</v>
      </c>
      <c r="Q525" s="47" t="n">
        <v>2743</v>
      </c>
      <c r="R525" s="47" t="inlineStr">
        <is>
          <t>No Video ID yet</t>
        </is>
      </c>
      <c r="S525" s="49" t="n"/>
      <c r="T525" s="49" t="n"/>
      <c r="U525" s="47" t="inlineStr">
        <is>
          <t>Join J and Ben as they dive BACK into Chapter 19 of the Prisoner of Azkaban (in PORTLAND!!!) and discuss why everyone continues to be SO vague all the time, whether or not Sirius Black was a jock, and why Snape is intent on letting a childhood grudge put an innocent man back in prison. Do YOU want to see us LIVE? We're going back on tour! Tickets are ON SALE NOW for the Southeast leg of Through the Griffin TOUR!!!</t>
        </is>
      </c>
      <c r="V525" s="47">
        <f>IF(AND(P525&gt;=Calendar!$K$2,P525&lt;EDATE(Calendar!$K$2,1),OR(Calendar!$K$4="*",N525=Calendar!$K$4)),P525*100+COUNTIFS($P$6:$P$3267,P525,$Q$6:$Q$3267,"&lt;="&amp;Q525,$N$6:$N$3267,Calendar!$K$4),"")</f>
        <v/>
      </c>
      <c r="W525" s="47">
        <f>IF(AND(B525=Queue!$C$4,OR(Queue!$K$4="*",N525=Queue!$K$4)),Q525,"")</f>
        <v/>
      </c>
    </row>
    <row r="526">
      <c r="A526" s="38">
        <f>IF(M526="","",HYPERLINK("https://www.youtube.com/watch?v="&amp;M526,"▶"))</f>
        <v/>
      </c>
      <c r="B526" s="39">
        <f>IF(C526&lt;&gt;"",C526,IF(P526&lt;=IFERROR(INDEX(tblChannels[Watched Through],MATCH(N526,tblChannels[Channel ID],0)),0),"Watched","Unwatched"))</f>
        <v/>
      </c>
      <c r="C526" s="40" t="n"/>
      <c r="D526" s="41" t="n"/>
      <c r="E526" s="42" t="n">
        <v>45581.71875</v>
      </c>
      <c r="F526" s="50" t="inlineStr">
        <is>
          <t>Super Carlin Brothers</t>
        </is>
      </c>
      <c r="G526" t="inlineStr">
        <is>
          <t>Sirius' TRAGIC Mistake.. | Harry Potter Film Theory</t>
        </is>
      </c>
      <c r="H526" s="44" t="n">
        <v>0.01207175925925926</v>
      </c>
      <c r="I526" s="45" t="n">
        <v>121053</v>
      </c>
      <c r="J526" s="45" t="n">
        <v>5602</v>
      </c>
      <c r="K526" s="45" t="n">
        <v>616</v>
      </c>
      <c r="L526" s="46" t="n"/>
      <c r="M526" s="47" t="n"/>
      <c r="N526" s="47" t="inlineStr">
        <is>
          <t>UCKZo4N0lVPccBkSiuyVh4yg</t>
        </is>
      </c>
      <c r="O526" s="48" t="n">
        <v>45581.88541666666</v>
      </c>
      <c r="P526" s="49" t="n">
        <v>45581</v>
      </c>
      <c r="Q526" s="47" t="n">
        <v>2742</v>
      </c>
      <c r="R526" s="47" t="inlineStr">
        <is>
          <t>No Video ID yet</t>
        </is>
      </c>
      <c r="S526" s="49" t="n"/>
      <c r="T526" s="49" t="n"/>
      <c r="U526" s="47" t="inlineStr">
        <is>
          <t>Today J dives into the Wizarding World of Harry Potter to find out how the Dementors managed to finally find Sirius Black at JUST the wrong moment in Prisoner of Azkaban</t>
        </is>
      </c>
      <c r="V526" s="47">
        <f>IF(AND(P526&gt;=Calendar!$K$2,P526&lt;EDATE(Calendar!$K$2,1),OR(Calendar!$K$4="*",N526=Calendar!$K$4)),P526*100+COUNTIFS($P$6:$P$3267,P526,$Q$6:$Q$3267,"&lt;="&amp;Q526,$N$6:$N$3267,Calendar!$K$4),"")</f>
        <v/>
      </c>
      <c r="W526" s="47">
        <f>IF(AND(B526=Queue!$C$4,OR(Queue!$K$4="*",N526=Queue!$K$4)),Q526,"")</f>
        <v/>
      </c>
    </row>
    <row r="527">
      <c r="A527" s="38">
        <f>IF(M527="","",HYPERLINK("https://www.youtube.com/watch?v="&amp;M527,"▶"))</f>
        <v/>
      </c>
      <c r="B527" s="39">
        <f>IF(C527&lt;&gt;"",C527,IF(P527&lt;=IFERROR(INDEX(tblChannels[Watched Through],MATCH(N527,tblChannels[Channel ID],0)),0),"Watched","Unwatched"))</f>
        <v/>
      </c>
      <c r="C527" s="40" t="n"/>
      <c r="D527" s="41" t="n"/>
      <c r="E527" s="42" t="n">
        <v>45578.41666666666</v>
      </c>
      <c r="F527" s="51" t="inlineStr">
        <is>
          <t>Through The Griffin Door</t>
        </is>
      </c>
      <c r="G527" t="inlineStr">
        <is>
          <t>Chapter 19: The Servant of Lord Voldemort | Prisoner of Azkaban</t>
        </is>
      </c>
      <c r="H527" s="44" t="n">
        <v>0.07266203703703704</v>
      </c>
      <c r="I527" s="45" t="n">
        <v>70234</v>
      </c>
      <c r="J527" s="45" t="n">
        <v>1935</v>
      </c>
      <c r="K527" s="45" t="n">
        <v>669</v>
      </c>
      <c r="L527" s="46" t="n"/>
      <c r="M527" s="47" t="n"/>
      <c r="N527" s="47" t="inlineStr">
        <is>
          <t>UCEscP6ETYXWSSvsNrDHekMQ</t>
        </is>
      </c>
      <c r="O527" s="48" t="n">
        <v>45578.58333333334</v>
      </c>
      <c r="P527" s="49" t="n">
        <v>45578</v>
      </c>
      <c r="Q527" s="47" t="n">
        <v>2741</v>
      </c>
      <c r="R527" s="47" t="inlineStr">
        <is>
          <t>No Video ID yet</t>
        </is>
      </c>
      <c r="S527" s="49" t="n"/>
      <c r="T527" s="49" t="n"/>
      <c r="U527" s="47" t="inlineStr">
        <is>
          <t>Join J and Ben as they dive into Chapter 19 of the Prisoner of Azkaban and discuss how Snape found his way into the Shrieking Shack, why he won’t listen to reason, and how Peter is just THE BIGGEST coward of all time basically. Chapters 05:38- Chapter Breakdown 1:30:58 - Closing Thoughts and Review</t>
        </is>
      </c>
      <c r="V527" s="47">
        <f>IF(AND(P527&gt;=Calendar!$K$2,P527&lt;EDATE(Calendar!$K$2,1),OR(Calendar!$K$4="*",N527=Calendar!$K$4)),P527*100+COUNTIFS($P$6:$P$3267,P527,$Q$6:$Q$3267,"&lt;="&amp;Q527,$N$6:$N$3267,Calendar!$K$4),"")</f>
        <v/>
      </c>
      <c r="W527" s="47">
        <f>IF(AND(B527=Queue!$C$4,OR(Queue!$K$4="*",N527=Queue!$K$4)),Q527,"")</f>
        <v/>
      </c>
    </row>
    <row r="528">
      <c r="A528" s="38">
        <f>IF(M528="","",HYPERLINK("https://www.youtube.com/watch?v="&amp;M528,"▶"))</f>
        <v/>
      </c>
      <c r="B528" s="39">
        <f>IF(C528&lt;&gt;"",C528,IF(P528&lt;=IFERROR(INDEX(tblChannels[Watched Through],MATCH(N528,tblChannels[Channel ID],0)),0),"Watched","Unwatched"))</f>
        <v/>
      </c>
      <c r="C528" s="40" t="n"/>
      <c r="D528" s="41" t="n"/>
      <c r="E528" s="42" t="n">
        <v>45576.70208333333</v>
      </c>
      <c r="F528" s="50" t="inlineStr">
        <is>
          <t>Super Carlin Brothers</t>
        </is>
      </c>
      <c r="G528" t="inlineStr">
        <is>
          <t>What If Ron Was In Hufflepuff - Goblet of Fire | Harry Potter Film Theory</t>
        </is>
      </c>
      <c r="H528" s="44" t="n">
        <v>0.01690972222222222</v>
      </c>
      <c r="I528" s="45" t="n">
        <v>110400</v>
      </c>
      <c r="J528" s="45" t="n">
        <v>4934</v>
      </c>
      <c r="K528" s="45" t="n">
        <v>539</v>
      </c>
      <c r="L528" s="46" t="n"/>
      <c r="M528" s="47" t="n"/>
      <c r="N528" s="47" t="inlineStr">
        <is>
          <t>UCKZo4N0lVPccBkSiuyVh4yg</t>
        </is>
      </c>
      <c r="O528" s="48" t="n">
        <v>45576.86875</v>
      </c>
      <c r="P528" s="49" t="n">
        <v>45576</v>
      </c>
      <c r="Q528" s="47" t="n">
        <v>2740</v>
      </c>
      <c r="R528" s="47" t="inlineStr">
        <is>
          <t>No Video ID yet</t>
        </is>
      </c>
      <c r="S528" s="49" t="n"/>
      <c r="T528" s="49" t="n"/>
      <c r="U528" s="47" t="inlineStr">
        <is>
          <t>Get 20% off your first order, plus free shipping, when you go to and use promo code super. This episode is sponsored by BetterHelp — go to to get 10% off your first month. Today Ben returns to the WHAT IF Wizarding World of Harry Potter to reveal what happens in Year 4 of Harry and Ron’s time at Hogwarts if Ron is sorted into Hufflepuff instead of Gryffindor? Does Harry go live with Sirius? Does Voldemort still return if Peter doesn’t escape? Does Barty Crouch Jr still infiltrate Hogwarts? And who will the school champions be?</t>
        </is>
      </c>
      <c r="V528" s="47">
        <f>IF(AND(P528&gt;=Calendar!$K$2,P528&lt;EDATE(Calendar!$K$2,1),OR(Calendar!$K$4="*",N528=Calendar!$K$4)),P528*100+COUNTIFS($P$6:$P$3267,P528,$Q$6:$Q$3267,"&lt;="&amp;Q528,$N$6:$N$3267,Calendar!$K$4),"")</f>
        <v/>
      </c>
      <c r="W528" s="47">
        <f>IF(AND(B528=Queue!$C$4,OR(Queue!$K$4="*",N528=Queue!$K$4)),Q528,"")</f>
        <v/>
      </c>
    </row>
    <row r="529">
      <c r="A529" s="38">
        <f>IF(M529="","",HYPERLINK("https://www.youtube.com/watch?v="&amp;M529,"▶"))</f>
        <v/>
      </c>
      <c r="B529" s="39">
        <f>IF(C529&lt;&gt;"",C529,IF(P529&lt;=IFERROR(INDEX(tblChannels[Watched Through],MATCH(N529,tblChannels[Channel ID],0)),0),"Watched","Unwatched"))</f>
        <v/>
      </c>
      <c r="C529" s="40" t="n"/>
      <c r="D529" s="41" t="n"/>
      <c r="E529" s="42" t="n">
        <v>45576.41666666666</v>
      </c>
      <c r="F529" s="43" t="inlineStr">
        <is>
          <t>Popcorn Culture</t>
        </is>
      </c>
      <c r="G529" t="inlineStr">
        <is>
          <t>How to Argue Properly | Popcorn Culture</t>
        </is>
      </c>
      <c r="H529" s="44" t="n">
        <v>0.04783564814814815</v>
      </c>
      <c r="I529" s="45" t="n">
        <v>3683</v>
      </c>
      <c r="J529" s="45" t="n">
        <v>192</v>
      </c>
      <c r="K529" s="45" t="n">
        <v>27</v>
      </c>
      <c r="L529" s="46" t="n"/>
      <c r="M529" s="47" t="n"/>
      <c r="N529" s="47" t="inlineStr">
        <is>
          <t>UCHfIbq9thHPC8yrKjAdJgDA</t>
        </is>
      </c>
      <c r="O529" s="48" t="n">
        <v>45576.58333333334</v>
      </c>
      <c r="P529" s="49" t="n">
        <v>45576</v>
      </c>
      <c r="Q529" s="47" t="n">
        <v>2739</v>
      </c>
      <c r="R529" s="47" t="inlineStr">
        <is>
          <t>No Video ID yet</t>
        </is>
      </c>
      <c r="S529" s="49" t="n"/>
      <c r="T529" s="49" t="n"/>
      <c r="U529" s="47" t="inlineStr">
        <is>
          <t>In the 253rd episode of the Pop, Ben and J discuss massages, arguing well, recess, unfiltered people, compliments, and the Washington Commanders. Are You Unfiltered? 00:00 - Intro, Recovery 05:21 - How to Argue Effectively 24:08 - Are You Unfiltered? 54:42 - The Washington Football Team</t>
        </is>
      </c>
      <c r="V529" s="47">
        <f>IF(AND(P529&gt;=Calendar!$K$2,P529&lt;EDATE(Calendar!$K$2,1),OR(Calendar!$K$4="*",N529=Calendar!$K$4)),P529*100+COUNTIFS($P$6:$P$3267,P529,$Q$6:$Q$3267,"&lt;="&amp;Q529,$N$6:$N$3267,Calendar!$K$4),"")</f>
        <v/>
      </c>
      <c r="W529" s="47">
        <f>IF(AND(B529=Queue!$C$4,OR(Queue!$K$4="*",N529=Queue!$K$4)),Q529,"")</f>
        <v/>
      </c>
    </row>
    <row r="530">
      <c r="A530" s="38">
        <f>IF(M530="","",HYPERLINK("https://www.youtube.com/watch?v="&amp;M530,"▶"))</f>
        <v/>
      </c>
      <c r="B530" s="39">
        <f>IF(C530&lt;&gt;"",C530,IF(P530&lt;=IFERROR(INDEX(tblChannels[Watched Through],MATCH(N530,tblChannels[Channel ID],0)),0),"Watched","Unwatched"))</f>
        <v/>
      </c>
      <c r="C530" s="40" t="n"/>
      <c r="D530" s="41" t="n"/>
      <c r="E530" s="42" t="n">
        <v>45575.70833333334</v>
      </c>
      <c r="F530" s="51" t="inlineStr">
        <is>
          <t>Through The Griffin Door</t>
        </is>
      </c>
      <c r="G530" t="inlineStr">
        <is>
          <t>Live In Seattle - Chapter 18: Moony, Wormtail, Padfoot and Prongs | Prisoner of Azkaban</t>
        </is>
      </c>
      <c r="H530" s="44" t="n">
        <v>0.03482638888888889</v>
      </c>
      <c r="I530" s="45" t="n">
        <v>13812</v>
      </c>
      <c r="J530" s="45" t="n">
        <v>674</v>
      </c>
      <c r="K530" s="45" t="n">
        <v>117</v>
      </c>
      <c r="L530" s="46" t="n"/>
      <c r="M530" s="47" t="n"/>
      <c r="N530" s="47" t="inlineStr">
        <is>
          <t>UCEscP6ETYXWSSvsNrDHekMQ</t>
        </is>
      </c>
      <c r="O530" s="48" t="n">
        <v>45575.875</v>
      </c>
      <c r="P530" s="49" t="n">
        <v>45575</v>
      </c>
      <c r="Q530" s="47" t="n">
        <v>2738</v>
      </c>
      <c r="R530" s="47" t="inlineStr">
        <is>
          <t>No Video ID yet</t>
        </is>
      </c>
      <c r="S530" s="49" t="n"/>
      <c r="T530" s="49" t="n"/>
      <c r="U530" s="47" t="inlineStr">
        <is>
          <t>Join J and Ben as they dive BACK into Chapter 18 of the Prisoner of Azkaban (in SEATTLE!!!) and discuss Larry Lupin: The Kid Who Wasn't Bitten, Sirius Black's desire to commit ALL the murders he was blamed for, and whether or not Snape was hated James for being good at Qudditch. Do YOU want to see us LIVE? We're going back on tour! Tickets are ON SALE NOW for the Southeast leg of Through the Griffin TOUR!!!</t>
        </is>
      </c>
      <c r="V530" s="47">
        <f>IF(AND(P530&gt;=Calendar!$K$2,P530&lt;EDATE(Calendar!$K$2,1),OR(Calendar!$K$4="*",N530=Calendar!$K$4)),P530*100+COUNTIFS($P$6:$P$3267,P530,$Q$6:$Q$3267,"&lt;="&amp;Q530,$N$6:$N$3267,Calendar!$K$4),"")</f>
        <v/>
      </c>
      <c r="W530" s="47">
        <f>IF(AND(B530=Queue!$C$4,OR(Queue!$K$4="*",N530=Queue!$K$4)),Q530,"")</f>
        <v/>
      </c>
    </row>
    <row r="531">
      <c r="A531" s="38">
        <f>IF(M531="","",HYPERLINK("https://www.youtube.com/watch?v="&amp;M531,"▶"))</f>
        <v/>
      </c>
      <c r="B531" s="39">
        <f>IF(C531&lt;&gt;"",C531,IF(P531&lt;=IFERROR(INDEX(tblChannels[Watched Through],MATCH(N531,tblChannels[Channel ID],0)),0),"Watched","Unwatched"))</f>
        <v/>
      </c>
      <c r="C531" s="40" t="n"/>
      <c r="D531" s="41" t="n"/>
      <c r="E531" s="42" t="n">
        <v>45574.71041666667</v>
      </c>
      <c r="F531" s="50" t="inlineStr">
        <is>
          <t>Super Carlin Brothers</t>
        </is>
      </c>
      <c r="G531" t="inlineStr">
        <is>
          <t>Hogwarts Brain Brawl: J vs Ben vs MagicByMikaila | Harry Potter Trivia</t>
        </is>
      </c>
      <c r="H531" s="44" t="n">
        <v>0.03280092592592593</v>
      </c>
      <c r="I531" s="45" t="n">
        <v>129371</v>
      </c>
      <c r="J531" s="45" t="n">
        <v>4871</v>
      </c>
      <c r="K531" s="45" t="n">
        <v>790</v>
      </c>
      <c r="L531" s="46" t="n"/>
      <c r="M531" s="47" t="n"/>
      <c r="N531" s="47" t="inlineStr">
        <is>
          <t>UCKZo4N0lVPccBkSiuyVh4yg</t>
        </is>
      </c>
      <c r="O531" s="48" t="n">
        <v>45574.87708333333</v>
      </c>
      <c r="P531" s="49" t="n">
        <v>45574</v>
      </c>
      <c r="Q531" s="47" t="n">
        <v>2737</v>
      </c>
      <c r="R531" s="47" t="inlineStr">
        <is>
          <t>No Video ID yet</t>
        </is>
      </c>
      <c r="S531" s="49" t="n"/>
      <c r="T531" s="49" t="n"/>
      <c r="U531" s="47" t="inlineStr">
        <is>
          <t>Today J and Ben face off with MagicByMikaila to find out once more who knows the most about the Wizarding World of Harry Potter! What is Dumbledore’s favorite flavor of Jam? What is Hermione’s Patronus? Who BLABS on the DA!? Check out Mikaila :: Play Along With Us ::</t>
        </is>
      </c>
      <c r="V531" s="47">
        <f>IF(AND(P531&gt;=Calendar!$K$2,P531&lt;EDATE(Calendar!$K$2,1),OR(Calendar!$K$4="*",N531=Calendar!$K$4)),P531*100+COUNTIFS($P$6:$P$3267,P531,$Q$6:$Q$3267,"&lt;="&amp;Q531,$N$6:$N$3267,Calendar!$K$4),"")</f>
        <v/>
      </c>
      <c r="W531" s="47">
        <f>IF(AND(B531=Queue!$C$4,OR(Queue!$K$4="*",N531=Queue!$K$4)),Q531,"")</f>
        <v/>
      </c>
    </row>
    <row r="532">
      <c r="A532" s="38">
        <f>IF(M532="","",HYPERLINK("https://www.youtube.com/watch?v="&amp;M532,"▶"))</f>
        <v/>
      </c>
      <c r="B532" s="39">
        <f>IF(C532&lt;&gt;"",C532,IF(P532&lt;=IFERROR(INDEX(tblChannels[Watched Through],MATCH(N532,tblChannels[Channel ID],0)),0),"Watched","Unwatched"))</f>
        <v/>
      </c>
      <c r="C532" s="40" t="n"/>
      <c r="D532" s="41" t="n"/>
      <c r="E532" s="42" t="n">
        <v>45571.41666666666</v>
      </c>
      <c r="F532" s="51" t="inlineStr">
        <is>
          <t>Through The Griffin Door</t>
        </is>
      </c>
      <c r="G532" t="inlineStr">
        <is>
          <t>Chapter 18: Moony, Wormtail, Padfoot and Prongs | Prisoner of Azkaban</t>
        </is>
      </c>
      <c r="H532" s="44" t="n">
        <v>0.05701388888888889</v>
      </c>
      <c r="I532" s="45" t="n">
        <v>56985</v>
      </c>
      <c r="J532" s="45" t="n">
        <v>1869</v>
      </c>
      <c r="K532" s="45" t="n">
        <v>540</v>
      </c>
      <c r="L532" s="46" t="n"/>
      <c r="M532" s="47" t="n"/>
      <c r="N532" s="47" t="inlineStr">
        <is>
          <t>UCEscP6ETYXWSSvsNrDHekMQ</t>
        </is>
      </c>
      <c r="O532" s="48" t="n">
        <v>45571.58333333334</v>
      </c>
      <c r="P532" s="49" t="n">
        <v>45571</v>
      </c>
      <c r="Q532" s="47" t="n">
        <v>2736</v>
      </c>
      <c r="R532" s="47" t="inlineStr">
        <is>
          <t>No Video ID yet</t>
        </is>
      </c>
      <c r="S532" s="49" t="n"/>
      <c r="T532" s="49" t="n"/>
      <c r="U532" s="47" t="inlineStr">
        <is>
          <t>Join J and Ben as they dive into Chapter 18 of the Prisoner of Azkaban and discuss whether or not Snape accompanied Lupin to the Shrieking Shack, why nobody in Hogsmeade ever complained about being attacked by a werewolf and also a dog and also a deer and also a rat, and no one ever tells Harry what his dad's animagus form was.</t>
        </is>
      </c>
      <c r="V532" s="47">
        <f>IF(AND(P532&gt;=Calendar!$K$2,P532&lt;EDATE(Calendar!$K$2,1),OR(Calendar!$K$4="*",N532=Calendar!$K$4)),P532*100+COUNTIFS($P$6:$P$3267,P532,$Q$6:$Q$3267,"&lt;="&amp;Q532,$N$6:$N$3267,Calendar!$K$4),"")</f>
        <v/>
      </c>
      <c r="W532" s="47">
        <f>IF(AND(B532=Queue!$C$4,OR(Queue!$K$4="*",N532=Queue!$K$4)),Q532,"")</f>
        <v/>
      </c>
    </row>
    <row r="533">
      <c r="A533" s="38">
        <f>IF(M533="","",HYPERLINK("https://www.youtube.com/watch?v="&amp;M533,"▶"))</f>
        <v/>
      </c>
      <c r="B533" s="39">
        <f>IF(C533&lt;&gt;"",C533,IF(P533&lt;=IFERROR(INDEX(tblChannels[Watched Through],MATCH(N533,tblChannels[Channel ID],0)),0),"Watched","Unwatched"))</f>
        <v/>
      </c>
      <c r="C533" s="40" t="n"/>
      <c r="D533" s="41" t="n"/>
      <c r="E533" s="42" t="n">
        <v>45570.41666666666</v>
      </c>
      <c r="F533" s="43" t="inlineStr">
        <is>
          <t>Popcorn Culture</t>
        </is>
      </c>
      <c r="G533" t="inlineStr">
        <is>
          <t>Griffin Tour in a Nutshell | Popcorn Culture</t>
        </is>
      </c>
      <c r="H533" s="44" t="n">
        <v>0.05318287037037037</v>
      </c>
      <c r="I533" s="45" t="n">
        <v>3891</v>
      </c>
      <c r="J533" s="45" t="n">
        <v>220</v>
      </c>
      <c r="K533" s="45" t="n">
        <v>31</v>
      </c>
      <c r="L533" s="46" t="n"/>
      <c r="M533" s="47" t="n"/>
      <c r="N533" s="47" t="inlineStr">
        <is>
          <t>UCHfIbq9thHPC8yrKjAdJgDA</t>
        </is>
      </c>
      <c r="O533" s="48" t="n">
        <v>45570.58333333334</v>
      </c>
      <c r="P533" s="49" t="n">
        <v>45570</v>
      </c>
      <c r="Q533" s="47" t="n">
        <v>2735</v>
      </c>
      <c r="R533" s="47" t="inlineStr">
        <is>
          <t>No Video ID yet</t>
        </is>
      </c>
      <c r="S533" s="49" t="n"/>
      <c r="T533" s="49" t="n"/>
      <c r="U533" s="47" t="inlineStr">
        <is>
          <t>In the 252nd episode of the Pop, Ben and J discuss all things West Coast Tour!! The exhaustion, the Sea Hawkes game, the Space Needle, the crazy long drive, the Portland Rose Garden, Portland's unique greenroom, Top Golf, Old Sac, the Golden Gate Bridge, the manatee shows, the New Zealand restaurant, the wives show, Little Tokyo, the LA finale, the Mythical Studio, Disneyland, and pin trading. Magicbymikaila- Dunedin - Good Mythical Morning - The Seahawkes are Loud Bungee Off the Needle Type 2 Fun The Demon Toilet We’re Golf Guys Now Pin Success</t>
        </is>
      </c>
      <c r="V533" s="47">
        <f>IF(AND(P533&gt;=Calendar!$K$2,P533&lt;EDATE(Calendar!$K$2,1),OR(Calendar!$K$4="*",N533=Calendar!$K$4)),P533*100+COUNTIFS($P$6:$P$3267,P533,$Q$6:$Q$3267,"&lt;="&amp;Q533,$N$6:$N$3267,Calendar!$K$4),"")</f>
        <v/>
      </c>
      <c r="W533" s="47">
        <f>IF(AND(B533=Queue!$C$4,OR(Queue!$K$4="*",N533=Queue!$K$4)),Q533,"")</f>
        <v/>
      </c>
    </row>
    <row r="534">
      <c r="A534" s="38">
        <f>IF(M534="","",HYPERLINK("https://www.youtube.com/watch?v="&amp;M534,"▶"))</f>
        <v/>
      </c>
      <c r="B534" s="39">
        <f>IF(C534&lt;&gt;"",C534,IF(P534&lt;=IFERROR(INDEX(tblChannels[Watched Through],MATCH(N534,tblChannels[Channel ID],0)),0),"Watched","Unwatched"))</f>
        <v/>
      </c>
      <c r="C534" s="40" t="n"/>
      <c r="D534" s="41" t="n"/>
      <c r="E534" s="42" t="n">
        <v>45569.68819444445</v>
      </c>
      <c r="F534" s="50" t="inlineStr">
        <is>
          <t>Super Carlin Brothers</t>
        </is>
      </c>
      <c r="G534" t="inlineStr">
        <is>
          <t>Death Is A DEMENTOR | Harry Potter Film Theory</t>
        </is>
      </c>
      <c r="H534" s="44" t="n">
        <v>0.01138888888888889</v>
      </c>
      <c r="I534" s="45" t="n">
        <v>182659</v>
      </c>
      <c r="J534" s="45" t="n">
        <v>7868</v>
      </c>
      <c r="K534" s="45" t="n">
        <v>849</v>
      </c>
      <c r="L534" s="46" t="n"/>
      <c r="M534" s="47" t="n"/>
      <c r="N534" s="47" t="inlineStr">
        <is>
          <t>UCKZo4N0lVPccBkSiuyVh4yg</t>
        </is>
      </c>
      <c r="O534" s="48" t="n">
        <v>45569.85486111111</v>
      </c>
      <c r="P534" s="49" t="n">
        <v>45569</v>
      </c>
      <c r="Q534" s="47" t="n">
        <v>2734</v>
      </c>
      <c r="R534" s="47" t="inlineStr">
        <is>
          <t>No Video ID yet</t>
        </is>
      </c>
      <c r="S534" s="49" t="n"/>
      <c r="T534" s="49" t="n"/>
      <c r="U534" s="47" t="inlineStr">
        <is>
          <t>Go to to get 15% off your next gift. Today J dives into the Wizarding World of Harry Potter to try and uncover the origins of DEATH from the Tale of the Three Brothers.. Did he start out as something else.. A Dementor?</t>
        </is>
      </c>
      <c r="V534" s="47">
        <f>IF(AND(P534&gt;=Calendar!$K$2,P534&lt;EDATE(Calendar!$K$2,1),OR(Calendar!$K$4="*",N534=Calendar!$K$4)),P534*100+COUNTIFS($P$6:$P$3267,P534,$Q$6:$Q$3267,"&lt;="&amp;Q534,$N$6:$N$3267,Calendar!$K$4),"")</f>
        <v/>
      </c>
      <c r="W534" s="47">
        <f>IF(AND(B534=Queue!$C$4,OR(Queue!$K$4="*",N534=Queue!$K$4)),Q534,"")</f>
        <v/>
      </c>
    </row>
    <row r="535">
      <c r="A535" s="38">
        <f>IF(M535="","",HYPERLINK("https://www.youtube.com/watch?v="&amp;M535,"▶"))</f>
        <v/>
      </c>
      <c r="B535" s="39">
        <f>IF(C535&lt;&gt;"",C535,IF(P535&lt;=IFERROR(INDEX(tblChannels[Watched Through],MATCH(N535,tblChannels[Channel ID],0)),0),"Watched","Unwatched"))</f>
        <v/>
      </c>
      <c r="C535" s="40" t="n"/>
      <c r="D535" s="41" t="n"/>
      <c r="E535" s="42" t="n">
        <v>45568.775</v>
      </c>
      <c r="F535" s="50" t="inlineStr">
        <is>
          <t>Super Carlin Brothers</t>
        </is>
      </c>
      <c r="G535" t="inlineStr">
        <is>
          <t>We Rank EVERY Harry Potter Hero | Harry Potter Film Theory</t>
        </is>
      </c>
      <c r="H535" s="44" t="n">
        <v>0.0574537037037037</v>
      </c>
      <c r="I535" s="45" t="n">
        <v>232404</v>
      </c>
      <c r="J535" s="45" t="n">
        <v>5137</v>
      </c>
      <c r="K535" s="45" t="n">
        <v>1056</v>
      </c>
      <c r="L535" s="46" t="n"/>
      <c r="M535" s="47" t="n"/>
      <c r="N535" s="47" t="inlineStr">
        <is>
          <t>UCKZo4N0lVPccBkSiuyVh4yg</t>
        </is>
      </c>
      <c r="O535" s="48" t="n">
        <v>45568.94166666667</v>
      </c>
      <c r="P535" s="49" t="n">
        <v>45568</v>
      </c>
      <c r="Q535" s="47" t="n">
        <v>2733</v>
      </c>
      <c r="R535" s="47" t="inlineStr">
        <is>
          <t>No Video ID yet</t>
        </is>
      </c>
      <c r="S535" s="49" t="n"/>
      <c r="T535" s="49" t="n"/>
      <c r="U535" s="47" t="inlineStr">
        <is>
          <t>This episode is sponsored by BetterHelp — go to to get 10% off your first month. Today J and Ben dive into the Wizarding World of Harry Potter to Rank Every Hero in Harry Potter (by mention in books) on a Tier List from O to T (Thats Outstanding to Troll for you muggles) Make your own Tier list :: Characters by mention:: #supercarlinbrothers #HarryPotter #TierList</t>
        </is>
      </c>
      <c r="V535" s="47">
        <f>IF(AND(P535&gt;=Calendar!$K$2,P535&lt;EDATE(Calendar!$K$2,1),OR(Calendar!$K$4="*",N535=Calendar!$K$4)),P535*100+COUNTIFS($P$6:$P$3267,P535,$Q$6:$Q$3267,"&lt;="&amp;Q535,$N$6:$N$3267,Calendar!$K$4),"")</f>
        <v/>
      </c>
      <c r="W535" s="47">
        <f>IF(AND(B535=Queue!$C$4,OR(Queue!$K$4="*",N535=Queue!$K$4)),Q535,"")</f>
        <v/>
      </c>
    </row>
    <row r="536">
      <c r="A536" s="38">
        <f>IF(M536="","",HYPERLINK("https://www.youtube.com/watch?v="&amp;M536,"▶"))</f>
        <v/>
      </c>
      <c r="B536" s="39">
        <f>IF(C536&lt;&gt;"",C536,IF(P536&lt;=IFERROR(INDEX(tblChannels[Watched Through],MATCH(N536,tblChannels[Channel ID],0)),0),"Watched","Unwatched"))</f>
        <v/>
      </c>
      <c r="C536" s="40" t="n"/>
      <c r="D536" s="41" t="n"/>
      <c r="E536" s="42" t="n">
        <v>45568.625</v>
      </c>
      <c r="F536" s="51" t="inlineStr">
        <is>
          <t>Through The Griffin Door</t>
        </is>
      </c>
      <c r="G536" t="inlineStr">
        <is>
          <t>LIVE IN SEATTLE - Chapter 17: Cat, Rat and Dog | Prisoner of Azkaban</t>
        </is>
      </c>
      <c r="H536" s="44" t="n">
        <v>0.04017361111111111</v>
      </c>
      <c r="I536" s="45" t="n">
        <v>21339</v>
      </c>
      <c r="J536" s="45" t="n">
        <v>1029</v>
      </c>
      <c r="K536" s="45" t="n">
        <v>186</v>
      </c>
      <c r="L536" s="46" t="n"/>
      <c r="M536" s="47" t="n"/>
      <c r="N536" s="47" t="inlineStr">
        <is>
          <t>UCEscP6ETYXWSSvsNrDHekMQ</t>
        </is>
      </c>
      <c r="O536" s="48" t="n">
        <v>45568.79166666666</v>
      </c>
      <c r="P536" s="49" t="n">
        <v>45568</v>
      </c>
      <c r="Q536" s="47" t="n">
        <v>2732</v>
      </c>
      <c r="R536" s="47" t="inlineStr">
        <is>
          <t>No Video ID yet</t>
        </is>
      </c>
      <c r="S536" s="49" t="n"/>
      <c r="T536" s="49" t="n"/>
      <c r="U536" s="47" t="inlineStr">
        <is>
          <t>Join J and Ben as they dive BACK into Chapter 17 of the Prisoner of Azkaban (in SEATTLE!!!) and discuss Ron's dedication to holding onto his rat, Sirius's dedication to being as vague as possible, and Gilderoy Lockhart's dedication to end up being mentioned in every single episode of this podcast. Do YOU want to see us LIVE? We're going back on tour! Tickets are ON SALE NOW for the Southeast leg of Through the Griffin TOUR!!!</t>
        </is>
      </c>
      <c r="V536" s="47">
        <f>IF(AND(P536&gt;=Calendar!$K$2,P536&lt;EDATE(Calendar!$K$2,1),OR(Calendar!$K$4="*",N536=Calendar!$K$4)),P536*100+COUNTIFS($P$6:$P$3267,P536,$Q$6:$Q$3267,"&lt;="&amp;Q536,$N$6:$N$3267,Calendar!$K$4),"")</f>
        <v/>
      </c>
      <c r="W536" s="47">
        <f>IF(AND(B536=Queue!$C$4,OR(Queue!$K$4="*",N536=Queue!$K$4)),Q536,"")</f>
        <v/>
      </c>
    </row>
    <row r="537">
      <c r="A537" s="38">
        <f>IF(M537="","",HYPERLINK("https://www.youtube.com/watch?v="&amp;M537,"▶"))</f>
        <v/>
      </c>
      <c r="B537" s="39">
        <f>IF(C537&lt;&gt;"",C537,IF(P537&lt;=IFERROR(INDEX(tblChannels[Watched Through],MATCH(N537,tblChannels[Channel ID],0)),0),"Watched","Unwatched"))</f>
        <v/>
      </c>
      <c r="C537" s="40" t="n"/>
      <c r="D537" s="41" t="n"/>
      <c r="E537" s="42" t="n">
        <v>45564.41666666666</v>
      </c>
      <c r="F537" s="51" t="inlineStr">
        <is>
          <t>Through The Griffin Door</t>
        </is>
      </c>
      <c r="G537" t="inlineStr">
        <is>
          <t>Chapter 17: Cat, Rat and Dog | Prisoner of Azkaban</t>
        </is>
      </c>
      <c r="H537" s="44" t="n">
        <v>0.05689814814814815</v>
      </c>
      <c r="I537" s="45" t="n">
        <v>58767</v>
      </c>
      <c r="J537" s="45" t="n">
        <v>1823</v>
      </c>
      <c r="K537" s="45" t="n">
        <v>558</v>
      </c>
      <c r="L537" s="46" t="n"/>
      <c r="M537" s="47" t="n"/>
      <c r="N537" s="47" t="inlineStr">
        <is>
          <t>UCEscP6ETYXWSSvsNrDHekMQ</t>
        </is>
      </c>
      <c r="O537" s="48" t="n">
        <v>45564.58333333334</v>
      </c>
      <c r="P537" s="49" t="n">
        <v>45564</v>
      </c>
      <c r="Q537" s="47" t="n">
        <v>2731</v>
      </c>
      <c r="R537" s="47" t="inlineStr">
        <is>
          <t>No Video ID yet</t>
        </is>
      </c>
      <c r="S537" s="49" t="n"/>
      <c r="T537" s="49" t="n"/>
      <c r="U537" s="47" t="inlineStr">
        <is>
          <t>Join J and Ben as they dive into Chapter 17 of the Prisoner of Azkaban and discuss the sunset imagery, Scabbers trying to escape, Sirius getting Ron, the Whomping Willow, Nox, the rampant vaguery, Harry wanting to kill Harry, Lupin bursting in and figuring out the plot, and the Peter reveal. 06:40 - Chapter Breakdown 1:06:49 - Closing Thoughts and Review</t>
        </is>
      </c>
      <c r="V537" s="47">
        <f>IF(AND(P537&gt;=Calendar!$K$2,P537&lt;EDATE(Calendar!$K$2,1),OR(Calendar!$K$4="*",N537=Calendar!$K$4)),P537*100+COUNTIFS($P$6:$P$3267,P537,$Q$6:$Q$3267,"&lt;="&amp;Q537,$N$6:$N$3267,Calendar!$K$4),"")</f>
        <v/>
      </c>
      <c r="W537" s="47">
        <f>IF(AND(B537=Queue!$C$4,OR(Queue!$K$4="*",N537=Queue!$K$4)),Q537,"")</f>
        <v/>
      </c>
    </row>
    <row r="538">
      <c r="A538" s="38">
        <f>IF(M538="","",HYPERLINK("https://www.youtube.com/watch?v="&amp;M538,"▶"))</f>
        <v/>
      </c>
      <c r="B538" s="39">
        <f>IF(C538&lt;&gt;"",C538,IF(P538&lt;=IFERROR(INDEX(tblChannels[Watched Through],MATCH(N538,tblChannels[Channel ID],0)),0),"Watched","Unwatched"))</f>
        <v/>
      </c>
      <c r="C538" s="40" t="n"/>
      <c r="D538" s="41" t="n"/>
      <c r="E538" s="42" t="n">
        <v>45562.62569444445</v>
      </c>
      <c r="F538" s="50" t="inlineStr">
        <is>
          <t>Super Carlin Brothers</t>
        </is>
      </c>
      <c r="G538" t="inlineStr">
        <is>
          <t>The SECRET Origin Of The Diary | Harry Potter Film Theory</t>
        </is>
      </c>
      <c r="H538" s="44" t="n">
        <v>0.01033564814814815</v>
      </c>
      <c r="I538" s="45" t="n">
        <v>106791</v>
      </c>
      <c r="J538" s="45" t="n">
        <v>5457</v>
      </c>
      <c r="K538" s="45" t="n">
        <v>594</v>
      </c>
      <c r="L538" s="46" t="n"/>
      <c r="M538" s="47" t="n"/>
      <c r="N538" s="47" t="inlineStr">
        <is>
          <t>UCKZo4N0lVPccBkSiuyVh4yg</t>
        </is>
      </c>
      <c r="O538" s="48" t="n">
        <v>45562.79236111111</v>
      </c>
      <c r="P538" s="49" t="n">
        <v>45562</v>
      </c>
      <c r="Q538" s="47" t="n">
        <v>2730</v>
      </c>
      <c r="R538" s="47" t="inlineStr">
        <is>
          <t>No Video ID yet</t>
        </is>
      </c>
      <c r="S538" s="49" t="n"/>
      <c r="T538" s="49" t="n"/>
      <c r="U538" s="47" t="inlineStr">
        <is>
          <t>Today J dives into the Wizarding World of Harry Potter to reveal the Secret origin of Voldemorts Diary Horcrux and reveal why and how it was actually</t>
        </is>
      </c>
      <c r="V538" s="47">
        <f>IF(AND(P538&gt;=Calendar!$K$2,P538&lt;EDATE(Calendar!$K$2,1),OR(Calendar!$K$4="*",N538=Calendar!$K$4)),P538*100+COUNTIFS($P$6:$P$3267,P538,$Q$6:$Q$3267,"&lt;="&amp;Q538,$N$6:$N$3267,Calendar!$K$4),"")</f>
        <v/>
      </c>
      <c r="W538" s="47">
        <f>IF(AND(B538=Queue!$C$4,OR(Queue!$K$4="*",N538=Queue!$K$4)),Q538,"")</f>
        <v/>
      </c>
    </row>
    <row r="539">
      <c r="A539" s="38">
        <f>IF(M539="","",HYPERLINK("https://www.youtube.com/watch?v="&amp;M539,"▶"))</f>
        <v/>
      </c>
      <c r="B539" s="39">
        <f>IF(C539&lt;&gt;"",C539,IF(P539&lt;=IFERROR(INDEX(tblChannels[Watched Through],MATCH(N539,tblChannels[Channel ID],0)),0),"Watched","Unwatched"))</f>
        <v/>
      </c>
      <c r="C539" s="40" t="n"/>
      <c r="D539" s="41" t="n"/>
      <c r="E539" s="42" t="n">
        <v>45562.41666666666</v>
      </c>
      <c r="F539" s="43" t="inlineStr">
        <is>
          <t>Popcorn Culture</t>
        </is>
      </c>
      <c r="G539" t="inlineStr">
        <is>
          <t>The Nuances of Air Quotes | Popcorn Culture</t>
        </is>
      </c>
      <c r="H539" s="44" t="n">
        <v>0.0502662037037037</v>
      </c>
      <c r="I539" s="45" t="n">
        <v>3633</v>
      </c>
      <c r="J539" s="45" t="n">
        <v>189</v>
      </c>
      <c r="K539" s="45" t="n">
        <v>28</v>
      </c>
      <c r="L539" s="46" t="n"/>
      <c r="M539" s="47" t="n"/>
      <c r="N539" s="47" t="inlineStr">
        <is>
          <t>UCHfIbq9thHPC8yrKjAdJgDA</t>
        </is>
      </c>
      <c r="O539" s="48" t="n">
        <v>45562.58333333334</v>
      </c>
      <c r="P539" s="49" t="n">
        <v>45562</v>
      </c>
      <c r="Q539" s="47" t="n">
        <v>2729</v>
      </c>
      <c r="R539" s="47" t="inlineStr">
        <is>
          <t>No Video ID yet</t>
        </is>
      </c>
      <c r="S539" s="49" t="n"/>
      <c r="T539" s="49" t="n"/>
      <c r="U539" s="47" t="inlineStr">
        <is>
          <t>In the 251st episode of the Pop, Ben and J discuss the pantomimes, party tricks, seeing the world as we are, Luke’s first podcast, our latest SCB series, taking care of yourself, upcoming tour, getting shots, restorative activities, and passage of time. Friends - How I Met Your Mother - Love Island - Nightmare Before Christmas - Miles the Brave - A Planet of Information 00:00 - Intro, Air Quotes 10:30 - Party Tricks 27:08 - Luke’s First Podcast 34:20 - Ron in Hufflepuff 53:30 - Vaccines</t>
        </is>
      </c>
      <c r="V539" s="47">
        <f>IF(AND(P539&gt;=Calendar!$K$2,P539&lt;EDATE(Calendar!$K$2,1),OR(Calendar!$K$4="*",N539=Calendar!$K$4)),P539*100+COUNTIFS($P$6:$P$3267,P539,$Q$6:$Q$3267,"&lt;="&amp;Q539,$N$6:$N$3267,Calendar!$K$4),"")</f>
        <v/>
      </c>
      <c r="W539" s="47">
        <f>IF(AND(B539=Queue!$C$4,OR(Queue!$K$4="*",N539=Queue!$K$4)),Q539,"")</f>
        <v/>
      </c>
    </row>
    <row r="540">
      <c r="A540" s="38">
        <f>IF(M540="","",HYPERLINK("https://www.youtube.com/watch?v="&amp;M540,"▶"))</f>
        <v/>
      </c>
      <c r="B540" s="39">
        <f>IF(C540&lt;&gt;"",C540,IF(P540&lt;=IFERROR(INDEX(tblChannels[Watched Through],MATCH(N540,tblChannels[Channel ID],0)),0),"Watched","Unwatched"))</f>
        <v/>
      </c>
      <c r="C540" s="40" t="n"/>
      <c r="D540" s="41" t="n"/>
      <c r="E540" s="42" t="n">
        <v>45560.625</v>
      </c>
      <c r="F540" s="50" t="inlineStr">
        <is>
          <t>Super Carlin Brothers</t>
        </is>
      </c>
      <c r="G540" t="inlineStr">
        <is>
          <t>J vs Ben: We FACE OFF in the HARDEST Harry Potter Dobby TRIVIA Quiz</t>
        </is>
      </c>
      <c r="H540" s="44" t="n">
        <v>0.03009259259259259</v>
      </c>
      <c r="I540" s="45" t="n">
        <v>140326</v>
      </c>
      <c r="J540" s="45" t="n">
        <v>4652</v>
      </c>
      <c r="K540" s="45" t="n">
        <v>745</v>
      </c>
      <c r="L540" s="46" t="n"/>
      <c r="M540" s="47" t="n"/>
      <c r="N540" s="47" t="inlineStr">
        <is>
          <t>UCKZo4N0lVPccBkSiuyVh4yg</t>
        </is>
      </c>
      <c r="O540" s="48" t="n">
        <v>45560.79166666666</v>
      </c>
      <c r="P540" s="49" t="n">
        <v>45560</v>
      </c>
      <c r="Q540" s="47" t="n">
        <v>2728</v>
      </c>
      <c r="R540" s="47" t="inlineStr">
        <is>
          <t>No Video ID yet</t>
        </is>
      </c>
      <c r="S540" s="49" t="n"/>
      <c r="T540" s="49" t="n"/>
      <c r="U540" s="47" t="inlineStr">
        <is>
          <t>Go to to get 20% off your first order and free shipping. Today J and Ben face off to find out which of them knows more about everyone's favorite chaotic house elf DOBBY aka Sir Dobbert aka DOBBY IS A FREE ELF aka OK wow hit him with a knife right at the end thats FINE geez maybe I’ll recover someday.</t>
        </is>
      </c>
      <c r="V540" s="47">
        <f>IF(AND(P540&gt;=Calendar!$K$2,P540&lt;EDATE(Calendar!$K$2,1),OR(Calendar!$K$4="*",N540=Calendar!$K$4)),P540*100+COUNTIFS($P$6:$P$3267,P540,$Q$6:$Q$3267,"&lt;="&amp;Q540,$N$6:$N$3267,Calendar!$K$4),"")</f>
        <v/>
      </c>
      <c r="W540" s="47">
        <f>IF(AND(B540=Queue!$C$4,OR(Queue!$K$4="*",N540=Queue!$K$4)),Q540,"")</f>
        <v/>
      </c>
    </row>
    <row r="541">
      <c r="A541" s="38">
        <f>IF(M541="","",HYPERLINK("https://www.youtube.com/watch?v="&amp;M541,"▶"))</f>
        <v/>
      </c>
      <c r="B541" s="39">
        <f>IF(C541&lt;&gt;"",C541,IF(P541&lt;=IFERROR(INDEX(tblChannels[Watched Through],MATCH(N541,tblChannels[Channel ID],0)),0),"Watched","Unwatched"))</f>
        <v/>
      </c>
      <c r="C541" s="40" t="n"/>
      <c r="D541" s="41" t="n"/>
      <c r="E541" s="42" t="n">
        <v>45557.41666666666</v>
      </c>
      <c r="F541" s="51" t="inlineStr">
        <is>
          <t>Through The Griffin Door</t>
        </is>
      </c>
      <c r="G541" t="inlineStr">
        <is>
          <t>Chapter 16: Professor Trelawney’s Prediction | Prisoner of Azkaban</t>
        </is>
      </c>
      <c r="H541" s="44" t="n">
        <v>0.07467592592592592</v>
      </c>
      <c r="I541" s="45" t="n">
        <v>68058</v>
      </c>
      <c r="J541" s="45" t="n">
        <v>1865</v>
      </c>
      <c r="K541" s="45" t="n">
        <v>670</v>
      </c>
      <c r="L541" s="46" t="n"/>
      <c r="M541" s="47" t="n"/>
      <c r="N541" s="47" t="inlineStr">
        <is>
          <t>UCEscP6ETYXWSSvsNrDHekMQ</t>
        </is>
      </c>
      <c r="O541" s="48" t="n">
        <v>45557.58333333334</v>
      </c>
      <c r="P541" s="49" t="n">
        <v>45557</v>
      </c>
      <c r="Q541" s="47" t="n">
        <v>2727</v>
      </c>
      <c r="R541" s="47" t="inlineStr">
        <is>
          <t>No Video ID yet</t>
        </is>
      </c>
      <c r="S541" s="49" t="n"/>
      <c r="T541" s="49" t="n"/>
      <c r="U541" s="47" t="inlineStr">
        <is>
          <t>Join J and Ben as they dive into Chapter 16 of the Prisoner of Azkaban and discuss exams, Hermione’s impossible schedule, Buckbeak’s appeal, Parvati’s seeing abilities, Trelawney’s genuine prediction, going to Hagrid’s, wombly time, finding Scabbers, and Buckbeak’s NOT execution. 02:46 - Chapter Breakdown 1:29:42 - Closing Thoughts and Review</t>
        </is>
      </c>
      <c r="V541" s="47">
        <f>IF(AND(P541&gt;=Calendar!$K$2,P541&lt;EDATE(Calendar!$K$2,1),OR(Calendar!$K$4="*",N541=Calendar!$K$4)),P541*100+COUNTIFS($P$6:$P$3267,P541,$Q$6:$Q$3267,"&lt;="&amp;Q541,$N$6:$N$3267,Calendar!$K$4),"")</f>
        <v/>
      </c>
      <c r="W541" s="47">
        <f>IF(AND(B541=Queue!$C$4,OR(Queue!$K$4="*",N541=Queue!$K$4)),Q541,"")</f>
        <v/>
      </c>
    </row>
    <row r="542">
      <c r="A542" s="38">
        <f>IF(M542="","",HYPERLINK("https://www.youtube.com/watch?v="&amp;M542,"▶"))</f>
        <v/>
      </c>
      <c r="B542" s="39">
        <f>IF(C542&lt;&gt;"",C542,IF(P542&lt;=IFERROR(INDEX(tblChannels[Watched Through],MATCH(N542,tblChannels[Channel ID],0)),0),"Watched","Unwatched"))</f>
        <v/>
      </c>
      <c r="C542" s="40" t="n"/>
      <c r="D542" s="41" t="n"/>
      <c r="E542" s="42" t="n">
        <v>45556.41666666666</v>
      </c>
      <c r="F542" s="50" t="inlineStr">
        <is>
          <t>Super Carlin Brothers</t>
        </is>
      </c>
      <c r="G542" t="inlineStr">
        <is>
          <t>Through the Griffin Door Supercut: Prisoner of Azkaban Chapters 13-15</t>
        </is>
      </c>
      <c r="H542" s="44" t="n">
        <v>0.2022106481481482</v>
      </c>
      <c r="I542" s="45" t="n">
        <v>27992</v>
      </c>
      <c r="J542" s="45" t="n">
        <v>470</v>
      </c>
      <c r="K542" s="45" t="n">
        <v>108</v>
      </c>
      <c r="L542" s="46" t="n"/>
      <c r="M542" s="47" t="n"/>
      <c r="N542" s="47" t="inlineStr">
        <is>
          <t>UCKZo4N0lVPccBkSiuyVh4yg</t>
        </is>
      </c>
      <c r="O542" s="48" t="n">
        <v>45556.58333333334</v>
      </c>
      <c r="P542" s="49" t="n">
        <v>45556</v>
      </c>
      <c r="Q542" s="47" t="n">
        <v>2726</v>
      </c>
      <c r="R542" s="47" t="inlineStr">
        <is>
          <t>No Video ID yet</t>
        </is>
      </c>
      <c r="S542" s="49" t="n"/>
      <c r="T542" s="49" t="n"/>
      <c r="U542" s="47" t="n"/>
      <c r="V542" s="47">
        <f>IF(AND(P542&gt;=Calendar!$K$2,P542&lt;EDATE(Calendar!$K$2,1),OR(Calendar!$K$4="*",N542=Calendar!$K$4)),P542*100+COUNTIFS($P$6:$P$3267,P542,$Q$6:$Q$3267,"&lt;="&amp;Q542,$N$6:$N$3267,Calendar!$K$4),"")</f>
        <v/>
      </c>
      <c r="W542" s="47">
        <f>IF(AND(B542=Queue!$C$4,OR(Queue!$K$4="*",N542=Queue!$K$4)),Q542,"")</f>
        <v/>
      </c>
    </row>
    <row r="543">
      <c r="A543" s="38">
        <f>IF(M543="","",HYPERLINK("https://www.youtube.com/watch?v="&amp;M543,"▶"))</f>
        <v/>
      </c>
      <c r="B543" s="39">
        <f>IF(C543&lt;&gt;"",C543,IF(P543&lt;=IFERROR(INDEX(tblChannels[Watched Through],MATCH(N543,tblChannels[Channel ID],0)),0),"Watched","Unwatched"))</f>
        <v/>
      </c>
      <c r="C543" s="40" t="n"/>
      <c r="D543" s="41" t="n"/>
      <c r="E543" s="42" t="n">
        <v>45555.625</v>
      </c>
      <c r="F543" s="50" t="inlineStr">
        <is>
          <t>Super Carlin Brothers</t>
        </is>
      </c>
      <c r="G543" t="inlineStr">
        <is>
          <t>What if Ron Was In Hufflepuff? - Prisoner of Azkaban Part 4 | Harry Potter Film Theory</t>
        </is>
      </c>
      <c r="H543" s="44" t="n">
        <v>0.01613425925925926</v>
      </c>
      <c r="I543" s="45" t="n">
        <v>110985</v>
      </c>
      <c r="J543" s="45" t="n">
        <v>5222</v>
      </c>
      <c r="K543" s="45" t="n">
        <v>424</v>
      </c>
      <c r="L543" s="46" t="n"/>
      <c r="M543" s="47" t="n"/>
      <c r="N543" s="47" t="inlineStr">
        <is>
          <t>UCKZo4N0lVPccBkSiuyVh4yg</t>
        </is>
      </c>
      <c r="O543" s="48" t="n">
        <v>45555.79166666666</v>
      </c>
      <c r="P543" s="49" t="n">
        <v>45555</v>
      </c>
      <c r="Q543" s="47" t="n">
        <v>2725</v>
      </c>
      <c r="R543" s="47" t="inlineStr">
        <is>
          <t>No Video ID yet</t>
        </is>
      </c>
      <c r="S543" s="49" t="n"/>
      <c r="T543" s="49" t="n"/>
      <c r="U543" s="47" t="inlineStr">
        <is>
          <t>Go to to sign up for a $1-per-month trial period. Today Ben dives back into What if Ron Weasley Was in Hufflepuff? As we enter the back half of year 3 Ron has turned in Harry for the Firebolt! How will it affect the brothers relationship? Can Ron make it up to Harry? Does he care about Sirius Black or is just a ploy to win at Quidditch? And What happens if Ron gets to go on the Time Turner adventure?</t>
        </is>
      </c>
      <c r="V543" s="47">
        <f>IF(AND(P543&gt;=Calendar!$K$2,P543&lt;EDATE(Calendar!$K$2,1),OR(Calendar!$K$4="*",N543=Calendar!$K$4)),P543*100+COUNTIFS($P$6:$P$3267,P543,$Q$6:$Q$3267,"&lt;="&amp;Q543,$N$6:$N$3267,Calendar!$K$4),"")</f>
        <v/>
      </c>
      <c r="W543" s="47">
        <f>IF(AND(B543=Queue!$C$4,OR(Queue!$K$4="*",N543=Queue!$K$4)),Q543,"")</f>
        <v/>
      </c>
    </row>
    <row r="544">
      <c r="A544" s="38">
        <f>IF(M544="","",HYPERLINK("https://www.youtube.com/watch?v="&amp;M544,"▶"))</f>
        <v/>
      </c>
      <c r="B544" s="39">
        <f>IF(C544&lt;&gt;"",C544,IF(P544&lt;=IFERROR(INDEX(tblChannels[Watched Through],MATCH(N544,tblChannels[Channel ID],0)),0),"Watched","Unwatched"))</f>
        <v/>
      </c>
      <c r="C544" s="40" t="n"/>
      <c r="D544" s="41" t="n"/>
      <c r="E544" s="42" t="n">
        <v>45555.41666666666</v>
      </c>
      <c r="F544" s="43" t="inlineStr">
        <is>
          <t>Popcorn Culture</t>
        </is>
      </c>
      <c r="G544" t="inlineStr">
        <is>
          <t>Our Worst Argument Ever! | Popcorn Culture</t>
        </is>
      </c>
      <c r="H544" s="44" t="n">
        <v>0.046875</v>
      </c>
      <c r="I544" s="45" t="n">
        <v>3787</v>
      </c>
      <c r="J544" s="45" t="n">
        <v>225</v>
      </c>
      <c r="K544" s="45" t="n">
        <v>49</v>
      </c>
      <c r="L544" s="46" t="n"/>
      <c r="M544" s="47" t="n"/>
      <c r="N544" s="47" t="inlineStr">
        <is>
          <t>UCHfIbq9thHPC8yrKjAdJgDA</t>
        </is>
      </c>
      <c r="O544" s="48" t="n">
        <v>45555.58333333334</v>
      </c>
      <c r="P544" s="49" t="n">
        <v>45555</v>
      </c>
      <c r="Q544" s="47" t="n">
        <v>2724</v>
      </c>
      <c r="R544" s="47" t="inlineStr">
        <is>
          <t>No Video ID yet</t>
        </is>
      </c>
      <c r="S544" s="49" t="n"/>
      <c r="T544" s="49" t="n"/>
      <c r="U544" s="47" t="inlineStr">
        <is>
          <t>In the 250th (!!!) Episode of the Pop, Ben and J answer all your questions (from under water) and discuss their favorite potatoes and eggs, disagreements, cross country, technical specialties, Bluey theories and How I Met Your Mother. Bluey - How I Met Your Mother - How I Met Your Father - Good About the Bad 00:00 - Disclaimer, Intro 03:44 - Potatoes! 11:00 - Eggs! 20:55 - Conflict 33:01 - High School Sports 39:33 - Aquariums and Pokemon 46:19 - Bluey</t>
        </is>
      </c>
      <c r="V544" s="47">
        <f>IF(AND(P544&gt;=Calendar!$K$2,P544&lt;EDATE(Calendar!$K$2,1),OR(Calendar!$K$4="*",N544=Calendar!$K$4)),P544*100+COUNTIFS($P$6:$P$3267,P544,$Q$6:$Q$3267,"&lt;="&amp;Q544,$N$6:$N$3267,Calendar!$K$4),"")</f>
        <v/>
      </c>
      <c r="W544" s="47">
        <f>IF(AND(B544=Queue!$C$4,OR(Queue!$K$4="*",N544=Queue!$K$4)),Q544,"")</f>
        <v/>
      </c>
    </row>
    <row r="545">
      <c r="A545" s="38">
        <f>IF(M545="","",HYPERLINK("https://www.youtube.com/watch?v="&amp;M545,"▶"))</f>
        <v/>
      </c>
      <c r="B545" s="39">
        <f>IF(C545&lt;&gt;"",C545,IF(P545&lt;=IFERROR(INDEX(tblChannels[Watched Through],MATCH(N545,tblChannels[Channel ID],0)),0),"Watched","Unwatched"))</f>
        <v/>
      </c>
      <c r="C545" s="40" t="n"/>
      <c r="D545" s="41" t="n"/>
      <c r="E545" s="42" t="n">
        <v>45553.76388888889</v>
      </c>
      <c r="F545" s="50" t="inlineStr">
        <is>
          <t>Super Carlin Brothers</t>
        </is>
      </c>
      <c r="G545" t="inlineStr">
        <is>
          <t>We Ranked ALL 7 Harry Potter Books Best to Worst | Harry Potter Film Theory</t>
        </is>
      </c>
      <c r="H545" s="44" t="n">
        <v>0.06098379629629629</v>
      </c>
      <c r="I545" s="45" t="n">
        <v>505578</v>
      </c>
      <c r="J545" s="45" t="n">
        <v>10040</v>
      </c>
      <c r="K545" s="45" t="n">
        <v>1790</v>
      </c>
      <c r="L545" s="46" t="n"/>
      <c r="M545" s="47" t="n"/>
      <c r="N545" s="47" t="inlineStr">
        <is>
          <t>UCKZo4N0lVPccBkSiuyVh4yg</t>
        </is>
      </c>
      <c r="O545" s="48" t="n">
        <v>45553.93055555555</v>
      </c>
      <c r="P545" s="49" t="n">
        <v>45553</v>
      </c>
      <c r="Q545" s="47" t="n">
        <v>2723</v>
      </c>
      <c r="R545" s="47" t="inlineStr">
        <is>
          <t>No Video ID yet</t>
        </is>
      </c>
      <c r="S545" s="49" t="n"/>
      <c r="T545" s="49" t="n"/>
      <c r="U545" s="47" t="inlineStr">
        <is>
          <t>Today at LONG last J and Ben give their FULL Rankings of every Harry Potter Book from Philosopher’s Stone to Deathly Hallows! Which is your favorite?</t>
        </is>
      </c>
      <c r="V545" s="47">
        <f>IF(AND(P545&gt;=Calendar!$K$2,P545&lt;EDATE(Calendar!$K$2,1),OR(Calendar!$K$4="*",N545=Calendar!$K$4)),P545*100+COUNTIFS($P$6:$P$3267,P545,$Q$6:$Q$3267,"&lt;="&amp;Q545,$N$6:$N$3267,Calendar!$K$4),"")</f>
        <v/>
      </c>
      <c r="W545" s="47">
        <f>IF(AND(B545=Queue!$C$4,OR(Queue!$K$4="*",N545=Queue!$K$4)),Q545,"")</f>
        <v/>
      </c>
    </row>
    <row r="546">
      <c r="A546" s="38">
        <f>IF(M546="","",HYPERLINK("https://www.youtube.com/watch?v="&amp;M546,"▶"))</f>
        <v/>
      </c>
      <c r="B546" s="39">
        <f>IF(C546&lt;&gt;"",C546,IF(P546&lt;=IFERROR(INDEX(tblChannels[Watched Through],MATCH(N546,tblChannels[Channel ID],0)),0),"Watched","Unwatched"))</f>
        <v/>
      </c>
      <c r="C546" s="40" t="n"/>
      <c r="D546" s="41" t="n"/>
      <c r="E546" s="42" t="n">
        <v>45550.41666666666</v>
      </c>
      <c r="F546" s="51" t="inlineStr">
        <is>
          <t>Through The Griffin Door</t>
        </is>
      </c>
      <c r="G546" t="inlineStr">
        <is>
          <t>Chapter 15: The Quidditch Final | Prisoner of Azkaban</t>
        </is>
      </c>
      <c r="H546" s="44" t="n">
        <v>0.06370370370370371</v>
      </c>
      <c r="I546" s="45" t="n">
        <v>64820</v>
      </c>
      <c r="J546" s="45" t="n">
        <v>1874</v>
      </c>
      <c r="K546" s="45" t="n">
        <v>517</v>
      </c>
      <c r="L546" s="46" t="n"/>
      <c r="M546" s="47" t="n"/>
      <c r="N546" s="47" t="inlineStr">
        <is>
          <t>UCEscP6ETYXWSSvsNrDHekMQ</t>
        </is>
      </c>
      <c r="O546" s="48" t="n">
        <v>45550.58333333334</v>
      </c>
      <c r="P546" s="49" t="n">
        <v>45550</v>
      </c>
      <c r="Q546" s="47" t="n">
        <v>2722</v>
      </c>
      <c r="R546" s="47" t="inlineStr">
        <is>
          <t>No Video ID yet</t>
        </is>
      </c>
      <c r="S546" s="49" t="n"/>
      <c r="T546" s="49" t="n"/>
      <c r="U546" s="47" t="inlineStr">
        <is>
          <t>Join J and Ben as they dive into Chapter 15 of the Prisoner of Azkaban and discuss the letter from Hagrid, the Draco slap, Hermione missing Charms, the drama of the match, seeing Sirius and Crookshanks, population numbers, and Harry winning the game! 10:37 - Chapter Breakdown 1:22:58 - Closing Thoughts and Review</t>
        </is>
      </c>
      <c r="V546" s="47">
        <f>IF(AND(P546&gt;=Calendar!$K$2,P546&lt;EDATE(Calendar!$K$2,1),OR(Calendar!$K$4="*",N546=Calendar!$K$4)),P546*100+COUNTIFS($P$6:$P$3267,P546,$Q$6:$Q$3267,"&lt;="&amp;Q546,$N$6:$N$3267,Calendar!$K$4),"")</f>
        <v/>
      </c>
      <c r="W546" s="47">
        <f>IF(AND(B546=Queue!$C$4,OR(Queue!$K$4="*",N546=Queue!$K$4)),Q546,"")</f>
        <v/>
      </c>
    </row>
    <row r="547">
      <c r="A547" s="38">
        <f>IF(M547="","",HYPERLINK("https://www.youtube.com/watch?v="&amp;M547,"▶"))</f>
        <v/>
      </c>
      <c r="B547" s="39">
        <f>IF(C547&lt;&gt;"",C547,IF(P547&lt;=IFERROR(INDEX(tblChannels[Watched Through],MATCH(N547,tblChannels[Channel ID],0)),0),"Watched","Unwatched"))</f>
        <v/>
      </c>
      <c r="C547" s="40" t="n"/>
      <c r="D547" s="41" t="n"/>
      <c r="E547" s="42" t="n">
        <v>45549.24097222222</v>
      </c>
      <c r="F547" s="52" t="inlineStr">
        <is>
          <t>Super Carlin Gaming</t>
        </is>
      </c>
      <c r="G547" t="inlineStr">
        <is>
          <t>Pokemon Box Breakers LIVE! SEPTEMBER 13, 2024</t>
        </is>
      </c>
      <c r="H547" s="44" t="n">
        <v>0.1275694444444445</v>
      </c>
      <c r="I547" s="45" t="n">
        <v>1378</v>
      </c>
      <c r="J547" s="45" t="n">
        <v>56</v>
      </c>
      <c r="K547" s="45" t="n">
        <v>10</v>
      </c>
      <c r="L547" s="46" t="n"/>
      <c r="M547" s="47" t="n"/>
      <c r="N547" s="47" t="inlineStr">
        <is>
          <t>UCor_9jRnNNZVzTuQ92PKsaQ</t>
        </is>
      </c>
      <c r="O547" s="48" t="n">
        <v>45549.40763888889</v>
      </c>
      <c r="P547" s="49" t="n">
        <v>45549</v>
      </c>
      <c r="Q547" s="47" t="n">
        <v>2721</v>
      </c>
      <c r="R547" s="47" t="inlineStr">
        <is>
          <t>No Video ID yet</t>
        </is>
      </c>
      <c r="S547" s="49" t="n"/>
      <c r="T547" s="49" t="n"/>
      <c r="U547" s="47" t="n"/>
      <c r="V547" s="47">
        <f>IF(AND(P547&gt;=Calendar!$K$2,P547&lt;EDATE(Calendar!$K$2,1),OR(Calendar!$K$4="*",N547=Calendar!$K$4)),P547*100+COUNTIFS($P$6:$P$3267,P547,$Q$6:$Q$3267,"&lt;="&amp;Q547,$N$6:$N$3267,Calendar!$K$4),"")</f>
        <v/>
      </c>
      <c r="W547" s="47">
        <f>IF(AND(B547=Queue!$C$4,OR(Queue!$K$4="*",N547=Queue!$K$4)),Q547,"")</f>
        <v/>
      </c>
    </row>
    <row r="548">
      <c r="A548" s="38">
        <f>IF(M548="","",HYPERLINK("https://www.youtube.com/watch?v="&amp;M548,"▶"))</f>
        <v/>
      </c>
      <c r="B548" s="39">
        <f>IF(C548&lt;&gt;"",C548,IF(P548&lt;=IFERROR(INDEX(tblChannels[Watched Through],MATCH(N548,tblChannels[Channel ID],0)),0),"Watched","Unwatched"))</f>
        <v/>
      </c>
      <c r="C548" s="40" t="n"/>
      <c r="D548" s="41" t="n"/>
      <c r="E548" s="42" t="n">
        <v>45548.71666666667</v>
      </c>
      <c r="F548" s="50" t="inlineStr">
        <is>
          <t>Super Carlin Brothers</t>
        </is>
      </c>
      <c r="G548" t="inlineStr">
        <is>
          <t>What If Ron Was In Hufflepuff - Prisoner of Azkaban | Harry Potter Film Theory</t>
        </is>
      </c>
      <c r="H548" s="44" t="n">
        <v>0.01616898148148148</v>
      </c>
      <c r="I548" s="45" t="n">
        <v>122377</v>
      </c>
      <c r="J548" s="45" t="n">
        <v>5023</v>
      </c>
      <c r="K548" s="45" t="n">
        <v>399</v>
      </c>
      <c r="L548" s="46" t="n"/>
      <c r="M548" s="47" t="n"/>
      <c r="N548" s="47" t="inlineStr">
        <is>
          <t>UCKZo4N0lVPccBkSiuyVh4yg</t>
        </is>
      </c>
      <c r="O548" s="48" t="n">
        <v>45548.88333333333</v>
      </c>
      <c r="P548" s="49" t="n">
        <v>45548</v>
      </c>
      <c r="Q548" s="47" t="n">
        <v>2720</v>
      </c>
      <c r="R548" s="47" t="inlineStr">
        <is>
          <t>No Video ID yet</t>
        </is>
      </c>
      <c r="S548" s="49" t="n"/>
      <c r="T548" s="49" t="n"/>
      <c r="U548" s="47" t="inlineStr">
        <is>
          <t>Go to to get 20% off your first order plus free shipping. Today Ben returns to the Wizarding World of: What If Ron was in Hufflepuff? How does year 3 play out if Ron isn’t in Gryffindor? Does he try out for Quidditch? Do Fred and George still give Harry the map? Is Ron allowed into Hogsmeade?</t>
        </is>
      </c>
      <c r="V548" s="47">
        <f>IF(AND(P548&gt;=Calendar!$K$2,P548&lt;EDATE(Calendar!$K$2,1),OR(Calendar!$K$4="*",N548=Calendar!$K$4)),P548*100+COUNTIFS($P$6:$P$3267,P548,$Q$6:$Q$3267,"&lt;="&amp;Q548,$N$6:$N$3267,Calendar!$K$4),"")</f>
        <v/>
      </c>
      <c r="W548" s="47">
        <f>IF(AND(B548=Queue!$C$4,OR(Queue!$K$4="*",N548=Queue!$K$4)),Q548,"")</f>
        <v/>
      </c>
    </row>
    <row r="549">
      <c r="A549" s="38">
        <f>IF(M549="","",HYPERLINK("https://www.youtube.com/watch?v="&amp;M549,"▶"))</f>
        <v/>
      </c>
      <c r="B549" s="39">
        <f>IF(C549&lt;&gt;"",C549,IF(P549&lt;=IFERROR(INDEX(tblChannels[Watched Through],MATCH(N549,tblChannels[Channel ID],0)),0),"Watched","Unwatched"))</f>
        <v/>
      </c>
      <c r="C549" s="40" t="n"/>
      <c r="D549" s="41" t="n"/>
      <c r="E549" s="42" t="n">
        <v>45548.41666666666</v>
      </c>
      <c r="F549" s="43" t="inlineStr">
        <is>
          <t>Popcorn Culture</t>
        </is>
      </c>
      <c r="G549" t="inlineStr">
        <is>
          <t>J’s Most Unhinged Episode | Popcorn Culture</t>
        </is>
      </c>
      <c r="H549" s="44" t="n">
        <v>0.0377662037037037</v>
      </c>
      <c r="I549" s="45" t="n">
        <v>3772</v>
      </c>
      <c r="J549" s="45" t="n">
        <v>207</v>
      </c>
      <c r="K549" s="45" t="n">
        <v>33</v>
      </c>
      <c r="L549" s="46" t="n"/>
      <c r="M549" s="47" t="n"/>
      <c r="N549" s="47" t="inlineStr">
        <is>
          <t>UCHfIbq9thHPC8yrKjAdJgDA</t>
        </is>
      </c>
      <c r="O549" s="48" t="n">
        <v>45548.58333333334</v>
      </c>
      <c r="P549" s="49" t="n">
        <v>45548</v>
      </c>
      <c r="Q549" s="47" t="n">
        <v>2719</v>
      </c>
      <c r="R549" s="47" t="inlineStr">
        <is>
          <t>No Video ID yet</t>
        </is>
      </c>
      <c r="S549" s="49" t="n"/>
      <c r="T549" s="49" t="n"/>
      <c r="U549" s="47" t="inlineStr">
        <is>
          <t>In the 249th episode of the Pop, Ben and J discuss the sunflower festival, giving your kids spending-money, action figures, not knowing when the last time is coming, birdwatching, and the upcoming Go-Fest. Feather Snap - Coff at the Waff Sour Skittle Center Birdwatching: Pokemon in Real Life Hermit Crab the Cardinal 00:00 - Intro, Sunflower Festival 06:08 - Children Managing Money 35:31 - Birdwatching 45:56 - The Beer Mile</t>
        </is>
      </c>
      <c r="V549" s="47">
        <f>IF(AND(P549&gt;=Calendar!$K$2,P549&lt;EDATE(Calendar!$K$2,1),OR(Calendar!$K$4="*",N549=Calendar!$K$4)),P549*100+COUNTIFS($P$6:$P$3267,P549,$Q$6:$Q$3267,"&lt;="&amp;Q549,$N$6:$N$3267,Calendar!$K$4),"")</f>
        <v/>
      </c>
      <c r="W549" s="47">
        <f>IF(AND(B549=Queue!$C$4,OR(Queue!$K$4="*",N549=Queue!$K$4)),Q549,"")</f>
        <v/>
      </c>
    </row>
    <row r="550">
      <c r="A550" s="38">
        <f>IF(M550="","",HYPERLINK("https://www.youtube.com/watch?v="&amp;M550,"▶"))</f>
        <v/>
      </c>
      <c r="B550" s="39">
        <f>IF(C550&lt;&gt;"",C550,IF(P550&lt;=IFERROR(INDEX(tblChannels[Watched Through],MATCH(N550,tblChannels[Channel ID],0)),0),"Watched","Unwatched"))</f>
        <v/>
      </c>
      <c r="C550" s="40" t="n"/>
      <c r="D550" s="41" t="n"/>
      <c r="E550" s="42" t="n">
        <v>45546.71666666667</v>
      </c>
      <c r="F550" s="50" t="inlineStr">
        <is>
          <t>Super Carlin Brothers</t>
        </is>
      </c>
      <c r="G550" t="inlineStr">
        <is>
          <t>J vs Ben: VICIOUS Voldemort Harry Potter Trivia Quiz Feat. MovieFlame</t>
        </is>
      </c>
      <c r="H550" s="44" t="n">
        <v>0.03520833333333333</v>
      </c>
      <c r="I550" s="45" t="n">
        <v>227473</v>
      </c>
      <c r="J550" s="45" t="n">
        <v>7068</v>
      </c>
      <c r="K550" s="45" t="n">
        <v>931</v>
      </c>
      <c r="L550" s="46" t="n"/>
      <c r="M550" s="47" t="n"/>
      <c r="N550" s="47" t="inlineStr">
        <is>
          <t>UCKZo4N0lVPccBkSiuyVh4yg</t>
        </is>
      </c>
      <c r="O550" s="48" t="n">
        <v>45546.88333333333</v>
      </c>
      <c r="P550" s="49" t="n">
        <v>45546</v>
      </c>
      <c r="Q550" s="47" t="n">
        <v>2718</v>
      </c>
      <c r="R550" s="47" t="inlineStr">
        <is>
          <t>No Video ID yet</t>
        </is>
      </c>
      <c r="S550" s="49" t="n"/>
      <c r="T550" s="49" t="n"/>
      <c r="U550" s="47" t="inlineStr">
        <is>
          <t>Go to to cancel your unwanted subscriptions with Rocket Money. Today J and Ben face off once more to find out who knows more about the Dark Lord Voldemort and are joined by Morgan from MovieFlame!! Check out Morgan’s Channel :: 03:38 - Q1: Where did Voldemort meet Quirrell 05:25 - Q2: Who tried to destroy the locket Horcrux before Harry? 07:41 - Q3: Who did Voldemort duel in the Great Hall? 13:06 - Q4: Which member of the Order did Voldemort kill? 15:08 - Q5: Which horcrux location does Voldemort check first? 17:22 - Q6: What was the date in Tom Riddle's diary? 19:39 - Q7: What info did Voldemort want from Gregorovitch? 21:43 - Q8: What deadline did Voldemort give Hogwarts to bring Potter to him? 24:01 - Q9: Which Death Eater did Voldemort use crucio on in the graveyard? 31:04 - Q10: What is the second ingredient in the resurrection potion? 33:32 - Q11: Which death eater helps Voldemort up after the big Avada Kedavra? 36:26 - Q12: Who did Voldemort send to the Department of Mysteries? 39:19 - Q13: What does Dumbledore say about the maimed creature in King's Cross? 42:08 - Q14: Who made the entrance to the chamber a sink? 45:22 - Q15: How old is Voldemort when he attacks the Potters</t>
        </is>
      </c>
      <c r="V550" s="47">
        <f>IF(AND(P550&gt;=Calendar!$K$2,P550&lt;EDATE(Calendar!$K$2,1),OR(Calendar!$K$4="*",N550=Calendar!$K$4)),P550*100+COUNTIFS($P$6:$P$3267,P550,$Q$6:$Q$3267,"&lt;="&amp;Q550,$N$6:$N$3267,Calendar!$K$4),"")</f>
        <v/>
      </c>
      <c r="W550" s="47">
        <f>IF(AND(B550=Queue!$C$4,OR(Queue!$K$4="*",N550=Queue!$K$4)),Q550,"")</f>
        <v/>
      </c>
    </row>
    <row r="551">
      <c r="A551" s="38">
        <f>IF(M551="","",HYPERLINK("https://www.youtube.com/watch?v="&amp;M551,"▶"))</f>
        <v/>
      </c>
      <c r="B551" s="39">
        <f>IF(C551&lt;&gt;"",C551,IF(P551&lt;=IFERROR(INDEX(tblChannels[Watched Through],MATCH(N551,tblChannels[Channel ID],0)),0),"Watched","Unwatched"))</f>
        <v/>
      </c>
      <c r="C551" s="40" t="n"/>
      <c r="D551" s="41" t="n"/>
      <c r="E551" s="42" t="n">
        <v>45543.41666666666</v>
      </c>
      <c r="F551" s="51" t="inlineStr">
        <is>
          <t>Through The Griffin Door</t>
        </is>
      </c>
      <c r="G551" t="inlineStr">
        <is>
          <t>Chapter 14: Snape’s Grudge | Prisoner of Azkaban</t>
        </is>
      </c>
      <c r="H551" s="44" t="n">
        <v>0.06611111111111111</v>
      </c>
      <c r="I551" s="45" t="n">
        <v>57355</v>
      </c>
      <c r="J551" s="45" t="n">
        <v>1759</v>
      </c>
      <c r="K551" s="45" t="n">
        <v>532</v>
      </c>
      <c r="L551" s="46" t="n"/>
      <c r="M551" s="47" t="n"/>
      <c r="N551" s="47" t="inlineStr">
        <is>
          <t>UCEscP6ETYXWSSvsNrDHekMQ</t>
        </is>
      </c>
      <c r="O551" s="48" t="n">
        <v>45543.58333333334</v>
      </c>
      <c r="P551" s="49" t="n">
        <v>45543</v>
      </c>
      <c r="Q551" s="47" t="n">
        <v>2717</v>
      </c>
      <c r="R551" s="47" t="inlineStr">
        <is>
          <t>No Video ID yet</t>
        </is>
      </c>
      <c r="S551" s="49" t="n"/>
      <c r="T551" s="49" t="n"/>
      <c r="U551" s="47" t="inlineStr">
        <is>
          <t>Join J and Ben as they dive into Chapter 14 of the Prisoner of Azkaban and discuss Harry’s usage of the map, not prioritizing safety, Neville’s hardship, visiting Hagrid, Hermione being totally right, stupidly going to Hogsmeade, almost getting caught, the map insulting Snape and Lupin talking to Harry. Knight Bus is a Zouwu - Snape is a Vampire - Tasting Hogsmeade Candy - 07:16 - Chapter Breakdown 1:21:32 - Closing Thoughts and Review</t>
        </is>
      </c>
      <c r="V551" s="47">
        <f>IF(AND(P551&gt;=Calendar!$K$2,P551&lt;EDATE(Calendar!$K$2,1),OR(Calendar!$K$4="*",N551=Calendar!$K$4)),P551*100+COUNTIFS($P$6:$P$3267,P551,$Q$6:$Q$3267,"&lt;="&amp;Q551,$N$6:$N$3267,Calendar!$K$4),"")</f>
        <v/>
      </c>
      <c r="W551" s="47">
        <f>IF(AND(B551=Queue!$C$4,OR(Queue!$K$4="*",N551=Queue!$K$4)),Q551,"")</f>
        <v/>
      </c>
    </row>
    <row r="552">
      <c r="A552" s="38">
        <f>IF(M552="","",HYPERLINK("https://www.youtube.com/watch?v="&amp;M552,"▶"))</f>
        <v/>
      </c>
      <c r="B552" s="39">
        <f>IF(C552&lt;&gt;"",C552,IF(P552&lt;=IFERROR(INDEX(tblChannels[Watched Through],MATCH(N552,tblChannels[Channel ID],0)),0),"Watched","Unwatched"))</f>
        <v/>
      </c>
      <c r="C552" s="40" t="n"/>
      <c r="D552" s="41" t="n"/>
      <c r="E552" s="42" t="n">
        <v>45541.62291666667</v>
      </c>
      <c r="F552" s="50" t="inlineStr">
        <is>
          <t>Super Carlin Brothers</t>
        </is>
      </c>
      <c r="G552" t="inlineStr">
        <is>
          <t>The Weasley’s WEALTH Explained | Harry Potter Film Theory</t>
        </is>
      </c>
      <c r="H552" s="44" t="n">
        <v>0.01009259259259259</v>
      </c>
      <c r="I552" s="45" t="n">
        <v>137849</v>
      </c>
      <c r="J552" s="45" t="n">
        <v>6569</v>
      </c>
      <c r="K552" s="45" t="n">
        <v>441</v>
      </c>
      <c r="L552" s="46" t="n"/>
      <c r="M552" s="47" t="n"/>
      <c r="N552" s="47" t="inlineStr">
        <is>
          <t>UCKZo4N0lVPccBkSiuyVh4yg</t>
        </is>
      </c>
      <c r="O552" s="48" t="n">
        <v>45541.78958333333</v>
      </c>
      <c r="P552" s="49" t="n">
        <v>45541</v>
      </c>
      <c r="Q552" s="47" t="n">
        <v>2716</v>
      </c>
      <c r="R552" s="47" t="inlineStr">
        <is>
          <t>No Video ID yet</t>
        </is>
      </c>
      <c r="S552" s="49" t="n"/>
      <c r="T552" s="49" t="n"/>
      <c r="U552" s="47" t="inlineStr">
        <is>
          <t>Today Ben dives into the Wizarding World to discuss the Weasley Family’s wealth and how they are actually much richer than you realize</t>
        </is>
      </c>
      <c r="V552" s="47">
        <f>IF(AND(P552&gt;=Calendar!$K$2,P552&lt;EDATE(Calendar!$K$2,1),OR(Calendar!$K$4="*",N552=Calendar!$K$4)),P552*100+COUNTIFS($P$6:$P$3267,P552,$Q$6:$Q$3267,"&lt;="&amp;Q552,$N$6:$N$3267,Calendar!$K$4),"")</f>
        <v/>
      </c>
      <c r="W552" s="47">
        <f>IF(AND(B552=Queue!$C$4,OR(Queue!$K$4="*",N552=Queue!$K$4)),Q552,"")</f>
        <v/>
      </c>
    </row>
    <row r="553">
      <c r="A553" s="38">
        <f>IF(M553="","",HYPERLINK("https://www.youtube.com/watch?v="&amp;M553,"▶"))</f>
        <v/>
      </c>
      <c r="B553" s="39">
        <f>IF(C553&lt;&gt;"",C553,IF(P553&lt;=IFERROR(INDEX(tblChannels[Watched Through],MATCH(N553,tblChannels[Channel ID],0)),0),"Watched","Unwatched"))</f>
        <v/>
      </c>
      <c r="C553" s="40" t="n"/>
      <c r="D553" s="41" t="n"/>
      <c r="E553" s="42" t="n">
        <v>45541.41666666666</v>
      </c>
      <c r="F553" s="43" t="inlineStr">
        <is>
          <t>Popcorn Culture</t>
        </is>
      </c>
      <c r="G553" t="inlineStr">
        <is>
          <t>The Beef with Gelato | Popcorn Culture</t>
        </is>
      </c>
      <c r="H553" s="44" t="n">
        <v>0.04944444444444444</v>
      </c>
      <c r="I553" s="45" t="n">
        <v>3318</v>
      </c>
      <c r="J553" s="45" t="n">
        <v>183</v>
      </c>
      <c r="K553" s="45" t="n">
        <v>28</v>
      </c>
      <c r="L553" s="46" t="n"/>
      <c r="M553" s="47" t="n"/>
      <c r="N553" s="47" t="inlineStr">
        <is>
          <t>UCHfIbq9thHPC8yrKjAdJgDA</t>
        </is>
      </c>
      <c r="O553" s="48" t="n">
        <v>45541.58333333334</v>
      </c>
      <c r="P553" s="49" t="n">
        <v>45541</v>
      </c>
      <c r="Q553" s="47" t="n">
        <v>2715</v>
      </c>
      <c r="R553" s="47" t="inlineStr">
        <is>
          <t>No Video ID yet</t>
        </is>
      </c>
      <c r="S553" s="49" t="n"/>
      <c r="T553" s="49" t="n"/>
      <c r="U553" s="47" t="inlineStr">
        <is>
          <t>In the 248th episode of the Pop, Ben and J discuss forgetting your pants, ice luges, junk journaling, TCG, board games, unconfirmed love languages, frozen desserts, poll results and echo chambers.</t>
        </is>
      </c>
      <c r="V553" s="47">
        <f>IF(AND(P553&gt;=Calendar!$K$2,P553&lt;EDATE(Calendar!$K$2,1),OR(Calendar!$K$4="*",N553=Calendar!$K$4)),P553*100+COUNTIFS($P$6:$P$3267,P553,$Q$6:$Q$3267,"&lt;="&amp;Q553,$N$6:$N$3267,Calendar!$K$4),"")</f>
        <v/>
      </c>
      <c r="W553" s="47">
        <f>IF(AND(B553=Queue!$C$4,OR(Queue!$K$4="*",N553=Queue!$K$4)),Q553,"")</f>
        <v/>
      </c>
    </row>
    <row r="554">
      <c r="A554" s="38">
        <f>IF(M554="","",HYPERLINK("https://www.youtube.com/watch?v="&amp;M554,"▶"))</f>
        <v/>
      </c>
      <c r="B554" s="39">
        <f>IF(C554&lt;&gt;"",C554,IF(P554&lt;=IFERROR(INDEX(tblChannels[Watched Through],MATCH(N554,tblChannels[Channel ID],0)),0),"Watched","Unwatched"))</f>
        <v/>
      </c>
      <c r="C554" s="40" t="n"/>
      <c r="D554" s="41" t="n"/>
      <c r="E554" s="42" t="n">
        <v>45539.68888888889</v>
      </c>
      <c r="F554" s="50" t="inlineStr">
        <is>
          <t>Super Carlin Brothers</t>
        </is>
      </c>
      <c r="G554" t="inlineStr">
        <is>
          <t>What If Ron Was In Hufflepuff - Chamber of Secrets | Harry Potter Film Theory</t>
        </is>
      </c>
      <c r="H554" s="44" t="n">
        <v>0.01732638888888889</v>
      </c>
      <c r="I554" s="45" t="n">
        <v>141451</v>
      </c>
      <c r="J554" s="45" t="n">
        <v>6139</v>
      </c>
      <c r="K554" s="45" t="n">
        <v>562</v>
      </c>
      <c r="L554" s="46" t="n"/>
      <c r="M554" s="47" t="n"/>
      <c r="N554" s="47" t="inlineStr">
        <is>
          <t>UCKZo4N0lVPccBkSiuyVh4yg</t>
        </is>
      </c>
      <c r="O554" s="48" t="n">
        <v>45539.85555555556</v>
      </c>
      <c r="P554" s="49" t="n">
        <v>45539</v>
      </c>
      <c r="Q554" s="47" t="n">
        <v>2714</v>
      </c>
      <c r="R554" s="47" t="inlineStr">
        <is>
          <t>No Video ID yet</t>
        </is>
      </c>
      <c r="S554" s="49" t="n"/>
      <c r="T554" s="49" t="n"/>
      <c r="U554" s="47" t="inlineStr">
        <is>
          <t>Today Ben dives back into the Wizarding World of Harry Potter to find out what happens in year 2 at Hogwarts if Ron Weasely was sorted into Hufflepuff instead of Gryffindor. Do he and Harry still fly the car? How does he handle Justin Finch Fletchly (aka JFF aka JeFF) getting attacks? Do they both save Ginny from the Chamber? FIND OUT TODAY!</t>
        </is>
      </c>
      <c r="V554" s="47">
        <f>IF(AND(P554&gt;=Calendar!$K$2,P554&lt;EDATE(Calendar!$K$2,1),OR(Calendar!$K$4="*",N554=Calendar!$K$4)),P554*100+COUNTIFS($P$6:$P$3267,P554,$Q$6:$Q$3267,"&lt;="&amp;Q554,$N$6:$N$3267,Calendar!$K$4),"")</f>
        <v/>
      </c>
      <c r="W554" s="47">
        <f>IF(AND(B554=Queue!$C$4,OR(Queue!$K$4="*",N554=Queue!$K$4)),Q554,"")</f>
        <v/>
      </c>
    </row>
    <row r="555">
      <c r="A555" s="38">
        <f>IF(M555="","",HYPERLINK("https://www.youtube.com/watch?v="&amp;M555,"▶"))</f>
        <v/>
      </c>
      <c r="B555" s="39">
        <f>IF(C555&lt;&gt;"",C555,IF(P555&lt;=IFERROR(INDEX(tblChannels[Watched Through],MATCH(N555,tblChannels[Channel ID],0)),0),"Watched","Unwatched"))</f>
        <v/>
      </c>
      <c r="C555" s="40" t="n"/>
      <c r="D555" s="41" t="n"/>
      <c r="E555" s="42" t="n">
        <v>45536.41666666666</v>
      </c>
      <c r="F555" s="51" t="inlineStr">
        <is>
          <t>Through The Griffin Door</t>
        </is>
      </c>
      <c r="G555" t="inlineStr">
        <is>
          <t>Chapter 13: Gryffindor Versus Ravenclaw | Prisoner of Azkaban</t>
        </is>
      </c>
      <c r="H555" s="44" t="n">
        <v>0.07377314814814814</v>
      </c>
      <c r="I555" s="45" t="n">
        <v>71101</v>
      </c>
      <c r="J555" s="45" t="n">
        <v>1873</v>
      </c>
      <c r="K555" s="45" t="n">
        <v>781</v>
      </c>
      <c r="L555" s="46" t="n"/>
      <c r="M555" s="47" t="n"/>
      <c r="N555" s="47" t="inlineStr">
        <is>
          <t>UCEscP6ETYXWSSvsNrDHekMQ</t>
        </is>
      </c>
      <c r="O555" s="48" t="n">
        <v>45536.58333333334</v>
      </c>
      <c r="P555" s="49" t="n">
        <v>45536</v>
      </c>
      <c r="Q555" s="47" t="n">
        <v>2713</v>
      </c>
      <c r="R555" s="47" t="inlineStr">
        <is>
          <t>No Video ID yet</t>
        </is>
      </c>
      <c r="S555" s="49" t="n"/>
      <c r="T555" s="49" t="n"/>
      <c r="U555" s="47" t="inlineStr">
        <is>
          <t>Check out Rocket Money: rocketmoney.com/GRIFFIN Join J and Ben as they dive into Chapter 13 of the Prisoner of Azkaban and discuss Hermione and Ron’s relationship, flying on the Firebolt, Wampus Cats, Harry spotting Sirius in the bushes, betting, the match, Malfoy’s prank, and Sirius’s break in 11:17 - Chapter Breakdown 1:27:05 - Closing Thoughts and Review</t>
        </is>
      </c>
      <c r="V555" s="47">
        <f>IF(AND(P555&gt;=Calendar!$K$2,P555&lt;EDATE(Calendar!$K$2,1),OR(Calendar!$K$4="*",N555=Calendar!$K$4)),P555*100+COUNTIFS($P$6:$P$3267,P555,$Q$6:$Q$3267,"&lt;="&amp;Q555,$N$6:$N$3267,Calendar!$K$4),"")</f>
        <v/>
      </c>
      <c r="W555" s="47">
        <f>IF(AND(B555=Queue!$C$4,OR(Queue!$K$4="*",N555=Queue!$K$4)),Q555,"")</f>
        <v/>
      </c>
    </row>
    <row r="556">
      <c r="A556" s="38">
        <f>IF(M556="","",HYPERLINK("https://www.youtube.com/watch?v="&amp;M556,"▶"))</f>
        <v/>
      </c>
      <c r="B556" s="39">
        <f>IF(C556&lt;&gt;"",C556,IF(P556&lt;=IFERROR(INDEX(tblChannels[Watched Through],MATCH(N556,tblChannels[Channel ID],0)),0),"Watched","Unwatched"))</f>
        <v/>
      </c>
      <c r="C556" s="40" t="n"/>
      <c r="D556" s="41" t="n"/>
      <c r="E556" s="42" t="n">
        <v>45535.41666666666</v>
      </c>
      <c r="F556" s="50" t="inlineStr">
        <is>
          <t>Super Carlin Brothers</t>
        </is>
      </c>
      <c r="G556" t="inlineStr">
        <is>
          <t>Through the Griffin Door Supercut: Prisoner of Azkaban Chapters 10-12</t>
        </is>
      </c>
      <c r="H556" s="44" t="n">
        <v>0.2281481481481482</v>
      </c>
      <c r="I556" s="45" t="n">
        <v>32599</v>
      </c>
      <c r="J556" s="45" t="n">
        <v>494</v>
      </c>
      <c r="K556" s="45" t="n">
        <v>134</v>
      </c>
      <c r="L556" s="46" t="n"/>
      <c r="M556" s="47" t="n"/>
      <c r="N556" s="47" t="inlineStr">
        <is>
          <t>UCKZo4N0lVPccBkSiuyVh4yg</t>
        </is>
      </c>
      <c r="O556" s="48" t="n">
        <v>45535.58333333334</v>
      </c>
      <c r="P556" s="49" t="n">
        <v>45535</v>
      </c>
      <c r="Q556" s="47" t="n">
        <v>2712</v>
      </c>
      <c r="R556" s="47" t="inlineStr">
        <is>
          <t>No Video ID yet</t>
        </is>
      </c>
      <c r="S556" s="49" t="n"/>
      <c r="T556" s="49" t="n"/>
      <c r="U556" s="47" t="inlineStr">
        <is>
          <t>00:00:00 - Chapter 10: The Marauder's Map 02:02:35 - Chapter 11: The Firebolt 03:53:57 - Chapter 12: The Patronus</t>
        </is>
      </c>
      <c r="V556" s="47">
        <f>IF(AND(P556&gt;=Calendar!$K$2,P556&lt;EDATE(Calendar!$K$2,1),OR(Calendar!$K$4="*",N556=Calendar!$K$4)),P556*100+COUNTIFS($P$6:$P$3267,P556,$Q$6:$Q$3267,"&lt;="&amp;Q556,$N$6:$N$3267,Calendar!$K$4),"")</f>
        <v/>
      </c>
      <c r="W556" s="47">
        <f>IF(AND(B556=Queue!$C$4,OR(Queue!$K$4="*",N556=Queue!$K$4)),Q556,"")</f>
        <v/>
      </c>
    </row>
    <row r="557">
      <c r="A557" s="38">
        <f>IF(M557="","",HYPERLINK("https://www.youtube.com/watch?v="&amp;M557,"▶"))</f>
        <v/>
      </c>
      <c r="B557" s="39">
        <f>IF(C557&lt;&gt;"",C557,IF(P557&lt;=IFERROR(INDEX(tblChannels[Watched Through],MATCH(N557,tblChannels[Channel ID],0)),0),"Watched","Unwatched"))</f>
        <v/>
      </c>
      <c r="C557" s="40" t="n"/>
      <c r="D557" s="41" t="n"/>
      <c r="E557" s="42" t="n">
        <v>45534.66666666666</v>
      </c>
      <c r="F557" s="50" t="inlineStr">
        <is>
          <t>Super Carlin Brothers</t>
        </is>
      </c>
      <c r="G557" t="inlineStr">
        <is>
          <t>What If Ron Was In Hufflepuff | Harry Potter Film Theory</t>
        </is>
      </c>
      <c r="H557" s="44" t="n">
        <v>0.01373842592592593</v>
      </c>
      <c r="I557" s="45" t="n">
        <v>183549</v>
      </c>
      <c r="J557" s="45" t="n">
        <v>8135</v>
      </c>
      <c r="K557" s="45" t="n">
        <v>867</v>
      </c>
      <c r="L557" s="46" t="n"/>
      <c r="M557" s="47" t="n"/>
      <c r="N557" s="47" t="inlineStr">
        <is>
          <t>UCKZo4N0lVPccBkSiuyVh4yg</t>
        </is>
      </c>
      <c r="O557" s="48" t="n">
        <v>45534.83333333334</v>
      </c>
      <c r="P557" s="49" t="n">
        <v>45534</v>
      </c>
      <c r="Q557" s="47" t="n">
        <v>2711</v>
      </c>
      <c r="R557" s="47" t="inlineStr">
        <is>
          <t>No Video ID yet</t>
        </is>
      </c>
      <c r="S557" s="49" t="n"/>
      <c r="T557" s="49" t="n"/>
      <c r="U557" s="47" t="inlineStr">
        <is>
          <t>Today Ben dives into the Wizarding World of Harry Potter to answer an age old question: What if Ron Was in Hufflepuff? What would need to play out for Ron to make this decision? Will Harry make it through year 1 without Ron’s expertise? Or does it all come down to a decision by Dumbledore years earlier.. the night Harry’s parents were attacked by Voldemort. Join us as we explore… WHAT IF?</t>
        </is>
      </c>
      <c r="V557" s="47">
        <f>IF(AND(P557&gt;=Calendar!$K$2,P557&lt;EDATE(Calendar!$K$2,1),OR(Calendar!$K$4="*",N557=Calendar!$K$4)),P557*100+COUNTIFS($P$6:$P$3267,P557,$Q$6:$Q$3267,"&lt;="&amp;Q557,$N$6:$N$3267,Calendar!$K$4),"")</f>
        <v/>
      </c>
      <c r="W557" s="47">
        <f>IF(AND(B557=Queue!$C$4,OR(Queue!$K$4="*",N557=Queue!$K$4)),Q557,"")</f>
        <v/>
      </c>
    </row>
    <row r="558">
      <c r="A558" s="38">
        <f>IF(M558="","",HYPERLINK("https://www.youtube.com/watch?v="&amp;M558,"▶"))</f>
        <v/>
      </c>
      <c r="B558" s="39">
        <f>IF(C558&lt;&gt;"",C558,IF(P558&lt;=IFERROR(INDEX(tblChannels[Watched Through],MATCH(N558,tblChannels[Channel ID],0)),0),"Watched","Unwatched"))</f>
        <v/>
      </c>
      <c r="C558" s="40" t="n"/>
      <c r="D558" s="41" t="n"/>
      <c r="E558" s="42" t="n">
        <v>45534.41666666666</v>
      </c>
      <c r="F558" s="43" t="inlineStr">
        <is>
          <t>Popcorn Culture</t>
        </is>
      </c>
      <c r="G558" t="inlineStr">
        <is>
          <t>Weird and Lumpy | Popcorn Culture</t>
        </is>
      </c>
      <c r="H558" s="44" t="n">
        <v>0.05474537037037037</v>
      </c>
      <c r="I558" s="45" t="n">
        <v>3895</v>
      </c>
      <c r="J558" s="45" t="n">
        <v>188</v>
      </c>
      <c r="K558" s="45" t="n">
        <v>54</v>
      </c>
      <c r="L558" s="46" t="n"/>
      <c r="M558" s="47" t="n"/>
      <c r="N558" s="47" t="inlineStr">
        <is>
          <t>UCHfIbq9thHPC8yrKjAdJgDA</t>
        </is>
      </c>
      <c r="O558" s="48" t="n">
        <v>45534.58333333334</v>
      </c>
      <c r="P558" s="49" t="n">
        <v>45534</v>
      </c>
      <c r="Q558" s="47" t="n">
        <v>2710</v>
      </c>
      <c r="R558" s="47" t="inlineStr">
        <is>
          <t>No Video ID yet</t>
        </is>
      </c>
      <c r="S558" s="49" t="n"/>
      <c r="T558" s="49" t="n"/>
      <c r="U558" s="47" t="inlineStr">
        <is>
          <t>In the 247th episode of the Pop, Ben and J discuss Addy’s first day of preschool, Ben’s psych assessment, April O’Neil, Power Rangers, appropriate time to arrive at a party, Myspace top 8, movie theater popcorn, s’mores, and slingshots. VOTE IN THE POLL BEFORE CLICKING ANY OF THESE LINKS - April O’Neil - Teenage Mutant Ninja Turtles - Mighty Morphin Power Rangers - Never Back Down - Fast and Furious Tokyo Drift - Materials used for the homemade movie theater popcorn - Incredibles 2 - The Emoji Movie - Boss Baby - A Misty Morning Ooze is a Great Ninja Turtles Word 00:00 - Intro, Hostmanship 01:53 - Misty Morning 23:41 - TMNT 39:16 - Party Arrivals 55:14 - How Movie Theater Popcorn is Made</t>
        </is>
      </c>
      <c r="V558" s="47">
        <f>IF(AND(P558&gt;=Calendar!$K$2,P558&lt;EDATE(Calendar!$K$2,1),OR(Calendar!$K$4="*",N558=Calendar!$K$4)),P558*100+COUNTIFS($P$6:$P$3267,P558,$Q$6:$Q$3267,"&lt;="&amp;Q558,$N$6:$N$3267,Calendar!$K$4),"")</f>
        <v/>
      </c>
      <c r="W558" s="47">
        <f>IF(AND(B558=Queue!$C$4,OR(Queue!$K$4="*",N558=Queue!$K$4)),Q558,"")</f>
        <v/>
      </c>
    </row>
    <row r="559">
      <c r="A559" s="38">
        <f>IF(M559="","",HYPERLINK("https://www.youtube.com/watch?v="&amp;M559,"▶"))</f>
        <v/>
      </c>
      <c r="B559" s="39">
        <f>IF(C559&lt;&gt;"",C559,IF(P559&lt;=IFERROR(INDEX(tblChannels[Watched Through],MATCH(N559,tblChannels[Channel ID],0)),0),"Watched","Unwatched"))</f>
        <v/>
      </c>
      <c r="C559" s="40" t="n"/>
      <c r="D559" s="41" t="n"/>
      <c r="E559" s="42" t="n">
        <v>45532.71805555555</v>
      </c>
      <c r="F559" s="50" t="inlineStr">
        <is>
          <t>Super Carlin Brothers</t>
        </is>
      </c>
      <c r="G559" t="inlineStr">
        <is>
          <t>J vs Ben: A SIRIUSLY Difficult Sirius Black Harry Potter TRIVIA Quiz</t>
        </is>
      </c>
      <c r="H559" s="44" t="n">
        <v>0.02350694444444444</v>
      </c>
      <c r="I559" s="45" t="n">
        <v>137206</v>
      </c>
      <c r="J559" s="45" t="n">
        <v>5157</v>
      </c>
      <c r="K559" s="45" t="n">
        <v>628</v>
      </c>
      <c r="L559" s="46" t="n"/>
      <c r="M559" s="47" t="n"/>
      <c r="N559" s="47" t="inlineStr">
        <is>
          <t>UCKZo4N0lVPccBkSiuyVh4yg</t>
        </is>
      </c>
      <c r="O559" s="48" t="n">
        <v>45532.88472222222</v>
      </c>
      <c r="P559" s="49" t="n">
        <v>45532</v>
      </c>
      <c r="Q559" s="47" t="n">
        <v>2709</v>
      </c>
      <c r="R559" s="47" t="inlineStr">
        <is>
          <t>No Video ID yet</t>
        </is>
      </c>
      <c r="S559" s="49" t="n"/>
      <c r="T559" s="49" t="n"/>
      <c r="U559" s="47" t="inlineStr">
        <is>
          <t>Go to and use code JVSB to get 20% off and free shipping Today J and Ben face off once more to find out who knows more about Harry Potter’s Godfather: Sirius Black! What are his aliases? Where did he first encounter Harry? HOW LONG WAS HE IN AZKABAN?!</t>
        </is>
      </c>
      <c r="V559" s="47">
        <f>IF(AND(P559&gt;=Calendar!$K$2,P559&lt;EDATE(Calendar!$K$2,1),OR(Calendar!$K$4="*",N559=Calendar!$K$4)),P559*100+COUNTIFS($P$6:$P$3267,P559,$Q$6:$Q$3267,"&lt;="&amp;Q559,$N$6:$N$3267,Calendar!$K$4),"")</f>
        <v/>
      </c>
      <c r="W559" s="47">
        <f>IF(AND(B559=Queue!$C$4,OR(Queue!$K$4="*",N559=Queue!$K$4)),Q559,"")</f>
        <v/>
      </c>
    </row>
    <row r="560">
      <c r="A560" s="38">
        <f>IF(M560="","",HYPERLINK("https://www.youtube.com/watch?v="&amp;M560,"▶"))</f>
        <v/>
      </c>
      <c r="B560" s="39">
        <f>IF(C560&lt;&gt;"",C560,IF(P560&lt;=IFERROR(INDEX(tblChannels[Watched Through],MATCH(N560,tblChannels[Channel ID],0)),0),"Watched","Unwatched"))</f>
        <v/>
      </c>
      <c r="C560" s="40" t="n"/>
      <c r="D560" s="41" t="n"/>
      <c r="E560" s="42" t="n">
        <v>45531.65069444444</v>
      </c>
      <c r="F560" s="50" t="inlineStr">
        <is>
          <t>Super Carlin Brothers</t>
        </is>
      </c>
      <c r="G560" t="inlineStr">
        <is>
          <t>Lucius Tells Voldemort About the Diary #hogwarts #harrypotter #shorts #voldemort</t>
        </is>
      </c>
      <c r="H560" s="44" t="n">
        <v>0.0006944444444444445</v>
      </c>
      <c r="I560" s="45" t="n">
        <v>261890</v>
      </c>
      <c r="J560" s="45" t="n">
        <v>15505</v>
      </c>
      <c r="K560" s="45" t="n">
        <v>251</v>
      </c>
      <c r="L560" s="46" t="n"/>
      <c r="M560" s="47" t="n"/>
      <c r="N560" s="47" t="inlineStr">
        <is>
          <t>UCKZo4N0lVPccBkSiuyVh4yg</t>
        </is>
      </c>
      <c r="O560" s="48" t="n">
        <v>45531.81736111111</v>
      </c>
      <c r="P560" s="49" t="n">
        <v>45531</v>
      </c>
      <c r="Q560" s="47" t="n">
        <v>2708</v>
      </c>
      <c r="R560" s="47" t="inlineStr">
        <is>
          <t>No Video ID yet</t>
        </is>
      </c>
      <c r="S560" s="49" t="n"/>
      <c r="T560" s="49" t="n"/>
      <c r="U560" s="47" t="n"/>
      <c r="V560" s="47">
        <f>IF(AND(P560&gt;=Calendar!$K$2,P560&lt;EDATE(Calendar!$K$2,1),OR(Calendar!$K$4="*",N560=Calendar!$K$4)),P560*100+COUNTIFS($P$6:$P$3267,P560,$Q$6:$Q$3267,"&lt;="&amp;Q560,$N$6:$N$3267,Calendar!$K$4),"")</f>
        <v/>
      </c>
      <c r="W560" s="47">
        <f>IF(AND(B560=Queue!$C$4,OR(Queue!$K$4="*",N560=Queue!$K$4)),Q560,"")</f>
        <v/>
      </c>
    </row>
    <row r="561">
      <c r="A561" s="38">
        <f>IF(M561="","",HYPERLINK("https://www.youtube.com/watch?v="&amp;M561,"▶"))</f>
        <v/>
      </c>
      <c r="B561" s="39">
        <f>IF(C561&lt;&gt;"",C561,IF(P561&lt;=IFERROR(INDEX(tblChannels[Watched Through],MATCH(N561,tblChannels[Channel ID],0)),0),"Watched","Unwatched"))</f>
        <v/>
      </c>
      <c r="C561" s="40" t="n"/>
      <c r="D561" s="41" t="n"/>
      <c r="E561" s="42" t="n">
        <v>45529.41666666666</v>
      </c>
      <c r="F561" s="51" t="inlineStr">
        <is>
          <t>Through The Griffin Door</t>
        </is>
      </c>
      <c r="G561" t="inlineStr">
        <is>
          <t>Chapter 12: The Patronus | Prisoner of Azkaban</t>
        </is>
      </c>
      <c r="H561" s="44" t="n">
        <v>0.06568287037037036</v>
      </c>
      <c r="I561" s="45" t="n">
        <v>71736</v>
      </c>
      <c r="J561" s="45" t="n">
        <v>1840</v>
      </c>
      <c r="K561" s="45" t="n">
        <v>573</v>
      </c>
      <c r="L561" s="46" t="n"/>
      <c r="M561" s="47" t="n"/>
      <c r="N561" s="47" t="inlineStr">
        <is>
          <t>UCEscP6ETYXWSSvsNrDHekMQ</t>
        </is>
      </c>
      <c r="O561" s="48" t="n">
        <v>45529.58333333334</v>
      </c>
      <c r="P561" s="49" t="n">
        <v>45529</v>
      </c>
      <c r="Q561" s="47" t="n">
        <v>2707</v>
      </c>
      <c r="R561" s="47" t="inlineStr">
        <is>
          <t>No Video ID yet</t>
        </is>
      </c>
      <c r="S561" s="49" t="n"/>
      <c r="T561" s="49" t="n"/>
      <c r="U561" s="47" t="inlineStr">
        <is>
          <t>Join J and Ben as they dive into Chapter 12 of the Prisoner of Azkaban and discuss Harry missing the Firebolt, Oliver Wood’s villany, Sirius getting the broom, Fire Salamanders, the Patronus lesson, James and Lupins’ friendship, Harry’s understanding of death, The Dementor’s Kiss, and the trio ALMOST making up. Soul - 05:05 - Chapter Breakdown 1:20:27 - Closing Thoughts and Review</t>
        </is>
      </c>
      <c r="V561" s="47">
        <f>IF(AND(P561&gt;=Calendar!$K$2,P561&lt;EDATE(Calendar!$K$2,1),OR(Calendar!$K$4="*",N561=Calendar!$K$4)),P561*100+COUNTIFS($P$6:$P$3267,P561,$Q$6:$Q$3267,"&lt;="&amp;Q561,$N$6:$N$3267,Calendar!$K$4),"")</f>
        <v/>
      </c>
      <c r="W561" s="47">
        <f>IF(AND(B561=Queue!$C$4,OR(Queue!$K$4="*",N561=Queue!$K$4)),Q561,"")</f>
        <v/>
      </c>
    </row>
    <row r="562">
      <c r="A562" s="38">
        <f>IF(M562="","",HYPERLINK("https://www.youtube.com/watch?v="&amp;M562,"▶"))</f>
        <v/>
      </c>
      <c r="B562" s="39">
        <f>IF(C562&lt;&gt;"",C562,IF(P562&lt;=IFERROR(INDEX(tblChannels[Watched Through],MATCH(N562,tblChannels[Channel ID],0)),0),"Watched","Unwatched"))</f>
        <v/>
      </c>
      <c r="C562" s="40" t="n"/>
      <c r="D562" s="41" t="n"/>
      <c r="E562" s="42" t="n">
        <v>45527.69305555556</v>
      </c>
      <c r="F562" s="50" t="inlineStr">
        <is>
          <t>Super Carlin Brothers</t>
        </is>
      </c>
      <c r="G562" t="inlineStr">
        <is>
          <t>A SCATHING Review of Oliver Wood | Harry Potter Film Theory</t>
        </is>
      </c>
      <c r="H562" s="44" t="n">
        <v>0.01104166666666667</v>
      </c>
      <c r="I562" s="45" t="n">
        <v>141162</v>
      </c>
      <c r="J562" s="45" t="n">
        <v>6527</v>
      </c>
      <c r="K562" s="45" t="n">
        <v>710</v>
      </c>
      <c r="L562" s="46" t="n"/>
      <c r="M562" s="47" t="n"/>
      <c r="N562" s="47" t="inlineStr">
        <is>
          <t>UCKZo4N0lVPccBkSiuyVh4yg</t>
        </is>
      </c>
      <c r="O562" s="48" t="n">
        <v>45527.85972222222</v>
      </c>
      <c r="P562" s="49" t="n">
        <v>45527</v>
      </c>
      <c r="Q562" s="47" t="n">
        <v>2706</v>
      </c>
      <c r="R562" s="47" t="inlineStr">
        <is>
          <t>No Video ID yet</t>
        </is>
      </c>
      <c r="S562" s="49" t="n"/>
      <c r="T562" s="49" t="n"/>
      <c r="U562" s="47" t="inlineStr">
        <is>
          <t>Today J deep dives the famous or now INFAMOUS Gryffindor Quidditch Captain Oliver Wood and reveals his toxic competitiveness, poor captaining choices and sub-par keeping skills - WELCOME TO THE HOT SEAT OLIVER WOOD! PREPARE FOR A SCATHING REVIEW</t>
        </is>
      </c>
      <c r="V562" s="47">
        <f>IF(AND(P562&gt;=Calendar!$K$2,P562&lt;EDATE(Calendar!$K$2,1),OR(Calendar!$K$4="*",N562=Calendar!$K$4)),P562*100+COUNTIFS($P$6:$P$3267,P562,$Q$6:$Q$3267,"&lt;="&amp;Q562,$N$6:$N$3267,Calendar!$K$4),"")</f>
        <v/>
      </c>
      <c r="W562" s="47">
        <f>IF(AND(B562=Queue!$C$4,OR(Queue!$K$4="*",N562=Queue!$K$4)),Q562,"")</f>
        <v/>
      </c>
    </row>
    <row r="563">
      <c r="A563" s="38">
        <f>IF(M563="","",HYPERLINK("https://www.youtube.com/watch?v="&amp;M563,"▶"))</f>
        <v/>
      </c>
      <c r="B563" s="39">
        <f>IF(C563&lt;&gt;"",C563,IF(P563&lt;=IFERROR(INDEX(tblChannels[Watched Through],MATCH(N563,tblChannels[Channel ID],0)),0),"Watched","Unwatched"))</f>
        <v/>
      </c>
      <c r="C563" s="40" t="n"/>
      <c r="D563" s="41" t="n"/>
      <c r="E563" s="42" t="n">
        <v>45527.41666666666</v>
      </c>
      <c r="F563" s="43" t="inlineStr">
        <is>
          <t>Popcorn Culture</t>
        </is>
      </c>
      <c r="G563" t="inlineStr">
        <is>
          <t>Ben Joins a Cult | Popcorn Culture</t>
        </is>
      </c>
      <c r="H563" s="44" t="n">
        <v>0.04918981481481482</v>
      </c>
      <c r="I563" s="45" t="n">
        <v>4345</v>
      </c>
      <c r="J563" s="45" t="n">
        <v>208</v>
      </c>
      <c r="K563" s="45" t="n">
        <v>31</v>
      </c>
      <c r="L563" s="46" t="n"/>
      <c r="M563" s="47" t="n"/>
      <c r="N563" s="47" t="inlineStr">
        <is>
          <t>UCHfIbq9thHPC8yrKjAdJgDA</t>
        </is>
      </c>
      <c r="O563" s="48" t="n">
        <v>45527.58333333334</v>
      </c>
      <c r="P563" s="49" t="n">
        <v>45527</v>
      </c>
      <c r="Q563" s="47" t="n">
        <v>2705</v>
      </c>
      <c r="R563" s="47" t="inlineStr">
        <is>
          <t>No Video ID yet</t>
        </is>
      </c>
      <c r="S563" s="49" t="n"/>
      <c r="T563" s="49" t="n"/>
      <c r="U563" s="47" t="inlineStr">
        <is>
          <t>In the 246th episode of the Pop, Ben and J discuss facial expressions, jumping pics, olympics showmanship, surprisingly nerdy famous people, hypnosis, The Carousel of Progress, self-actualization, and fruit cakes. Noah Lyles - The Prestige - Exodia the Forbidden One - New Earth by Eckhart Tolle - Carousel of Progress - The Quest! 00:00 - Cold Open, Intro, Thumbnailingtons 24:34 - Hypnosis</t>
        </is>
      </c>
      <c r="V563" s="47">
        <f>IF(AND(P563&gt;=Calendar!$K$2,P563&lt;EDATE(Calendar!$K$2,1),OR(Calendar!$K$4="*",N563=Calendar!$K$4)),P563*100+COUNTIFS($P$6:$P$3267,P563,$Q$6:$Q$3267,"&lt;="&amp;Q563,$N$6:$N$3267,Calendar!$K$4),"")</f>
        <v/>
      </c>
      <c r="W563" s="47">
        <f>IF(AND(B563=Queue!$C$4,OR(Queue!$K$4="*",N563=Queue!$K$4)),Q563,"")</f>
        <v/>
      </c>
    </row>
    <row r="564">
      <c r="A564" s="38">
        <f>IF(M564="","",HYPERLINK("https://www.youtube.com/watch?v="&amp;M564,"▶"))</f>
        <v/>
      </c>
      <c r="B564" s="39">
        <f>IF(C564&lt;&gt;"",C564,IF(P564&lt;=IFERROR(INDEX(tblChannels[Watched Through],MATCH(N564,tblChannels[Channel ID],0)),0),"Watched","Unwatched"))</f>
        <v/>
      </c>
      <c r="C564" s="40" t="n"/>
      <c r="D564" s="41" t="n"/>
      <c r="E564" s="42" t="n">
        <v>45526.39027777778</v>
      </c>
      <c r="F564" s="50" t="inlineStr">
        <is>
          <t>Super Carlin Brothers</t>
        </is>
      </c>
      <c r="G564" t="inlineStr">
        <is>
          <t>Voldemort’s SECRET Final Horcrux | Harry Potter Film Theory</t>
        </is>
      </c>
      <c r="H564" s="44" t="n">
        <v>0.01074074074074074</v>
      </c>
      <c r="I564" s="45" t="n">
        <v>162047</v>
      </c>
      <c r="J564" s="45" t="n">
        <v>7174</v>
      </c>
      <c r="K564" s="45" t="n">
        <v>755</v>
      </c>
      <c r="L564" s="46" t="n"/>
      <c r="M564" s="47" t="n"/>
      <c r="N564" s="47" t="inlineStr">
        <is>
          <t>UCKZo4N0lVPccBkSiuyVh4yg</t>
        </is>
      </c>
      <c r="O564" s="48" t="n">
        <v>45526.55694444444</v>
      </c>
      <c r="P564" s="49" t="n">
        <v>45526</v>
      </c>
      <c r="Q564" s="47" t="n">
        <v>2704</v>
      </c>
      <c r="R564" s="47" t="inlineStr">
        <is>
          <t>No Video ID yet</t>
        </is>
      </c>
      <c r="S564" s="49" t="n"/>
      <c r="T564" s="49" t="n"/>
      <c r="U564" s="47" t="inlineStr">
        <is>
          <t>Today J does some Horcrux Math and realizes that Voldemort SHOULD have been trying to make another Horcrux… or maybe he actually did? What could it have been and how could Harry have destroyed it!?</t>
        </is>
      </c>
      <c r="V564" s="47">
        <f>IF(AND(P564&gt;=Calendar!$K$2,P564&lt;EDATE(Calendar!$K$2,1),OR(Calendar!$K$4="*",N564=Calendar!$K$4)),P564*100+COUNTIFS($P$6:$P$3267,P564,$Q$6:$Q$3267,"&lt;="&amp;Q564,$N$6:$N$3267,Calendar!$K$4),"")</f>
        <v/>
      </c>
      <c r="W564" s="47">
        <f>IF(AND(B564=Queue!$C$4,OR(Queue!$K$4="*",N564=Queue!$K$4)),Q564,"")</f>
        <v/>
      </c>
    </row>
    <row r="565">
      <c r="A565" s="38">
        <f>IF(M565="","",HYPERLINK("https://www.youtube.com/watch?v="&amp;M565,"▶"))</f>
        <v/>
      </c>
      <c r="B565" s="39">
        <f>IF(C565&lt;&gt;"",C565,IF(P565&lt;=IFERROR(INDEX(tblChannels[Watched Through],MATCH(N565,tblChannels[Channel ID],0)),0),"Watched","Unwatched"))</f>
        <v/>
      </c>
      <c r="C565" s="40" t="n"/>
      <c r="D565" s="41" t="n"/>
      <c r="E565" s="42" t="n">
        <v>45522.41666666666</v>
      </c>
      <c r="F565" s="51" t="inlineStr">
        <is>
          <t>Through The Griffin Door</t>
        </is>
      </c>
      <c r="G565" t="inlineStr">
        <is>
          <t>Chapter 11: The Firebolt | Prisoner of Azkaban</t>
        </is>
      </c>
      <c r="H565" s="44" t="n">
        <v>0.07744212962962962</v>
      </c>
      <c r="I565" s="45" t="n">
        <v>67112</v>
      </c>
      <c r="J565" s="45" t="n">
        <v>1949</v>
      </c>
      <c r="K565" s="45" t="n">
        <v>681</v>
      </c>
      <c r="L565" s="46" t="n"/>
      <c r="M565" s="47" t="n"/>
      <c r="N565" s="47" t="inlineStr">
        <is>
          <t>UCEscP6ETYXWSSvsNrDHekMQ</t>
        </is>
      </c>
      <c r="O565" s="48" t="n">
        <v>45522.58333333334</v>
      </c>
      <c r="P565" s="49" t="n">
        <v>45522</v>
      </c>
      <c r="Q565" s="47" t="n">
        <v>2703</v>
      </c>
      <c r="R565" s="47" t="inlineStr">
        <is>
          <t>No Video ID yet</t>
        </is>
      </c>
      <c r="S565" s="49" t="n"/>
      <c r="T565" s="49" t="n"/>
      <c r="U565" s="47" t="inlineStr">
        <is>
          <t>Join J and Ben as they dive into Chapter 11 of the Prisoner of Azkaban and discuss Lily’s maid of honor, the Marauders = Trio parallel, Harry’s anger, visiting Hagrid, Christmas presents, the Christmas meal, and McGonagall taking the Firebolt. Why Luna Is Actually Snape - 06:40 - Chapter Breakdown 1:37:28 - Closing Thoughts and Review</t>
        </is>
      </c>
      <c r="V565" s="47">
        <f>IF(AND(P565&gt;=Calendar!$K$2,P565&lt;EDATE(Calendar!$K$2,1),OR(Calendar!$K$4="*",N565=Calendar!$K$4)),P565*100+COUNTIFS($P$6:$P$3267,P565,$Q$6:$Q$3267,"&lt;="&amp;Q565,$N$6:$N$3267,Calendar!$K$4),"")</f>
        <v/>
      </c>
      <c r="W565" s="47">
        <f>IF(AND(B565=Queue!$C$4,OR(Queue!$K$4="*",N565=Queue!$K$4)),Q565,"")</f>
        <v/>
      </c>
    </row>
    <row r="566">
      <c r="A566" s="38">
        <f>IF(M566="","",HYPERLINK("https://www.youtube.com/watch?v="&amp;M566,"▶"))</f>
        <v/>
      </c>
      <c r="B566" s="39">
        <f>IF(C566&lt;&gt;"",C566,IF(P566&lt;=IFERROR(INDEX(tblChannels[Watched Through],MATCH(N566,tblChannels[Channel ID],0)),0),"Watched","Unwatched"))</f>
        <v/>
      </c>
      <c r="C566" s="40" t="n"/>
      <c r="D566" s="41" t="n"/>
      <c r="E566" s="42" t="n">
        <v>45521.21597222222</v>
      </c>
      <c r="F566" s="52" t="inlineStr">
        <is>
          <t>Super Carlin Gaming</t>
        </is>
      </c>
      <c r="G566" t="inlineStr">
        <is>
          <t>Pokemon Box Breakers LIVE! August 16, 2024</t>
        </is>
      </c>
      <c r="H566" s="44" t="n">
        <v>0.1219444444444444</v>
      </c>
      <c r="I566" s="45" t="n">
        <v>1770</v>
      </c>
      <c r="J566" s="45" t="n">
        <v>78</v>
      </c>
      <c r="K566" s="45" t="n">
        <v>0</v>
      </c>
      <c r="L566" s="46" t="n"/>
      <c r="M566" s="47" t="n"/>
      <c r="N566" s="47" t="inlineStr">
        <is>
          <t>UCor_9jRnNNZVzTuQ92PKsaQ</t>
        </is>
      </c>
      <c r="O566" s="48" t="n">
        <v>45521.38263888889</v>
      </c>
      <c r="P566" s="49" t="n">
        <v>45521</v>
      </c>
      <c r="Q566" s="47" t="n">
        <v>2702</v>
      </c>
      <c r="R566" s="47" t="inlineStr">
        <is>
          <t>No Video ID yet</t>
        </is>
      </c>
      <c r="S566" s="49" t="n"/>
      <c r="T566" s="49" t="n"/>
      <c r="U566" s="47" t="n"/>
      <c r="V566" s="47">
        <f>IF(AND(P566&gt;=Calendar!$K$2,P566&lt;EDATE(Calendar!$K$2,1),OR(Calendar!$K$4="*",N566=Calendar!$K$4)),P566*100+COUNTIFS($P$6:$P$3267,P566,$Q$6:$Q$3267,"&lt;="&amp;Q566,$N$6:$N$3267,Calendar!$K$4),"")</f>
        <v/>
      </c>
      <c r="W566" s="47">
        <f>IF(AND(B566=Queue!$C$4,OR(Queue!$K$4="*",N566=Queue!$K$4)),Q566,"")</f>
        <v/>
      </c>
    </row>
    <row r="567">
      <c r="A567" s="38">
        <f>IF(M567="","",HYPERLINK("https://www.youtube.com/watch?v="&amp;M567,"▶"))</f>
        <v/>
      </c>
      <c r="B567" s="39">
        <f>IF(C567&lt;&gt;"",C567,IF(P567&lt;=IFERROR(INDEX(tblChannels[Watched Through],MATCH(N567,tblChannels[Channel ID],0)),0),"Watched","Unwatched"))</f>
        <v/>
      </c>
      <c r="C567" s="40" t="n"/>
      <c r="D567" s="41" t="n"/>
      <c r="E567" s="42" t="n">
        <v>45520.7125</v>
      </c>
      <c r="F567" s="50" t="inlineStr">
        <is>
          <t>Super Carlin Brothers</t>
        </is>
      </c>
      <c r="G567" t="inlineStr">
        <is>
          <t>J vs Ben: IMPOSSIBLE McGonagall Harry Potter Trivia Quiz</t>
        </is>
      </c>
      <c r="H567" s="44" t="n">
        <v>0.02590277777777778</v>
      </c>
      <c r="I567" s="45" t="n">
        <v>139902</v>
      </c>
      <c r="J567" s="45" t="n">
        <v>4958</v>
      </c>
      <c r="K567" s="45" t="n">
        <v>465</v>
      </c>
      <c r="L567" s="46" t="n"/>
      <c r="M567" s="47" t="n"/>
      <c r="N567" s="47" t="inlineStr">
        <is>
          <t>UCKZo4N0lVPccBkSiuyVh4yg</t>
        </is>
      </c>
      <c r="O567" s="48" t="n">
        <v>45520.87916666667</v>
      </c>
      <c r="P567" s="49" t="n">
        <v>45520</v>
      </c>
      <c r="Q567" s="47" t="n">
        <v>2701</v>
      </c>
      <c r="R567" s="47" t="inlineStr">
        <is>
          <t>No Video ID yet</t>
        </is>
      </c>
      <c r="S567" s="49" t="n"/>
      <c r="T567" s="49" t="n"/>
      <c r="U567" s="47" t="inlineStr">
        <is>
          <t>Go to to get 20% off your first order and free shipping. Go to to cancel your unwanted subscriptions with Rocket Money. Today Ben and J face off once more to find out who really wanted to do that spell more and who knows Minerva McGonagall the most! LET’S DO SOME HARRY POTTER TRIVIA YALL!</t>
        </is>
      </c>
      <c r="V567" s="47">
        <f>IF(AND(P567&gt;=Calendar!$K$2,P567&lt;EDATE(Calendar!$K$2,1),OR(Calendar!$K$4="*",N567=Calendar!$K$4)),P567*100+COUNTIFS($P$6:$P$3267,P567,$Q$6:$Q$3267,"&lt;="&amp;Q567,$N$6:$N$3267,Calendar!$K$4),"")</f>
        <v/>
      </c>
      <c r="W567" s="47">
        <f>IF(AND(B567=Queue!$C$4,OR(Queue!$K$4="*",N567=Queue!$K$4)),Q567,"")</f>
        <v/>
      </c>
    </row>
    <row r="568">
      <c r="A568" s="38">
        <f>IF(M568="","",HYPERLINK("https://www.youtube.com/watch?v="&amp;M568,"▶"))</f>
        <v/>
      </c>
      <c r="B568" s="39">
        <f>IF(C568&lt;&gt;"",C568,IF(P568&lt;=IFERROR(INDEX(tblChannels[Watched Through],MATCH(N568,tblChannels[Channel ID],0)),0),"Watched","Unwatched"))</f>
        <v/>
      </c>
      <c r="C568" s="40" t="n"/>
      <c r="D568" s="41" t="n"/>
      <c r="E568" s="42" t="n">
        <v>45520.41666666666</v>
      </c>
      <c r="F568" s="43" t="inlineStr">
        <is>
          <t>Popcorn Culture</t>
        </is>
      </c>
      <c r="G568" t="inlineStr">
        <is>
          <t>ALL THE D23 REACTIONS | Popcorn Culture</t>
        </is>
      </c>
      <c r="H568" s="44" t="n">
        <v>0.04461805555555556</v>
      </c>
      <c r="I568" s="45" t="n">
        <v>4613</v>
      </c>
      <c r="J568" s="45" t="n">
        <v>219</v>
      </c>
      <c r="K568" s="45" t="n">
        <v>41</v>
      </c>
      <c r="L568" s="46" t="n"/>
      <c r="M568" s="47" t="n"/>
      <c r="N568" s="47" t="inlineStr">
        <is>
          <t>UCHfIbq9thHPC8yrKjAdJgDA</t>
        </is>
      </c>
      <c r="O568" s="48" t="n">
        <v>45520.58333333334</v>
      </c>
      <c r="P568" s="49" t="n">
        <v>45520</v>
      </c>
      <c r="Q568" s="47" t="n">
        <v>2700</v>
      </c>
      <c r="R568" s="47" t="inlineStr">
        <is>
          <t>No Video ID yet</t>
        </is>
      </c>
      <c r="S568" s="49" t="n"/>
      <c r="T568" s="49" t="n"/>
      <c r="U568" s="47" t="inlineStr">
        <is>
          <t>In the 245th episode of the Pop, Ben and J discuss prepping for the beer mile, and all the D23 things (seriously, that’s all they talk about). All the D23 Announcements - Self Infused Pain 00:00 - Intro, Beer Mile Training 12:15 - D23</t>
        </is>
      </c>
      <c r="V568" s="47">
        <f>IF(AND(P568&gt;=Calendar!$K$2,P568&lt;EDATE(Calendar!$K$2,1),OR(Calendar!$K$4="*",N568=Calendar!$K$4)),P568*100+COUNTIFS($P$6:$P$3267,P568,$Q$6:$Q$3267,"&lt;="&amp;Q568,$N$6:$N$3267,Calendar!$K$4),"")</f>
        <v/>
      </c>
      <c r="W568" s="47">
        <f>IF(AND(B568=Queue!$C$4,OR(Queue!$K$4="*",N568=Queue!$K$4)),Q568,"")</f>
        <v/>
      </c>
    </row>
    <row r="569">
      <c r="A569" s="38">
        <f>IF(M569="","",HYPERLINK("https://www.youtube.com/watch?v="&amp;M569,"▶"))</f>
        <v/>
      </c>
      <c r="B569" s="39">
        <f>IF(C569&lt;&gt;"",C569,IF(P569&lt;=IFERROR(INDEX(tblChannels[Watched Through],MATCH(N569,tblChannels[Channel ID],0)),0),"Watched","Unwatched"))</f>
        <v/>
      </c>
      <c r="C569" s="40" t="n"/>
      <c r="D569" s="41" t="n"/>
      <c r="E569" s="42" t="n">
        <v>45519.75972222222</v>
      </c>
      <c r="F569" s="51" t="inlineStr">
        <is>
          <t>Through The Griffin Door</t>
        </is>
      </c>
      <c r="G569" t="inlineStr">
        <is>
          <t>LIVE: SIGNING BOOK PAGES AND HANGING OUT!</t>
        </is>
      </c>
      <c r="H569" s="44" t="n">
        <v>0.08368055555555555</v>
      </c>
      <c r="I569" s="45" t="n">
        <v>10315</v>
      </c>
      <c r="J569" s="45" t="n">
        <v>476</v>
      </c>
      <c r="K569" s="45" t="n">
        <v>62</v>
      </c>
      <c r="L569" s="46" t="n"/>
      <c r="M569" s="47" t="n"/>
      <c r="N569" s="47" t="inlineStr">
        <is>
          <t>UCEscP6ETYXWSSvsNrDHekMQ</t>
        </is>
      </c>
      <c r="O569" s="48" t="n">
        <v>45519.92638888889</v>
      </c>
      <c r="P569" s="49" t="n">
        <v>45519</v>
      </c>
      <c r="Q569" s="47" t="n">
        <v>2699</v>
      </c>
      <c r="R569" s="47" t="inlineStr">
        <is>
          <t>No Video ID yet</t>
        </is>
      </c>
      <c r="S569" s="49" t="n"/>
      <c r="T569" s="49" t="n"/>
      <c r="U569" s="47" t="inlineStr">
        <is>
          <t>Want a Signed page? Sign up for any annual membership on Patreon to receive your own! Https://www.patreon.com/ThroughTheGriffinDoor</t>
        </is>
      </c>
      <c r="V569" s="47">
        <f>IF(AND(P569&gt;=Calendar!$K$2,P569&lt;EDATE(Calendar!$K$2,1),OR(Calendar!$K$4="*",N569=Calendar!$K$4)),P569*100+COUNTIFS($P$6:$P$3267,P569,$Q$6:$Q$3267,"&lt;="&amp;Q569,$N$6:$N$3267,Calendar!$K$4),"")</f>
        <v/>
      </c>
      <c r="W569" s="47">
        <f>IF(AND(B569=Queue!$C$4,OR(Queue!$K$4="*",N569=Queue!$K$4)),Q569,"")</f>
        <v/>
      </c>
    </row>
    <row r="570">
      <c r="A570" s="38">
        <f>IF(M570="","",HYPERLINK("https://www.youtube.com/watch?v="&amp;M570,"▶"))</f>
        <v/>
      </c>
      <c r="B570" s="39">
        <f>IF(C570&lt;&gt;"",C570,IF(P570&lt;=IFERROR(INDEX(tblChannels[Watched Through],MATCH(N570,tblChannels[Channel ID],0)),0),"Watched","Unwatched"))</f>
        <v/>
      </c>
      <c r="C570" s="40" t="n"/>
      <c r="D570" s="41" t="n"/>
      <c r="E570" s="42" t="n">
        <v>45518.71666666667</v>
      </c>
      <c r="F570" s="50" t="inlineStr">
        <is>
          <t>Super Carlin Brothers</t>
        </is>
      </c>
      <c r="G570" t="inlineStr">
        <is>
          <t>Every Wizard Sport BESIDES Quidditch  | Harry Potter Film Theory</t>
        </is>
      </c>
      <c r="H570" s="44" t="n">
        <v>0.01106481481481482</v>
      </c>
      <c r="I570" s="45" t="n">
        <v>88162</v>
      </c>
      <c r="J570" s="45" t="n">
        <v>4736</v>
      </c>
      <c r="K570" s="45" t="n">
        <v>566</v>
      </c>
      <c r="L570" s="46" t="n"/>
      <c r="M570" s="47" t="n"/>
      <c r="N570" s="47" t="inlineStr">
        <is>
          <t>UCKZo4N0lVPccBkSiuyVh4yg</t>
        </is>
      </c>
      <c r="O570" s="48" t="n">
        <v>45518.88333333333</v>
      </c>
      <c r="P570" s="49" t="n">
        <v>45518</v>
      </c>
      <c r="Q570" s="47" t="n">
        <v>2698</v>
      </c>
      <c r="R570" s="47" t="inlineStr">
        <is>
          <t>No Video ID yet</t>
        </is>
      </c>
      <c r="S570" s="49" t="n"/>
      <c r="T570" s="49" t="n"/>
      <c r="U570" s="47" t="inlineStr">
        <is>
          <t>Go to to sign up for a $1 per month trial period. Today J dives into the Wizarding World of Harry Potter to discuss every OTHER sport and game in the wizarding world besides quidditch. From Chess to Shunt Bumps - We cover them all!</t>
        </is>
      </c>
      <c r="V570" s="47">
        <f>IF(AND(P570&gt;=Calendar!$K$2,P570&lt;EDATE(Calendar!$K$2,1),OR(Calendar!$K$4="*",N570=Calendar!$K$4)),P570*100+COUNTIFS($P$6:$P$3267,P570,$Q$6:$Q$3267,"&lt;="&amp;Q570,$N$6:$N$3267,Calendar!$K$4),"")</f>
        <v/>
      </c>
      <c r="W570" s="47">
        <f>IF(AND(B570=Queue!$C$4,OR(Queue!$K$4="*",N570=Queue!$K$4)),Q570,"")</f>
        <v/>
      </c>
    </row>
    <row r="571">
      <c r="A571" s="38">
        <f>IF(M571="","",HYPERLINK("https://www.youtube.com/watch?v="&amp;M571,"▶"))</f>
        <v/>
      </c>
      <c r="B571" s="39">
        <f>IF(C571&lt;&gt;"",C571,IF(P571&lt;=IFERROR(INDEX(tblChannels[Watched Through],MATCH(N571,tblChannels[Channel ID],0)),0),"Watched","Unwatched"))</f>
        <v/>
      </c>
      <c r="C571" s="40" t="n"/>
      <c r="D571" s="41" t="n"/>
      <c r="E571" s="42" t="n">
        <v>45517.77083333334</v>
      </c>
      <c r="F571" s="52" t="inlineStr">
        <is>
          <t>Super Carlin Gaming</t>
        </is>
      </c>
      <c r="G571" t="inlineStr">
        <is>
          <t>THE FINALE | Carlin Brothers Box Breakers S11E12</t>
        </is>
      </c>
      <c r="H571" s="44" t="n">
        <v>0.03613425925925926</v>
      </c>
      <c r="I571" s="45" t="n">
        <v>2124</v>
      </c>
      <c r="J571" s="45" t="n">
        <v>77</v>
      </c>
      <c r="K571" s="45" t="n">
        <v>17</v>
      </c>
      <c r="L571" s="46" t="n"/>
      <c r="M571" s="47" t="n"/>
      <c r="N571" s="47" t="inlineStr">
        <is>
          <t>UCor_9jRnNNZVzTuQ92PKsaQ</t>
        </is>
      </c>
      <c r="O571" s="48" t="n">
        <v>45517.9375</v>
      </c>
      <c r="P571" s="49" t="n">
        <v>45517</v>
      </c>
      <c r="Q571" s="47" t="n">
        <v>2697</v>
      </c>
      <c r="R571" s="47" t="inlineStr">
        <is>
          <t>No Video ID yet</t>
        </is>
      </c>
      <c r="S571" s="49" t="n"/>
      <c r="T571" s="49" t="n"/>
      <c r="U571" s="47" t="inlineStr">
        <is>
          <t>THIS WEEK WE BRING SEASON 11 TO AN END</t>
        </is>
      </c>
      <c r="V571" s="47">
        <f>IF(AND(P571&gt;=Calendar!$K$2,P571&lt;EDATE(Calendar!$K$2,1),OR(Calendar!$K$4="*",N571=Calendar!$K$4)),P571*100+COUNTIFS($P$6:$P$3267,P571,$Q$6:$Q$3267,"&lt;="&amp;Q571,$N$6:$N$3267,Calendar!$K$4),"")</f>
        <v/>
      </c>
      <c r="W571" s="47">
        <f>IF(AND(B571=Queue!$C$4,OR(Queue!$K$4="*",N571=Queue!$K$4)),Q571,"")</f>
        <v/>
      </c>
    </row>
    <row r="572">
      <c r="A572" s="38">
        <f>IF(M572="","",HYPERLINK("https://www.youtube.com/watch?v="&amp;M572,"▶"))</f>
        <v/>
      </c>
      <c r="B572" s="39">
        <f>IF(C572&lt;&gt;"",C572,IF(P572&lt;=IFERROR(INDEX(tblChannels[Watched Through],MATCH(N572,tblChannels[Channel ID],0)),0),"Watched","Unwatched"))</f>
        <v/>
      </c>
      <c r="C572" s="40" t="n"/>
      <c r="D572" s="41" t="n"/>
      <c r="E572" s="42" t="n">
        <v>45515.41666666666</v>
      </c>
      <c r="F572" s="51" t="inlineStr">
        <is>
          <t>Through The Griffin Door</t>
        </is>
      </c>
      <c r="G572" t="inlineStr">
        <is>
          <t>Chapter 10: The Marauder’s Map | Prisoner of Azkaban</t>
        </is>
      </c>
      <c r="H572" s="44" t="n">
        <v>0.08523148148148148</v>
      </c>
      <c r="I572" s="45" t="n">
        <v>93217</v>
      </c>
      <c r="J572" s="45" t="n">
        <v>2196</v>
      </c>
      <c r="K572" s="45" t="n">
        <v>608</v>
      </c>
      <c r="L572" s="46" t="n"/>
      <c r="M572" s="47" t="n"/>
      <c r="N572" s="47" t="inlineStr">
        <is>
          <t>UCEscP6ETYXWSSvsNrDHekMQ</t>
        </is>
      </c>
      <c r="O572" s="48" t="n">
        <v>45515.58333333334</v>
      </c>
      <c r="P572" s="49" t="n">
        <v>45515</v>
      </c>
      <c r="Q572" s="47" t="n">
        <v>2696</v>
      </c>
      <c r="R572" s="47" t="inlineStr">
        <is>
          <t>No Video ID yet</t>
        </is>
      </c>
      <c r="S572" s="49" t="n"/>
      <c r="T572" s="49" t="n"/>
      <c r="U572" s="47" t="inlineStr">
        <is>
          <t>Join J, Ben and Mike as they dive into Chapter 10 of the Prisoner of Azkaban and discuss the shattered Nimbus, only Harry collapsing, DADA class, Davey Gudgeon, dental floss, the map, the secret passages, Honeydukes, Harry eavesdropping in the Three Broomsticks, Peter’s intro, Seattle Matinee - 9/21 Seattle - 9/21 (SOLD OUT) San Diego Matinee - 9/28 San Diego - 9/28 (SOLD OUT) Do Broomsticks Have Magical Cores? - The REAL History of Magic - How Fred and George Solved The Marauders Map - We Try EVERY Harry Potter Candy from Honeydukes - World’s BEST Butterbeer Latte - What If Sirius Took Harry As A Baby? - 06:29 - Chapter Breakdown 1:50:46 - Closing Thoughts and Review</t>
        </is>
      </c>
      <c r="V572" s="47">
        <f>IF(AND(P572&gt;=Calendar!$K$2,P572&lt;EDATE(Calendar!$K$2,1),OR(Calendar!$K$4="*",N572=Calendar!$K$4)),P572*100+COUNTIFS($P$6:$P$3267,P572,$Q$6:$Q$3267,"&lt;="&amp;Q572,$N$6:$N$3267,Calendar!$K$4),"")</f>
        <v/>
      </c>
      <c r="W572" s="47">
        <f>IF(AND(B572=Queue!$C$4,OR(Queue!$K$4="*",N572=Queue!$K$4)),Q572,"")</f>
        <v/>
      </c>
    </row>
    <row r="573">
      <c r="A573" s="38">
        <f>IF(M573="","",HYPERLINK("https://www.youtube.com/watch?v="&amp;M573,"▶"))</f>
        <v/>
      </c>
      <c r="B573" s="39">
        <f>IF(C573&lt;&gt;"",C573,IF(P573&lt;=IFERROR(INDEX(tblChannels[Watched Through],MATCH(N573,tblChannels[Channel ID],0)),0),"Watched","Unwatched"))</f>
        <v/>
      </c>
      <c r="C573" s="40" t="n"/>
      <c r="D573" s="41" t="n"/>
      <c r="E573" s="42" t="n">
        <v>45514.41666666666</v>
      </c>
      <c r="F573" s="50" t="inlineStr">
        <is>
          <t>Super Carlin Brothers</t>
        </is>
      </c>
      <c r="G573" t="inlineStr">
        <is>
          <t>Through the Griffin Door Supercut: Prisoner of Azkaban Chapters 7-9</t>
        </is>
      </c>
      <c r="H573" s="44" t="n">
        <v>0.1859490740740741</v>
      </c>
      <c r="I573" s="45" t="n">
        <v>30553</v>
      </c>
      <c r="J573" s="45" t="n">
        <v>536</v>
      </c>
      <c r="K573" s="45" t="n">
        <v>109</v>
      </c>
      <c r="L573" s="46" t="n"/>
      <c r="M573" s="47" t="n"/>
      <c r="N573" s="47" t="inlineStr">
        <is>
          <t>UCKZo4N0lVPccBkSiuyVh4yg</t>
        </is>
      </c>
      <c r="O573" s="48" t="n">
        <v>45514.58333333334</v>
      </c>
      <c r="P573" s="49" t="n">
        <v>45514</v>
      </c>
      <c r="Q573" s="47" t="n">
        <v>2695</v>
      </c>
      <c r="R573" s="47" t="inlineStr">
        <is>
          <t>No Video ID yet</t>
        </is>
      </c>
      <c r="S573" s="49" t="n"/>
      <c r="T573" s="49" t="n"/>
      <c r="U573" s="47" t="inlineStr">
        <is>
          <t>00:00:00 - Chapter 7: The Boggart in the Wardrobe 1:29:13 - Chapter 8: Flight of the Fat Lady 02:55:34 - Chapter 9: Grim Defeat</t>
        </is>
      </c>
      <c r="V573" s="47">
        <f>IF(AND(P573&gt;=Calendar!$K$2,P573&lt;EDATE(Calendar!$K$2,1),OR(Calendar!$K$4="*",N573=Calendar!$K$4)),P573*100+COUNTIFS($P$6:$P$3267,P573,$Q$6:$Q$3267,"&lt;="&amp;Q573,$N$6:$N$3267,Calendar!$K$4),"")</f>
        <v/>
      </c>
      <c r="W573" s="47">
        <f>IF(AND(B573=Queue!$C$4,OR(Queue!$K$4="*",N573=Queue!$K$4)),Q573,"")</f>
        <v/>
      </c>
    </row>
    <row r="574">
      <c r="A574" s="38">
        <f>IF(M574="","",HYPERLINK("https://www.youtube.com/watch?v="&amp;M574,"▶"))</f>
        <v/>
      </c>
      <c r="B574" s="39">
        <f>IF(C574&lt;&gt;"",C574,IF(P574&lt;=IFERROR(INDEX(tblChannels[Watched Through],MATCH(N574,tblChannels[Channel ID],0)),0),"Watched","Unwatched"))</f>
        <v/>
      </c>
      <c r="C574" s="40" t="n"/>
      <c r="D574" s="41" t="n"/>
      <c r="E574" s="42" t="n">
        <v>45513.65416666667</v>
      </c>
      <c r="F574" s="50" t="inlineStr">
        <is>
          <t>Super Carlin Brothers</t>
        </is>
      </c>
      <c r="G574" t="inlineStr">
        <is>
          <t>How The Deathly Hallows Were Made | Harry Potter Film Theory</t>
        </is>
      </c>
      <c r="H574" s="44" t="n">
        <v>0.01377314814814815</v>
      </c>
      <c r="I574" s="45" t="n">
        <v>210897</v>
      </c>
      <c r="J574" s="45" t="n">
        <v>7849</v>
      </c>
      <c r="K574" s="45" t="n">
        <v>499</v>
      </c>
      <c r="L574" s="46" t="n"/>
      <c r="M574" s="47" t="n"/>
      <c r="N574" s="47" t="inlineStr">
        <is>
          <t>UCKZo4N0lVPccBkSiuyVh4yg</t>
        </is>
      </c>
      <c r="O574" s="48" t="n">
        <v>45513.82083333333</v>
      </c>
      <c r="P574" s="49" t="n">
        <v>45513</v>
      </c>
      <c r="Q574" s="47" t="n">
        <v>2694</v>
      </c>
      <c r="R574" s="47" t="inlineStr">
        <is>
          <t>No Video ID yet</t>
        </is>
      </c>
      <c r="S574" s="49" t="n"/>
      <c r="T574" s="49" t="n"/>
      <c r="U574" s="47" t="inlineStr">
        <is>
          <t>Go to to get 20% off your first order and free shipping. Today Ben dives into the Wizarding World of Harry Potter to uncover HOW the Deathly Hallows were made by the Peverell Brothers! What did they actually do to make the Elder Wand, Resurrection Stone and Invisibility Cloak?! Edited by :: Ethan Edghill &amp; Isybelle Christley</t>
        </is>
      </c>
      <c r="V574" s="47">
        <f>IF(AND(P574&gt;=Calendar!$K$2,P574&lt;EDATE(Calendar!$K$2,1),OR(Calendar!$K$4="*",N574=Calendar!$K$4)),P574*100+COUNTIFS($P$6:$P$3267,P574,$Q$6:$Q$3267,"&lt;="&amp;Q574,$N$6:$N$3267,Calendar!$K$4),"")</f>
        <v/>
      </c>
      <c r="W574" s="47">
        <f>IF(AND(B574=Queue!$C$4,OR(Queue!$K$4="*",N574=Queue!$K$4)),Q574,"")</f>
        <v/>
      </c>
    </row>
    <row r="575">
      <c r="A575" s="38">
        <f>IF(M575="","",HYPERLINK("https://www.youtube.com/watch?v="&amp;M575,"▶"))</f>
        <v/>
      </c>
      <c r="B575" s="39">
        <f>IF(C575&lt;&gt;"",C575,IF(P575&lt;=IFERROR(INDEX(tblChannels[Watched Through],MATCH(N575,tblChannels[Channel ID],0)),0),"Watched","Unwatched"))</f>
        <v/>
      </c>
      <c r="C575" s="40" t="n"/>
      <c r="D575" s="41" t="n"/>
      <c r="E575" s="42" t="n">
        <v>45513.41666666666</v>
      </c>
      <c r="F575" s="43" t="inlineStr">
        <is>
          <t>Popcorn Culture</t>
        </is>
      </c>
      <c r="G575" t="inlineStr">
        <is>
          <t>Plenty of Tomatoes on the Vine | Popcorn Culture</t>
        </is>
      </c>
      <c r="H575" s="44" t="n">
        <v>0.04834490740740741</v>
      </c>
      <c r="I575" s="45" t="n">
        <v>3442</v>
      </c>
      <c r="J575" s="45" t="n">
        <v>195</v>
      </c>
      <c r="K575" s="45" t="n">
        <v>42</v>
      </c>
      <c r="L575" s="46" t="n"/>
      <c r="M575" s="47" t="n"/>
      <c r="N575" s="47" t="inlineStr">
        <is>
          <t>UCHfIbq9thHPC8yrKjAdJgDA</t>
        </is>
      </c>
      <c r="O575" s="48" t="n">
        <v>45513.58333333334</v>
      </c>
      <c r="P575" s="49" t="n">
        <v>45513</v>
      </c>
      <c r="Q575" s="47" t="n">
        <v>2693</v>
      </c>
      <c r="R575" s="47" t="inlineStr">
        <is>
          <t>No Video ID yet</t>
        </is>
      </c>
      <c r="S575" s="49" t="n"/>
      <c r="T575" s="49" t="n"/>
      <c r="U575" s="47" t="inlineStr">
        <is>
          <t>In the 244th episode of the Pop, Ben and J discuss mustache life, the GMA sticker game, J’s famous sunflowers, GoFest this year, adding salt to coffee, and stroller skis! Diners Drive Ins and Dives - Beer Mile Vlog - Hair Lip J’s Garden Heartbreak Stroller Skis!! 00:00 - Intro, Mustache Life 14:29 - GMA Sticker Game 24:01 - J’s Garden woes 34:57 - Beer Mile 43:23 - Salted Coffee 53:41 - Stroller Skis</t>
        </is>
      </c>
      <c r="V575" s="47">
        <f>IF(AND(P575&gt;=Calendar!$K$2,P575&lt;EDATE(Calendar!$K$2,1),OR(Calendar!$K$4="*",N575=Calendar!$K$4)),P575*100+COUNTIFS($P$6:$P$3267,P575,$Q$6:$Q$3267,"&lt;="&amp;Q575,$N$6:$N$3267,Calendar!$K$4),"")</f>
        <v/>
      </c>
      <c r="W575" s="47">
        <f>IF(AND(B575=Queue!$C$4,OR(Queue!$K$4="*",N575=Queue!$K$4)),Q575,"")</f>
        <v/>
      </c>
    </row>
    <row r="576">
      <c r="A576" s="38">
        <f>IF(M576="","",HYPERLINK("https://www.youtube.com/watch?v="&amp;M576,"▶"))</f>
        <v/>
      </c>
      <c r="B576" s="39">
        <f>IF(C576&lt;&gt;"",C576,IF(P576&lt;=IFERROR(INDEX(tblChannels[Watched Through],MATCH(N576,tblChannels[Channel ID],0)),0),"Watched","Unwatched"))</f>
        <v/>
      </c>
      <c r="C576" s="40" t="n"/>
      <c r="D576" s="41" t="n"/>
      <c r="E576" s="42" t="n">
        <v>45511.70694444444</v>
      </c>
      <c r="F576" s="50" t="inlineStr">
        <is>
          <t>Super Carlin Brothers</t>
        </is>
      </c>
      <c r="G576" t="inlineStr">
        <is>
          <t>What If Snape Made A HORCRUX | Harry Potter Film Theory</t>
        </is>
      </c>
      <c r="H576" s="44" t="n">
        <v>0.01158564814814815</v>
      </c>
      <c r="I576" s="45" t="n">
        <v>182811</v>
      </c>
      <c r="J576" s="45" t="n">
        <v>7131</v>
      </c>
      <c r="K576" s="45" t="n">
        <v>724</v>
      </c>
      <c r="L576" s="46" t="n"/>
      <c r="M576" s="47" t="n"/>
      <c r="N576" s="47" t="inlineStr">
        <is>
          <t>UCKZo4N0lVPccBkSiuyVh4yg</t>
        </is>
      </c>
      <c r="O576" s="48" t="n">
        <v>45511.87361111111</v>
      </c>
      <c r="P576" s="49" t="n">
        <v>45511</v>
      </c>
      <c r="Q576" s="47" t="n">
        <v>2692</v>
      </c>
      <c r="R576" s="47" t="inlineStr">
        <is>
          <t>No Video ID yet</t>
        </is>
      </c>
      <c r="S576" s="49" t="n"/>
      <c r="T576" s="49" t="n"/>
      <c r="U576" s="47" t="inlineStr">
        <is>
          <t>Today J dives into the Wizarding World of Harry Potter to find out what would have happened if Snape had made a Horcrux out of Dumbledore’s death? What would it have been? Would it help him survive to the end? Would it turn him evil?</t>
        </is>
      </c>
      <c r="V576" s="47">
        <f>IF(AND(P576&gt;=Calendar!$K$2,P576&lt;EDATE(Calendar!$K$2,1),OR(Calendar!$K$4="*",N576=Calendar!$K$4)),P576*100+COUNTIFS($P$6:$P$3267,P576,$Q$6:$Q$3267,"&lt;="&amp;Q576,$N$6:$N$3267,Calendar!$K$4),"")</f>
        <v/>
      </c>
      <c r="W576" s="47">
        <f>IF(AND(B576=Queue!$C$4,OR(Queue!$K$4="*",N576=Queue!$K$4)),Q576,"")</f>
        <v/>
      </c>
    </row>
    <row r="577">
      <c r="A577" s="38">
        <f>IF(M577="","",HYPERLINK("https://www.youtube.com/watch?v="&amp;M577,"▶"))</f>
        <v/>
      </c>
      <c r="B577" s="39">
        <f>IF(C577&lt;&gt;"",C577,IF(P577&lt;=IFERROR(INDEX(tblChannels[Watched Through],MATCH(N577,tblChannels[Channel ID],0)),0),"Watched","Unwatched"))</f>
        <v/>
      </c>
      <c r="C577" s="40" t="n"/>
      <c r="D577" s="41" t="n"/>
      <c r="E577" s="42" t="n">
        <v>45508.41666666666</v>
      </c>
      <c r="F577" s="51" t="inlineStr">
        <is>
          <t>Through The Griffin Door</t>
        </is>
      </c>
      <c r="G577" t="inlineStr">
        <is>
          <t>Chapter 9: Grim Defeat | Prisoner of Azkaban (feat. Mike Schubert)</t>
        </is>
      </c>
      <c r="H577" s="44" t="n">
        <v>0.06648148148148147</v>
      </c>
      <c r="I577" s="45" t="n">
        <v>72236</v>
      </c>
      <c r="J577" s="45" t="n">
        <v>2222</v>
      </c>
      <c r="K577" s="45" t="n">
        <v>706</v>
      </c>
      <c r="L577" s="46" t="n"/>
      <c r="M577" s="47" t="n"/>
      <c r="N577" s="47" t="inlineStr">
        <is>
          <t>UCEscP6ETYXWSSvsNrDHekMQ</t>
        </is>
      </c>
      <c r="O577" s="48" t="n">
        <v>45508.58333333334</v>
      </c>
      <c r="P577" s="49" t="n">
        <v>45508</v>
      </c>
      <c r="Q577" s="47" t="n">
        <v>2691</v>
      </c>
      <c r="R577" s="47" t="inlineStr">
        <is>
          <t>No Video ID yet</t>
        </is>
      </c>
      <c r="S577" s="49" t="n"/>
      <c r="T577" s="49" t="n"/>
      <c r="U577" s="47" t="inlineStr">
        <is>
          <t>Don't forget to check out Shopify: shopify.com/GRIFFIN Be sure to check out Rocket Money: rocketmoney.com/GRIFFIN Join J, Ben and Mike as they dive into Chapter 9 of the Prisoner of Azkaban and discuss the slumber party, Sirius’ disguise, Snape and Dumby’s “sneaky” convo, who the Fat Lady was, the Quidditch strategies, Snape teaching DADA, magical food, Lucius being a golf guy, and Dementors. Seattle Matinee - 9/21 Seattle - 9/21 (SOLD OUT) San Diego Matinee - 9/28 San Diego - 9/28 (SOLD OUT) Check out all things Mike Schubert here - Who Was Crookshanks Original Owner? - Potter Puppet Pals Wizard Swears - 05:48 - Chapter Breakdown 1:32:32 - Closing Thoughts and Review</t>
        </is>
      </c>
      <c r="V577" s="47">
        <f>IF(AND(P577&gt;=Calendar!$K$2,P577&lt;EDATE(Calendar!$K$2,1),OR(Calendar!$K$4="*",N577=Calendar!$K$4)),P577*100+COUNTIFS($P$6:$P$3267,P577,$Q$6:$Q$3267,"&lt;="&amp;Q577,$N$6:$N$3267,Calendar!$K$4),"")</f>
        <v/>
      </c>
      <c r="W577" s="47">
        <f>IF(AND(B577=Queue!$C$4,OR(Queue!$K$4="*",N577=Queue!$K$4)),Q577,"")</f>
        <v/>
      </c>
    </row>
    <row r="578">
      <c r="A578" s="38">
        <f>IF(M578="","",HYPERLINK("https://www.youtube.com/watch?v="&amp;M578,"▶"))</f>
        <v/>
      </c>
      <c r="B578" s="39">
        <f>IF(C578&lt;&gt;"",C578,IF(P578&lt;=IFERROR(INDEX(tblChannels[Watched Through],MATCH(N578,tblChannels[Channel ID],0)),0),"Watched","Unwatched"))</f>
        <v/>
      </c>
      <c r="C578" s="40" t="n"/>
      <c r="D578" s="41" t="n"/>
      <c r="E578" s="42" t="n">
        <v>45506.70694444444</v>
      </c>
      <c r="F578" s="50" t="inlineStr">
        <is>
          <t>Super Carlin Brothers</t>
        </is>
      </c>
      <c r="G578" t="inlineStr">
        <is>
          <t>How Harry Potter SHOULD Have Ended | Harry Potter Film Theory</t>
        </is>
      </c>
      <c r="H578" s="44" t="n">
        <v>0.01125</v>
      </c>
      <c r="I578" s="45" t="n">
        <v>226126</v>
      </c>
      <c r="J578" s="45" t="n">
        <v>9306</v>
      </c>
      <c r="K578" s="45" t="n">
        <v>1205</v>
      </c>
      <c r="L578" s="46" t="n"/>
      <c r="M578" s="47" t="n"/>
      <c r="N578" s="47" t="inlineStr">
        <is>
          <t>UCKZo4N0lVPccBkSiuyVh4yg</t>
        </is>
      </c>
      <c r="O578" s="48" t="n">
        <v>45506.87361111111</v>
      </c>
      <c r="P578" s="49" t="n">
        <v>45506</v>
      </c>
      <c r="Q578" s="47" t="n">
        <v>2690</v>
      </c>
      <c r="R578" s="47" t="inlineStr">
        <is>
          <t>No Video ID yet</t>
        </is>
      </c>
      <c r="S578" s="49" t="n"/>
      <c r="T578" s="49" t="n"/>
      <c r="U578" s="47" t="inlineStr">
        <is>
          <t>Today J dives into the Wizarding World of Harry Potter to determine how the story should have actually ended! What job Harry SHOULD have had! Who Neville SHOULD have married! And WHAT SHOULD HAVE HAPPENED TO UMBRIDGE! Animation by: Isybelle Christley</t>
        </is>
      </c>
      <c r="V578" s="47">
        <f>IF(AND(P578&gt;=Calendar!$K$2,P578&lt;EDATE(Calendar!$K$2,1),OR(Calendar!$K$4="*",N578=Calendar!$K$4)),P578*100+COUNTIFS($P$6:$P$3267,P578,$Q$6:$Q$3267,"&lt;="&amp;Q578,$N$6:$N$3267,Calendar!$K$4),"")</f>
        <v/>
      </c>
      <c r="W578" s="47">
        <f>IF(AND(B578=Queue!$C$4,OR(Queue!$K$4="*",N578=Queue!$K$4)),Q578,"")</f>
        <v/>
      </c>
    </row>
    <row r="579">
      <c r="A579" s="38">
        <f>IF(M579="","",HYPERLINK("https://www.youtube.com/watch?v="&amp;M579,"▶"))</f>
        <v/>
      </c>
      <c r="B579" s="39">
        <f>IF(C579&lt;&gt;"",C579,IF(P579&lt;=IFERROR(INDEX(tblChannels[Watched Through],MATCH(N579,tblChannels[Channel ID],0)),0),"Watched","Unwatched"))</f>
        <v/>
      </c>
      <c r="C579" s="40" t="n"/>
      <c r="D579" s="41" t="n"/>
      <c r="E579" s="42" t="n">
        <v>45506.41666666666</v>
      </c>
      <c r="F579" s="43" t="inlineStr">
        <is>
          <t>Popcorn Culture</t>
        </is>
      </c>
      <c r="G579" t="inlineStr">
        <is>
          <t>Olympic Spoilers are THE WORST | Popcorn Culture</t>
        </is>
      </c>
      <c r="H579" s="44" t="n">
        <v>0.04685185185185185</v>
      </c>
      <c r="I579" s="45" t="n">
        <v>3688</v>
      </c>
      <c r="J579" s="45" t="n">
        <v>189</v>
      </c>
      <c r="K579" s="45" t="n">
        <v>23</v>
      </c>
      <c r="L579" s="46" t="n"/>
      <c r="M579" s="47" t="n"/>
      <c r="N579" s="47" t="inlineStr">
        <is>
          <t>UCHfIbq9thHPC8yrKjAdJgDA</t>
        </is>
      </c>
      <c r="O579" s="48" t="n">
        <v>45506.58333333334</v>
      </c>
      <c r="P579" s="49" t="n">
        <v>45506</v>
      </c>
      <c r="Q579" s="47" t="n">
        <v>2689</v>
      </c>
      <c r="R579" s="47" t="inlineStr">
        <is>
          <t>No Video ID yet</t>
        </is>
      </c>
      <c r="S579" s="49" t="n"/>
      <c r="T579" s="49" t="n"/>
      <c r="U579" s="47" t="inlineStr">
        <is>
          <t>In the 243rd episode of the Pop, Ben and J discuss the Olympics, running shoes, confusing calendars, boat mechanics, and big Marvel stuff! Deadpool &amp; Wolverine - Deadpool Google Autofill - Our Deadpool Review - SDCC Announcements - Calendar Math Launchin’ tha BOAT! BIG Marvel Weekend 00:00 - Intro, The Olympics 28:43 - Calendar Math 37:17 - Boat Mechanics 50:41 - Marvel Stuff</t>
        </is>
      </c>
      <c r="V579" s="47">
        <f>IF(AND(P579&gt;=Calendar!$K$2,P579&lt;EDATE(Calendar!$K$2,1),OR(Calendar!$K$4="*",N579=Calendar!$K$4)),P579*100+COUNTIFS($P$6:$P$3267,P579,$Q$6:$Q$3267,"&lt;="&amp;Q579,$N$6:$N$3267,Calendar!$K$4),"")</f>
        <v/>
      </c>
      <c r="W579" s="47">
        <f>IF(AND(B579=Queue!$C$4,OR(Queue!$K$4="*",N579=Queue!$K$4)),Q579,"")</f>
        <v/>
      </c>
    </row>
    <row r="580">
      <c r="A580" s="38">
        <f>IF(M580="","",HYPERLINK("https://www.youtube.com/watch?v="&amp;M580,"▶"))</f>
        <v/>
      </c>
      <c r="B580" s="39">
        <f>IF(C580&lt;&gt;"",C580,IF(P580&lt;=IFERROR(INDEX(tblChannels[Watched Through],MATCH(N580,tblChannels[Channel ID],0)),0),"Watched","Unwatched"))</f>
        <v/>
      </c>
      <c r="C580" s="40" t="n"/>
      <c r="D580" s="41" t="n"/>
      <c r="E580" s="42" t="n">
        <v>45505.77083333334</v>
      </c>
      <c r="F580" s="52" t="inlineStr">
        <is>
          <t>Super Carlin Gaming</t>
        </is>
      </c>
      <c r="G580" t="inlineStr">
        <is>
          <t>A Legion Of Drampas | Carlin Brothers Box Breakers S11E11</t>
        </is>
      </c>
      <c r="H580" s="44" t="n">
        <v>0.03049768518518519</v>
      </c>
      <c r="I580" s="45" t="n">
        <v>1062</v>
      </c>
      <c r="J580" s="45" t="n">
        <v>52</v>
      </c>
      <c r="K580" s="45" t="n">
        <v>7</v>
      </c>
      <c r="L580" s="46" t="n"/>
      <c r="M580" s="47" t="n"/>
      <c r="N580" s="47" t="inlineStr">
        <is>
          <t>UCor_9jRnNNZVzTuQ92PKsaQ</t>
        </is>
      </c>
      <c r="O580" s="48" t="n">
        <v>45505.9375</v>
      </c>
      <c r="P580" s="49" t="n">
        <v>45505</v>
      </c>
      <c r="Q580" s="47" t="n">
        <v>2688</v>
      </c>
      <c r="R580" s="47" t="inlineStr">
        <is>
          <t>No Video ID yet</t>
        </is>
      </c>
      <c r="S580" s="49" t="n"/>
      <c r="T580" s="49" t="n"/>
      <c r="U580" s="47" t="inlineStr">
        <is>
          <t>You'll never guess what kind of cards we pulled this week!</t>
        </is>
      </c>
      <c r="V580" s="47">
        <f>IF(AND(P580&gt;=Calendar!$K$2,P580&lt;EDATE(Calendar!$K$2,1),OR(Calendar!$K$4="*",N580=Calendar!$K$4)),P580*100+COUNTIFS($P$6:$P$3267,P580,$Q$6:$Q$3267,"&lt;="&amp;Q580,$N$6:$N$3267,Calendar!$K$4),"")</f>
        <v/>
      </c>
      <c r="W580" s="47">
        <f>IF(AND(B580=Queue!$C$4,OR(Queue!$K$4="*",N580=Queue!$K$4)),Q580,"")</f>
        <v/>
      </c>
    </row>
    <row r="581">
      <c r="A581" s="38">
        <f>IF(M581="","",HYPERLINK("https://www.youtube.com/watch?v="&amp;M581,"▶"))</f>
        <v/>
      </c>
      <c r="B581" s="39">
        <f>IF(C581&lt;&gt;"",C581,IF(P581&lt;=IFERROR(INDEX(tblChannels[Watched Through],MATCH(N581,tblChannels[Channel ID],0)),0),"Watched","Unwatched"))</f>
        <v/>
      </c>
      <c r="C581" s="40" t="n"/>
      <c r="D581" s="41" t="n"/>
      <c r="E581" s="42" t="n">
        <v>45504.70138888889</v>
      </c>
      <c r="F581" s="50" t="inlineStr">
        <is>
          <t>Super Carlin Brothers</t>
        </is>
      </c>
      <c r="G581" t="inlineStr">
        <is>
          <t>J vs Ben: Who Wants To Be A Galleonaire | Harry Potter TRIVIA</t>
        </is>
      </c>
      <c r="H581" s="44" t="n">
        <v>0.02739583333333333</v>
      </c>
      <c r="I581" s="45" t="n">
        <v>225771</v>
      </c>
      <c r="J581" s="45" t="n">
        <v>8092</v>
      </c>
      <c r="K581" s="45" t="n">
        <v>707</v>
      </c>
      <c r="L581" s="46" t="n"/>
      <c r="M581" s="47" t="n"/>
      <c r="N581" s="47" t="inlineStr">
        <is>
          <t>UCKZo4N0lVPccBkSiuyVh4yg</t>
        </is>
      </c>
      <c r="O581" s="48" t="n">
        <v>45504.86805555555</v>
      </c>
      <c r="P581" s="49" t="n">
        <v>45504</v>
      </c>
      <c r="Q581" s="47" t="n">
        <v>2687</v>
      </c>
      <c r="R581" s="47" t="inlineStr">
        <is>
          <t>No Video ID yet</t>
        </is>
      </c>
      <c r="S581" s="49" t="n"/>
      <c r="T581" s="49" t="n"/>
      <c r="U581" s="47" t="inlineStr">
        <is>
          <t>Go to to get 10% off your first purchase. Go to to see the new softside luggage from Away Today J and Ben face off in a brand new show: Who Wants to be a Galleonaire! Each must answer as many questions as possible without getting anything wrong. They each have three life lines: Poll the Audience (live on Instagram), Phone a Wife, and 50/50.</t>
        </is>
      </c>
      <c r="V581" s="47">
        <f>IF(AND(P581&gt;=Calendar!$K$2,P581&lt;EDATE(Calendar!$K$2,1),OR(Calendar!$K$4="*",N581=Calendar!$K$4)),P581*100+COUNTIFS($P$6:$P$3267,P581,$Q$6:$Q$3267,"&lt;="&amp;Q581,$N$6:$N$3267,Calendar!$K$4),"")</f>
        <v/>
      </c>
      <c r="W581" s="47">
        <f>IF(AND(B581=Queue!$C$4,OR(Queue!$K$4="*",N581=Queue!$K$4)),Q581,"")</f>
        <v/>
      </c>
    </row>
    <row r="582">
      <c r="A582" s="38">
        <f>IF(M582="","",HYPERLINK("https://www.youtube.com/watch?v="&amp;M582,"▶"))</f>
        <v/>
      </c>
      <c r="B582" s="39">
        <f>IF(C582&lt;&gt;"",C582,IF(P582&lt;=IFERROR(INDEX(tblChannels[Watched Through],MATCH(N582,tblChannels[Channel ID],0)),0),"Watched","Unwatched"))</f>
        <v/>
      </c>
      <c r="C582" s="40" t="n"/>
      <c r="D582" s="41" t="n"/>
      <c r="E582" s="42" t="n">
        <v>45502.59513888889</v>
      </c>
      <c r="F582" s="51" t="inlineStr">
        <is>
          <t>Through The Griffin Door</t>
        </is>
      </c>
      <c r="G582" t="inlineStr">
        <is>
          <t>We added matinee shows to the Through the Griffin Tour!</t>
        </is>
      </c>
      <c r="H582" s="44" t="n">
        <v>0.000462962962962963</v>
      </c>
      <c r="I582" s="45" t="n">
        <v>10535</v>
      </c>
      <c r="J582" s="45" t="n">
        <v>518</v>
      </c>
      <c r="K582" s="45" t="n">
        <v>36</v>
      </c>
      <c r="L582" s="46" t="n"/>
      <c r="M582" s="47" t="n"/>
      <c r="N582" s="47" t="inlineStr">
        <is>
          <t>UCEscP6ETYXWSSvsNrDHekMQ</t>
        </is>
      </c>
      <c r="O582" s="48" t="n">
        <v>45502.76180555556</v>
      </c>
      <c r="P582" s="49" t="n">
        <v>45502</v>
      </c>
      <c r="Q582" s="47" t="n">
        <v>2686</v>
      </c>
      <c r="R582" s="47" t="inlineStr">
        <is>
          <t>No Video ID yet</t>
        </is>
      </c>
      <c r="S582" s="49" t="n"/>
      <c r="T582" s="49" t="n"/>
      <c r="U582" s="47" t="n"/>
      <c r="V582" s="47">
        <f>IF(AND(P582&gt;=Calendar!$K$2,P582&lt;EDATE(Calendar!$K$2,1),OR(Calendar!$K$4="*",N582=Calendar!$K$4)),P582*100+COUNTIFS($P$6:$P$3267,P582,$Q$6:$Q$3267,"&lt;="&amp;Q582,$N$6:$N$3267,Calendar!$K$4),"")</f>
        <v/>
      </c>
      <c r="W582" s="47">
        <f>IF(AND(B582=Queue!$C$4,OR(Queue!$K$4="*",N582=Queue!$K$4)),Q582,"")</f>
        <v/>
      </c>
    </row>
    <row r="583">
      <c r="A583" s="38">
        <f>IF(M583="","",HYPERLINK("https://www.youtube.com/watch?v="&amp;M583,"▶"))</f>
        <v/>
      </c>
      <c r="B583" s="39">
        <f>IF(C583&lt;&gt;"",C583,IF(P583&lt;=IFERROR(INDEX(tblChannels[Watched Through],MATCH(N583,tblChannels[Channel ID],0)),0),"Watched","Unwatched"))</f>
        <v/>
      </c>
      <c r="C583" s="40" t="n"/>
      <c r="D583" s="41" t="n"/>
      <c r="E583" s="42" t="n">
        <v>45501.41666666666</v>
      </c>
      <c r="F583" s="51" t="inlineStr">
        <is>
          <t>Through The Griffin Door</t>
        </is>
      </c>
      <c r="G583" t="inlineStr">
        <is>
          <t>Chapter 8: Flight of the Fat Lady | Prisoner of Azkaban</t>
        </is>
      </c>
      <c r="H583" s="44" t="n">
        <v>0.05997685185185185</v>
      </c>
      <c r="I583" s="45" t="n">
        <v>71074</v>
      </c>
      <c r="J583" s="45" t="n">
        <v>1918</v>
      </c>
      <c r="K583" s="45" t="n">
        <v>569</v>
      </c>
      <c r="L583" s="46" t="n"/>
      <c r="M583" s="47" t="n"/>
      <c r="N583" s="47" t="inlineStr">
        <is>
          <t>UCEscP6ETYXWSSvsNrDHekMQ</t>
        </is>
      </c>
      <c r="O583" s="48" t="n">
        <v>45501.58333333334</v>
      </c>
      <c r="P583" s="49" t="n">
        <v>45501</v>
      </c>
      <c r="Q583" s="47" t="n">
        <v>2685</v>
      </c>
      <c r="R583" s="47" t="inlineStr">
        <is>
          <t>No Video ID yet</t>
        </is>
      </c>
      <c r="S583" s="49" t="n"/>
      <c r="T583" s="49" t="n"/>
      <c r="U583" s="47" t="inlineStr">
        <is>
          <t>Join J and Ben as they dive into Chapter 8 of the Prisoner of Azkaban and discuss Lupin always teaching, Snapes mood, Oliver Wood’s last year of quidditch, Hogsmede, Scabbers vs Crookshanks, the wolfsbane potion, Seattle Matinee - 9/21 Seattle - 9/21 (SOLD OUT) San Diego Matinee - 9/28 San Diego - 9/28 (SOLD OUT) Trelawney's Actually ALWAYS Right? - 06:36 - Chapter Breakdown 1:19:14 - Closing Thoughts and Review</t>
        </is>
      </c>
      <c r="V583" s="47">
        <f>IF(AND(P583&gt;=Calendar!$K$2,P583&lt;EDATE(Calendar!$K$2,1),OR(Calendar!$K$4="*",N583=Calendar!$K$4)),P583*100+COUNTIFS($P$6:$P$3267,P583,$Q$6:$Q$3267,"&lt;="&amp;Q583,$N$6:$N$3267,Calendar!$K$4),"")</f>
        <v/>
      </c>
      <c r="W583" s="47">
        <f>IF(AND(B583=Queue!$C$4,OR(Queue!$K$4="*",N583=Queue!$K$4)),Q583,"")</f>
        <v/>
      </c>
    </row>
    <row r="584">
      <c r="A584" s="38">
        <f>IF(M584="","",HYPERLINK("https://www.youtube.com/watch?v="&amp;M584,"▶"))</f>
        <v/>
      </c>
      <c r="B584" s="39">
        <f>IF(C584&lt;&gt;"",C584,IF(P584&lt;=IFERROR(INDEX(tblChannels[Watched Through],MATCH(N584,tblChannels[Channel ID],0)),0),"Watched","Unwatched"))</f>
        <v/>
      </c>
      <c r="C584" s="40" t="n"/>
      <c r="D584" s="41" t="n"/>
      <c r="E584" s="42" t="n">
        <v>45500.41666666666</v>
      </c>
      <c r="F584" s="50" t="inlineStr">
        <is>
          <t>Super Carlin Brothers</t>
        </is>
      </c>
      <c r="G584" t="inlineStr">
        <is>
          <t>Did Deadpool And Wolverine SAVE the MCU?! | Marvel REVIEW</t>
        </is>
      </c>
      <c r="H584" s="44" t="n">
        <v>0.03395833333333333</v>
      </c>
      <c r="I584" s="45" t="n">
        <v>57194</v>
      </c>
      <c r="J584" s="45" t="n">
        <v>2841</v>
      </c>
      <c r="K584" s="45" t="n">
        <v>402</v>
      </c>
      <c r="L584" s="46" t="n"/>
      <c r="M584" s="47" t="n"/>
      <c r="N584" s="47" t="inlineStr">
        <is>
          <t>UCKZo4N0lVPccBkSiuyVh4yg</t>
        </is>
      </c>
      <c r="O584" s="48" t="n">
        <v>45500.58333333334</v>
      </c>
      <c r="P584" s="49" t="n">
        <v>45500</v>
      </c>
      <c r="Q584" s="47" t="n">
        <v>2684</v>
      </c>
      <c r="R584" s="47" t="inlineStr">
        <is>
          <t>No Video ID yet</t>
        </is>
      </c>
      <c r="S584" s="49" t="n"/>
      <c r="T584" s="49" t="n"/>
      <c r="U584" s="47" t="inlineStr">
        <is>
          <t>Today J and Ben dive into the MCU, Fox, the void, the TVA, and nostalgia in general to give their full spoiler review of Marvel’s latest movie: Deadpool and Wolverine. #supercarlinbrothers #Marvel #DeadpoolAndWolverine</t>
        </is>
      </c>
      <c r="V584" s="47">
        <f>IF(AND(P584&gt;=Calendar!$K$2,P584&lt;EDATE(Calendar!$K$2,1),OR(Calendar!$K$4="*",N584=Calendar!$K$4)),P584*100+COUNTIFS($P$6:$P$3267,P584,$Q$6:$Q$3267,"&lt;="&amp;Q584,$N$6:$N$3267,Calendar!$K$4),"")</f>
        <v/>
      </c>
      <c r="W584" s="47">
        <f>IF(AND(B584=Queue!$C$4,OR(Queue!$K$4="*",N584=Queue!$K$4)),Q584,"")</f>
        <v/>
      </c>
    </row>
    <row r="585">
      <c r="A585" s="38">
        <f>IF(M585="","",HYPERLINK("https://www.youtube.com/watch?v="&amp;M585,"▶"))</f>
        <v/>
      </c>
      <c r="B585" s="39">
        <f>IF(C585&lt;&gt;"",C585,IF(P585&lt;=IFERROR(INDEX(tblChannels[Watched Through],MATCH(N585,tblChannels[Channel ID],0)),0),"Watched","Unwatched"))</f>
        <v/>
      </c>
      <c r="C585" s="40" t="n"/>
      <c r="D585" s="41" t="n"/>
      <c r="E585" s="42" t="n">
        <v>45500.25555555556</v>
      </c>
      <c r="F585" s="52" t="inlineStr">
        <is>
          <t>Super Carlin Gaming</t>
        </is>
      </c>
      <c r="G585" t="inlineStr">
        <is>
          <t>Pokemon Box Breakers LIVE!</t>
        </is>
      </c>
      <c r="H585" s="44" t="n">
        <v>0.1070138888888889</v>
      </c>
      <c r="I585" s="45" t="n">
        <v>1391</v>
      </c>
      <c r="J585" s="45" t="n">
        <v>65</v>
      </c>
      <c r="K585" s="45" t="n">
        <v>9</v>
      </c>
      <c r="L585" s="46" t="n"/>
      <c r="M585" s="47" t="n"/>
      <c r="N585" s="47" t="inlineStr">
        <is>
          <t>UCor_9jRnNNZVzTuQ92PKsaQ</t>
        </is>
      </c>
      <c r="O585" s="48" t="n">
        <v>45500.42222222222</v>
      </c>
      <c r="P585" s="49" t="n">
        <v>45500</v>
      </c>
      <c r="Q585" s="47" t="n">
        <v>2683</v>
      </c>
      <c r="R585" s="47" t="inlineStr">
        <is>
          <t>No Video ID yet</t>
        </is>
      </c>
      <c r="S585" s="49" t="n"/>
      <c r="T585" s="49" t="n"/>
      <c r="U585" s="47" t="n"/>
      <c r="V585" s="47">
        <f>IF(AND(P585&gt;=Calendar!$K$2,P585&lt;EDATE(Calendar!$K$2,1),OR(Calendar!$K$4="*",N585=Calendar!$K$4)),P585*100+COUNTIFS($P$6:$P$3267,P585,$Q$6:$Q$3267,"&lt;="&amp;Q585,$N$6:$N$3267,Calendar!$K$4),"")</f>
        <v/>
      </c>
      <c r="W585" s="47">
        <f>IF(AND(B585=Queue!$C$4,OR(Queue!$K$4="*",N585=Queue!$K$4)),Q585,"")</f>
        <v/>
      </c>
    </row>
    <row r="586">
      <c r="A586" s="38">
        <f>IF(M586="","",HYPERLINK("https://www.youtube.com/watch?v="&amp;M586,"▶"))</f>
        <v/>
      </c>
      <c r="B586" s="39">
        <f>IF(C586&lt;&gt;"",C586,IF(P586&lt;=IFERROR(INDEX(tblChannels[Watched Through],MATCH(N586,tblChannels[Channel ID],0)),0),"Watched","Unwatched"))</f>
        <v/>
      </c>
      <c r="C586" s="40" t="n"/>
      <c r="D586" s="41" t="n"/>
      <c r="E586" s="42" t="n">
        <v>45499.79166666666</v>
      </c>
      <c r="F586" s="52" t="inlineStr">
        <is>
          <t>Super Carlin Gaming</t>
        </is>
      </c>
      <c r="G586" t="inlineStr">
        <is>
          <t>Holy Feraligatr Batman!! | Carlin Brother Box Breakers S11E10</t>
        </is>
      </c>
      <c r="H586" s="44" t="n">
        <v>0.03482638888888889</v>
      </c>
      <c r="I586" s="45" t="n">
        <v>1010</v>
      </c>
      <c r="J586" s="45" t="n">
        <v>55</v>
      </c>
      <c r="K586" s="45" t="n">
        <v>8</v>
      </c>
      <c r="L586" s="46" t="n"/>
      <c r="M586" s="47" t="n"/>
      <c r="N586" s="47" t="inlineStr">
        <is>
          <t>UCor_9jRnNNZVzTuQ92PKsaQ</t>
        </is>
      </c>
      <c r="O586" s="48" t="n">
        <v>45499.95833333334</v>
      </c>
      <c r="P586" s="49" t="n">
        <v>45499</v>
      </c>
      <c r="Q586" s="47" t="n">
        <v>2682</v>
      </c>
      <c r="R586" s="47" t="inlineStr">
        <is>
          <t>No Video ID yet</t>
        </is>
      </c>
      <c r="S586" s="49" t="n"/>
      <c r="T586" s="49" t="n"/>
      <c r="U586" s="47" t="inlineStr">
        <is>
          <t>This week J draws on like... a lot of cards.</t>
        </is>
      </c>
      <c r="V586" s="47">
        <f>IF(AND(P586&gt;=Calendar!$K$2,P586&lt;EDATE(Calendar!$K$2,1),OR(Calendar!$K$4="*",N586=Calendar!$K$4)),P586*100+COUNTIFS($P$6:$P$3267,P586,$Q$6:$Q$3267,"&lt;="&amp;Q586,$N$6:$N$3267,Calendar!$K$4),"")</f>
        <v/>
      </c>
      <c r="W586" s="47">
        <f>IF(AND(B586=Queue!$C$4,OR(Queue!$K$4="*",N586=Queue!$K$4)),Q586,"")</f>
        <v/>
      </c>
    </row>
    <row r="587">
      <c r="A587" s="38">
        <f>IF(M587="","",HYPERLINK("https://www.youtube.com/watch?v="&amp;M587,"▶"))</f>
        <v/>
      </c>
      <c r="B587" s="39">
        <f>IF(C587&lt;&gt;"",C587,IF(P587&lt;=IFERROR(INDEX(tblChannels[Watched Through],MATCH(N587,tblChannels[Channel ID],0)),0),"Watched","Unwatched"))</f>
        <v/>
      </c>
      <c r="C587" s="40" t="n"/>
      <c r="D587" s="41" t="n"/>
      <c r="E587" s="42" t="n">
        <v>45499.69722222222</v>
      </c>
      <c r="F587" s="50" t="inlineStr">
        <is>
          <t>Super Carlin Brothers</t>
        </is>
      </c>
      <c r="G587" t="inlineStr">
        <is>
          <t>How Did Sirius Get His Wand Back | Harry Potter Film Theory</t>
        </is>
      </c>
      <c r="H587" s="44" t="n">
        <v>0.01081018518518518</v>
      </c>
      <c r="I587" s="45" t="n">
        <v>148341</v>
      </c>
      <c r="J587" s="45" t="n">
        <v>6555</v>
      </c>
      <c r="K587" s="45" t="n">
        <v>822</v>
      </c>
      <c r="L587" s="46" t="n"/>
      <c r="M587" s="47" t="n"/>
      <c r="N587" s="47" t="inlineStr">
        <is>
          <t>UCKZo4N0lVPccBkSiuyVh4yg</t>
        </is>
      </c>
      <c r="O587" s="48" t="n">
        <v>45499.86388888889</v>
      </c>
      <c r="P587" s="49" t="n">
        <v>45499</v>
      </c>
      <c r="Q587" s="47" t="n">
        <v>2681</v>
      </c>
      <c r="R587" s="47" t="inlineStr">
        <is>
          <t>No Video ID yet</t>
        </is>
      </c>
      <c r="S587" s="49" t="n"/>
      <c r="T587" s="49" t="n"/>
      <c r="U587" s="47" t="inlineStr">
        <is>
          <t>Go to and enter code super at checkout to get 15% off your first monthly box! Today Ben Dives into the Wizarding World of Harry Potter to find out How Sirius Black got his original wand back after being sent to Azkaban Prison… like what they didn’t destroy it? Nooo but Hagrid, is accused of killing a girl with a spider… that guy needs a good wand snapping!</t>
        </is>
      </c>
      <c r="V587" s="47">
        <f>IF(AND(P587&gt;=Calendar!$K$2,P587&lt;EDATE(Calendar!$K$2,1),OR(Calendar!$K$4="*",N587=Calendar!$K$4)),P587*100+COUNTIFS($P$6:$P$3267,P587,$Q$6:$Q$3267,"&lt;="&amp;Q587,$N$6:$N$3267,Calendar!$K$4),"")</f>
        <v/>
      </c>
      <c r="W587" s="47">
        <f>IF(AND(B587=Queue!$C$4,OR(Queue!$K$4="*",N587=Queue!$K$4)),Q587,"")</f>
        <v/>
      </c>
    </row>
    <row r="588">
      <c r="A588" s="38">
        <f>IF(M588="","",HYPERLINK("https://www.youtube.com/watch?v="&amp;M588,"▶"))</f>
        <v/>
      </c>
      <c r="B588" s="39">
        <f>IF(C588&lt;&gt;"",C588,IF(P588&lt;=IFERROR(INDEX(tblChannels[Watched Through],MATCH(N588,tblChannels[Channel ID],0)),0),"Watched","Unwatched"))</f>
        <v/>
      </c>
      <c r="C588" s="40" t="n"/>
      <c r="D588" s="41" t="n"/>
      <c r="E588" s="42" t="n">
        <v>45499.41666666666</v>
      </c>
      <c r="F588" s="43" t="inlineStr">
        <is>
          <t>Popcorn Culture</t>
        </is>
      </c>
      <c r="G588" t="inlineStr">
        <is>
          <t>*insert laugh track*| Popcorn Culture</t>
        </is>
      </c>
      <c r="H588" s="44" t="n">
        <v>0.04859953703703704</v>
      </c>
      <c r="I588" s="45" t="n">
        <v>3680</v>
      </c>
      <c r="J588" s="45" t="n">
        <v>204</v>
      </c>
      <c r="K588" s="45" t="n">
        <v>22</v>
      </c>
      <c r="L588" s="46" t="n"/>
      <c r="M588" s="47" t="n"/>
      <c r="N588" s="47" t="inlineStr">
        <is>
          <t>UCHfIbq9thHPC8yrKjAdJgDA</t>
        </is>
      </c>
      <c r="O588" s="48" t="n">
        <v>45499.58333333334</v>
      </c>
      <c r="P588" s="49" t="n">
        <v>45499</v>
      </c>
      <c r="Q588" s="47" t="n">
        <v>2680</v>
      </c>
      <c r="R588" s="47" t="inlineStr">
        <is>
          <t>No Video ID yet</t>
        </is>
      </c>
      <c r="S588" s="49" t="n"/>
      <c r="T588" s="49" t="n"/>
      <c r="U588" s="47" t="inlineStr">
        <is>
          <t>In the 242nd episode of the Pop, Ben and J discuss the set coffee table, handling summer break with youngins, Ben’s projects while Alyce is gone, and how other people think. Alternate Title: Front Seat Dibs Ben Discovers the Soundboard Coffee Table Coin Flip 00:00 - Cold Open 07:17 - Intro, J’s Mic 12:40 - Summer Break 39:25 - Ben’s Projects 48:20 - Thinking Like Others</t>
        </is>
      </c>
      <c r="V588" s="47">
        <f>IF(AND(P588&gt;=Calendar!$K$2,P588&lt;EDATE(Calendar!$K$2,1),OR(Calendar!$K$4="*",N588=Calendar!$K$4)),P588*100+COUNTIFS($P$6:$P$3267,P588,$Q$6:$Q$3267,"&lt;="&amp;Q588,$N$6:$N$3267,Calendar!$K$4),"")</f>
        <v/>
      </c>
      <c r="W588" s="47">
        <f>IF(AND(B588=Queue!$C$4,OR(Queue!$K$4="*",N588=Queue!$K$4)),Q588,"")</f>
        <v/>
      </c>
    </row>
    <row r="589">
      <c r="A589" s="38">
        <f>IF(M589="","",HYPERLINK("https://www.youtube.com/watch?v="&amp;M589,"▶"))</f>
        <v/>
      </c>
      <c r="B589" s="39">
        <f>IF(C589&lt;&gt;"",C589,IF(P589&lt;=IFERROR(INDEX(tblChannels[Watched Through],MATCH(N589,tblChannels[Channel ID],0)),0),"Watched","Unwatched"))</f>
        <v/>
      </c>
      <c r="C589" s="40" t="n"/>
      <c r="D589" s="41" t="n"/>
      <c r="E589" s="42" t="n">
        <v>45497.77291666667</v>
      </c>
      <c r="F589" s="50" t="inlineStr">
        <is>
          <t>Super Carlin Brothers</t>
        </is>
      </c>
      <c r="G589" t="inlineStr">
        <is>
          <t>Is Deadpool IMMORTAL Google Autofill | Marvel Film Theory</t>
        </is>
      </c>
      <c r="H589" s="44" t="n">
        <v>0.009050925925925926</v>
      </c>
      <c r="I589" s="45" t="n">
        <v>33414</v>
      </c>
      <c r="J589" s="45" t="n">
        <v>1982</v>
      </c>
      <c r="K589" s="45" t="n">
        <v>241</v>
      </c>
      <c r="L589" s="46" t="n"/>
      <c r="M589" s="47" t="n"/>
      <c r="N589" s="47" t="inlineStr">
        <is>
          <t>UCKZo4N0lVPccBkSiuyVh4yg</t>
        </is>
      </c>
      <c r="O589" s="48" t="n">
        <v>45497.93958333333</v>
      </c>
      <c r="P589" s="49" t="n">
        <v>45497</v>
      </c>
      <c r="Q589" s="47" t="n">
        <v>2679</v>
      </c>
      <c r="R589" s="47" t="inlineStr">
        <is>
          <t>No Video ID yet</t>
        </is>
      </c>
      <c r="S589" s="49" t="n"/>
      <c r="T589" s="49" t="n"/>
      <c r="U589" s="47" t="inlineStr">
        <is>
          <t>Today J dives into the whacky and wild multiverse of Marvel’s Cinematic Universe and the even crazier mind of the Merc with a Mouth: Deadpool to find out all of Google’s most answered questions about him and Wolverine! #supercarlinbrothers #Marvel #Deadpool Deadpool played by : Ethan Edghill</t>
        </is>
      </c>
      <c r="V589" s="47">
        <f>IF(AND(P589&gt;=Calendar!$K$2,P589&lt;EDATE(Calendar!$K$2,1),OR(Calendar!$K$4="*",N589=Calendar!$K$4)),P589*100+COUNTIFS($P$6:$P$3267,P589,$Q$6:$Q$3267,"&lt;="&amp;Q589,$N$6:$N$3267,Calendar!$K$4),"")</f>
        <v/>
      </c>
      <c r="W589" s="47">
        <f>IF(AND(B589=Queue!$C$4,OR(Queue!$K$4="*",N589=Queue!$K$4)),Q589,"")</f>
        <v/>
      </c>
    </row>
    <row r="590">
      <c r="A590" s="38">
        <f>IF(M590="","",HYPERLINK("https://www.youtube.com/watch?v="&amp;M590,"▶"))</f>
        <v/>
      </c>
      <c r="B590" s="39">
        <f>IF(C590&lt;&gt;"",C590,IF(P590&lt;=IFERROR(INDEX(tblChannels[Watched Through],MATCH(N590,tblChannels[Channel ID],0)),0),"Watched","Unwatched"))</f>
        <v/>
      </c>
      <c r="C590" s="40" t="n"/>
      <c r="D590" s="41" t="n"/>
      <c r="E590" s="42" t="n">
        <v>45494.41666666666</v>
      </c>
      <c r="F590" s="50" t="inlineStr">
        <is>
          <t>Super Carlin Brothers</t>
        </is>
      </c>
      <c r="G590" t="inlineStr">
        <is>
          <t>Through the Griffin Door Supercut: Prisoner of Azkaban Chapters 4-6</t>
        </is>
      </c>
      <c r="H590" s="44" t="n">
        <v>0.1754282407407407</v>
      </c>
      <c r="I590" s="45" t="n">
        <v>30083</v>
      </c>
      <c r="J590" s="45" t="n">
        <v>500</v>
      </c>
      <c r="K590" s="45" t="n">
        <v>123</v>
      </c>
      <c r="L590" s="46" t="n"/>
      <c r="M590" s="47" t="n"/>
      <c r="N590" s="47" t="inlineStr">
        <is>
          <t>UCKZo4N0lVPccBkSiuyVh4yg</t>
        </is>
      </c>
      <c r="O590" s="48" t="n">
        <v>45494.58333333334</v>
      </c>
      <c r="P590" s="49" t="n">
        <v>45494</v>
      </c>
      <c r="Q590" s="47" t="n">
        <v>2678</v>
      </c>
      <c r="R590" s="47" t="inlineStr">
        <is>
          <t>No Video ID yet</t>
        </is>
      </c>
      <c r="S590" s="49" t="n"/>
      <c r="T590" s="49" t="n"/>
      <c r="U590" s="47" t="inlineStr">
        <is>
          <t>00:00:00 - Chapter 4: The Leaky Cauldron 01:04:49 - Chapter 5: The Dementor 02:04:08 - Chapter 6: Talons and Tea Leaves</t>
        </is>
      </c>
      <c r="V590" s="47">
        <f>IF(AND(P590&gt;=Calendar!$K$2,P590&lt;EDATE(Calendar!$K$2,1),OR(Calendar!$K$4="*",N590=Calendar!$K$4)),P590*100+COUNTIFS($P$6:$P$3267,P590,$Q$6:$Q$3267,"&lt;="&amp;Q590,$N$6:$N$3267,Calendar!$K$4),"")</f>
        <v/>
      </c>
      <c r="W590" s="47">
        <f>IF(AND(B590=Queue!$C$4,OR(Queue!$K$4="*",N590=Queue!$K$4)),Q590,"")</f>
        <v/>
      </c>
    </row>
    <row r="591">
      <c r="A591" s="38">
        <f>IF(M591="","",HYPERLINK("https://www.youtube.com/watch?v="&amp;M591,"▶"))</f>
        <v/>
      </c>
      <c r="B591" s="39">
        <f>IF(C591&lt;&gt;"",C591,IF(P591&lt;=IFERROR(INDEX(tblChannels[Watched Through],MATCH(N591,tblChannels[Channel ID],0)),0),"Watched","Unwatched"))</f>
        <v/>
      </c>
      <c r="C591" s="40" t="n"/>
      <c r="D591" s="41" t="n"/>
      <c r="E591" s="42" t="n">
        <v>45494.41666666666</v>
      </c>
      <c r="F591" s="51" t="inlineStr">
        <is>
          <t>Through The Griffin Door</t>
        </is>
      </c>
      <c r="G591" t="inlineStr">
        <is>
          <t>Chapter 7: The Boggart in the Wardrobe | Prisoner of Azkaban</t>
        </is>
      </c>
      <c r="H591" s="44" t="n">
        <v>0.06196759259259259</v>
      </c>
      <c r="I591" s="45" t="n">
        <v>73568</v>
      </c>
      <c r="J591" s="45" t="n">
        <v>2002</v>
      </c>
      <c r="K591" s="45" t="n">
        <v>551</v>
      </c>
      <c r="L591" s="46" t="n"/>
      <c r="M591" s="47" t="n"/>
      <c r="N591" s="47" t="inlineStr">
        <is>
          <t>UCEscP6ETYXWSSvsNrDHekMQ</t>
        </is>
      </c>
      <c r="O591" s="48" t="n">
        <v>45494.58333333334</v>
      </c>
      <c r="P591" s="49" t="n">
        <v>45494</v>
      </c>
      <c r="Q591" s="47" t="n">
        <v>2677</v>
      </c>
      <c r="R591" s="47" t="inlineStr">
        <is>
          <t>No Video ID yet</t>
        </is>
      </c>
      <c r="S591" s="49" t="n"/>
      <c r="T591" s="49" t="n"/>
      <c r="U591" s="47" t="inlineStr">
        <is>
          <t>Want to join our brand new Patreon? Go to patreon.com/ThroughtheGriffinDoor and sign up for either tier! Join J and Ben as they dive into Chapter 7 of the Prisoner of Azkaban and discuss Malfoy being dramatic, double potions, shrivelfigs, more scheduling shenanigans, waddiwasi Lupin being the best, the boggart lesson and everyone’s fears. Seattle - 9/21 (SOLD OUT) 09:25 - Chapter Breakdown 1:17:38 - Closing Thoughts and Review</t>
        </is>
      </c>
      <c r="V591" s="47">
        <f>IF(AND(P591&gt;=Calendar!$K$2,P591&lt;EDATE(Calendar!$K$2,1),OR(Calendar!$K$4="*",N591=Calendar!$K$4)),P591*100+COUNTIFS($P$6:$P$3267,P591,$Q$6:$Q$3267,"&lt;="&amp;Q591,$N$6:$N$3267,Calendar!$K$4),"")</f>
        <v/>
      </c>
      <c r="W591" s="47">
        <f>IF(AND(B591=Queue!$C$4,OR(Queue!$K$4="*",N591=Queue!$K$4)),Q591,"")</f>
        <v/>
      </c>
    </row>
    <row r="592">
      <c r="A592" s="38">
        <f>IF(M592="","",HYPERLINK("https://www.youtube.com/watch?v="&amp;M592,"▶"))</f>
        <v/>
      </c>
      <c r="B592" s="39">
        <f>IF(C592&lt;&gt;"",C592,IF(P592&lt;=IFERROR(INDEX(tblChannels[Watched Through],MATCH(N592,tblChannels[Channel ID],0)),0),"Watched","Unwatched"))</f>
        <v/>
      </c>
      <c r="C592" s="40" t="n"/>
      <c r="D592" s="41" t="n"/>
      <c r="E592" s="42" t="n">
        <v>45493.77083333334</v>
      </c>
      <c r="F592" s="52" t="inlineStr">
        <is>
          <t>Super Carlin Gaming</t>
        </is>
      </c>
      <c r="G592" t="inlineStr">
        <is>
          <t>A Truly Haunting Episode | Carlin Brothers Box Breakers S11E9</t>
        </is>
      </c>
      <c r="H592" s="44" t="n">
        <v>0.03394675925925926</v>
      </c>
      <c r="I592" s="45" t="n">
        <v>1274</v>
      </c>
      <c r="J592" s="45" t="n">
        <v>71</v>
      </c>
      <c r="K592" s="45" t="n">
        <v>11</v>
      </c>
      <c r="L592" s="46" t="n"/>
      <c r="M592" s="47" t="n"/>
      <c r="N592" s="47" t="inlineStr">
        <is>
          <t>UCor_9jRnNNZVzTuQ92PKsaQ</t>
        </is>
      </c>
      <c r="O592" s="48" t="n">
        <v>45493.9375</v>
      </c>
      <c r="P592" s="49" t="n">
        <v>45493</v>
      </c>
      <c r="Q592" s="47" t="n">
        <v>2676</v>
      </c>
      <c r="R592" s="47" t="inlineStr">
        <is>
          <t>No Video ID yet</t>
        </is>
      </c>
      <c r="S592" s="49" t="n"/>
      <c r="T592" s="49" t="n"/>
      <c r="U592" s="47" t="inlineStr">
        <is>
          <t>This Week We Really Get Into The SPIRIT Of The Game</t>
        </is>
      </c>
      <c r="V592" s="47">
        <f>IF(AND(P592&gt;=Calendar!$K$2,P592&lt;EDATE(Calendar!$K$2,1),OR(Calendar!$K$4="*",N592=Calendar!$K$4)),P592*100+COUNTIFS($P$6:$P$3267,P592,$Q$6:$Q$3267,"&lt;="&amp;Q592,$N$6:$N$3267,Calendar!$K$4),"")</f>
        <v/>
      </c>
      <c r="W592" s="47">
        <f>IF(AND(B592=Queue!$C$4,OR(Queue!$K$4="*",N592=Queue!$K$4)),Q592,"")</f>
        <v/>
      </c>
    </row>
    <row r="593">
      <c r="A593" s="38">
        <f>IF(M593="","",HYPERLINK("https://www.youtube.com/watch?v="&amp;M593,"▶"))</f>
        <v/>
      </c>
      <c r="B593" s="39">
        <f>IF(C593&lt;&gt;"",C593,IF(P593&lt;=IFERROR(INDEX(tblChannels[Watched Through],MATCH(N593,tblChannels[Channel ID],0)),0),"Watched","Unwatched"))</f>
        <v/>
      </c>
      <c r="C593" s="40" t="n"/>
      <c r="D593" s="41" t="n"/>
      <c r="E593" s="42" t="n">
        <v>45492.68402777778</v>
      </c>
      <c r="F593" s="50" t="inlineStr">
        <is>
          <t>Super Carlin Brothers</t>
        </is>
      </c>
      <c r="G593" t="inlineStr">
        <is>
          <t>Hogwarts WEIRD Population EXPLAINED | Harry Potter Film Theory</t>
        </is>
      </c>
      <c r="H593" s="44" t="n">
        <v>0.0106712962962963</v>
      </c>
      <c r="I593" s="45" t="n">
        <v>192332</v>
      </c>
      <c r="J593" s="45" t="n">
        <v>8329</v>
      </c>
      <c r="K593" s="45" t="n">
        <v>929</v>
      </c>
      <c r="L593" s="46" t="n"/>
      <c r="M593" s="47" t="n"/>
      <c r="N593" s="47" t="inlineStr">
        <is>
          <t>UCKZo4N0lVPccBkSiuyVh4yg</t>
        </is>
      </c>
      <c r="O593" s="48" t="n">
        <v>45492.85069444445</v>
      </c>
      <c r="P593" s="49" t="n">
        <v>45492</v>
      </c>
      <c r="Q593" s="47" t="n">
        <v>2675</v>
      </c>
      <c r="R593" s="47" t="inlineStr">
        <is>
          <t>No Video ID yet</t>
        </is>
      </c>
      <c r="S593" s="49" t="n"/>
      <c r="T593" s="49" t="n"/>
      <c r="U593" s="47" t="inlineStr">
        <is>
          <t>Head on over to to sign up for a $1 per month trial period. Today Ben dives into the Wizarding World of Harry Potter to try and explain why there are so few students at Hogwarts while Harry is attending school there and what other ramifications this has had on the rest of the Wizarding World.</t>
        </is>
      </c>
      <c r="V593" s="47">
        <f>IF(AND(P593&gt;=Calendar!$K$2,P593&lt;EDATE(Calendar!$K$2,1),OR(Calendar!$K$4="*",N593=Calendar!$K$4)),P593*100+COUNTIFS($P$6:$P$3267,P593,$Q$6:$Q$3267,"&lt;="&amp;Q593,$N$6:$N$3267,Calendar!$K$4),"")</f>
        <v/>
      </c>
      <c r="W593" s="47">
        <f>IF(AND(B593=Queue!$C$4,OR(Queue!$K$4="*",N593=Queue!$K$4)),Q593,"")</f>
        <v/>
      </c>
    </row>
    <row r="594">
      <c r="A594" s="38">
        <f>IF(M594="","",HYPERLINK("https://www.youtube.com/watch?v="&amp;M594,"▶"))</f>
        <v/>
      </c>
      <c r="B594" s="39">
        <f>IF(C594&lt;&gt;"",C594,IF(P594&lt;=IFERROR(INDEX(tblChannels[Watched Through],MATCH(N594,tblChannels[Channel ID],0)),0),"Watched","Unwatched"))</f>
        <v/>
      </c>
      <c r="C594" s="40" t="n"/>
      <c r="D594" s="41" t="n"/>
      <c r="E594" s="42" t="n">
        <v>45492.41666666666</v>
      </c>
      <c r="F594" s="43" t="inlineStr">
        <is>
          <t>Popcorn Culture</t>
        </is>
      </c>
      <c r="G594" t="inlineStr">
        <is>
          <t>673 Mustaches | Popcorn Culture</t>
        </is>
      </c>
      <c r="H594" s="44" t="n">
        <v>0.05694444444444444</v>
      </c>
      <c r="I594" s="45" t="n">
        <v>4043</v>
      </c>
      <c r="J594" s="45" t="n">
        <v>189</v>
      </c>
      <c r="K594" s="45" t="n">
        <v>40</v>
      </c>
      <c r="L594" s="46" t="n"/>
      <c r="M594" s="47" t="n"/>
      <c r="N594" s="47" t="inlineStr">
        <is>
          <t>UCHfIbq9thHPC8yrKjAdJgDA</t>
        </is>
      </c>
      <c r="O594" s="48" t="n">
        <v>45492.58333333334</v>
      </c>
      <c r="P594" s="49" t="n">
        <v>45492</v>
      </c>
      <c r="Q594" s="47" t="n">
        <v>2674</v>
      </c>
      <c r="R594" s="47" t="inlineStr">
        <is>
          <t>No Video ID yet</t>
        </is>
      </c>
      <c r="S594" s="49" t="n"/>
      <c r="T594" s="49" t="n"/>
      <c r="U594" s="47" t="inlineStr">
        <is>
          <t>In the 241st episode of the Pop, Ben and J discuss reconfiguring the SCB set, couches, Roanoke’s crappy movie theaters, social media bios, actors who look alike, alien abductions, mustache growth, and multiverses. Despicable Me 4 - Steve Prefontaine - Without Limits - Donald Sutherland - Keifer Sutherland - Designated Survivor - Alternate Title: I Have Been Productivity In Couch Limbo Underusing Vacuum Tubes 00:00 - Intro, Re-Doing the Set 20:22 - Movie Theaters 34:51 - Related Actors 45:04 - Mustache Growth and Multiverses</t>
        </is>
      </c>
      <c r="V594" s="47">
        <f>IF(AND(P594&gt;=Calendar!$K$2,P594&lt;EDATE(Calendar!$K$2,1),OR(Calendar!$K$4="*",N594=Calendar!$K$4)),P594*100+COUNTIFS($P$6:$P$3267,P594,$Q$6:$Q$3267,"&lt;="&amp;Q594,$N$6:$N$3267,Calendar!$K$4),"")</f>
        <v/>
      </c>
      <c r="W594" s="47">
        <f>IF(AND(B594=Queue!$C$4,OR(Queue!$K$4="*",N594=Queue!$K$4)),Q594,"")</f>
        <v/>
      </c>
    </row>
    <row r="595">
      <c r="A595" s="38">
        <f>IF(M595="","",HYPERLINK("https://www.youtube.com/watch?v="&amp;M595,"▶"))</f>
        <v/>
      </c>
      <c r="B595" s="39">
        <f>IF(C595&lt;&gt;"",C595,IF(P595&lt;=IFERROR(INDEX(tblChannels[Watched Through],MATCH(N595,tblChannels[Channel ID],0)),0),"Watched","Unwatched"))</f>
        <v/>
      </c>
      <c r="C595" s="40" t="n"/>
      <c r="D595" s="41" t="n"/>
      <c r="E595" s="42" t="n">
        <v>45490.71944444445</v>
      </c>
      <c r="F595" s="50" t="inlineStr">
        <is>
          <t>Super Carlin Brothers</t>
        </is>
      </c>
      <c r="G595" t="inlineStr">
        <is>
          <t>J vs Ben: ULTIMATE Lucius Malfoy Harry Potter TRIVIA Quiz feat. BrettsThoughts</t>
        </is>
      </c>
      <c r="H595" s="44" t="n">
        <v>0.03070601851851852</v>
      </c>
      <c r="I595" s="45" t="n">
        <v>151063</v>
      </c>
      <c r="J595" s="45" t="n">
        <v>5097</v>
      </c>
      <c r="K595" s="45" t="n">
        <v>412</v>
      </c>
      <c r="L595" s="46" t="n"/>
      <c r="M595" s="47" t="n"/>
      <c r="N595" s="47" t="inlineStr">
        <is>
          <t>UCKZo4N0lVPccBkSiuyVh4yg</t>
        </is>
      </c>
      <c r="O595" s="48" t="n">
        <v>45490.88611111111</v>
      </c>
      <c r="P595" s="49" t="n">
        <v>45490</v>
      </c>
      <c r="Q595" s="47" t="n">
        <v>2673</v>
      </c>
      <c r="R595" s="47" t="inlineStr">
        <is>
          <t>No Video ID yet</t>
        </is>
      </c>
      <c r="S595" s="49" t="n"/>
      <c r="T595" s="49" t="n"/>
      <c r="U595" s="47" t="inlineStr">
        <is>
          <t>Go to to get 20% off your first order and free shipping. Go to to cancel your unwanted subscriptions with Rocket Money. You can bet your father will hear about this because today J and Ben invite Brett’sThoughts into another edition of J vs Ben to find out who knows more about Voldemort’s slipperiest friend: Lucius Malfoy! Check out Brett’s Thoughts:: Play Along with us ::</t>
        </is>
      </c>
      <c r="V595" s="47">
        <f>IF(AND(P595&gt;=Calendar!$K$2,P595&lt;EDATE(Calendar!$K$2,1),OR(Calendar!$K$4="*",N595=Calendar!$K$4)),P595*100+COUNTIFS($P$6:$P$3267,P595,$Q$6:$Q$3267,"&lt;="&amp;Q595,$N$6:$N$3267,Calendar!$K$4),"")</f>
        <v/>
      </c>
      <c r="W595" s="47">
        <f>IF(AND(B595=Queue!$C$4,OR(Queue!$K$4="*",N595=Queue!$K$4)),Q595,"")</f>
        <v/>
      </c>
    </row>
    <row r="596">
      <c r="A596" s="38">
        <f>IF(M596="","",HYPERLINK("https://www.youtube.com/watch?v="&amp;M596,"▶"))</f>
        <v/>
      </c>
      <c r="B596" s="39">
        <f>IF(C596&lt;&gt;"",C596,IF(P596&lt;=IFERROR(INDEX(tblChannels[Watched Through],MATCH(N596,tblChannels[Channel ID],0)),0),"Watched","Unwatched"))</f>
        <v/>
      </c>
      <c r="C596" s="40" t="n"/>
      <c r="D596" s="41" t="n"/>
      <c r="E596" s="42" t="n">
        <v>45487.41666666666</v>
      </c>
      <c r="F596" s="51" t="inlineStr">
        <is>
          <t>Through The Griffin Door</t>
        </is>
      </c>
      <c r="G596" t="inlineStr">
        <is>
          <t>Chapter 6: Talons and Tea Leaves | Prisoner of Azkaban</t>
        </is>
      </c>
      <c r="H596" s="44" t="n">
        <v>0.06679398148148148</v>
      </c>
      <c r="I596" s="45" t="n">
        <v>77907</v>
      </c>
      <c r="J596" s="45" t="n">
        <v>2114</v>
      </c>
      <c r="K596" s="45" t="n">
        <v>615</v>
      </c>
      <c r="L596" s="46" t="n"/>
      <c r="M596" s="47" t="n"/>
      <c r="N596" s="47" t="inlineStr">
        <is>
          <t>UCEscP6ETYXWSSvsNrDHekMQ</t>
        </is>
      </c>
      <c r="O596" s="48" t="n">
        <v>45487.58333333334</v>
      </c>
      <c r="P596" s="49" t="n">
        <v>45487</v>
      </c>
      <c r="Q596" s="47" t="n">
        <v>2672</v>
      </c>
      <c r="R596" s="47" t="inlineStr">
        <is>
          <t>No Video ID yet</t>
        </is>
      </c>
      <c r="S596" s="49" t="n"/>
      <c r="T596" s="49" t="n"/>
      <c r="U596" s="47" t="inlineStr">
        <is>
          <t>Want to join our brand new Patreon? Go to patreon.com/ThroughtheGriffinDoor and sign up for either tier! Join J and Ben as they dive into Chapter 6 of the Prisoner of Azkaban and discuss Trelawney’s predictions, Fred and George’s empathy, the Third Years’ schedules, Sir Cadogan, Divination Class, Transfiguration Class, the Grim, haughtiness, Buckbeak and Malfoy’s interaction, and visiting Hagrid. Seattle - 9/21 (SOLD OUT) (apologies we recorded this before they sold out) Portland - 9/23 (12 tickets left as of Friday!) Trelawney's Actually ALWAYS Right? - Despicable Me - 00:00 - Intro, Announcements and Chapter Art 20:32 - Chapter Breakdown 1:26:47 - Closing Thoughts and Review</t>
        </is>
      </c>
      <c r="V596" s="47">
        <f>IF(AND(P596&gt;=Calendar!$K$2,P596&lt;EDATE(Calendar!$K$2,1),OR(Calendar!$K$4="*",N596=Calendar!$K$4)),P596*100+COUNTIFS($P$6:$P$3267,P596,$Q$6:$Q$3267,"&lt;="&amp;Q596,$N$6:$N$3267,Calendar!$K$4),"")</f>
        <v/>
      </c>
      <c r="W596" s="47">
        <f>IF(AND(B596=Queue!$C$4,OR(Queue!$K$4="*",N596=Queue!$K$4)),Q596,"")</f>
        <v/>
      </c>
    </row>
    <row r="597">
      <c r="A597" s="38">
        <f>IF(M597="","",HYPERLINK("https://www.youtube.com/watch?v="&amp;M597,"▶"))</f>
        <v/>
      </c>
      <c r="B597" s="39">
        <f>IF(C597&lt;&gt;"",C597,IF(P597&lt;=IFERROR(INDEX(tblChannels[Watched Through],MATCH(N597,tblChannels[Channel ID],0)),0),"Watched","Unwatched"))</f>
        <v/>
      </c>
      <c r="C597" s="40" t="n"/>
      <c r="D597" s="41" t="n"/>
      <c r="E597" s="42" t="n">
        <v>45485.70625</v>
      </c>
      <c r="F597" s="50" t="inlineStr">
        <is>
          <t>Super Carlin Brothers</t>
        </is>
      </c>
      <c r="G597" t="inlineStr">
        <is>
          <t>What If Voldemort SURVIVED | Harry Potter Film Theory</t>
        </is>
      </c>
      <c r="H597" s="44" t="n">
        <v>0.01047453703703704</v>
      </c>
      <c r="I597" s="45" t="n">
        <v>134906</v>
      </c>
      <c r="J597" s="45" t="n">
        <v>5870</v>
      </c>
      <c r="K597" s="45" t="n">
        <v>621</v>
      </c>
      <c r="L597" s="46" t="n"/>
      <c r="M597" s="47" t="n"/>
      <c r="N597" s="47" t="inlineStr">
        <is>
          <t>UCKZo4N0lVPccBkSiuyVh4yg</t>
        </is>
      </c>
      <c r="O597" s="48" t="n">
        <v>45485.87291666667</v>
      </c>
      <c r="P597" s="49" t="n">
        <v>45485</v>
      </c>
      <c r="Q597" s="47" t="n">
        <v>2671</v>
      </c>
      <c r="R597" s="47" t="inlineStr">
        <is>
          <t>No Video ID yet</t>
        </is>
      </c>
      <c r="S597" s="49" t="n"/>
      <c r="T597" s="49" t="n"/>
      <c r="U597" s="47" t="inlineStr">
        <is>
          <t>Go to to get 20% off and free shipping. Today Ben Dives into the Wizarding World of Harry Potter to find out What If Voldemort survived the final battle? Defeated but left alive? What would the Wizarding World do? Edited by : Isybelle Christley &amp; Ethan Edghill</t>
        </is>
      </c>
      <c r="V597" s="47">
        <f>IF(AND(P597&gt;=Calendar!$K$2,P597&lt;EDATE(Calendar!$K$2,1),OR(Calendar!$K$4="*",N597=Calendar!$K$4)),P597*100+COUNTIFS($P$6:$P$3267,P597,$Q$6:$Q$3267,"&lt;="&amp;Q597,$N$6:$N$3267,Calendar!$K$4),"")</f>
        <v/>
      </c>
      <c r="W597" s="47">
        <f>IF(AND(B597=Queue!$C$4,OR(Queue!$K$4="*",N597=Queue!$K$4)),Q597,"")</f>
        <v/>
      </c>
    </row>
    <row r="598">
      <c r="A598" s="38">
        <f>IF(M598="","",HYPERLINK("https://www.youtube.com/watch?v="&amp;M598,"▶"))</f>
        <v/>
      </c>
      <c r="B598" s="39">
        <f>IF(C598&lt;&gt;"",C598,IF(P598&lt;=IFERROR(INDEX(tblChannels[Watched Through],MATCH(N598,tblChannels[Channel ID],0)),0),"Watched","Unwatched"))</f>
        <v/>
      </c>
      <c r="C598" s="40" t="n"/>
      <c r="D598" s="41" t="n"/>
      <c r="E598" s="42" t="n">
        <v>45485.41666666666</v>
      </c>
      <c r="F598" s="43" t="inlineStr">
        <is>
          <t>Popcorn Culture</t>
        </is>
      </c>
      <c r="G598" t="inlineStr">
        <is>
          <t>Lunch Date Wingman | Popcorn Culture</t>
        </is>
      </c>
      <c r="H598" s="44" t="n">
        <v>0.05</v>
      </c>
      <c r="I598" s="45" t="n">
        <v>3868</v>
      </c>
      <c r="J598" s="45" t="n">
        <v>199</v>
      </c>
      <c r="K598" s="45" t="n">
        <v>18</v>
      </c>
      <c r="L598" s="46" t="n"/>
      <c r="M598" s="47" t="n"/>
      <c r="N598" s="47" t="inlineStr">
        <is>
          <t>UCHfIbq9thHPC8yrKjAdJgDA</t>
        </is>
      </c>
      <c r="O598" s="48" t="n">
        <v>45485.58333333334</v>
      </c>
      <c r="P598" s="49" t="n">
        <v>45485</v>
      </c>
      <c r="Q598" s="47" t="n">
        <v>2670</v>
      </c>
      <c r="R598" s="47" t="inlineStr">
        <is>
          <t>No Video ID yet</t>
        </is>
      </c>
      <c r="S598" s="49" t="n"/>
      <c r="T598" s="49" t="n"/>
      <c r="U598" s="47" t="inlineStr">
        <is>
          <t>In the 240th episode of the Pop, Ben and J discuss J’s weird quirk, backflips, the “we should get lunch” phenomenon, the but-crack, their lake trip, and Danny Ocean (the deer). What Else Can I Do - Alternate Title: Gainers are Scary The But-Crack The Most Glorious Trip The One That Got Away Our Own Carp Boy 00:00 - Intro, Busted AC 05:25 - Flips 17:14 - Social Media Pruning 31:27 - The Lake Trip 58:56 - J’s Garden</t>
        </is>
      </c>
      <c r="V598" s="47">
        <f>IF(AND(P598&gt;=Calendar!$K$2,P598&lt;EDATE(Calendar!$K$2,1),OR(Calendar!$K$4="*",N598=Calendar!$K$4)),P598*100+COUNTIFS($P$6:$P$3267,P598,$Q$6:$Q$3267,"&lt;="&amp;Q598,$N$6:$N$3267,Calendar!$K$4),"")</f>
        <v/>
      </c>
      <c r="W598" s="47">
        <f>IF(AND(B598=Queue!$C$4,OR(Queue!$K$4="*",N598=Queue!$K$4)),Q598,"")</f>
        <v/>
      </c>
    </row>
    <row r="599">
      <c r="A599" s="38">
        <f>IF(M599="","",HYPERLINK("https://www.youtube.com/watch?v="&amp;M599,"▶"))</f>
        <v/>
      </c>
      <c r="B599" s="39">
        <f>IF(C599&lt;&gt;"",C599,IF(P599&lt;=IFERROR(INDEX(tblChannels[Watched Through],MATCH(N599,tblChannels[Channel ID],0)),0),"Watched","Unwatched"))</f>
        <v/>
      </c>
      <c r="C599" s="40" t="n"/>
      <c r="D599" s="41" t="n"/>
      <c r="E599" s="42" t="n">
        <v>45483.70138888889</v>
      </c>
      <c r="F599" s="50" t="inlineStr">
        <is>
          <t>Super Carlin Brothers</t>
        </is>
      </c>
      <c r="G599" t="inlineStr">
        <is>
          <t>Ron Weasley Is A SEER | Harry Potter Film Theory</t>
        </is>
      </c>
      <c r="H599" s="44" t="n">
        <v>0.01164351851851852</v>
      </c>
      <c r="I599" s="45" t="n">
        <v>278460</v>
      </c>
      <c r="J599" s="45" t="n">
        <v>11551</v>
      </c>
      <c r="K599" s="45" t="n">
        <v>1097</v>
      </c>
      <c r="L599" s="46" t="n"/>
      <c r="M599" s="47" t="n"/>
      <c r="N599" s="47" t="inlineStr">
        <is>
          <t>UCKZo4N0lVPccBkSiuyVh4yg</t>
        </is>
      </c>
      <c r="O599" s="48" t="n">
        <v>45483.86805555555</v>
      </c>
      <c r="P599" s="49" t="n">
        <v>45483</v>
      </c>
      <c r="Q599" s="47" t="n">
        <v>2669</v>
      </c>
      <c r="R599" s="47" t="inlineStr">
        <is>
          <t>No Video ID yet</t>
        </is>
      </c>
      <c r="S599" s="49" t="n"/>
      <c r="T599" s="49" t="n"/>
      <c r="U599" s="47" t="inlineStr">
        <is>
          <t>Today J dives into the future of the Wizarding World of Harry Potter to try and figure out if Ron Weasley is a seer!</t>
        </is>
      </c>
      <c r="V599" s="47">
        <f>IF(AND(P599&gt;=Calendar!$K$2,P599&lt;EDATE(Calendar!$K$2,1),OR(Calendar!$K$4="*",N599=Calendar!$K$4)),P599*100+COUNTIFS($P$6:$P$3267,P599,$Q$6:$Q$3267,"&lt;="&amp;Q599,$N$6:$N$3267,Calendar!$K$4),"")</f>
        <v/>
      </c>
      <c r="W599" s="47">
        <f>IF(AND(B599=Queue!$C$4,OR(Queue!$K$4="*",N599=Queue!$K$4)),Q599,"")</f>
        <v/>
      </c>
    </row>
    <row r="600">
      <c r="A600" s="38">
        <f>IF(M600="","",HYPERLINK("https://www.youtube.com/watch?v="&amp;M600,"▶"))</f>
        <v/>
      </c>
      <c r="B600" s="39">
        <f>IF(C600&lt;&gt;"",C600,IF(P600&lt;=IFERROR(INDEX(tblChannels[Watched Through],MATCH(N600,tblChannels[Channel ID],0)),0),"Watched","Unwatched"))</f>
        <v/>
      </c>
      <c r="C600" s="40" t="n"/>
      <c r="D600" s="41" t="n"/>
      <c r="E600" s="42" t="n">
        <v>45480.41666666666</v>
      </c>
      <c r="F600" s="51" t="inlineStr">
        <is>
          <t>Through The Griffin Door</t>
        </is>
      </c>
      <c r="G600" t="inlineStr">
        <is>
          <t>Chapter 5: The Dementor | Prisoner of Azkaban</t>
        </is>
      </c>
      <c r="H600" s="44" t="n">
        <v>0.06896990740740741</v>
      </c>
      <c r="I600" s="45" t="n">
        <v>82420</v>
      </c>
      <c r="J600" s="45" t="n">
        <v>2229</v>
      </c>
      <c r="K600" s="45" t="n">
        <v>756</v>
      </c>
      <c r="L600" s="46" t="n"/>
      <c r="M600" s="47" t="n"/>
      <c r="N600" s="47" t="inlineStr">
        <is>
          <t>UCEscP6ETYXWSSvsNrDHekMQ</t>
        </is>
      </c>
      <c r="O600" s="48" t="n">
        <v>45480.58333333334</v>
      </c>
      <c r="P600" s="49" t="n">
        <v>45480</v>
      </c>
      <c r="Q600" s="47" t="n">
        <v>2668</v>
      </c>
      <c r="R600" s="47" t="inlineStr">
        <is>
          <t>No Video ID yet</t>
        </is>
      </c>
      <c r="S600" s="49" t="n"/>
      <c r="T600" s="49" t="n"/>
      <c r="U600" s="47" t="inlineStr">
        <is>
          <t>Want to join our brand new Patreon? Go to patreon.com/ThroughtheGriffinDoor and sign up for either tier! Join J and Ben as they dive into Chapter 5 of the Prisoner of Azkaban and discuss love potions, getting the kids on the train, Harry’s conversation with Mr. Weasley, Lupin on the train, the sneakoscope, the Hogsmeade description, the Dementor, and the start of year feast. 12:58 - Chapter Breakdown 1:30:42- Closing Thoughts and Review</t>
        </is>
      </c>
      <c r="V600" s="47">
        <f>IF(AND(P600&gt;=Calendar!$K$2,P600&lt;EDATE(Calendar!$K$2,1),OR(Calendar!$K$4="*",N600=Calendar!$K$4)),P600*100+COUNTIFS($P$6:$P$3267,P600,$Q$6:$Q$3267,"&lt;="&amp;Q600,$N$6:$N$3267,Calendar!$K$4),"")</f>
        <v/>
      </c>
      <c r="W600" s="47">
        <f>IF(AND(B600=Queue!$C$4,OR(Queue!$K$4="*",N600=Queue!$K$4)),Q600,"")</f>
        <v/>
      </c>
    </row>
    <row r="601">
      <c r="A601" s="38">
        <f>IF(M601="","",HYPERLINK("https://www.youtube.com/watch?v="&amp;M601,"▶"))</f>
        <v/>
      </c>
      <c r="B601" s="39">
        <f>IF(C601&lt;&gt;"",C601,IF(P601&lt;=IFERROR(INDEX(tblChannels[Watched Through],MATCH(N601,tblChannels[Channel ID],0)),0),"Watched","Unwatched"))</f>
        <v/>
      </c>
      <c r="C601" s="40" t="n"/>
      <c r="D601" s="41" t="n"/>
      <c r="E601" s="42" t="n">
        <v>45478.58333333334</v>
      </c>
      <c r="F601" s="50" t="inlineStr">
        <is>
          <t>Super Carlin Brothers</t>
        </is>
      </c>
      <c r="G601" t="inlineStr">
        <is>
          <t>J vs Ben: Brother Knows BEST</t>
        </is>
      </c>
      <c r="H601" s="44" t="n">
        <v>0.02212962962962963</v>
      </c>
      <c r="I601" s="45" t="n">
        <v>99163</v>
      </c>
      <c r="J601" s="45" t="n">
        <v>4883</v>
      </c>
      <c r="K601" s="45" t="n">
        <v>436</v>
      </c>
      <c r="L601" s="46" t="n"/>
      <c r="M601" s="47" t="n"/>
      <c r="N601" s="47" t="inlineStr">
        <is>
          <t>UCKZo4N0lVPccBkSiuyVh4yg</t>
        </is>
      </c>
      <c r="O601" s="48" t="n">
        <v>45478.75</v>
      </c>
      <c r="P601" s="49" t="n">
        <v>45478</v>
      </c>
      <c r="Q601" s="47" t="n">
        <v>2667</v>
      </c>
      <c r="R601" s="47" t="inlineStr">
        <is>
          <t>No Video ID yet</t>
        </is>
      </c>
      <c r="S601" s="49" t="n"/>
      <c r="T601" s="49" t="n"/>
      <c r="U601" s="47" t="inlineStr">
        <is>
          <t>Today J and Ben face off once more to find out who knows the other brother better! Yea we are playing the newly wed game FANDOM STYLE! Which fictional world would you want to live in? Which celebrity would you want to have lunch with? #SuperCarlinBrothers #JvsBen</t>
        </is>
      </c>
      <c r="V601" s="47">
        <f>IF(AND(P601&gt;=Calendar!$K$2,P601&lt;EDATE(Calendar!$K$2,1),OR(Calendar!$K$4="*",N601=Calendar!$K$4)),P601*100+COUNTIFS($P$6:$P$3267,P601,$Q$6:$Q$3267,"&lt;="&amp;Q601,$N$6:$N$3267,Calendar!$K$4),"")</f>
        <v/>
      </c>
      <c r="W601" s="47">
        <f>IF(AND(B601=Queue!$C$4,OR(Queue!$K$4="*",N601=Queue!$K$4)),Q601,"")</f>
        <v/>
      </c>
    </row>
    <row r="602">
      <c r="A602" s="38">
        <f>IF(M602="","",HYPERLINK("https://www.youtube.com/watch?v="&amp;M602,"▶"))</f>
        <v/>
      </c>
      <c r="B602" s="39">
        <f>IF(C602&lt;&gt;"",C602,IF(P602&lt;=IFERROR(INDEX(tblChannels[Watched Through],MATCH(N602,tblChannels[Channel ID],0)),0),"Watched","Unwatched"))</f>
        <v/>
      </c>
      <c r="C602" s="40" t="n"/>
      <c r="D602" s="41" t="n"/>
      <c r="E602" s="42" t="n">
        <v>45478.41666666666</v>
      </c>
      <c r="F602" s="43" t="inlineStr">
        <is>
          <t>Popcorn Culture</t>
        </is>
      </c>
      <c r="G602" t="inlineStr">
        <is>
          <t>The OutSTANDING Q+A | Popcorn Culture</t>
        </is>
      </c>
      <c r="H602" s="44" t="n">
        <v>0.04438657407407407</v>
      </c>
      <c r="I602" s="45" t="n">
        <v>4037</v>
      </c>
      <c r="J602" s="45" t="n">
        <v>238</v>
      </c>
      <c r="K602" s="45" t="n">
        <v>39</v>
      </c>
      <c r="L602" s="46" t="n"/>
      <c r="M602" s="47" t="n"/>
      <c r="N602" s="47" t="inlineStr">
        <is>
          <t>UCHfIbq9thHPC8yrKjAdJgDA</t>
        </is>
      </c>
      <c r="O602" s="48" t="n">
        <v>45478.58333333334</v>
      </c>
      <c r="P602" s="49" t="n">
        <v>45478</v>
      </c>
      <c r="Q602" s="47" t="n">
        <v>2666</v>
      </c>
      <c r="R602" s="47" t="inlineStr">
        <is>
          <t>No Video ID yet</t>
        </is>
      </c>
      <c r="S602" s="49" t="n"/>
      <c r="T602" s="49" t="n"/>
      <c r="U602" s="47" t="inlineStr">
        <is>
          <t>In the 239th episode of the Pop, Ben and J ANSWER MORE QUESTIONS… STANDING! They discuss J’s injury, his garden, guilty displeasures, things that catch us off guard, graduating college, not being divisive, favorite Olympic events, and HP characters. Oceans 11 - Simone Biles - Alternate Title: Guilty Displeasures The Wheel of Luck What Stories Are Made Of 00:00 - Intro, J’s Injury 08:27 - Q1: Guilty Displeasures 23:20 - Q2: Work/Life Balance 32:10 - Q3: The Real World 41:36 - Q4: Divisive Topics 48:51 - Q5: The Olympics 57:59 - Q6: Harry Potter Characters</t>
        </is>
      </c>
      <c r="V602" s="47">
        <f>IF(AND(P602&gt;=Calendar!$K$2,P602&lt;EDATE(Calendar!$K$2,1),OR(Calendar!$K$4="*",N602=Calendar!$K$4)),P602*100+COUNTIFS($P$6:$P$3267,P602,$Q$6:$Q$3267,"&lt;="&amp;Q602,$N$6:$N$3267,Calendar!$K$4),"")</f>
        <v/>
      </c>
      <c r="W602" s="47">
        <f>IF(AND(B602=Queue!$C$4,OR(Queue!$K$4="*",N602=Queue!$K$4)),Q602,"")</f>
        <v/>
      </c>
    </row>
    <row r="603">
      <c r="A603" s="38">
        <f>IF(M603="","",HYPERLINK("https://www.youtube.com/watch?v="&amp;M603,"▶"))</f>
        <v/>
      </c>
      <c r="B603" s="39">
        <f>IF(C603&lt;&gt;"",C603,IF(P603&lt;=IFERROR(INDEX(tblChannels[Watched Through],MATCH(N603,tblChannels[Channel ID],0)),0),"Watched","Unwatched"))</f>
        <v/>
      </c>
      <c r="C603" s="40" t="n"/>
      <c r="D603" s="41" t="n"/>
      <c r="E603" s="42" t="n">
        <v>45476.58333333334</v>
      </c>
      <c r="F603" s="50" t="inlineStr">
        <is>
          <t>Super Carlin Brothers</t>
        </is>
      </c>
      <c r="G603" t="inlineStr">
        <is>
          <t>Inside Out 2 REVIEW | Disney Pixar</t>
        </is>
      </c>
      <c r="H603" s="44" t="n">
        <v>0.04342592592592592</v>
      </c>
      <c r="I603" s="45" t="n">
        <v>62222</v>
      </c>
      <c r="J603" s="45" t="n">
        <v>2488</v>
      </c>
      <c r="K603" s="45" t="n">
        <v>384</v>
      </c>
      <c r="L603" s="46" t="n"/>
      <c r="M603" s="47" t="n"/>
      <c r="N603" s="47" t="inlineStr">
        <is>
          <t>UCKZo4N0lVPccBkSiuyVh4yg</t>
        </is>
      </c>
      <c r="O603" s="48" t="n">
        <v>45476.75</v>
      </c>
      <c r="P603" s="49" t="n">
        <v>45476</v>
      </c>
      <c r="Q603" s="47" t="n">
        <v>2665</v>
      </c>
      <c r="R603" s="47" t="inlineStr">
        <is>
          <t>No Video ID yet</t>
        </is>
      </c>
      <c r="S603" s="49" t="n"/>
      <c r="T603" s="49" t="n"/>
      <c r="U603" s="47" t="inlineStr">
        <is>
          <t>Today J and Ben dive into the Pixarverse to give their full spoiler review of Pixar’s latest movie: Inside Out 2. #supercarlinbrothers #Pixar #InsideOut2</t>
        </is>
      </c>
      <c r="V603" s="47">
        <f>IF(AND(P603&gt;=Calendar!$K$2,P603&lt;EDATE(Calendar!$K$2,1),OR(Calendar!$K$4="*",N603=Calendar!$K$4)),P603*100+COUNTIFS($P$6:$P$3267,P603,$Q$6:$Q$3267,"&lt;="&amp;Q603,$N$6:$N$3267,Calendar!$K$4),"")</f>
        <v/>
      </c>
      <c r="W603" s="47">
        <f>IF(AND(B603=Queue!$C$4,OR(Queue!$K$4="*",N603=Queue!$K$4)),Q603,"")</f>
        <v/>
      </c>
    </row>
    <row r="604">
      <c r="A604" s="38">
        <f>IF(M604="","",HYPERLINK("https://www.youtube.com/watch?v="&amp;M604,"▶"))</f>
        <v/>
      </c>
      <c r="B604" s="39">
        <f>IF(C604&lt;&gt;"",C604,IF(P604&lt;=IFERROR(INDEX(tblChannels[Watched Through],MATCH(N604,tblChannels[Channel ID],0)),0),"Watched","Unwatched"))</f>
        <v/>
      </c>
      <c r="C604" s="40" t="n"/>
      <c r="D604" s="41" t="n"/>
      <c r="E604" s="42" t="n">
        <v>45473.41666666666</v>
      </c>
      <c r="F604" s="51" t="inlineStr">
        <is>
          <t>Through The Griffin Door</t>
        </is>
      </c>
      <c r="G604" t="inlineStr">
        <is>
          <t>Chapter 4: The Leaky Cauldron | Prisoner of Azkaban</t>
        </is>
      </c>
      <c r="H604" s="44" t="n">
        <v>0.04565972222222222</v>
      </c>
      <c r="I604" s="45" t="n">
        <v>67105</v>
      </c>
      <c r="J604" s="45" t="n">
        <v>2091</v>
      </c>
      <c r="K604" s="45" t="n">
        <v>755</v>
      </c>
      <c r="L604" s="46" t="n"/>
      <c r="M604" s="47" t="n"/>
      <c r="N604" s="47" t="inlineStr">
        <is>
          <t>UCEscP6ETYXWSSvsNrDHekMQ</t>
        </is>
      </c>
      <c r="O604" s="48" t="n">
        <v>45473.58333333334</v>
      </c>
      <c r="P604" s="49" t="n">
        <v>45473</v>
      </c>
      <c r="Q604" s="47" t="n">
        <v>2664</v>
      </c>
      <c r="R604" s="47" t="inlineStr">
        <is>
          <t>No Video ID yet</t>
        </is>
      </c>
      <c r="S604" s="49" t="n"/>
      <c r="T604" s="49" t="n"/>
      <c r="U604" s="47" t="inlineStr">
        <is>
          <t>Join J and Ben as they dive into Chapter 4 of the Prisoner of Azkaban (in D.C.!!!) and discuss Harry’s carefree weeks, ice cream, the Firebolt, Flourish and Blotts, reuniting with Hermione and Ron, Scabbers hints, Crookshanks, Fred and George mocking Percy, and Harry’s instincts. 04:13 - Chapter Breakdown 1:04:27 - Closing Thoughts and Review</t>
        </is>
      </c>
      <c r="V604" s="47">
        <f>IF(AND(P604&gt;=Calendar!$K$2,P604&lt;EDATE(Calendar!$K$2,1),OR(Calendar!$K$4="*",N604=Calendar!$K$4)),P604*100+COUNTIFS($P$6:$P$3267,P604,$Q$6:$Q$3267,"&lt;="&amp;Q604,$N$6:$N$3267,Calendar!$K$4),"")</f>
        <v/>
      </c>
      <c r="W604" s="47">
        <f>IF(AND(B604=Queue!$C$4,OR(Queue!$K$4="*",N604=Queue!$K$4)),Q604,"")</f>
        <v/>
      </c>
    </row>
    <row r="605">
      <c r="A605" s="38">
        <f>IF(M605="","",HYPERLINK("https://www.youtube.com/watch?v="&amp;M605,"▶"))</f>
        <v/>
      </c>
      <c r="B605" s="39">
        <f>IF(C605&lt;&gt;"",C605,IF(P605&lt;=IFERROR(INDEX(tblChannels[Watched Through],MATCH(N605,tblChannels[Channel ID],0)),0),"Watched","Unwatched"))</f>
        <v/>
      </c>
      <c r="C605" s="40" t="n"/>
      <c r="D605" s="41" t="n"/>
      <c r="E605" s="42" t="n">
        <v>45472.41666666666</v>
      </c>
      <c r="F605" s="50" t="inlineStr">
        <is>
          <t>Super Carlin Brothers</t>
        </is>
      </c>
      <c r="G605" t="inlineStr">
        <is>
          <t>Through the Griffin Door Supercut: Prisoner of Azkaban Chapters 1-3</t>
        </is>
      </c>
      <c r="H605" s="44" t="n">
        <v>0.1247453703703704</v>
      </c>
      <c r="I605" s="45" t="n">
        <v>49889</v>
      </c>
      <c r="J605" s="45" t="n">
        <v>729</v>
      </c>
      <c r="K605" s="45" t="n">
        <v>118</v>
      </c>
      <c r="L605" s="46" t="n"/>
      <c r="M605" s="47" t="n"/>
      <c r="N605" s="47" t="inlineStr">
        <is>
          <t>UCKZo4N0lVPccBkSiuyVh4yg</t>
        </is>
      </c>
      <c r="O605" s="48" t="n">
        <v>45472.58333333334</v>
      </c>
      <c r="P605" s="49" t="n">
        <v>45472</v>
      </c>
      <c r="Q605" s="47" t="n">
        <v>2663</v>
      </c>
      <c r="R605" s="47" t="inlineStr">
        <is>
          <t>No Video ID yet</t>
        </is>
      </c>
      <c r="S605" s="49" t="n"/>
      <c r="T605" s="49" t="n"/>
      <c r="U605" s="47" t="inlineStr">
        <is>
          <t>00:00:00 - Chapter 1: Owl Post 01:17:57 - Chapter 2: Aunt Marge's Big Mistake 02:04:08 - Chapter 3: The Knight Bus</t>
        </is>
      </c>
      <c r="V605" s="47">
        <f>IF(AND(P605&gt;=Calendar!$K$2,P605&lt;EDATE(Calendar!$K$2,1),OR(Calendar!$K$4="*",N605=Calendar!$K$4)),P605*100+COUNTIFS($P$6:$P$3267,P605,$Q$6:$Q$3267,"&lt;="&amp;Q605,$N$6:$N$3267,Calendar!$K$4),"")</f>
        <v/>
      </c>
      <c r="W605" s="47">
        <f>IF(AND(B605=Queue!$C$4,OR(Queue!$K$4="*",N605=Queue!$K$4)),Q605,"")</f>
        <v/>
      </c>
    </row>
    <row r="606">
      <c r="A606" s="38">
        <f>IF(M606="","",HYPERLINK("https://www.youtube.com/watch?v="&amp;M606,"▶"))</f>
        <v/>
      </c>
      <c r="B606" s="39">
        <f>IF(C606&lt;&gt;"",C606,IF(P606&lt;=IFERROR(INDEX(tblChannels[Watched Through],MATCH(N606,tblChannels[Channel ID],0)),0),"Watched","Unwatched"))</f>
        <v/>
      </c>
      <c r="C606" s="40" t="n"/>
      <c r="D606" s="41" t="n"/>
      <c r="E606" s="42" t="n">
        <v>45471.69097222222</v>
      </c>
      <c r="F606" s="50" t="inlineStr">
        <is>
          <t>Super Carlin Brothers</t>
        </is>
      </c>
      <c r="G606" t="inlineStr">
        <is>
          <t>What We NEED From A Harry Potter TV Show | Harry Potter Film Theory</t>
        </is>
      </c>
      <c r="H606" s="44" t="n">
        <v>0.009976851851851851</v>
      </c>
      <c r="I606" s="45" t="n">
        <v>93049</v>
      </c>
      <c r="J606" s="45" t="n">
        <v>5082</v>
      </c>
      <c r="K606" s="45" t="n">
        <v>811</v>
      </c>
      <c r="L606" s="46" t="n"/>
      <c r="M606" s="47" t="n"/>
      <c r="N606" s="47" t="inlineStr">
        <is>
          <t>UCKZo4N0lVPccBkSiuyVh4yg</t>
        </is>
      </c>
      <c r="O606" s="48" t="n">
        <v>45471.85763888889</v>
      </c>
      <c r="P606" s="49" t="n">
        <v>45471</v>
      </c>
      <c r="Q606" s="47" t="n">
        <v>2662</v>
      </c>
      <c r="R606" s="47" t="inlineStr">
        <is>
          <t>No Video ID yet</t>
        </is>
      </c>
      <c r="S606" s="49" t="n"/>
      <c r="T606" s="49" t="n"/>
      <c r="U606" s="47" t="inlineStr">
        <is>
          <t>Get a free Mystery Gift with your first monthly shipment when you sign up at Today Ben dives into the future of the Wizarding World to pitch his reasoning for WHY WE NEED a What If Harry Potter show!</t>
        </is>
      </c>
      <c r="V606" s="47">
        <f>IF(AND(P606&gt;=Calendar!$K$2,P606&lt;EDATE(Calendar!$K$2,1),OR(Calendar!$K$4="*",N606=Calendar!$K$4)),P606*100+COUNTIFS($P$6:$P$3267,P606,$Q$6:$Q$3267,"&lt;="&amp;Q606,$N$6:$N$3267,Calendar!$K$4),"")</f>
        <v/>
      </c>
      <c r="W606" s="47">
        <f>IF(AND(B606=Queue!$C$4,OR(Queue!$K$4="*",N606=Queue!$K$4)),Q606,"")</f>
        <v/>
      </c>
    </row>
    <row r="607">
      <c r="A607" s="38">
        <f>IF(M607="","",HYPERLINK("https://www.youtube.com/watch?v="&amp;M607,"▶"))</f>
        <v/>
      </c>
      <c r="B607" s="39">
        <f>IF(C607&lt;&gt;"",C607,IF(P607&lt;=IFERROR(INDEX(tblChannels[Watched Through],MATCH(N607,tblChannels[Channel ID],0)),0),"Watched","Unwatched"))</f>
        <v/>
      </c>
      <c r="C607" s="40" t="n"/>
      <c r="D607" s="41" t="n"/>
      <c r="E607" s="42" t="n">
        <v>45471.41666666666</v>
      </c>
      <c r="F607" s="43" t="inlineStr">
        <is>
          <t>Popcorn Culture</t>
        </is>
      </c>
      <c r="G607" t="inlineStr">
        <is>
          <t>Koozies vs. Huggers | Popcorn Culture</t>
        </is>
      </c>
      <c r="H607" s="44" t="n">
        <v>0.04920138888888889</v>
      </c>
      <c r="I607" s="45" t="n">
        <v>4149</v>
      </c>
      <c r="J607" s="45" t="n">
        <v>203</v>
      </c>
      <c r="K607" s="45" t="n">
        <v>27</v>
      </c>
      <c r="L607" s="46" t="n"/>
      <c r="M607" s="47" t="n"/>
      <c r="N607" s="47" t="inlineStr">
        <is>
          <t>UCHfIbq9thHPC8yrKjAdJgDA</t>
        </is>
      </c>
      <c r="O607" s="48" t="n">
        <v>45471.58333333334</v>
      </c>
      <c r="P607" s="49" t="n">
        <v>45471</v>
      </c>
      <c r="Q607" s="47" t="n">
        <v>2661</v>
      </c>
      <c r="R607" s="47" t="inlineStr">
        <is>
          <t>No Video ID yet</t>
        </is>
      </c>
      <c r="S607" s="49" t="n"/>
      <c r="T607" s="49" t="n"/>
      <c r="U607" s="47" t="inlineStr">
        <is>
          <t>In the 238th episode of the Pop, Ben and J discuss if they could do an episode just by themselves, J’s mustache, a weirdly named restaurant, various koozies, nostalgia burn out, and what’s next for pop culture. Alternate Title: And Yet The Mustache PERSISTS! 00:00 - Intro, Solo Episodes 06:00 - J’s Mustache 20:41 - Amos Mosquitos 39:04 - An Interesting Bit of Feedback</t>
        </is>
      </c>
      <c r="V607" s="47">
        <f>IF(AND(P607&gt;=Calendar!$K$2,P607&lt;EDATE(Calendar!$K$2,1),OR(Calendar!$K$4="*",N607=Calendar!$K$4)),P607*100+COUNTIFS($P$6:$P$3267,P607,$Q$6:$Q$3267,"&lt;="&amp;Q607,$N$6:$N$3267,Calendar!$K$4),"")</f>
        <v/>
      </c>
      <c r="W607" s="47">
        <f>IF(AND(B607=Queue!$C$4,OR(Queue!$K$4="*",N607=Queue!$K$4)),Q607,"")</f>
        <v/>
      </c>
    </row>
    <row r="608">
      <c r="A608" s="38">
        <f>IF(M608="","",HYPERLINK("https://www.youtube.com/watch?v="&amp;M608,"▶"))</f>
        <v/>
      </c>
      <c r="B608" s="39">
        <f>IF(C608&lt;&gt;"",C608,IF(P608&lt;=IFERROR(INDEX(tblChannels[Watched Through],MATCH(N608,tblChannels[Channel ID],0)),0),"Watched","Unwatched"))</f>
        <v/>
      </c>
      <c r="C608" s="40" t="n"/>
      <c r="D608" s="41" t="n"/>
      <c r="E608" s="42" t="n">
        <v>45469.70347222222</v>
      </c>
      <c r="F608" s="50" t="inlineStr">
        <is>
          <t>Super Carlin Brothers</t>
        </is>
      </c>
      <c r="G608" t="inlineStr">
        <is>
          <t>Snape’s DARKEST Creation: The Drink of Despair | Harry Potter Film Theory</t>
        </is>
      </c>
      <c r="H608" s="44" t="n">
        <v>0.01238425925925926</v>
      </c>
      <c r="I608" s="45" t="n">
        <v>293838</v>
      </c>
      <c r="J608" s="45" t="n">
        <v>10361</v>
      </c>
      <c r="K608" s="45" t="n">
        <v>1054</v>
      </c>
      <c r="L608" s="46" t="n"/>
      <c r="M608" s="47" t="n"/>
      <c r="N608" s="47" t="inlineStr">
        <is>
          <t>UCKZo4N0lVPccBkSiuyVh4yg</t>
        </is>
      </c>
      <c r="O608" s="48" t="n">
        <v>45469.87013888889</v>
      </c>
      <c r="P608" s="49" t="n">
        <v>45469</v>
      </c>
      <c r="Q608" s="47" t="n">
        <v>2660</v>
      </c>
      <c r="R608" s="47" t="inlineStr">
        <is>
          <t>No Video ID yet</t>
        </is>
      </c>
      <c r="S608" s="49" t="n"/>
      <c r="T608" s="49" t="n"/>
      <c r="U608" s="47" t="inlineStr">
        <is>
          <t>Did Snape create the Drink of Despair, the dastardly potion protecting Slytherin's locket in the cave? Today J dives into the Wizarding World of Harry Potter (but tries to avoid the water of the lake in the cave) to discuss Severus Snape’s DARKEST creation and possibly worst secret. Check out Brett’s Thoughts :: #supercarlinbrothers #HarryPotter #theories</t>
        </is>
      </c>
      <c r="V608" s="47">
        <f>IF(AND(P608&gt;=Calendar!$K$2,P608&lt;EDATE(Calendar!$K$2,1),OR(Calendar!$K$4="*",N608=Calendar!$K$4)),P608*100+COUNTIFS($P$6:$P$3267,P608,$Q$6:$Q$3267,"&lt;="&amp;Q608,$N$6:$N$3267,Calendar!$K$4),"")</f>
        <v/>
      </c>
      <c r="W608" s="47">
        <f>IF(AND(B608=Queue!$C$4,OR(Queue!$K$4="*",N608=Queue!$K$4)),Q608,"")</f>
        <v/>
      </c>
    </row>
    <row r="609">
      <c r="A609" s="38">
        <f>IF(M609="","",HYPERLINK("https://www.youtube.com/watch?v="&amp;M609,"▶"))</f>
        <v/>
      </c>
      <c r="B609" s="39">
        <f>IF(C609&lt;&gt;"",C609,IF(P609&lt;=IFERROR(INDEX(tblChannels[Watched Through],MATCH(N609,tblChannels[Channel ID],0)),0),"Watched","Unwatched"))</f>
        <v/>
      </c>
      <c r="C609" s="40" t="n"/>
      <c r="D609" s="41" t="n"/>
      <c r="E609" s="42" t="n">
        <v>45466.41666666666</v>
      </c>
      <c r="F609" s="51" t="inlineStr">
        <is>
          <t>Through The Griffin Door</t>
        </is>
      </c>
      <c r="G609" t="inlineStr">
        <is>
          <t>Chapter 3: The Knight Bus | Prisoner of Azkaban</t>
        </is>
      </c>
      <c r="H609" s="44" t="n">
        <v>0.03854166666666667</v>
      </c>
      <c r="I609" s="45" t="n">
        <v>64103</v>
      </c>
      <c r="J609" s="45" t="n">
        <v>2189</v>
      </c>
      <c r="K609" s="45" t="n">
        <v>434</v>
      </c>
      <c r="L609" s="46" t="n"/>
      <c r="M609" s="47" t="n"/>
      <c r="N609" s="47" t="inlineStr">
        <is>
          <t>UCEscP6ETYXWSSvsNrDHekMQ</t>
        </is>
      </c>
      <c r="O609" s="48" t="n">
        <v>45466.58333333334</v>
      </c>
      <c r="P609" s="49" t="n">
        <v>45466</v>
      </c>
      <c r="Q609" s="47" t="n">
        <v>2659</v>
      </c>
      <c r="R609" s="47" t="inlineStr">
        <is>
          <t>No Video ID yet</t>
        </is>
      </c>
      <c r="S609" s="49" t="n"/>
      <c r="T609" s="49" t="n"/>
      <c r="U609" s="47" t="inlineStr">
        <is>
          <t>Join J and Ben as they dive into Chapter 3 of the Prisoner of Azkaban (in Philly!!!) and discuss Harry’s "worse" fixes, seeing Sirius for the first time, the interaction with Stan Shunpike, the mechanics of the Knight Bus, Fudge flustering, and Hedwig being the best. The Knight Bus's BIG SECRET - What If Neville Was the Chosen One - 05:34 - Chapter Breakdown 51:57 - Closing Thoughts and Review</t>
        </is>
      </c>
      <c r="V609" s="47">
        <f>IF(AND(P609&gt;=Calendar!$K$2,P609&lt;EDATE(Calendar!$K$2,1),OR(Calendar!$K$4="*",N609=Calendar!$K$4)),P609*100+COUNTIFS($P$6:$P$3267,P609,$Q$6:$Q$3267,"&lt;="&amp;Q609,$N$6:$N$3267,Calendar!$K$4),"")</f>
        <v/>
      </c>
      <c r="W609" s="47">
        <f>IF(AND(B609=Queue!$C$4,OR(Queue!$K$4="*",N609=Queue!$K$4)),Q609,"")</f>
        <v/>
      </c>
    </row>
    <row r="610">
      <c r="A610" s="38">
        <f>IF(M610="","",HYPERLINK("https://www.youtube.com/watch?v="&amp;M610,"▶"))</f>
        <v/>
      </c>
      <c r="B610" s="39">
        <f>IF(C610&lt;&gt;"",C610,IF(P610&lt;=IFERROR(INDEX(tblChannels[Watched Through],MATCH(N610,tblChannels[Channel ID],0)),0),"Watched","Unwatched"))</f>
        <v/>
      </c>
      <c r="C610" s="40" t="n"/>
      <c r="D610" s="41" t="n"/>
      <c r="E610" s="42" t="n">
        <v>45464.675</v>
      </c>
      <c r="F610" s="50" t="inlineStr">
        <is>
          <t>Super Carlin Brothers</t>
        </is>
      </c>
      <c r="G610" t="inlineStr">
        <is>
          <t>J vs Ben: IMPOSSIBLE Neville Longbottom Harry Potter TRIVIA Quiz</t>
        </is>
      </c>
      <c r="H610" s="44" t="n">
        <v>0.03221064814814815</v>
      </c>
      <c r="I610" s="45" t="n">
        <v>212582</v>
      </c>
      <c r="J610" s="45" t="n">
        <v>5422</v>
      </c>
      <c r="K610" s="45" t="n">
        <v>582</v>
      </c>
      <c r="L610" s="46" t="n"/>
      <c r="M610" s="47" t="n"/>
      <c r="N610" s="47" t="inlineStr">
        <is>
          <t>UCKZo4N0lVPccBkSiuyVh4yg</t>
        </is>
      </c>
      <c r="O610" s="48" t="n">
        <v>45464.84166666667</v>
      </c>
      <c r="P610" s="49" t="n">
        <v>45464</v>
      </c>
      <c r="Q610" s="47" t="n">
        <v>2658</v>
      </c>
      <c r="R610" s="47" t="inlineStr">
        <is>
          <t>No Video ID yet</t>
        </is>
      </c>
      <c r="S610" s="49" t="n"/>
      <c r="T610" s="49" t="n"/>
      <c r="U610" s="47" t="inlineStr">
        <is>
          <t>Go to to get 20% off your first order and free shipping. Go to to get 10% off your first purchase. Today J and Ben face off once more to find out who knows more about the Wizarding World of Harry Potter’s most famous loser of toads: Neville Longbottom! Can you keep up with the ULTIMATE Neville Longbottom Harry Potter TRIVIA Quiz? 02:35 - Q1: What did Neville lose? 04:14 - Q2: What creature hung Neville from a chandelier? 06:18 - Q3: What was Neville's second wand made of? 09:16 - Q4: What painting did Neville travel through? 11:07 - Q5: What did Neville break when he fell off the broom? 12:49 - Q6: Who does Neville take to the Yule ball? 14:53 - Q7: How many teacups does Neville break? 17:30 - Q8: What spell does Ginny use to clean up Stinksap from Neville's plant? 24:14 - Q9: Which NEWT subject did Neville's grandma not want him to take? 26:48- Q10: What did Moody make Neville do under the Imperius Curse? 28:42 - Q11: Who was Neville partnered with for the first DA meeting? 30:20 - Q12: What password did Neville forget the night of the Midnight Duel? 34:11 - Q13: What grade did Neville get on his Transfiguration O.W.L.? 37:55 - Q14: What detention did Snape give Neville in his 4th</t>
        </is>
      </c>
      <c r="V610" s="47">
        <f>IF(AND(P610&gt;=Calendar!$K$2,P610&lt;EDATE(Calendar!$K$2,1),OR(Calendar!$K$4="*",N610=Calendar!$K$4)),P610*100+COUNTIFS($P$6:$P$3267,P610,$Q$6:$Q$3267,"&lt;="&amp;Q610,$N$6:$N$3267,Calendar!$K$4),"")</f>
        <v/>
      </c>
      <c r="W610" s="47">
        <f>IF(AND(B610=Queue!$C$4,OR(Queue!$K$4="*",N610=Queue!$K$4)),Q610,"")</f>
        <v/>
      </c>
    </row>
    <row r="611">
      <c r="A611" s="38">
        <f>IF(M611="","",HYPERLINK("https://www.youtube.com/watch?v="&amp;M611,"▶"))</f>
        <v/>
      </c>
      <c r="B611" s="39">
        <f>IF(C611&lt;&gt;"",C611,IF(P611&lt;=IFERROR(INDEX(tblChannels[Watched Through],MATCH(N611,tblChannels[Channel ID],0)),0),"Watched","Unwatched"))</f>
        <v/>
      </c>
      <c r="C611" s="40" t="n"/>
      <c r="D611" s="41" t="n"/>
      <c r="E611" s="42" t="n">
        <v>45464.41666666666</v>
      </c>
      <c r="F611" s="43" t="inlineStr">
        <is>
          <t>Popcorn Culture</t>
        </is>
      </c>
      <c r="G611" t="inlineStr">
        <is>
          <t>Ask Me About My Compost | Popcorn Culture</t>
        </is>
      </c>
      <c r="H611" s="44" t="n">
        <v>0.05119212962962963</v>
      </c>
      <c r="I611" s="45" t="n">
        <v>4413</v>
      </c>
      <c r="J611" s="45" t="n">
        <v>201</v>
      </c>
      <c r="K611" s="45" t="n">
        <v>25</v>
      </c>
      <c r="L611" s="46" t="n"/>
      <c r="M611" s="47" t="n"/>
      <c r="N611" s="47" t="inlineStr">
        <is>
          <t>UCHfIbq9thHPC8yrKjAdJgDA</t>
        </is>
      </c>
      <c r="O611" s="48" t="n">
        <v>45464.58333333334</v>
      </c>
      <c r="P611" s="49" t="n">
        <v>45464</v>
      </c>
      <c r="Q611" s="47" t="n">
        <v>2657</v>
      </c>
      <c r="R611" s="47" t="inlineStr">
        <is>
          <t>No Video ID yet</t>
        </is>
      </c>
      <c r="S611" s="49" t="n"/>
      <c r="T611" s="49" t="n"/>
      <c r="U611" s="47" t="inlineStr">
        <is>
          <t>In the 237th episode of the Pop, Ben and J discuss mundane tasks, anxiety reactions, their love languages, Father’s Day, cliff jumping, composting, Bigfoot people, and pecan trees. GET YOUR THROUGH THE GRIFFIN TOUR TICKETS HERE (after 1:00pm EDT on Friday the 21st): Alternate Title: Anxiety: The Worst Fight, Flight, Freeze or FAWN J’s Bigfoot Lovely and Delicious Pecans 00:00 - THROUGH THE GRIFFIN TOUR WEST COAST! 01:10 - Intro, To-Do Lists 10:00 - Fight or Flight 26:33 - Love Languages 31:22 - Fathers Day 58:32 - J’s Bigfoots</t>
        </is>
      </c>
      <c r="V611" s="47">
        <f>IF(AND(P611&gt;=Calendar!$K$2,P611&lt;EDATE(Calendar!$K$2,1),OR(Calendar!$K$4="*",N611=Calendar!$K$4)),P611*100+COUNTIFS($P$6:$P$3267,P611,$Q$6:$Q$3267,"&lt;="&amp;Q611,$N$6:$N$3267,Calendar!$K$4),"")</f>
        <v/>
      </c>
      <c r="W611" s="47">
        <f>IF(AND(B611=Queue!$C$4,OR(Queue!$K$4="*",N611=Queue!$K$4)),Q611,"")</f>
        <v/>
      </c>
    </row>
    <row r="612">
      <c r="A612" s="38">
        <f>IF(M612="","",HYPERLINK("https://www.youtube.com/watch?v="&amp;M612,"▶"))</f>
        <v/>
      </c>
      <c r="B612" s="39">
        <f>IF(C612&lt;&gt;"",C612,IF(P612&lt;=IFERROR(INDEX(tblChannels[Watched Through],MATCH(N612,tblChannels[Channel ID],0)),0),"Watched","Unwatched"))</f>
        <v/>
      </c>
      <c r="C612" s="40" t="n"/>
      <c r="D612" s="41" t="n"/>
      <c r="E612" s="42" t="n">
        <v>45462.71597222222</v>
      </c>
      <c r="F612" s="50" t="inlineStr">
        <is>
          <t>Super Carlin Brothers</t>
        </is>
      </c>
      <c r="G612" t="inlineStr">
        <is>
          <t>How Inside Out 2 Fits Into The Pixar Theory</t>
        </is>
      </c>
      <c r="H612" s="44" t="n">
        <v>0.01163194444444444</v>
      </c>
      <c r="I612" s="45" t="n">
        <v>132947</v>
      </c>
      <c r="J612" s="45" t="n">
        <v>5795</v>
      </c>
      <c r="K612" s="45" t="n">
        <v>624</v>
      </c>
      <c r="L612" s="46" t="n"/>
      <c r="M612" s="47" t="n"/>
      <c r="N612" s="47" t="inlineStr">
        <is>
          <t>UCKZo4N0lVPccBkSiuyVh4yg</t>
        </is>
      </c>
      <c r="O612" s="48" t="n">
        <v>45462.88263888889</v>
      </c>
      <c r="P612" s="49" t="n">
        <v>45462</v>
      </c>
      <c r="Q612" s="47" t="n">
        <v>2656</v>
      </c>
      <c r="R612" s="47" t="inlineStr">
        <is>
          <t>No Video ID yet</t>
        </is>
      </c>
      <c r="S612" s="49" t="n"/>
      <c r="T612" s="49" t="n"/>
      <c r="U612" s="47" t="inlineStr">
        <is>
          <t>Today J dives into the every growing world of the Pixar Theory to reveal how Inside Out 2 fits into the greater Pixar-verse and how it explains the source of MAGIC within Pixar! The Original Pixar Theory by Jon Negroni :: The Pixar Theory Song :: #supercarlinbrothers #Pixar #insideout2</t>
        </is>
      </c>
      <c r="V612" s="47">
        <f>IF(AND(P612&gt;=Calendar!$K$2,P612&lt;EDATE(Calendar!$K$2,1),OR(Calendar!$K$4="*",N612=Calendar!$K$4)),P612*100+COUNTIFS($P$6:$P$3267,P612,$Q$6:$Q$3267,"&lt;="&amp;Q612,$N$6:$N$3267,Calendar!$K$4),"")</f>
        <v/>
      </c>
      <c r="W612" s="47">
        <f>IF(AND(B612=Queue!$C$4,OR(Queue!$K$4="*",N612=Queue!$K$4)),Q612,"")</f>
        <v/>
      </c>
    </row>
    <row r="613">
      <c r="A613" s="38">
        <f>IF(M613="","",HYPERLINK("https://www.youtube.com/watch?v="&amp;M613,"▶"))</f>
        <v/>
      </c>
      <c r="B613" s="39">
        <f>IF(C613&lt;&gt;"",C613,IF(P613&lt;=IFERROR(INDEX(tblChannels[Watched Through],MATCH(N613,tblChannels[Channel ID],0)),0),"Watched","Unwatched"))</f>
        <v/>
      </c>
      <c r="C613" s="40" t="n"/>
      <c r="D613" s="41" t="n"/>
      <c r="E613" s="42" t="n">
        <v>45461.54166666666</v>
      </c>
      <c r="F613" s="43" t="inlineStr">
        <is>
          <t>Popcorn Culture</t>
        </is>
      </c>
      <c r="G613" t="inlineStr">
        <is>
          <t>THROUGH THE GRIFFIN TOUR - WEST COAST!</t>
        </is>
      </c>
      <c r="H613" s="44" t="n">
        <v>0.003009259259259259</v>
      </c>
      <c r="I613" s="45" t="n">
        <v>816</v>
      </c>
      <c r="J613" s="45" t="n">
        <v>89</v>
      </c>
      <c r="K613" s="45" t="n">
        <v>27</v>
      </c>
      <c r="L613" s="46" t="n"/>
      <c r="M613" s="47" t="n"/>
      <c r="N613" s="47" t="inlineStr">
        <is>
          <t>UCHfIbq9thHPC8yrKjAdJgDA</t>
        </is>
      </c>
      <c r="O613" s="48" t="n">
        <v>45461.70833333334</v>
      </c>
      <c r="P613" s="49" t="n">
        <v>45461</v>
      </c>
      <c r="Q613" s="47" t="n">
        <v>2655</v>
      </c>
      <c r="R613" s="47" t="inlineStr">
        <is>
          <t>No Video ID yet</t>
        </is>
      </c>
      <c r="S613" s="49" t="n"/>
      <c r="T613" s="49" t="n"/>
      <c r="U613" s="47" t="inlineStr">
        <is>
          <t>BIG ANNOUNCEMENT - WE'RE GOING ON TOUR... AGAIN! After the huge success of Through the Griffin TOUR here on the East Coast, we're now coming out to the West Coast! We'll be visiting 6 cities in September: Tickets go on sale THIS FRIDAY, June 21st at 10:00am PDT (1:00pm EDT). You can follow the links on our website: Be sure to set your alarms and mark your calendars cause tickets will go FAST! We can't wait to see you there!</t>
        </is>
      </c>
      <c r="V613" s="47">
        <f>IF(AND(P613&gt;=Calendar!$K$2,P613&lt;EDATE(Calendar!$K$2,1),OR(Calendar!$K$4="*",N613=Calendar!$K$4)),P613*100+COUNTIFS($P$6:$P$3267,P613,$Q$6:$Q$3267,"&lt;="&amp;Q613,$N$6:$N$3267,Calendar!$K$4),"")</f>
        <v/>
      </c>
      <c r="W613" s="47">
        <f>IF(AND(B613=Queue!$C$4,OR(Queue!$K$4="*",N613=Queue!$K$4)),Q613,"")</f>
        <v/>
      </c>
    </row>
    <row r="614">
      <c r="A614" s="38">
        <f>IF(M614="","",HYPERLINK("https://www.youtube.com/watch?v="&amp;M614,"▶"))</f>
        <v/>
      </c>
      <c r="B614" s="39">
        <f>IF(C614&lt;&gt;"",C614,IF(P614&lt;=IFERROR(INDEX(tblChannels[Watched Through],MATCH(N614,tblChannels[Channel ID],0)),0),"Watched","Unwatched"))</f>
        <v/>
      </c>
      <c r="C614" s="40" t="n"/>
      <c r="D614" s="41" t="n"/>
      <c r="E614" s="42" t="n">
        <v>45461.54166666666</v>
      </c>
      <c r="F614" s="51" t="inlineStr">
        <is>
          <t>Through The Griffin Door</t>
        </is>
      </c>
      <c r="G614" t="inlineStr">
        <is>
          <t>THROUGH THE GRIFFIN TOUR - WEST COAST!</t>
        </is>
      </c>
      <c r="H614" s="44" t="n">
        <v>0.003009259259259259</v>
      </c>
      <c r="I614" s="45" t="n">
        <v>8180</v>
      </c>
      <c r="J614" s="45" t="n">
        <v>526</v>
      </c>
      <c r="K614" s="45" t="n">
        <v>210</v>
      </c>
      <c r="L614" s="46" t="n"/>
      <c r="M614" s="47" t="n"/>
      <c r="N614" s="47" t="inlineStr">
        <is>
          <t>UCEscP6ETYXWSSvsNrDHekMQ</t>
        </is>
      </c>
      <c r="O614" s="48" t="n">
        <v>45461.70833333334</v>
      </c>
      <c r="P614" s="49" t="n">
        <v>45461</v>
      </c>
      <c r="Q614" s="47" t="n">
        <v>2654</v>
      </c>
      <c r="R614" s="47" t="inlineStr">
        <is>
          <t>No Video ID yet</t>
        </is>
      </c>
      <c r="S614" s="49" t="n"/>
      <c r="T614" s="49" t="n"/>
      <c r="U614" s="47" t="inlineStr">
        <is>
          <t>BIG ANNOUNCEMENT - WE'RE GOING ON TOUR... AGAIN! After the huge success of Through the Griffin TOUR here on the East Coast, we're now coming out to the West Coast! We'll be visiting 6 cities in September: Tickets go on sale THIS FRIDAY, June 21st at 10:00am PDT (1:00pm EDT). You can follow the links on our website: Be sure to set your alarms and mark your calendars cause tickets will go FAST! We can't wait to see you there!</t>
        </is>
      </c>
      <c r="V614" s="47">
        <f>IF(AND(P614&gt;=Calendar!$K$2,P614&lt;EDATE(Calendar!$K$2,1),OR(Calendar!$K$4="*",N614=Calendar!$K$4)),P614*100+COUNTIFS($P$6:$P$3267,P614,$Q$6:$Q$3267,"&lt;="&amp;Q614,$N$6:$N$3267,Calendar!$K$4),"")</f>
        <v/>
      </c>
      <c r="W614" s="47">
        <f>IF(AND(B614=Queue!$C$4,OR(Queue!$K$4="*",N614=Queue!$K$4)),Q614,"")</f>
        <v/>
      </c>
    </row>
    <row r="615">
      <c r="A615" s="38">
        <f>IF(M615="","",HYPERLINK("https://www.youtube.com/watch?v="&amp;M615,"▶"))</f>
        <v/>
      </c>
      <c r="B615" s="39">
        <f>IF(C615&lt;&gt;"",C615,IF(P615&lt;=IFERROR(INDEX(tblChannels[Watched Through],MATCH(N615,tblChannels[Channel ID],0)),0),"Watched","Unwatched"))</f>
        <v/>
      </c>
      <c r="C615" s="40" t="n"/>
      <c r="D615" s="41" t="n"/>
      <c r="E615" s="42" t="n">
        <v>45461.54166666666</v>
      </c>
      <c r="F615" s="50" t="inlineStr">
        <is>
          <t>Super Carlin Brothers</t>
        </is>
      </c>
      <c r="G615" t="inlineStr">
        <is>
          <t>THROUGH THE GRIFFIN TOUR - WEST COAST!</t>
        </is>
      </c>
      <c r="H615" s="44" t="n">
        <v>0.001481481481481481</v>
      </c>
      <c r="I615" s="45" t="n">
        <v>11229</v>
      </c>
      <c r="J615" s="45" t="n">
        <v>494</v>
      </c>
      <c r="K615" s="45" t="n">
        <v>193</v>
      </c>
      <c r="L615" s="46" t="n"/>
      <c r="M615" s="47" t="n"/>
      <c r="N615" s="47" t="inlineStr">
        <is>
          <t>UCKZo4N0lVPccBkSiuyVh4yg</t>
        </is>
      </c>
      <c r="O615" s="48" t="n">
        <v>45461.70833333334</v>
      </c>
      <c r="P615" s="49" t="n">
        <v>45461</v>
      </c>
      <c r="Q615" s="47" t="n">
        <v>2653</v>
      </c>
      <c r="R615" s="47" t="inlineStr">
        <is>
          <t>No Video ID yet</t>
        </is>
      </c>
      <c r="S615" s="49" t="n"/>
      <c r="T615" s="49" t="n"/>
      <c r="U615" s="47" t="inlineStr">
        <is>
          <t>BIG ANNOUNCEMENT - WE'RE GOING ON TOUR... AGAIN! After the huge success of Through the Griffin TOUR here on the East Coast, we're now coming out to the West Coast! We'll be visiting 6 cities in September: Tickets go on sale THIS FRIDAY, June 21st at 10:00am PDT (1:00pm EDT). You can follow the links on our website: Be sure to set your alarms and mark your calendars cause tickets will go FAST! We can't wait to see you there!</t>
        </is>
      </c>
      <c r="V615" s="47">
        <f>IF(AND(P615&gt;=Calendar!$K$2,P615&lt;EDATE(Calendar!$K$2,1),OR(Calendar!$K$4="*",N615=Calendar!$K$4)),P615*100+COUNTIFS($P$6:$P$3267,P615,$Q$6:$Q$3267,"&lt;="&amp;Q615,$N$6:$N$3267,Calendar!$K$4),"")</f>
        <v/>
      </c>
      <c r="W615" s="47">
        <f>IF(AND(B615=Queue!$C$4,OR(Queue!$K$4="*",N615=Queue!$K$4)),Q615,"")</f>
        <v/>
      </c>
    </row>
    <row r="616">
      <c r="A616" s="38">
        <f>IF(M616="","",HYPERLINK("https://www.youtube.com/watch?v="&amp;M616,"▶"))</f>
        <v/>
      </c>
      <c r="B616" s="39">
        <f>IF(C616&lt;&gt;"",C616,IF(P616&lt;=IFERROR(INDEX(tblChannels[Watched Through],MATCH(N616,tblChannels[Channel ID],0)),0),"Watched","Unwatched"))</f>
        <v/>
      </c>
      <c r="C616" s="40" t="n"/>
      <c r="D616" s="41" t="n"/>
      <c r="E616" s="42" t="n">
        <v>45459.41666666666</v>
      </c>
      <c r="F616" s="51" t="inlineStr">
        <is>
          <t>Through The Griffin Door</t>
        </is>
      </c>
      <c r="G616" t="inlineStr">
        <is>
          <t>Chapter 2: Aunt Marge’s Big Mistake | Prisoner of Azkaban</t>
        </is>
      </c>
      <c r="H616" s="44" t="n">
        <v>0.03207175925925926</v>
      </c>
      <c r="I616" s="45" t="n">
        <v>61918</v>
      </c>
      <c r="J616" s="45" t="n">
        <v>2340</v>
      </c>
      <c r="K616" s="45" t="n">
        <v>408</v>
      </c>
      <c r="L616" s="46" t="n"/>
      <c r="M616" s="47" t="n"/>
      <c r="N616" s="47" t="inlineStr">
        <is>
          <t>UCEscP6ETYXWSSvsNrDHekMQ</t>
        </is>
      </c>
      <c r="O616" s="48" t="n">
        <v>45459.58333333334</v>
      </c>
      <c r="P616" s="49" t="n">
        <v>45459</v>
      </c>
      <c r="Q616" s="47" t="n">
        <v>2652</v>
      </c>
      <c r="R616" s="47" t="inlineStr">
        <is>
          <t>No Video ID yet</t>
        </is>
      </c>
      <c r="S616" s="49" t="n"/>
      <c r="T616" s="49" t="n"/>
      <c r="U616" s="47" t="inlineStr">
        <is>
          <t>Join J and Ben as they dive into Chapter 2 of the Prisoner of Azkaban (in NYC!!!) and discuss Aunt Marge’s visit, Sirius on the muggle news, Petunia not liking Marge, and Colonel Fubster. 02:52 - Chapter Breakdown 40:01 - Closing Thoughts and Review</t>
        </is>
      </c>
      <c r="V616" s="47">
        <f>IF(AND(P616&gt;=Calendar!$K$2,P616&lt;EDATE(Calendar!$K$2,1),OR(Calendar!$K$4="*",N616=Calendar!$K$4)),P616*100+COUNTIFS($P$6:$P$3267,P616,$Q$6:$Q$3267,"&lt;="&amp;Q616,$N$6:$N$3267,Calendar!$K$4),"")</f>
        <v/>
      </c>
      <c r="W616" s="47">
        <f>IF(AND(B616=Queue!$C$4,OR(Queue!$K$4="*",N616=Queue!$K$4)),Q616,"")</f>
        <v/>
      </c>
    </row>
    <row r="617">
      <c r="A617" s="38">
        <f>IF(M617="","",HYPERLINK("https://www.youtube.com/watch?v="&amp;M617,"▶"))</f>
        <v/>
      </c>
      <c r="B617" s="39">
        <f>IF(C617&lt;&gt;"",C617,IF(P617&lt;=IFERROR(INDEX(tblChannels[Watched Through],MATCH(N617,tblChannels[Channel ID],0)),0),"Watched","Unwatched"))</f>
        <v/>
      </c>
      <c r="C617" s="40" t="n"/>
      <c r="D617" s="41" t="n"/>
      <c r="E617" s="42" t="n">
        <v>45457.58333333334</v>
      </c>
      <c r="F617" s="50" t="inlineStr">
        <is>
          <t>Super Carlin Brothers</t>
        </is>
      </c>
      <c r="G617" t="inlineStr">
        <is>
          <t>Lockhart’s STOLE Quirrell’s Memory | Harry Potter Film Theory</t>
        </is>
      </c>
      <c r="H617" s="44" t="n">
        <v>0.008969907407407407</v>
      </c>
      <c r="I617" s="45" t="n">
        <v>184096</v>
      </c>
      <c r="J617" s="45" t="n">
        <v>7810</v>
      </c>
      <c r="K617" s="45" t="n">
        <v>530</v>
      </c>
      <c r="L617" s="46" t="n"/>
      <c r="M617" s="47" t="n"/>
      <c r="N617" s="47" t="inlineStr">
        <is>
          <t>UCKZo4N0lVPccBkSiuyVh4yg</t>
        </is>
      </c>
      <c r="O617" s="48" t="n">
        <v>45457.75</v>
      </c>
      <c r="P617" s="49" t="n">
        <v>45457</v>
      </c>
      <c r="Q617" s="47" t="n">
        <v>2651</v>
      </c>
      <c r="R617" s="47" t="inlineStr">
        <is>
          <t>No Video ID yet</t>
        </is>
      </c>
      <c r="S617" s="49" t="n"/>
      <c r="T617" s="49" t="n"/>
      <c r="U617" s="47" t="inlineStr">
        <is>
          <t>Go to to get 20% off your first order plus free shipping! Today Ben dives into the Wizarding World of Harry Potter to try and figure out who Lockhart may have stolen memories from including one of Harry’s friends mom’s AND Professor Quirrell?</t>
        </is>
      </c>
      <c r="V617" s="47">
        <f>IF(AND(P617&gt;=Calendar!$K$2,P617&lt;EDATE(Calendar!$K$2,1),OR(Calendar!$K$4="*",N617=Calendar!$K$4)),P617*100+COUNTIFS($P$6:$P$3267,P617,$Q$6:$Q$3267,"&lt;="&amp;Q617,$N$6:$N$3267,Calendar!$K$4),"")</f>
        <v/>
      </c>
      <c r="W617" s="47">
        <f>IF(AND(B617=Queue!$C$4,OR(Queue!$K$4="*",N617=Queue!$K$4)),Q617,"")</f>
        <v/>
      </c>
    </row>
    <row r="618">
      <c r="A618" s="38">
        <f>IF(M618="","",HYPERLINK("https://www.youtube.com/watch?v="&amp;M618,"▶"))</f>
        <v/>
      </c>
      <c r="B618" s="39">
        <f>IF(C618&lt;&gt;"",C618,IF(P618&lt;=IFERROR(INDEX(tblChannels[Watched Through],MATCH(N618,tblChannels[Channel ID],0)),0),"Watched","Unwatched"))</f>
        <v/>
      </c>
      <c r="C618" s="40" t="n"/>
      <c r="D618" s="41" t="n"/>
      <c r="E618" s="42" t="n">
        <v>45457.41666666666</v>
      </c>
      <c r="F618" s="43" t="inlineStr">
        <is>
          <t>Popcorn Culture</t>
        </is>
      </c>
      <c r="G618" t="inlineStr">
        <is>
          <t>WE WENT ON TOUR! | Popcorn Culture</t>
        </is>
      </c>
      <c r="H618" s="44" t="n">
        <v>0.04457175925925926</v>
      </c>
      <c r="I618" s="45" t="n">
        <v>4690</v>
      </c>
      <c r="J618" s="45" t="n">
        <v>239</v>
      </c>
      <c r="K618" s="45" t="n">
        <v>32</v>
      </c>
      <c r="L618" s="46" t="n"/>
      <c r="M618" s="47" t="n"/>
      <c r="N618" s="47" t="inlineStr">
        <is>
          <t>UCHfIbq9thHPC8yrKjAdJgDA</t>
        </is>
      </c>
      <c r="O618" s="48" t="n">
        <v>45457.58333333334</v>
      </c>
      <c r="P618" s="49" t="n">
        <v>45457</v>
      </c>
      <c r="Q618" s="47" t="n">
        <v>2650</v>
      </c>
      <c r="R618" s="47" t="inlineStr">
        <is>
          <t>No Video ID yet</t>
        </is>
      </c>
      <c r="S618" s="49" t="n"/>
      <c r="T618" s="49" t="n"/>
      <c r="U618" s="47" t="inlineStr">
        <is>
          <t>In the 236th episode of the Pop, Ben and J discuss nerves, writing, high school teachers, tour details, street performers, and the Tour of Mythicality. Boston Celtics - Inglourious Basterds - Wet and Wild Emerald Pointe - Hadestown - Good Mythical Morning - Mythical Kitchen - Alternate Title: My Regular Old Face Boston Keltics The Daredevil Drop My Brother, My Brother and the Naked Cowgirl 00:00 - Cold Open, Intro 01:50 - Getting Nervous 27:07 - Tour Recap</t>
        </is>
      </c>
      <c r="V618" s="47">
        <f>IF(AND(P618&gt;=Calendar!$K$2,P618&lt;EDATE(Calendar!$K$2,1),OR(Calendar!$K$4="*",N618=Calendar!$K$4)),P618*100+COUNTIFS($P$6:$P$3267,P618,$Q$6:$Q$3267,"&lt;="&amp;Q618,$N$6:$N$3267,Calendar!$K$4),"")</f>
        <v/>
      </c>
      <c r="W618" s="47">
        <f>IF(AND(B618=Queue!$C$4,OR(Queue!$K$4="*",N618=Queue!$K$4)),Q618,"")</f>
        <v/>
      </c>
    </row>
    <row r="619">
      <c r="A619" s="38">
        <f>IF(M619="","",HYPERLINK("https://www.youtube.com/watch?v="&amp;M619,"▶"))</f>
        <v/>
      </c>
      <c r="B619" s="39">
        <f>IF(C619&lt;&gt;"",C619,IF(P619&lt;=IFERROR(INDEX(tblChannels[Watched Through],MATCH(N619,tblChannels[Channel ID],0)),0),"Watched","Unwatched"))</f>
        <v/>
      </c>
      <c r="C619" s="40" t="n"/>
      <c r="D619" s="41" t="n"/>
      <c r="E619" s="42" t="n">
        <v>45455.55069444444</v>
      </c>
      <c r="F619" s="50" t="inlineStr">
        <is>
          <t>Super Carlin Brothers</t>
        </is>
      </c>
      <c r="G619" t="inlineStr">
        <is>
          <t>Slytherin’s Wife BECAME The Basilisk | Harry Potter Film Theory</t>
        </is>
      </c>
      <c r="H619" s="44" t="n">
        <v>0.01070601851851852</v>
      </c>
      <c r="I619" s="45" t="n">
        <v>166737</v>
      </c>
      <c r="J619" s="45" t="n">
        <v>7843</v>
      </c>
      <c r="K619" s="45" t="n">
        <v>1040</v>
      </c>
      <c r="L619" s="46" t="n"/>
      <c r="M619" s="47" t="n"/>
      <c r="N619" s="47" t="inlineStr">
        <is>
          <t>UCKZo4N0lVPccBkSiuyVh4yg</t>
        </is>
      </c>
      <c r="O619" s="48" t="n">
        <v>45455.71736111111</v>
      </c>
      <c r="P619" s="49" t="n">
        <v>45455</v>
      </c>
      <c r="Q619" s="47" t="n">
        <v>2649</v>
      </c>
      <c r="R619" s="47" t="inlineStr">
        <is>
          <t>No Video ID yet</t>
        </is>
      </c>
      <c r="S619" s="49" t="n"/>
      <c r="T619" s="49" t="n"/>
      <c r="U619" s="47" t="inlineStr">
        <is>
          <t>Go to to sign up for a $1 per month trial period. Today J dives into the Wizarding World of Harry Potter to try and uncover the truth about the Basilisk in the Chamber of Secrets. We know Slytherin had an heir, but who was his wife? Is it possible we’ve known her all along as the victim of a terrible Maledictus Curse? #supercarlinbrothers #HarryPotter #theories</t>
        </is>
      </c>
      <c r="V619" s="47">
        <f>IF(AND(P619&gt;=Calendar!$K$2,P619&lt;EDATE(Calendar!$K$2,1),OR(Calendar!$K$4="*",N619=Calendar!$K$4)),P619*100+COUNTIFS($P$6:$P$3267,P619,$Q$6:$Q$3267,"&lt;="&amp;Q619,$N$6:$N$3267,Calendar!$K$4),"")</f>
        <v/>
      </c>
      <c r="W619" s="47">
        <f>IF(AND(B619=Queue!$C$4,OR(Queue!$K$4="*",N619=Queue!$K$4)),Q619,"")</f>
        <v/>
      </c>
    </row>
    <row r="620">
      <c r="A620" s="38">
        <f>IF(M620="","",HYPERLINK("https://www.youtube.com/watch?v="&amp;M620,"▶"))</f>
        <v/>
      </c>
      <c r="B620" s="39">
        <f>IF(C620&lt;&gt;"",C620,IF(P620&lt;=IFERROR(INDEX(tblChannels[Watched Through],MATCH(N620,tblChannels[Channel ID],0)),0),"Watched","Unwatched"))</f>
        <v/>
      </c>
      <c r="C620" s="40" t="n"/>
      <c r="D620" s="41" t="n"/>
      <c r="E620" s="42" t="n">
        <v>45453.70208333333</v>
      </c>
      <c r="F620" s="51" t="inlineStr">
        <is>
          <t>Through The Griffin Door</t>
        </is>
      </c>
      <c r="G620" t="inlineStr">
        <is>
          <t>Chapter 1: Owl Post | Prisoner of Azkaban</t>
        </is>
      </c>
      <c r="H620" s="44" t="n">
        <v>0.05408564814814815</v>
      </c>
      <c r="I620" s="45" t="n">
        <v>93440</v>
      </c>
      <c r="J620" s="45" t="n">
        <v>2670</v>
      </c>
      <c r="K620" s="45" t="n">
        <v>565</v>
      </c>
      <c r="L620" s="46" t="n"/>
      <c r="M620" s="47" t="n"/>
      <c r="N620" s="47" t="inlineStr">
        <is>
          <t>UCEscP6ETYXWSSvsNrDHekMQ</t>
        </is>
      </c>
      <c r="O620" s="48" t="n">
        <v>45453.86875</v>
      </c>
      <c r="P620" s="49" t="n">
        <v>45453</v>
      </c>
      <c r="Q620" s="47" t="n">
        <v>2648</v>
      </c>
      <c r="R620" s="47" t="inlineStr">
        <is>
          <t>No Video ID yet</t>
        </is>
      </c>
      <c r="S620" s="49" t="n"/>
      <c r="T620" s="49" t="n"/>
      <c r="U620" s="47" t="inlineStr">
        <is>
          <t>Join J and Ben as they dive into Chapter 1 of the Prisoner of Azkaban (unfortunately not in Boston) and discuss the Dursleys' cruelty, witch burning essay, Harry’s birthday gifts and letters, the Weasley’s trip to Egypt, and the Monster Book of Monsters. 08:08 - Chapter Breakdown 1:09:55 - Closing Thoughts and Review</t>
        </is>
      </c>
      <c r="V620" s="47">
        <f>IF(AND(P620&gt;=Calendar!$K$2,P620&lt;EDATE(Calendar!$K$2,1),OR(Calendar!$K$4="*",N620=Calendar!$K$4)),P620*100+COUNTIFS($P$6:$P$3267,P620,$Q$6:$Q$3267,"&lt;="&amp;Q620,$N$6:$N$3267,Calendar!$K$4),"")</f>
        <v/>
      </c>
      <c r="W620" s="47">
        <f>IF(AND(B620=Queue!$C$4,OR(Queue!$K$4="*",N620=Queue!$K$4)),Q620,"")</f>
        <v/>
      </c>
    </row>
    <row r="621">
      <c r="A621" s="38">
        <f>IF(M621="","",HYPERLINK("https://www.youtube.com/watch?v="&amp;M621,"▶"))</f>
        <v/>
      </c>
      <c r="B621" s="39">
        <f>IF(C621&lt;&gt;"",C621,IF(P621&lt;=IFERROR(INDEX(tblChannels[Watched Through],MATCH(N621,tblChannels[Channel ID],0)),0),"Watched","Unwatched"))</f>
        <v/>
      </c>
      <c r="C621" s="40" t="n"/>
      <c r="D621" s="41" t="n"/>
      <c r="E621" s="42" t="n">
        <v>45451.41666666666</v>
      </c>
      <c r="F621" s="50" t="inlineStr">
        <is>
          <t>Super Carlin Brothers</t>
        </is>
      </c>
      <c r="G621" t="inlineStr">
        <is>
          <t>Through the Griffin Door Supercut: Chamber of Secrets BONUS EPISODES</t>
        </is>
      </c>
      <c r="H621" s="44" t="n">
        <v>0.09317129629629629</v>
      </c>
      <c r="I621" s="45" t="n">
        <v>48029</v>
      </c>
      <c r="J621" s="45" t="n">
        <v>1009</v>
      </c>
      <c r="K621" s="45" t="n">
        <v>201</v>
      </c>
      <c r="L621" s="46" t="n"/>
      <c r="M621" s="47" t="n"/>
      <c r="N621" s="47" t="inlineStr">
        <is>
          <t>UCKZo4N0lVPccBkSiuyVh4yg</t>
        </is>
      </c>
      <c r="O621" s="48" t="n">
        <v>45451.58333333334</v>
      </c>
      <c r="P621" s="49" t="n">
        <v>45451</v>
      </c>
      <c r="Q621" s="47" t="n">
        <v>2647</v>
      </c>
      <c r="R621" s="47" t="inlineStr">
        <is>
          <t>No Video ID yet</t>
        </is>
      </c>
      <c r="S621" s="49" t="n"/>
      <c r="T621" s="49" t="n"/>
      <c r="U621" s="47" t="inlineStr">
        <is>
          <t>00:00:00 - Dumbledore's Big Plan: Chamber of Secrets Edition 1:02:18 - Q+A with Ben and J!</t>
        </is>
      </c>
      <c r="V621" s="47">
        <f>IF(AND(P621&gt;=Calendar!$K$2,P621&lt;EDATE(Calendar!$K$2,1),OR(Calendar!$K$4="*",N621=Calendar!$K$4)),P621*100+COUNTIFS($P$6:$P$3267,P621,$Q$6:$Q$3267,"&lt;="&amp;Q621,$N$6:$N$3267,Calendar!$K$4),"")</f>
        <v/>
      </c>
      <c r="W621" s="47">
        <f>IF(AND(B621=Queue!$C$4,OR(Queue!$K$4="*",N621=Queue!$K$4)),Q621,"")</f>
        <v/>
      </c>
    </row>
    <row r="622">
      <c r="A622" s="38">
        <f>IF(M622="","",HYPERLINK("https://www.youtube.com/watch?v="&amp;M622,"▶"))</f>
        <v/>
      </c>
      <c r="B622" s="39">
        <f>IF(C622&lt;&gt;"",C622,IF(P622&lt;=IFERROR(INDEX(tblChannels[Watched Through],MATCH(N622,tblChannels[Channel ID],0)),0),"Watched","Unwatched"))</f>
        <v/>
      </c>
      <c r="C622" s="40" t="n"/>
      <c r="D622" s="41" t="n"/>
      <c r="E622" s="42" t="n">
        <v>45450.58333333334</v>
      </c>
      <c r="F622" s="50" t="inlineStr">
        <is>
          <t>Super Carlin Brothers</t>
        </is>
      </c>
      <c r="G622" t="inlineStr">
        <is>
          <t>Why Lupin NEEDED To Die | Harry Potter Film Theory</t>
        </is>
      </c>
      <c r="H622" s="44" t="n">
        <v>0.0103587962962963</v>
      </c>
      <c r="I622" s="45" t="n">
        <v>201637</v>
      </c>
      <c r="J622" s="45" t="n">
        <v>7840</v>
      </c>
      <c r="K622" s="45" t="n">
        <v>618</v>
      </c>
      <c r="L622" s="46" t="n"/>
      <c r="M622" s="47" t="n"/>
      <c r="N622" s="47" t="inlineStr">
        <is>
          <t>UCKZo4N0lVPccBkSiuyVh4yg</t>
        </is>
      </c>
      <c r="O622" s="48" t="n">
        <v>45450.75</v>
      </c>
      <c r="P622" s="49" t="n">
        <v>45450</v>
      </c>
      <c r="Q622" s="47" t="n">
        <v>2646</v>
      </c>
      <c r="R622" s="47" t="inlineStr">
        <is>
          <t>No Video ID yet</t>
        </is>
      </c>
      <c r="S622" s="49" t="n"/>
      <c r="T622" s="49" t="n"/>
      <c r="U622" s="47" t="inlineStr">
        <is>
          <t>Today Ben dives into the Wizarding World of Harry Potter to discuss why Remus John Lupin had to die in the battle of Hogwarts. Why his death was essential for Harry’s journey and how it thematically ties into the passing of the torch to the next generation Join the Wizarding Candle Club and get magical new scents delivered every month! #supercarlinbrothers #HarryPotter #theories</t>
        </is>
      </c>
      <c r="V622" s="47">
        <f>IF(AND(P622&gt;=Calendar!$K$2,P622&lt;EDATE(Calendar!$K$2,1),OR(Calendar!$K$4="*",N622=Calendar!$K$4)),P622*100+COUNTIFS($P$6:$P$3267,P622,$Q$6:$Q$3267,"&lt;="&amp;Q622,$N$6:$N$3267,Calendar!$K$4),"")</f>
        <v/>
      </c>
      <c r="W622" s="47">
        <f>IF(AND(B622=Queue!$C$4,OR(Queue!$K$4="*",N622=Queue!$K$4)),Q622,"")</f>
        <v/>
      </c>
    </row>
    <row r="623">
      <c r="A623" s="38">
        <f>IF(M623="","",HYPERLINK("https://www.youtube.com/watch?v="&amp;M623,"▶"))</f>
        <v/>
      </c>
      <c r="B623" s="39">
        <f>IF(C623&lt;&gt;"",C623,IF(P623&lt;=IFERROR(INDEX(tblChannels[Watched Through],MATCH(N623,tblChannels[Channel ID],0)),0),"Watched","Unwatched"))</f>
        <v/>
      </c>
      <c r="C623" s="40" t="n"/>
      <c r="D623" s="41" t="n"/>
      <c r="E623" s="42" t="n">
        <v>45450.41666666666</v>
      </c>
      <c r="F623" s="43" t="inlineStr">
        <is>
          <t>Popcorn Culture</t>
        </is>
      </c>
      <c r="G623" t="inlineStr">
        <is>
          <t>FUN WITH CHEESE! | Popcorn Culture</t>
        </is>
      </c>
      <c r="H623" s="44" t="n">
        <v>0.04699074074074074</v>
      </c>
      <c r="I623" s="45" t="n">
        <v>4275</v>
      </c>
      <c r="J623" s="45" t="n">
        <v>190</v>
      </c>
      <c r="K623" s="45" t="n">
        <v>28</v>
      </c>
      <c r="L623" s="46" t="n"/>
      <c r="M623" s="47" t="n"/>
      <c r="N623" s="47" t="inlineStr">
        <is>
          <t>UCHfIbq9thHPC8yrKjAdJgDA</t>
        </is>
      </c>
      <c r="O623" s="48" t="n">
        <v>45450.58333333334</v>
      </c>
      <c r="P623" s="49" t="n">
        <v>45450</v>
      </c>
      <c r="Q623" s="47" t="n">
        <v>2645</v>
      </c>
      <c r="R623" s="47" t="inlineStr">
        <is>
          <t>No Video ID yet</t>
        </is>
      </c>
      <c r="S623" s="49" t="n"/>
      <c r="T623" s="49" t="n"/>
      <c r="U623" s="47" t="inlineStr">
        <is>
          <t>In the 235th episode of the Pop, Ben and J discuss the upcoming tour, Hot Topic pins, Ben’s pierced ears, art collecting, CW shows, Ryan Reynolds and Blake Lively, and their excellent weekend. Nightmare Before Christmas - Gossip Girl - Arrow - The Flash - Alternate Title: Possibly Perfect Weekend Planting Decisions War on Weeds 00:00 - Intro, Impending Tour 02:02 - Hot Topic 16:18 - Moving and Home Decor 25:32 - The Perfect Weekend</t>
        </is>
      </c>
      <c r="V623" s="47">
        <f>IF(AND(P623&gt;=Calendar!$K$2,P623&lt;EDATE(Calendar!$K$2,1),OR(Calendar!$K$4="*",N623=Calendar!$K$4)),P623*100+COUNTIFS($P$6:$P$3267,P623,$Q$6:$Q$3267,"&lt;="&amp;Q623,$N$6:$N$3267,Calendar!$K$4),"")</f>
        <v/>
      </c>
      <c r="W623" s="47">
        <f>IF(AND(B623=Queue!$C$4,OR(Queue!$K$4="*",N623=Queue!$K$4)),Q623,"")</f>
        <v/>
      </c>
    </row>
    <row r="624">
      <c r="A624" s="38">
        <f>IF(M624="","",HYPERLINK("https://www.youtube.com/watch?v="&amp;M624,"▶"))</f>
        <v/>
      </c>
      <c r="B624" s="39">
        <f>IF(C624&lt;&gt;"",C624,IF(P624&lt;=IFERROR(INDEX(tblChannels[Watched Through],MATCH(N624,tblChannels[Channel ID],0)),0),"Watched","Unwatched"))</f>
        <v/>
      </c>
      <c r="C624" s="40" t="n"/>
      <c r="D624" s="41" t="n"/>
      <c r="E624" s="42" t="n">
        <v>45448.58333333334</v>
      </c>
      <c r="F624" s="50" t="inlineStr">
        <is>
          <t>Super Carlin Brothers</t>
        </is>
      </c>
      <c r="G624" t="inlineStr">
        <is>
          <t>J vs Ben: HARDEST Severus Snape Harry Potter TRIVIA Quiz Ever</t>
        </is>
      </c>
      <c r="H624" s="44" t="n">
        <v>0.0258912037037037</v>
      </c>
      <c r="I624" s="45" t="n">
        <v>157704</v>
      </c>
      <c r="J624" s="45" t="n">
        <v>4960</v>
      </c>
      <c r="K624" s="45" t="n">
        <v>623</v>
      </c>
      <c r="L624" s="46" t="n"/>
      <c r="M624" s="47" t="n"/>
      <c r="N624" s="47" t="inlineStr">
        <is>
          <t>UCKZo4N0lVPccBkSiuyVh4yg</t>
        </is>
      </c>
      <c r="O624" s="48" t="n">
        <v>45448.75</v>
      </c>
      <c r="P624" s="49" t="n">
        <v>45448</v>
      </c>
      <c r="Q624" s="47" t="n">
        <v>2644</v>
      </c>
      <c r="R624" s="47" t="inlineStr">
        <is>
          <t>No Video ID yet</t>
        </is>
      </c>
      <c r="S624" s="49" t="n"/>
      <c r="T624" s="49" t="n"/>
      <c r="U624" s="47" t="inlineStr">
        <is>
          <t>Go to and use code jvsb50 to get 50% off your first box plus 20% off your next month. Check out the new Shell Cottage Candle at :: Today the J vs Ben battle rages on as the guys take on the HARDEST Severus Snape quiz to find out who knows more about Hogwarts most infamous potions master! Where is his classroom? What potion does he make Lupin? What’s he teaching when Umbridge inspects his class? Play along with us! :: 04:22 - Q1: Where is Snape’s classroom? 05:07 - Q2: What potion does Snape give Lupin? 05:58 - Q3: What was the Headmaster Office password for Snape? 09:46 - Q4: What spell does Snape use on Lockhart first? 10:40 - Q5: What was Harry’s cover for Occlumency lessons? 12:38 - Q6: Who was Snape’s prefect in his first year? 14:42 - Q7: Why did Snape take points from Harry in his first lesson? 17:11 - Q8: What are Snape’s parents’ names? 19:17 - Q9: What drink does Snape make Wormtail bring him? 23:40 - Q10: What does Dumbledore ask Snape to do after knocking out fake Mad-Eye 25:28 - Q11: What potion was Snape teaching the day Umbridge sat in on his class? 29:08 - Q12: Who hit Snape with a bludger? 30:04 - Q13: Who was Snape trying to protect when he hit Fred with Sectumsemp</t>
        </is>
      </c>
      <c r="V624" s="47">
        <f>IF(AND(P624&gt;=Calendar!$K$2,P624&lt;EDATE(Calendar!$K$2,1),OR(Calendar!$K$4="*",N624=Calendar!$K$4)),P624*100+COUNTIFS($P$6:$P$3267,P624,$Q$6:$Q$3267,"&lt;="&amp;Q624,$N$6:$N$3267,Calendar!$K$4),"")</f>
        <v/>
      </c>
      <c r="W624" s="47">
        <f>IF(AND(B624=Queue!$C$4,OR(Queue!$K$4="*",N624=Queue!$K$4)),Q624,"")</f>
        <v/>
      </c>
    </row>
    <row r="625">
      <c r="A625" s="38">
        <f>IF(M625="","",HYPERLINK("https://www.youtube.com/watch?v="&amp;M625,"▶"))</f>
        <v/>
      </c>
      <c r="B625" s="39">
        <f>IF(C625&lt;&gt;"",C625,IF(P625&lt;=IFERROR(INDEX(tblChannels[Watched Through],MATCH(N625,tblChannels[Channel ID],0)),0),"Watched","Unwatched"))</f>
        <v/>
      </c>
      <c r="C625" s="40" t="n"/>
      <c r="D625" s="41" t="n"/>
      <c r="E625" s="42" t="n">
        <v>45445.41666666666</v>
      </c>
      <c r="F625" s="51" t="inlineStr">
        <is>
          <t>Through The Griffin Door</t>
        </is>
      </c>
      <c r="G625" t="inlineStr">
        <is>
          <t>Can Squibs Perform ANY Magic? | Q&amp;A with Ben and J!</t>
        </is>
      </c>
      <c r="H625" s="44" t="n">
        <v>0.04981481481481481</v>
      </c>
      <c r="I625" s="45" t="n">
        <v>63808</v>
      </c>
      <c r="J625" s="45" t="n">
        <v>2028</v>
      </c>
      <c r="K625" s="45" t="n">
        <v>547</v>
      </c>
      <c r="L625" s="46" t="n"/>
      <c r="M625" s="47" t="n"/>
      <c r="N625" s="47" t="inlineStr">
        <is>
          <t>UCEscP6ETYXWSSvsNrDHekMQ</t>
        </is>
      </c>
      <c r="O625" s="48" t="n">
        <v>45445.58333333334</v>
      </c>
      <c r="P625" s="49" t="n">
        <v>45445</v>
      </c>
      <c r="Q625" s="47" t="n">
        <v>2643</v>
      </c>
      <c r="R625" s="47" t="inlineStr">
        <is>
          <t>No Video ID yet</t>
        </is>
      </c>
      <c r="S625" s="49" t="n"/>
      <c r="T625" s="49" t="n"/>
      <c r="U625" s="47" t="inlineStr">
        <is>
          <t>Be sure to check out Shopify: shopify.com/GRIFFIN Join J and Ben as they answer your most burning Harry Potter questions! New York City - 6/3 (SOLD OUT) Washington, D.C. - 6/13 (SOLD OUT) 01:53 - Q1: Are Squibs Binary? 12:10 - Q2: Hand Me Down Wands 18:46 - Q3: The Dark Mark 27:19 - Ad Break 29:02 - Q4: Blood Status Math 33:52 - Q5: Imperius Curse 39:25 - Q6: Harry’s Protected Blood 42:29 - Q7: Why Doesn’t the Diary Burn? 57:41 - Q8: Room of Requirement 1:03:16 - Q9: Deluminator 1:10:22 - Closing Thoughts</t>
        </is>
      </c>
      <c r="V625" s="47">
        <f>IF(AND(P625&gt;=Calendar!$K$2,P625&lt;EDATE(Calendar!$K$2,1),OR(Calendar!$K$4="*",N625=Calendar!$K$4)),P625*100+COUNTIFS($P$6:$P$3267,P625,$Q$6:$Q$3267,"&lt;="&amp;Q625,$N$6:$N$3267,Calendar!$K$4),"")</f>
        <v/>
      </c>
      <c r="W625" s="47">
        <f>IF(AND(B625=Queue!$C$4,OR(Queue!$K$4="*",N625=Queue!$K$4)),Q625,"")</f>
        <v/>
      </c>
    </row>
    <row r="626">
      <c r="A626" s="38">
        <f>IF(M626="","",HYPERLINK("https://www.youtube.com/watch?v="&amp;M626,"▶"))</f>
        <v/>
      </c>
      <c r="B626" s="39">
        <f>IF(C626&lt;&gt;"",C626,IF(P626&lt;=IFERROR(INDEX(tblChannels[Watched Through],MATCH(N626,tblChannels[Channel ID],0)),0),"Watched","Unwatched"))</f>
        <v/>
      </c>
      <c r="C626" s="40" t="n"/>
      <c r="D626" s="41" t="n"/>
      <c r="E626" s="42" t="n">
        <v>45443.64583333334</v>
      </c>
      <c r="F626" s="52" t="inlineStr">
        <is>
          <t>Super Carlin Gaming</t>
        </is>
      </c>
      <c r="G626" t="inlineStr">
        <is>
          <t>It's Getting Close At The Top | Carlin Brothers Box Breakers S11E8</t>
        </is>
      </c>
      <c r="H626" s="44" t="n">
        <v>0.0306712962962963</v>
      </c>
      <c r="I626" s="45" t="n">
        <v>1314</v>
      </c>
      <c r="J626" s="45" t="n">
        <v>64</v>
      </c>
      <c r="K626" s="45" t="n">
        <v>10</v>
      </c>
      <c r="L626" s="46" t="n"/>
      <c r="M626" s="47" t="n"/>
      <c r="N626" s="47" t="inlineStr">
        <is>
          <t>UCor_9jRnNNZVzTuQ92PKsaQ</t>
        </is>
      </c>
      <c r="O626" s="48" t="n">
        <v>45443.8125</v>
      </c>
      <c r="P626" s="49" t="n">
        <v>45443</v>
      </c>
      <c r="Q626" s="47" t="n">
        <v>2642</v>
      </c>
      <c r="R626" s="47" t="inlineStr">
        <is>
          <t>No Video ID yet</t>
        </is>
      </c>
      <c r="S626" s="49" t="n"/>
      <c r="T626" s="49" t="n"/>
      <c r="U626" s="47" t="inlineStr">
        <is>
          <t>This week ends the second month and things are looking PRETTY SPICY here at Box Breakers!</t>
        </is>
      </c>
      <c r="V626" s="47">
        <f>IF(AND(P626&gt;=Calendar!$K$2,P626&lt;EDATE(Calendar!$K$2,1),OR(Calendar!$K$4="*",N626=Calendar!$K$4)),P626*100+COUNTIFS($P$6:$P$3267,P626,$Q$6:$Q$3267,"&lt;="&amp;Q626,$N$6:$N$3267,Calendar!$K$4),"")</f>
        <v/>
      </c>
      <c r="W626" s="47">
        <f>IF(AND(B626=Queue!$C$4,OR(Queue!$K$4="*",N626=Queue!$K$4)),Q626,"")</f>
        <v/>
      </c>
    </row>
    <row r="627">
      <c r="A627" s="38">
        <f>IF(M627="","",HYPERLINK("https://www.youtube.com/watch?v="&amp;M627,"▶"))</f>
        <v/>
      </c>
      <c r="B627" s="39">
        <f>IF(C627&lt;&gt;"",C627,IF(P627&lt;=IFERROR(INDEX(tblChannels[Watched Through],MATCH(N627,tblChannels[Channel ID],0)),0),"Watched","Unwatched"))</f>
        <v/>
      </c>
      <c r="C627" s="40" t="n"/>
      <c r="D627" s="41" t="n"/>
      <c r="E627" s="42" t="n">
        <v>45443.58333333334</v>
      </c>
      <c r="F627" s="50" t="inlineStr">
        <is>
          <t>Super Carlin Brothers</t>
        </is>
      </c>
      <c r="G627" t="inlineStr">
        <is>
          <t>The TOP 5 Lord Voldemort Theories | Harry Potter Film Theory</t>
        </is>
      </c>
      <c r="H627" s="44" t="n">
        <v>0.05052083333333333</v>
      </c>
      <c r="I627" s="45" t="n">
        <v>620109</v>
      </c>
      <c r="J627" s="45" t="n">
        <v>9974</v>
      </c>
      <c r="K627" s="45" t="n">
        <v>1139</v>
      </c>
      <c r="L627" s="46" t="n"/>
      <c r="M627" s="47" t="n"/>
      <c r="N627" s="47" t="inlineStr">
        <is>
          <t>UCKZo4N0lVPccBkSiuyVh4yg</t>
        </is>
      </c>
      <c r="O627" s="48" t="n">
        <v>45443.75</v>
      </c>
      <c r="P627" s="49" t="n">
        <v>45443</v>
      </c>
      <c r="Q627" s="47" t="n">
        <v>2641</v>
      </c>
      <c r="R627" s="47" t="inlineStr">
        <is>
          <t>No Video ID yet</t>
        </is>
      </c>
      <c r="S627" s="49" t="n"/>
      <c r="T627" s="49" t="n"/>
      <c r="U627" s="47" t="inlineStr">
        <is>
          <t>We’ve been talking a LOT about good ole Voldemort lately and decided it might be nice to compile a list of some of our BEST Lord Voldemort Theories for your convenience! Enjoy! Join the Wizarding Candle Club and get magical new scents delivered every month! #supercarlinbrothers #HarryPotter #theories Edited by : Ethan Edghill &amp; Isybelle Christley</t>
        </is>
      </c>
      <c r="V627" s="47">
        <f>IF(AND(P627&gt;=Calendar!$K$2,P627&lt;EDATE(Calendar!$K$2,1),OR(Calendar!$K$4="*",N627=Calendar!$K$4)),P627*100+COUNTIFS($P$6:$P$3267,P627,$Q$6:$Q$3267,"&lt;="&amp;Q627,$N$6:$N$3267,Calendar!$K$4),"")</f>
        <v/>
      </c>
      <c r="W627" s="47">
        <f>IF(AND(B627=Queue!$C$4,OR(Queue!$K$4="*",N627=Queue!$K$4)),Q627,"")</f>
        <v/>
      </c>
    </row>
    <row r="628">
      <c r="A628" s="38">
        <f>IF(M628="","",HYPERLINK("https://www.youtube.com/watch?v="&amp;M628,"▶"))</f>
        <v/>
      </c>
      <c r="B628" s="39">
        <f>IF(C628&lt;&gt;"",C628,IF(P628&lt;=IFERROR(INDEX(tblChannels[Watched Through],MATCH(N628,tblChannels[Channel ID],0)),0),"Watched","Unwatched"))</f>
        <v/>
      </c>
      <c r="C628" s="40" t="n"/>
      <c r="D628" s="41" t="n"/>
      <c r="E628" s="42" t="n">
        <v>45443.41666666666</v>
      </c>
      <c r="F628" s="43" t="inlineStr">
        <is>
          <t>Popcorn Culture</t>
        </is>
      </c>
      <c r="G628" t="inlineStr">
        <is>
          <t>The Q+A SPECIAL | Popcorn Culture</t>
        </is>
      </c>
      <c r="H628" s="44" t="n">
        <v>0.07299768518518518</v>
      </c>
      <c r="I628" s="45" t="n">
        <v>6084</v>
      </c>
      <c r="J628" s="45" t="n">
        <v>262</v>
      </c>
      <c r="K628" s="45" t="n">
        <v>37</v>
      </c>
      <c r="L628" s="46" t="n"/>
      <c r="M628" s="47" t="n"/>
      <c r="N628" s="47" t="inlineStr">
        <is>
          <t>UCHfIbq9thHPC8yrKjAdJgDA</t>
        </is>
      </c>
      <c r="O628" s="48" t="n">
        <v>45443.58333333334</v>
      </c>
      <c r="P628" s="49" t="n">
        <v>45443</v>
      </c>
      <c r="Q628" s="47" t="n">
        <v>2640</v>
      </c>
      <c r="R628" s="47" t="inlineStr">
        <is>
          <t>No Video ID yet</t>
        </is>
      </c>
      <c r="S628" s="49" t="n"/>
      <c r="T628" s="49" t="n"/>
      <c r="U628" s="47" t="inlineStr">
        <is>
          <t>In the 234th episode of the Pop, Ben and J answer all your burning questions!!! They discuss egg consumption, social media, time management, The Pixar Theory, graduating college, the evolution of the Pop, adult vs. kids Disney trip, a book prompt, bitcoin, Ben’s weekend in jail, streaming, Name of the Wind theories, current show obsessions, and challenges. New York City - 6/3 (SOLD OUT) Washington, D.C. - 6/13 (SOLD OUT) Gaston’s Song - Dopamine Nation - The Pixar Theory - New Rockstars Video - How Onward Fits into the Pixar Theory - Inside Out 2 Trailer - Reddit Thread - F1 Drive to Survive - Clarkson’s Farm - X-Men 97 - Dragon Ball Z Kai - 02:28 - Q1: Eggs 09:28 - Q2: Social Media 22:51 - Q3: Parent Quality Time 28:41 - Q4: Pixar Movies 34:29 - Q5: Graduation 40:17 - Q6: The Pop Overall 48:40 - Q7: Disney Trips 55:23 - Q8: Book Prompt 1:02:24 - Q9: Note for Past Self 1:09:52 - Q10: Streaming 1:15:51 - Q11: NOTW Theory 1:25:41 - Q12: Current Shows 1:35:18 - Q13: Challenges</t>
        </is>
      </c>
      <c r="V628" s="47">
        <f>IF(AND(P628&gt;=Calendar!$K$2,P628&lt;EDATE(Calendar!$K$2,1),OR(Calendar!$K$4="*",N628=Calendar!$K$4)),P628*100+COUNTIFS($P$6:$P$3267,P628,$Q$6:$Q$3267,"&lt;="&amp;Q628,$N$6:$N$3267,Calendar!$K$4),"")</f>
        <v/>
      </c>
      <c r="W628" s="47">
        <f>IF(AND(B628=Queue!$C$4,OR(Queue!$K$4="*",N628=Queue!$K$4)),Q628,"")</f>
        <v/>
      </c>
    </row>
    <row r="629">
      <c r="A629" s="38">
        <f>IF(M629="","",HYPERLINK("https://www.youtube.com/watch?v="&amp;M629,"▶"))</f>
        <v/>
      </c>
      <c r="B629" s="39">
        <f>IF(C629&lt;&gt;"",C629,IF(P629&lt;=IFERROR(INDEX(tblChannels[Watched Through],MATCH(N629,tblChannels[Channel ID],0)),0),"Watched","Unwatched"))</f>
        <v/>
      </c>
      <c r="C629" s="40" t="n"/>
      <c r="D629" s="41" t="n"/>
      <c r="E629" s="42" t="n">
        <v>45441.61805555555</v>
      </c>
      <c r="F629" s="50" t="inlineStr">
        <is>
          <t>Super Carlin Brothers</t>
        </is>
      </c>
      <c r="G629" t="inlineStr">
        <is>
          <t>Why Didn’t Quirrell Just KILL Fluffy | Harry Potter Film Theory</t>
        </is>
      </c>
      <c r="H629" s="44" t="n">
        <v>0.009675925925925926</v>
      </c>
      <c r="I629" s="45" t="n">
        <v>164242</v>
      </c>
      <c r="J629" s="45" t="n">
        <v>7008</v>
      </c>
      <c r="K629" s="45" t="n">
        <v>899</v>
      </c>
      <c r="L629" s="46" t="n"/>
      <c r="M629" s="47" t="n"/>
      <c r="N629" s="47" t="inlineStr">
        <is>
          <t>UCKZo4N0lVPccBkSiuyVh4yg</t>
        </is>
      </c>
      <c r="O629" s="48" t="n">
        <v>45441.78472222222</v>
      </c>
      <c r="P629" s="49" t="n">
        <v>45441</v>
      </c>
      <c r="Q629" s="47" t="n">
        <v>2639</v>
      </c>
      <c r="R629" s="47" t="inlineStr">
        <is>
          <t>No Video ID yet</t>
        </is>
      </c>
      <c r="S629" s="49" t="n"/>
      <c r="T629" s="49" t="n"/>
      <c r="U629" s="47" t="inlineStr">
        <is>
          <t>Today J dives into the Wizarding World of Harry Potter to answer one of the oldest questions in the series… Why didn’t Quirrell just kill Fluffy to try and steal the Sorcerer’s Stone!? Voldemort’s main solution for things is killing them.. And yet he’s stalled out by this dog for 9 months? Make J Grow a Mustache in May Follow in Instagram :: Sign up for our Newsletter :: Donate to Stop Sarcoidosis :: New York City - 6/3 (SOLD OUT) Washington, D.C. - 6/13 (SOLD OUT!) #supercarlinbrothers #HarryPotter #theories</t>
        </is>
      </c>
      <c r="V629" s="47">
        <f>IF(AND(P629&gt;=Calendar!$K$2,P629&lt;EDATE(Calendar!$K$2,1),OR(Calendar!$K$4="*",N629=Calendar!$K$4)),P629*100+COUNTIFS($P$6:$P$3267,P629,$Q$6:$Q$3267,"&lt;="&amp;Q629,$N$6:$N$3267,Calendar!$K$4),"")</f>
        <v/>
      </c>
      <c r="W629" s="47">
        <f>IF(AND(B629=Queue!$C$4,OR(Queue!$K$4="*",N629=Queue!$K$4)),Q629,"")</f>
        <v/>
      </c>
    </row>
    <row r="630">
      <c r="A630" s="38">
        <f>IF(M630="","",HYPERLINK("https://www.youtube.com/watch?v="&amp;M630,"▶"))</f>
        <v/>
      </c>
      <c r="B630" s="39">
        <f>IF(C630&lt;&gt;"",C630,IF(P630&lt;=IFERROR(INDEX(tblChannels[Watched Through],MATCH(N630,tblChannels[Channel ID],0)),0),"Watched","Unwatched"))</f>
        <v/>
      </c>
      <c r="C630" s="40" t="n"/>
      <c r="D630" s="41" t="n"/>
      <c r="E630" s="42" t="n">
        <v>45438.41666666666</v>
      </c>
      <c r="F630" s="51" t="inlineStr">
        <is>
          <t>Through The Griffin Door</t>
        </is>
      </c>
      <c r="G630" t="inlineStr">
        <is>
          <t>Dumbledore’s Big Plan: Chamber of Secrets Edition</t>
        </is>
      </c>
      <c r="H630" s="44" t="n">
        <v>0.0447337962962963</v>
      </c>
      <c r="I630" s="45" t="n">
        <v>49737</v>
      </c>
      <c r="J630" s="45" t="n">
        <v>1594</v>
      </c>
      <c r="K630" s="45" t="n">
        <v>312</v>
      </c>
      <c r="L630" s="46" t="n"/>
      <c r="M630" s="47" t="n"/>
      <c r="N630" s="47" t="inlineStr">
        <is>
          <t>UCEscP6ETYXWSSvsNrDHekMQ</t>
        </is>
      </c>
      <c r="O630" s="48" t="n">
        <v>45438.58333333334</v>
      </c>
      <c r="P630" s="49" t="n">
        <v>45438</v>
      </c>
      <c r="Q630" s="47" t="n">
        <v>2638</v>
      </c>
      <c r="R630" s="47" t="inlineStr">
        <is>
          <t>No Video ID yet</t>
        </is>
      </c>
      <c r="S630" s="49" t="n"/>
      <c r="T630" s="49" t="n"/>
      <c r="U630" s="47" t="inlineStr">
        <is>
          <t>Be sure to check out Pair Eyewear: paireyewear.com/GRIFFIN Join J and Ben as they dive into how Dumbledore’s Big Plan fits into the Chamber of Secrets. IF YOU’RE COMING TO THE SHOW Submit a J vs. Ben Question - Submit a regular question for Q+A - New York City - 6/3 (SOLD OUT) Washington, D.C. - 6/13 (SOLD OUT) Q+A Form for Upcoming Episode - 00:00 - Intro and Recap 09:10 - Dumbledore’s 3 Lessons 54:03 - Closing Thoughts and Review Edited by :: isybelle Christley</t>
        </is>
      </c>
      <c r="V630" s="47">
        <f>IF(AND(P630&gt;=Calendar!$K$2,P630&lt;EDATE(Calendar!$K$2,1),OR(Calendar!$K$4="*",N630=Calendar!$K$4)),P630*100+COUNTIFS($P$6:$P$3267,P630,$Q$6:$Q$3267,"&lt;="&amp;Q630,$N$6:$N$3267,Calendar!$K$4),"")</f>
        <v/>
      </c>
      <c r="W630" s="47">
        <f>IF(AND(B630=Queue!$C$4,OR(Queue!$K$4="*",N630=Queue!$K$4)),Q630,"")</f>
        <v/>
      </c>
    </row>
    <row r="631">
      <c r="A631" s="38">
        <f>IF(M631="","",HYPERLINK("https://www.youtube.com/watch?v="&amp;M631,"▶"))</f>
        <v/>
      </c>
      <c r="B631" s="39">
        <f>IF(C631&lt;&gt;"",C631,IF(P631&lt;=IFERROR(INDEX(tblChannels[Watched Through],MATCH(N631,tblChannels[Channel ID],0)),0),"Watched","Unwatched"))</f>
        <v/>
      </c>
      <c r="C631" s="40" t="n"/>
      <c r="D631" s="41" t="n"/>
      <c r="E631" s="42" t="n">
        <v>45437.41666666666</v>
      </c>
      <c r="F631" s="50" t="inlineStr">
        <is>
          <t>Super Carlin Brothers</t>
        </is>
      </c>
      <c r="G631" t="inlineStr">
        <is>
          <t>Through the Griffin Door Supercut: Chamber of Secrets Chapters 16-18</t>
        </is>
      </c>
      <c r="H631" s="44" t="n">
        <v>0.1845023148148148</v>
      </c>
      <c r="I631" s="45" t="n">
        <v>32543</v>
      </c>
      <c r="J631" s="45" t="n">
        <v>576</v>
      </c>
      <c r="K631" s="45" t="n">
        <v>140</v>
      </c>
      <c r="L631" s="46" t="n"/>
      <c r="M631" s="47" t="n"/>
      <c r="N631" s="47" t="inlineStr">
        <is>
          <t>UCKZo4N0lVPccBkSiuyVh4yg</t>
        </is>
      </c>
      <c r="O631" s="48" t="n">
        <v>45437.58333333334</v>
      </c>
      <c r="P631" s="49" t="n">
        <v>45437</v>
      </c>
      <c r="Q631" s="47" t="n">
        <v>2637</v>
      </c>
      <c r="R631" s="47" t="inlineStr">
        <is>
          <t>No Video ID yet</t>
        </is>
      </c>
      <c r="S631" s="49" t="n"/>
      <c r="T631" s="49" t="n"/>
      <c r="U631" s="47" t="inlineStr">
        <is>
          <t>00:00:00 - Chapter 16: The Chamber of Secrets 1:27:30 - Chapter 17: The Heir of Slytherin 2:53:23 - Chapter 18: Dobby's Reward</t>
        </is>
      </c>
      <c r="V631" s="47">
        <f>IF(AND(P631&gt;=Calendar!$K$2,P631&lt;EDATE(Calendar!$K$2,1),OR(Calendar!$K$4="*",N631=Calendar!$K$4)),P631*100+COUNTIFS($P$6:$P$3267,P631,$Q$6:$Q$3267,"&lt;="&amp;Q631,$N$6:$N$3267,Calendar!$K$4),"")</f>
        <v/>
      </c>
      <c r="W631" s="47">
        <f>IF(AND(B631=Queue!$C$4,OR(Queue!$K$4="*",N631=Queue!$K$4)),Q631,"")</f>
        <v/>
      </c>
    </row>
    <row r="632">
      <c r="A632" s="38">
        <f>IF(M632="","",HYPERLINK("https://www.youtube.com/watch?v="&amp;M632,"▶"))</f>
        <v/>
      </c>
      <c r="B632" s="39">
        <f>IF(C632&lt;&gt;"",C632,IF(P632&lt;=IFERROR(INDEX(tblChannels[Watched Through],MATCH(N632,tblChannels[Channel ID],0)),0),"Watched","Unwatched"))</f>
        <v/>
      </c>
      <c r="C632" s="40" t="n"/>
      <c r="D632" s="41" t="n"/>
      <c r="E632" s="42" t="n">
        <v>45436.56666666667</v>
      </c>
      <c r="F632" s="50" t="inlineStr">
        <is>
          <t>Super Carlin Brothers</t>
        </is>
      </c>
      <c r="G632" t="inlineStr">
        <is>
          <t>How The HECK Do You Petrify A Ghost?! | Harry Potter Film Theory</t>
        </is>
      </c>
      <c r="H632" s="44" t="n">
        <v>0.00986111111111111</v>
      </c>
      <c r="I632" s="45" t="n">
        <v>99790</v>
      </c>
      <c r="J632" s="45" t="n">
        <v>5383</v>
      </c>
      <c r="K632" s="45" t="n">
        <v>622</v>
      </c>
      <c r="L632" s="46" t="n"/>
      <c r="M632" s="47" t="n"/>
      <c r="N632" s="47" t="inlineStr">
        <is>
          <t>UCKZo4N0lVPccBkSiuyVh4yg</t>
        </is>
      </c>
      <c r="O632" s="48" t="n">
        <v>45436.73333333333</v>
      </c>
      <c r="P632" s="49" t="n">
        <v>45436</v>
      </c>
      <c r="Q632" s="47" t="n">
        <v>2636</v>
      </c>
      <c r="R632" s="47" t="inlineStr">
        <is>
          <t>No Video ID yet</t>
        </is>
      </c>
      <c r="S632" s="49" t="n"/>
      <c r="T632" s="49" t="n"/>
      <c r="U632" s="47" t="inlineStr">
        <is>
          <t>Get a free Mystery Gift with your first monthly shipment when you sign up at Today Ben dives into the Wizarding World of Harry Potter to do some soul math and reveal how the Basilisk is able to petrify Nearly Headless Nick in Chamber of Secrets Make J Grow a Mustache in May Follow in Instagram :: Sign up for our Newsletter :: Donate to Stop Sarcoidosis :: New York City - 6/3 (SOLD OUT) Washington, D.C. - 6/13 (SOLD OUT!)</t>
        </is>
      </c>
      <c r="V632" s="47">
        <f>IF(AND(P632&gt;=Calendar!$K$2,P632&lt;EDATE(Calendar!$K$2,1),OR(Calendar!$K$4="*",N632=Calendar!$K$4)),P632*100+COUNTIFS($P$6:$P$3267,P632,$Q$6:$Q$3267,"&lt;="&amp;Q632,$N$6:$N$3267,Calendar!$K$4),"")</f>
        <v/>
      </c>
      <c r="W632" s="47">
        <f>IF(AND(B632=Queue!$C$4,OR(Queue!$K$4="*",N632=Queue!$K$4)),Q632,"")</f>
        <v/>
      </c>
    </row>
    <row r="633">
      <c r="A633" s="38">
        <f>IF(M633="","",HYPERLINK("https://www.youtube.com/watch?v="&amp;M633,"▶"))</f>
        <v/>
      </c>
      <c r="B633" s="39">
        <f>IF(C633&lt;&gt;"",C633,IF(P633&lt;=IFERROR(INDEX(tblChannels[Watched Through],MATCH(N633,tblChannels[Channel ID],0)),0),"Watched","Unwatched"))</f>
        <v/>
      </c>
      <c r="C633" s="40" t="n"/>
      <c r="D633" s="41" t="n"/>
      <c r="E633" s="42" t="n">
        <v>45436.41666666666</v>
      </c>
      <c r="F633" s="43" t="inlineStr">
        <is>
          <t>Popcorn Culture</t>
        </is>
      </c>
      <c r="G633" t="inlineStr">
        <is>
          <t>Ben’s Calamitous Weekend  | Popcorn Culture</t>
        </is>
      </c>
      <c r="H633" s="44" t="n">
        <v>0.04831018518518519</v>
      </c>
      <c r="I633" s="45" t="n">
        <v>4653</v>
      </c>
      <c r="J633" s="45" t="n">
        <v>226</v>
      </c>
      <c r="K633" s="45" t="n">
        <v>36</v>
      </c>
      <c r="L633" s="46" t="n"/>
      <c r="M633" s="47" t="n"/>
      <c r="N633" s="47" t="inlineStr">
        <is>
          <t>UCHfIbq9thHPC8yrKjAdJgDA</t>
        </is>
      </c>
      <c r="O633" s="48" t="n">
        <v>45436.58333333334</v>
      </c>
      <c r="P633" s="49" t="n">
        <v>45436</v>
      </c>
      <c r="Q633" s="47" t="n">
        <v>2635</v>
      </c>
      <c r="R633" s="47" t="inlineStr">
        <is>
          <t>No Video ID yet</t>
        </is>
      </c>
      <c r="S633" s="49" t="n"/>
      <c r="T633" s="49" t="n"/>
      <c r="U633" s="47" t="inlineStr">
        <is>
          <t>In the 233rd episode of the Pop, Ben and J discuss Ben’s most recent near death experiences, Ben’s bad car detail, niche appliance parts, the New York Knicks exposure, Air Bud, 90s Rom Coms, tomatoes, and new hobby growth curves. Make J Grow a Mustache in May: Follow J on Instagram - Donate Here to help stop Sarcoidosis - Sign up for our Newsletter here - Air Bud - How to Lose a Guy in 10 Days - 10 Things I Hate About You - Not OSHA Approved Hardware Store Tomato Options Super Garden Brothers 00:00 - Intro, Ben’s Near Death Experiences 32:17 - The New York Knicks 45:24 - Hardware Store Tomatoes</t>
        </is>
      </c>
      <c r="V633" s="47">
        <f>IF(AND(P633&gt;=Calendar!$K$2,P633&lt;EDATE(Calendar!$K$2,1),OR(Calendar!$K$4="*",N633=Calendar!$K$4)),P633*100+COUNTIFS($P$6:$P$3267,P633,$Q$6:$Q$3267,"&lt;="&amp;Q633,$N$6:$N$3267,Calendar!$K$4),"")</f>
        <v/>
      </c>
      <c r="W633" s="47">
        <f>IF(AND(B633=Queue!$C$4,OR(Queue!$K$4="*",N633=Queue!$K$4)),Q633,"")</f>
        <v/>
      </c>
    </row>
    <row r="634">
      <c r="A634" s="38">
        <f>IF(M634="","",HYPERLINK("https://www.youtube.com/watch?v="&amp;M634,"▶"))</f>
        <v/>
      </c>
      <c r="B634" s="39">
        <f>IF(C634&lt;&gt;"",C634,IF(P634&lt;=IFERROR(INDEX(tblChannels[Watched Through],MATCH(N634,tblChannels[Channel ID],0)),0),"Watched","Unwatched"))</f>
        <v/>
      </c>
      <c r="C634" s="40" t="n"/>
      <c r="D634" s="41" t="n"/>
      <c r="E634" s="42" t="n">
        <v>45435.77083333334</v>
      </c>
      <c r="F634" s="52" t="inlineStr">
        <is>
          <t>Super Carlin Gaming</t>
        </is>
      </c>
      <c r="G634" t="inlineStr">
        <is>
          <t>You Won't Believe The Pull | Carlin Brothers Box Breakers S11E7</t>
        </is>
      </c>
      <c r="H634" s="44" t="n">
        <v>0.03103009259259259</v>
      </c>
      <c r="I634" s="45" t="n">
        <v>1421</v>
      </c>
      <c r="J634" s="45" t="n">
        <v>75</v>
      </c>
      <c r="K634" s="45" t="n">
        <v>7</v>
      </c>
      <c r="L634" s="46" t="n"/>
      <c r="M634" s="47" t="n"/>
      <c r="N634" s="47" t="inlineStr">
        <is>
          <t>UCor_9jRnNNZVzTuQ92PKsaQ</t>
        </is>
      </c>
      <c r="O634" s="48" t="n">
        <v>45435.9375</v>
      </c>
      <c r="P634" s="49" t="n">
        <v>45435</v>
      </c>
      <c r="Q634" s="47" t="n">
        <v>2634</v>
      </c>
      <c r="R634" s="47" t="inlineStr">
        <is>
          <t>No Video ID yet</t>
        </is>
      </c>
      <c r="S634" s="49" t="n"/>
      <c r="T634" s="49" t="n"/>
      <c r="U634" s="47" t="inlineStr">
        <is>
          <t>WOW there's som BIG PULLS IN THIS ONE</t>
        </is>
      </c>
      <c r="V634" s="47">
        <f>IF(AND(P634&gt;=Calendar!$K$2,P634&lt;EDATE(Calendar!$K$2,1),OR(Calendar!$K$4="*",N634=Calendar!$K$4)),P634*100+COUNTIFS($P$6:$P$3267,P634,$Q$6:$Q$3267,"&lt;="&amp;Q634,$N$6:$N$3267,Calendar!$K$4),"")</f>
        <v/>
      </c>
      <c r="W634" s="47">
        <f>IF(AND(B634=Queue!$C$4,OR(Queue!$K$4="*",N634=Queue!$K$4)),Q634,"")</f>
        <v/>
      </c>
    </row>
    <row r="635">
      <c r="A635" s="38">
        <f>IF(M635="","",HYPERLINK("https://www.youtube.com/watch?v="&amp;M635,"▶"))</f>
        <v/>
      </c>
      <c r="B635" s="39">
        <f>IF(C635&lt;&gt;"",C635,IF(P635&lt;=IFERROR(INDEX(tblChannels[Watched Through],MATCH(N635,tblChannels[Channel ID],0)),0),"Watched","Unwatched"))</f>
        <v/>
      </c>
      <c r="C635" s="40" t="n"/>
      <c r="D635" s="41" t="n"/>
      <c r="E635" s="42" t="n">
        <v>45434.69513888889</v>
      </c>
      <c r="F635" s="50" t="inlineStr">
        <is>
          <t>Super Carlin Brothers</t>
        </is>
      </c>
      <c r="G635" t="inlineStr">
        <is>
          <t>J vs Ben: HARDEST Albus Dumbledore Harry Potter TRIVIA Quiz EVER</t>
        </is>
      </c>
      <c r="H635" s="44" t="n">
        <v>0.02615740740740741</v>
      </c>
      <c r="I635" s="45" t="n">
        <v>172962</v>
      </c>
      <c r="J635" s="45" t="n">
        <v>4988</v>
      </c>
      <c r="K635" s="45" t="n">
        <v>633</v>
      </c>
      <c r="L635" s="46" t="n"/>
      <c r="M635" s="47" t="n"/>
      <c r="N635" s="47" t="inlineStr">
        <is>
          <t>UCKZo4N0lVPccBkSiuyVh4yg</t>
        </is>
      </c>
      <c r="O635" s="48" t="n">
        <v>45434.86180555556</v>
      </c>
      <c r="P635" s="49" t="n">
        <v>45434</v>
      </c>
      <c r="Q635" s="47" t="n">
        <v>2633</v>
      </c>
      <c r="R635" s="47" t="inlineStr">
        <is>
          <t>No Video ID yet</t>
        </is>
      </c>
      <c r="S635" s="49" t="n"/>
      <c r="T635" s="49" t="n"/>
      <c r="U635" s="47" t="inlineStr">
        <is>
          <t>Go to for 20% off and free shipping. Today J and Ben face off once more to find out who knows more about the Wizarding World as they take on the HARDEST Albus Dumbledore Harry Potter TRIVIA Quiz EVER Play Along with us :: Make J Grow a Mustache in May Follow in Instagram :: Sign up for our Newsletter :: Donate to Stop Sarcoidosis :: New York City - 6/3 (SOLD OUT) Washington, D.C. - 6/13 (SOLD OUT!) 03:57 - Q1: What job does Dumbledore not want? 04:34 - Q2: How many times does Dumbledore say to turn the time turner? 05:26 - Q3: What does Dumbledore tell Dobby to call him? 07:09 - Q4: Why was Dumbledore avoiding Harry? 08:38 - Q5: Which member of the Gaunt family did Dumbledore talk to? 09:46 - Q6: How many goblets of the cave potion does Dumbledore drink? 14:00 - Q7: Who wrote Dumbledore's obituary? 15:51 - Q8: What is the only accolade Dumbledore cared about keeping? 17:55 - Q9: What Quidditch team did Dumbledore predict would place bottom of the league? 21:54 - Q10: How does Dumbledore protect the Goblet of Fire from tricks? 23:47 - Q11: What bad flavor of bean did Dumbledore eat as a youth? 29:15 - Q12: What did Dumbledore order for dinner at the Yule Ball? 30:03 - Q13: Where was</t>
        </is>
      </c>
      <c r="V635" s="47">
        <f>IF(AND(P635&gt;=Calendar!$K$2,P635&lt;EDATE(Calendar!$K$2,1),OR(Calendar!$K$4="*",N635=Calendar!$K$4)),P635*100+COUNTIFS($P$6:$P$3267,P635,$Q$6:$Q$3267,"&lt;="&amp;Q635,$N$6:$N$3267,Calendar!$K$4),"")</f>
        <v/>
      </c>
      <c r="W635" s="47">
        <f>IF(AND(B635=Queue!$C$4,OR(Queue!$K$4="*",N635=Queue!$K$4)),Q635,"")</f>
        <v/>
      </c>
    </row>
    <row r="636">
      <c r="A636" s="38">
        <f>IF(M636="","",HYPERLINK("https://www.youtube.com/watch?v="&amp;M636,"▶"))</f>
        <v/>
      </c>
      <c r="B636" s="39">
        <f>IF(C636&lt;&gt;"",C636,IF(P636&lt;=IFERROR(INDEX(tblChannels[Watched Through],MATCH(N636,tblChannels[Channel ID],0)),0),"Watched","Unwatched"))</f>
        <v/>
      </c>
      <c r="C636" s="40" t="n"/>
      <c r="D636" s="41" t="n"/>
      <c r="E636" s="42" t="n">
        <v>45431.41666666666</v>
      </c>
      <c r="F636" s="51" t="inlineStr">
        <is>
          <t>Through The Griffin Door</t>
        </is>
      </c>
      <c r="G636" t="inlineStr">
        <is>
          <t>Chapter 18: Dobby’s Reward | Chamber of Secrets</t>
        </is>
      </c>
      <c r="H636" s="44" t="n">
        <v>0.06408564814814814</v>
      </c>
      <c r="I636" s="45" t="n">
        <v>82015</v>
      </c>
      <c r="J636" s="45" t="n">
        <v>2286</v>
      </c>
      <c r="K636" s="45" t="n">
        <v>605</v>
      </c>
      <c r="L636" s="46" t="n"/>
      <c r="M636" s="47" t="n"/>
      <c r="N636" s="47" t="inlineStr">
        <is>
          <t>UCEscP6ETYXWSSvsNrDHekMQ</t>
        </is>
      </c>
      <c r="O636" s="48" t="n">
        <v>45431.58333333334</v>
      </c>
      <c r="P636" s="49" t="n">
        <v>45431</v>
      </c>
      <c r="Q636" s="47" t="n">
        <v>2632</v>
      </c>
      <c r="R636" s="47" t="inlineStr">
        <is>
          <t>No Video ID yet</t>
        </is>
      </c>
      <c r="S636" s="49" t="n"/>
      <c r="T636" s="49" t="n"/>
      <c r="U636" s="47" t="inlineStr">
        <is>
          <t>Join J and Ben as they dive into Chapter 18 of the Chamber of Secrets and discuss floo powder, more getting expelled fear, horcrux setup, Harry’s imposter syndrome, the properties of the Sword of Gryffindor, the DADA position, Lucius Malfoy, Harry’s signature spell and snogging. IF YOU’RE COMING TO THE SHOW Submit a J vs. Ben Question - Submit a regular question for Q+A - Washington, D.C. (SOLD OUT) - 6/13 Q+A Form for Upcoming Episode - We did make “The Most Important Line in Harry Potter” into a vide - 09:52 - Chapter Breakdown 1:22:56 - Closing Thoughts and Review</t>
        </is>
      </c>
      <c r="V636" s="47">
        <f>IF(AND(P636&gt;=Calendar!$K$2,P636&lt;EDATE(Calendar!$K$2,1),OR(Calendar!$K$4="*",N636=Calendar!$K$4)),P636*100+COUNTIFS($P$6:$P$3267,P636,$Q$6:$Q$3267,"&lt;="&amp;Q636,$N$6:$N$3267,Calendar!$K$4),"")</f>
        <v/>
      </c>
      <c r="W636" s="47">
        <f>IF(AND(B636=Queue!$C$4,OR(Queue!$K$4="*",N636=Queue!$K$4)),Q636,"")</f>
        <v/>
      </c>
    </row>
    <row r="637">
      <c r="A637" s="38">
        <f>IF(M637="","",HYPERLINK("https://www.youtube.com/watch?v="&amp;M637,"▶"))</f>
        <v/>
      </c>
      <c r="B637" s="39">
        <f>IF(C637&lt;&gt;"",C637,IF(P637&lt;=IFERROR(INDEX(tblChannels[Watched Through],MATCH(N637,tblChannels[Channel ID],0)),0),"Watched","Unwatched"))</f>
        <v/>
      </c>
      <c r="C637" s="40" t="n"/>
      <c r="D637" s="41" t="n"/>
      <c r="E637" s="42" t="n">
        <v>45429.56666666667</v>
      </c>
      <c r="F637" s="50" t="inlineStr">
        <is>
          <t>Super Carlin Brothers</t>
        </is>
      </c>
      <c r="G637" t="inlineStr">
        <is>
          <t>The Single Most Important Line in ALL of Harry Potter | Harry Potter Film Theory</t>
        </is>
      </c>
      <c r="H637" s="44" t="n">
        <v>0.01034722222222222</v>
      </c>
      <c r="I637" s="45" t="n">
        <v>199673</v>
      </c>
      <c r="J637" s="45" t="n">
        <v>8106</v>
      </c>
      <c r="K637" s="45" t="n">
        <v>821</v>
      </c>
      <c r="L637" s="46" t="n"/>
      <c r="M637" s="47" t="n"/>
      <c r="N637" s="47" t="inlineStr">
        <is>
          <t>UCKZo4N0lVPccBkSiuyVh4yg</t>
        </is>
      </c>
      <c r="O637" s="48" t="n">
        <v>45429.73333333333</v>
      </c>
      <c r="P637" s="49" t="n">
        <v>45429</v>
      </c>
      <c r="Q637" s="47" t="n">
        <v>2631</v>
      </c>
      <c r="R637" s="47" t="inlineStr">
        <is>
          <t>No Video ID yet</t>
        </is>
      </c>
      <c r="S637" s="49" t="n"/>
      <c r="T637" s="49" t="n"/>
      <c r="U637" s="47" t="inlineStr">
        <is>
          <t>Go to for 20% off your first order and free shipping. Today Ben dives into the Wizarding World of Harry Potter to reveal and discuss the single most important line in all of Harry Potter. Not just for Harry and the story but also for you the reader - the moment that changed everything! Make J Grow a Mustache in May Follow in Instagram :: Sign up for our Newsletter :: Donate to Stop Sarcoidosis :: Washington, D.C. - 6/13 (SOLD OUT!)</t>
        </is>
      </c>
      <c r="V637" s="47">
        <f>IF(AND(P637&gt;=Calendar!$K$2,P637&lt;EDATE(Calendar!$K$2,1),OR(Calendar!$K$4="*",N637=Calendar!$K$4)),P637*100+COUNTIFS($P$6:$P$3267,P637,$Q$6:$Q$3267,"&lt;="&amp;Q637,$N$6:$N$3267,Calendar!$K$4),"")</f>
        <v/>
      </c>
      <c r="W637" s="47">
        <f>IF(AND(B637=Queue!$C$4,OR(Queue!$K$4="*",N637=Queue!$K$4)),Q637,"")</f>
        <v/>
      </c>
    </row>
    <row r="638">
      <c r="A638" s="38">
        <f>IF(M638="","",HYPERLINK("https://www.youtube.com/watch?v="&amp;M638,"▶"))</f>
        <v/>
      </c>
      <c r="B638" s="39">
        <f>IF(C638&lt;&gt;"",C638,IF(P638&lt;=IFERROR(INDEX(tblChannels[Watched Through],MATCH(N638,tblChannels[Channel ID],0)),0),"Watched","Unwatched"))</f>
        <v/>
      </c>
      <c r="C638" s="40" t="n"/>
      <c r="D638" s="41" t="n"/>
      <c r="E638" s="42" t="n">
        <v>45429.41666666666</v>
      </c>
      <c r="F638" s="43" t="inlineStr">
        <is>
          <t>Popcorn Culture</t>
        </is>
      </c>
      <c r="G638" t="inlineStr">
        <is>
          <t>J’s Guilty Pleasure | Popcorn Culture</t>
        </is>
      </c>
      <c r="H638" s="44" t="n">
        <v>0.04328703703703703</v>
      </c>
      <c r="I638" s="45" t="n">
        <v>4188</v>
      </c>
      <c r="J638" s="45" t="n">
        <v>204</v>
      </c>
      <c r="K638" s="45" t="n">
        <v>18</v>
      </c>
      <c r="L638" s="46" t="n"/>
      <c r="M638" s="47" t="n"/>
      <c r="N638" s="47" t="inlineStr">
        <is>
          <t>UCHfIbq9thHPC8yrKjAdJgDA</t>
        </is>
      </c>
      <c r="O638" s="48" t="n">
        <v>45429.58333333334</v>
      </c>
      <c r="P638" s="49" t="n">
        <v>45429</v>
      </c>
      <c r="Q638" s="47" t="n">
        <v>2630</v>
      </c>
      <c r="R638" s="47" t="inlineStr">
        <is>
          <t>No Video ID yet</t>
        </is>
      </c>
      <c r="S638" s="49" t="n"/>
      <c r="T638" s="49" t="n"/>
      <c r="U638" s="47" t="inlineStr">
        <is>
          <t>In the 232nd episode of the Pop, Ben and J discuss J’s mustache matching his clothes, potty training Addy, pecan trees, pronunciation of things, mountain vs road bikes, and their silent auction experience. Make J Grow a Mustache in May: Follow J on Instagram - Donate Here to help stop Sarcoidosis - Sign up for our Newsletter here - Pecan vs Pecan Half Understandings J Shouldn’t Go to Silent Auctions 00:00 - Intro, J’s Mustache Update 08:53 - Potty Training Addy 25:45 - Half Understandings 35:34 - Paws for Applause</t>
        </is>
      </c>
      <c r="V638" s="47">
        <f>IF(AND(P638&gt;=Calendar!$K$2,P638&lt;EDATE(Calendar!$K$2,1),OR(Calendar!$K$4="*",N638=Calendar!$K$4)),P638*100+COUNTIFS($P$6:$P$3267,P638,$Q$6:$Q$3267,"&lt;="&amp;Q638,$N$6:$N$3267,Calendar!$K$4),"")</f>
        <v/>
      </c>
      <c r="W638" s="47">
        <f>IF(AND(B638=Queue!$C$4,OR(Queue!$K$4="*",N638=Queue!$K$4)),Q638,"")</f>
        <v/>
      </c>
    </row>
    <row r="639">
      <c r="A639" s="38">
        <f>IF(M639="","",HYPERLINK("https://www.youtube.com/watch?v="&amp;M639,"▶"))</f>
        <v/>
      </c>
      <c r="B639" s="39">
        <f>IF(C639&lt;&gt;"",C639,IF(P639&lt;=IFERROR(INDEX(tblChannels[Watched Through],MATCH(N639,tblChannels[Channel ID],0)),0),"Watched","Unwatched"))</f>
        <v/>
      </c>
      <c r="C639" s="40" t="n"/>
      <c r="D639" s="41" t="n"/>
      <c r="E639" s="42" t="n">
        <v>45428.77083333334</v>
      </c>
      <c r="F639" s="52" t="inlineStr">
        <is>
          <t>Super Carlin Gaming</t>
        </is>
      </c>
      <c r="G639" t="inlineStr">
        <is>
          <t>A Day For Rookies | Carlin Brothers Box Breakers S11E6</t>
        </is>
      </c>
      <c r="H639" s="44" t="n">
        <v>0.0308912037037037</v>
      </c>
      <c r="I639" s="45" t="n">
        <v>1238</v>
      </c>
      <c r="J639" s="45" t="n">
        <v>68</v>
      </c>
      <c r="K639" s="45" t="n">
        <v>10</v>
      </c>
      <c r="L639" s="46" t="n"/>
      <c r="M639" s="47" t="n"/>
      <c r="N639" s="47" t="inlineStr">
        <is>
          <t>UCor_9jRnNNZVzTuQ92PKsaQ</t>
        </is>
      </c>
      <c r="O639" s="48" t="n">
        <v>45428.9375</v>
      </c>
      <c r="P639" s="49" t="n">
        <v>45428</v>
      </c>
      <c r="Q639" s="47" t="n">
        <v>2629</v>
      </c>
      <c r="R639" s="47" t="inlineStr">
        <is>
          <t>No Video ID yet</t>
        </is>
      </c>
      <c r="S639" s="49" t="n"/>
      <c r="T639" s="49" t="n"/>
      <c r="U639" s="47" t="inlineStr">
        <is>
          <t>This week the rookies really STEP IT UP</t>
        </is>
      </c>
      <c r="V639" s="47">
        <f>IF(AND(P639&gt;=Calendar!$K$2,P639&lt;EDATE(Calendar!$K$2,1),OR(Calendar!$K$4="*",N639=Calendar!$K$4)),P639*100+COUNTIFS($P$6:$P$3267,P639,$Q$6:$Q$3267,"&lt;="&amp;Q639,$N$6:$N$3267,Calendar!$K$4),"")</f>
        <v/>
      </c>
      <c r="W639" s="47">
        <f>IF(AND(B639=Queue!$C$4,OR(Queue!$K$4="*",N639=Queue!$K$4)),Q639,"")</f>
        <v/>
      </c>
    </row>
    <row r="640">
      <c r="A640" s="38">
        <f>IF(M640="","",HYPERLINK("https://www.youtube.com/watch?v="&amp;M640,"▶"))</f>
        <v/>
      </c>
      <c r="B640" s="39">
        <f>IF(C640&lt;&gt;"",C640,IF(P640&lt;=IFERROR(INDEX(tblChannels[Watched Through],MATCH(N640,tblChannels[Channel ID],0)),0),"Watched","Unwatched"))</f>
        <v/>
      </c>
      <c r="C640" s="40" t="n"/>
      <c r="D640" s="41" t="n"/>
      <c r="E640" s="42" t="n">
        <v>45427.71527777778</v>
      </c>
      <c r="F640" s="50" t="inlineStr">
        <is>
          <t>Super Carlin Brothers</t>
        </is>
      </c>
      <c r="G640" t="inlineStr">
        <is>
          <t>Why Does Hermione Google Autofill | Harry Potter Film Theory</t>
        </is>
      </c>
      <c r="H640" s="44" t="n">
        <v>0.01398148148148148</v>
      </c>
      <c r="I640" s="45" t="n">
        <v>156935</v>
      </c>
      <c r="J640" s="45" t="n">
        <v>6319</v>
      </c>
      <c r="K640" s="45" t="n">
        <v>570</v>
      </c>
      <c r="L640" s="46" t="n"/>
      <c r="M640" s="47" t="n"/>
      <c r="N640" s="47" t="inlineStr">
        <is>
          <t>UCKZo4N0lVPccBkSiuyVh4yg</t>
        </is>
      </c>
      <c r="O640" s="48" t="n">
        <v>45427.88194444445</v>
      </c>
      <c r="P640" s="49" t="n">
        <v>45427</v>
      </c>
      <c r="Q640" s="47" t="n">
        <v>2628</v>
      </c>
      <c r="R640" s="47" t="inlineStr">
        <is>
          <t>No Video ID yet</t>
        </is>
      </c>
      <c r="S640" s="49" t="n"/>
      <c r="T640" s="49" t="n"/>
      <c r="U640" s="47" t="inlineStr">
        <is>
          <t>Today J dives into the Wizarding World of Harry Potter to answer all of Google most asked questions about Hogwarts brightest student: Hermione Granger! Make J Grow a Mustache in May Follow in Instagram :: Sign up for our Newsletter :: Donate to Stop Sarcoidosis :: Washington, D.C. - 6/13 (SOLD OUT!)</t>
        </is>
      </c>
      <c r="V640" s="47">
        <f>IF(AND(P640&gt;=Calendar!$K$2,P640&lt;EDATE(Calendar!$K$2,1),OR(Calendar!$K$4="*",N640=Calendar!$K$4)),P640*100+COUNTIFS($P$6:$P$3267,P640,$Q$6:$Q$3267,"&lt;="&amp;Q640,$N$6:$N$3267,Calendar!$K$4),"")</f>
        <v/>
      </c>
      <c r="W640" s="47">
        <f>IF(AND(B640=Queue!$C$4,OR(Queue!$K$4="*",N640=Queue!$K$4)),Q640,"")</f>
        <v/>
      </c>
    </row>
    <row r="641">
      <c r="A641" s="38">
        <f>IF(M641="","",HYPERLINK("https://www.youtube.com/watch?v="&amp;M641,"▶"))</f>
        <v/>
      </c>
      <c r="B641" s="39">
        <f>IF(C641&lt;&gt;"",C641,IF(P641&lt;=IFERROR(INDEX(tblChannels[Watched Through],MATCH(N641,tblChannels[Channel ID],0)),0),"Watched","Unwatched"))</f>
        <v/>
      </c>
      <c r="C641" s="40" t="n"/>
      <c r="D641" s="41" t="n"/>
      <c r="E641" s="42" t="n">
        <v>45424.41666666666</v>
      </c>
      <c r="F641" s="51" t="inlineStr">
        <is>
          <t>Through The Griffin Door</t>
        </is>
      </c>
      <c r="G641" t="inlineStr">
        <is>
          <t>Chapter 17: The Heir of Slytherin | Chamber of Secrets</t>
        </is>
      </c>
      <c r="H641" s="44" t="n">
        <v>0.05975694444444445</v>
      </c>
      <c r="I641" s="45" t="n">
        <v>75854</v>
      </c>
      <c r="J641" s="45" t="n">
        <v>2175</v>
      </c>
      <c r="K641" s="45" t="n">
        <v>696</v>
      </c>
      <c r="L641" s="46" t="n"/>
      <c r="M641" s="47" t="n"/>
      <c r="N641" s="47" t="inlineStr">
        <is>
          <t>UCEscP6ETYXWSSvsNrDHekMQ</t>
        </is>
      </c>
      <c r="O641" s="48" t="n">
        <v>45424.58333333334</v>
      </c>
      <c r="P641" s="49" t="n">
        <v>45424</v>
      </c>
      <c r="Q641" s="47" t="n">
        <v>2627</v>
      </c>
      <c r="R641" s="47" t="inlineStr">
        <is>
          <t>No Video ID yet</t>
        </is>
      </c>
      <c r="S641" s="49" t="n"/>
      <c r="T641" s="49" t="n"/>
      <c r="U641" s="47" t="inlineStr">
        <is>
          <t>Join J and Ben as they dive into Chapter 17 of the Chamber of Secrets and discuss the appearance of the Chamber, the founders, not realizing Tom is the bad guy, Ginny’s possession, anagrams, Fawkes, the Basilisk fight, Ginny’s explanation, and escaping the Chamber. Washington, D.C. (SOLD OUT) - 6/13 Salazar Slytherin Is STILL Alive?! - 04:33 - Chapter Breakdown 1:20:05 - Closing Thoughts and Review</t>
        </is>
      </c>
      <c r="V641" s="47">
        <f>IF(AND(P641&gt;=Calendar!$K$2,P641&lt;EDATE(Calendar!$K$2,1),OR(Calendar!$K$4="*",N641=Calendar!$K$4)),P641*100+COUNTIFS($P$6:$P$3267,P641,$Q$6:$Q$3267,"&lt;="&amp;Q641,$N$6:$N$3267,Calendar!$K$4),"")</f>
        <v/>
      </c>
      <c r="W641" s="47">
        <f>IF(AND(B641=Queue!$C$4,OR(Queue!$K$4="*",N641=Queue!$K$4)),Q641,"")</f>
        <v/>
      </c>
    </row>
    <row r="642">
      <c r="A642" s="38">
        <f>IF(M642="","",HYPERLINK("https://www.youtube.com/watch?v="&amp;M642,"▶"))</f>
        <v/>
      </c>
      <c r="B642" s="39">
        <f>IF(C642&lt;&gt;"",C642,IF(P642&lt;=IFERROR(INDEX(tblChannels[Watched Through],MATCH(N642,tblChannels[Channel ID],0)),0),"Watched","Unwatched"))</f>
        <v/>
      </c>
      <c r="C642" s="40" t="n"/>
      <c r="D642" s="41" t="n"/>
      <c r="E642" s="42" t="n">
        <v>45422.77083333334</v>
      </c>
      <c r="F642" s="52" t="inlineStr">
        <is>
          <t>Super Carlin Gaming</t>
        </is>
      </c>
      <c r="G642" t="inlineStr">
        <is>
          <t>The Multiplier Hits Again | Carlin Brothers Box Breakers S11E5</t>
        </is>
      </c>
      <c r="H642" s="44" t="n">
        <v>0.03430555555555555</v>
      </c>
      <c r="I642" s="45" t="n">
        <v>1375</v>
      </c>
      <c r="J642" s="45" t="n">
        <v>69</v>
      </c>
      <c r="K642" s="45" t="n">
        <v>16</v>
      </c>
      <c r="L642" s="46" t="n"/>
      <c r="M642" s="47" t="n"/>
      <c r="N642" s="47" t="inlineStr">
        <is>
          <t>UCor_9jRnNNZVzTuQ92PKsaQ</t>
        </is>
      </c>
      <c r="O642" s="48" t="n">
        <v>45422.9375</v>
      </c>
      <c r="P642" s="49" t="n">
        <v>45422</v>
      </c>
      <c r="Q642" s="47" t="n">
        <v>2626</v>
      </c>
      <c r="R642" s="47" t="inlineStr">
        <is>
          <t>No Video ID yet</t>
        </is>
      </c>
      <c r="S642" s="49" t="n"/>
      <c r="T642" s="49" t="n"/>
      <c r="U642" s="47" t="inlineStr">
        <is>
          <t>The first Month Two we've had in a few seasons delivers on the multipliers!</t>
        </is>
      </c>
      <c r="V642" s="47">
        <f>IF(AND(P642&gt;=Calendar!$K$2,P642&lt;EDATE(Calendar!$K$2,1),OR(Calendar!$K$4="*",N642=Calendar!$K$4)),P642*100+COUNTIFS($P$6:$P$3267,P642,$Q$6:$Q$3267,"&lt;="&amp;Q642,$N$6:$N$3267,Calendar!$K$4),"")</f>
        <v/>
      </c>
      <c r="W642" s="47">
        <f>IF(AND(B642=Queue!$C$4,OR(Queue!$K$4="*",N642=Queue!$K$4)),Q642,"")</f>
        <v/>
      </c>
    </row>
    <row r="643">
      <c r="A643" s="38">
        <f>IF(M643="","",HYPERLINK("https://www.youtube.com/watch?v="&amp;M643,"▶"))</f>
        <v/>
      </c>
      <c r="B643" s="39">
        <f>IF(C643&lt;&gt;"",C643,IF(P643&lt;=IFERROR(INDEX(tblChannels[Watched Through],MATCH(N643,tblChannels[Channel ID],0)),0),"Watched","Unwatched"))</f>
        <v/>
      </c>
      <c r="C643" s="40" t="n"/>
      <c r="D643" s="41" t="n"/>
      <c r="E643" s="42" t="n">
        <v>45422.65625</v>
      </c>
      <c r="F643" s="50" t="inlineStr">
        <is>
          <t>Super Carlin Brothers</t>
        </is>
      </c>
      <c r="G643" t="inlineStr">
        <is>
          <t>The Basilisk's Secret Power.. | Harry Potter #harrypotter</t>
        </is>
      </c>
      <c r="H643" s="44" t="n">
        <v>0.0006944444444444445</v>
      </c>
      <c r="I643" s="45" t="n">
        <v>115455</v>
      </c>
      <c r="J643" s="45" t="n">
        <v>6353</v>
      </c>
      <c r="K643" s="45" t="n">
        <v>183</v>
      </c>
      <c r="L643" s="46" t="n"/>
      <c r="M643" s="47" t="n"/>
      <c r="N643" s="47" t="inlineStr">
        <is>
          <t>UCKZo4N0lVPccBkSiuyVh4yg</t>
        </is>
      </c>
      <c r="O643" s="48" t="n">
        <v>45422.82291666666</v>
      </c>
      <c r="P643" s="49" t="n">
        <v>45422</v>
      </c>
      <c r="Q643" s="47" t="n">
        <v>2625</v>
      </c>
      <c r="R643" s="47" t="inlineStr">
        <is>
          <t>No Video ID yet</t>
        </is>
      </c>
      <c r="S643" s="49" t="n"/>
      <c r="T643" s="49" t="n"/>
      <c r="U643" s="47" t="inlineStr">
        <is>
          <t>As if the Basilisk isn't Dangerous enough.. have you ever noticed that there are scorch marks, burning things and smoke left behind wherever it attacks? Just saying.</t>
        </is>
      </c>
      <c r="V643" s="47">
        <f>IF(AND(P643&gt;=Calendar!$K$2,P643&lt;EDATE(Calendar!$K$2,1),OR(Calendar!$K$4="*",N643=Calendar!$K$4)),P643*100+COUNTIFS($P$6:$P$3267,P643,$Q$6:$Q$3267,"&lt;="&amp;Q643,$N$6:$N$3267,Calendar!$K$4),"")</f>
        <v/>
      </c>
      <c r="W643" s="47">
        <f>IF(AND(B643=Queue!$C$4,OR(Queue!$K$4="*",N643=Queue!$K$4)),Q643,"")</f>
        <v/>
      </c>
    </row>
    <row r="644">
      <c r="A644" s="38">
        <f>IF(M644="","",HYPERLINK("https://www.youtube.com/watch?v="&amp;M644,"▶"))</f>
        <v/>
      </c>
      <c r="B644" s="39">
        <f>IF(C644&lt;&gt;"",C644,IF(P644&lt;=IFERROR(INDEX(tblChannels[Watched Through],MATCH(N644,tblChannels[Channel ID],0)),0),"Watched","Unwatched"))</f>
        <v/>
      </c>
      <c r="C644" s="40" t="n"/>
      <c r="D644" s="41" t="n"/>
      <c r="E644" s="42" t="n">
        <v>45422.625</v>
      </c>
      <c r="F644" s="43" t="inlineStr">
        <is>
          <t>Popcorn Culture</t>
        </is>
      </c>
      <c r="G644" t="inlineStr">
        <is>
          <t>Pancakes VS Waffles | Popcorn Culture</t>
        </is>
      </c>
      <c r="H644" s="44" t="n">
        <v>0.002766203703703704</v>
      </c>
      <c r="I644" s="45" t="n">
        <v>2208</v>
      </c>
      <c r="J644" s="45" t="n">
        <v>282</v>
      </c>
      <c r="K644" s="45" t="n">
        <v>65</v>
      </c>
      <c r="L644" s="46" t="n"/>
      <c r="M644" s="47" t="n"/>
      <c r="N644" s="47" t="inlineStr">
        <is>
          <t>UCHfIbq9thHPC8yrKjAdJgDA</t>
        </is>
      </c>
      <c r="O644" s="48" t="n">
        <v>45422.79166666666</v>
      </c>
      <c r="P644" s="49" t="n">
        <v>45422</v>
      </c>
      <c r="Q644" s="47" t="n">
        <v>2624</v>
      </c>
      <c r="R644" s="47" t="inlineStr">
        <is>
          <t>No Video ID yet</t>
        </is>
      </c>
      <c r="S644" s="49" t="n"/>
      <c r="T644" s="49" t="n"/>
      <c r="U644" s="47" t="inlineStr">
        <is>
          <t>It's the age old question... Pancakes VS Waffles Watch the full discussion :: Animated by: Isybelle Christley</t>
        </is>
      </c>
      <c r="V644" s="47">
        <f>IF(AND(P644&gt;=Calendar!$K$2,P644&lt;EDATE(Calendar!$K$2,1),OR(Calendar!$K$4="*",N644=Calendar!$K$4)),P644*100+COUNTIFS($P$6:$P$3267,P644,$Q$6:$Q$3267,"&lt;="&amp;Q644,$N$6:$N$3267,Calendar!$K$4),"")</f>
        <v/>
      </c>
      <c r="W644" s="47">
        <f>IF(AND(B644=Queue!$C$4,OR(Queue!$K$4="*",N644=Queue!$K$4)),Q644,"")</f>
        <v/>
      </c>
    </row>
    <row r="645">
      <c r="A645" s="38">
        <f>IF(M645="","",HYPERLINK("https://www.youtube.com/watch?v="&amp;M645,"▶"))</f>
        <v/>
      </c>
      <c r="B645" s="39">
        <f>IF(C645&lt;&gt;"",C645,IF(P645&lt;=IFERROR(INDEX(tblChannels[Watched Through],MATCH(N645,tblChannels[Channel ID],0)),0),"Watched","Unwatched"))</f>
        <v/>
      </c>
      <c r="C645" s="40" t="n"/>
      <c r="D645" s="41" t="n"/>
      <c r="E645" s="42" t="n">
        <v>45422.57916666667</v>
      </c>
      <c r="F645" s="50" t="inlineStr">
        <is>
          <t>Super Carlin Brothers</t>
        </is>
      </c>
      <c r="G645" t="inlineStr">
        <is>
          <t>Voldemort’s HUGE Mistake | Harry Potter Film Theory</t>
        </is>
      </c>
      <c r="H645" s="44" t="n">
        <v>0.01054398148148148</v>
      </c>
      <c r="I645" s="45" t="n">
        <v>191841</v>
      </c>
      <c r="J645" s="45" t="n">
        <v>7521</v>
      </c>
      <c r="K645" s="45" t="n">
        <v>864</v>
      </c>
      <c r="L645" s="46" t="n"/>
      <c r="M645" s="47" t="n"/>
      <c r="N645" s="47" t="inlineStr">
        <is>
          <t>UCKZo4N0lVPccBkSiuyVh4yg</t>
        </is>
      </c>
      <c r="O645" s="48" t="n">
        <v>45422.74583333333</v>
      </c>
      <c r="P645" s="49" t="n">
        <v>45422</v>
      </c>
      <c r="Q645" s="47" t="n">
        <v>2623</v>
      </c>
      <c r="R645" s="47" t="inlineStr">
        <is>
          <t>No Video ID yet</t>
        </is>
      </c>
      <c r="S645" s="49" t="n"/>
      <c r="T645" s="49" t="n"/>
      <c r="U645" s="47" t="inlineStr">
        <is>
          <t>Go to to sign up for a $1 per month trial period! Today Ben dives or well SLIDES into the Chamber of Secrets and the Wizarding World of Harry Potter to uncover the secret truth about Tom Riddles Diary and how Voldemort never intended to make it in the first place. Washington, D.C. - 6/13 (SOLD OUT!)</t>
        </is>
      </c>
      <c r="V645" s="47">
        <f>IF(AND(P645&gt;=Calendar!$K$2,P645&lt;EDATE(Calendar!$K$2,1),OR(Calendar!$K$4="*",N645=Calendar!$K$4)),P645*100+COUNTIFS($P$6:$P$3267,P645,$Q$6:$Q$3267,"&lt;="&amp;Q645,$N$6:$N$3267,Calendar!$K$4),"")</f>
        <v/>
      </c>
      <c r="W645" s="47">
        <f>IF(AND(B645=Queue!$C$4,OR(Queue!$K$4="*",N645=Queue!$K$4)),Q645,"")</f>
        <v/>
      </c>
    </row>
    <row r="646">
      <c r="A646" s="38">
        <f>IF(M646="","",HYPERLINK("https://www.youtube.com/watch?v="&amp;M646,"▶"))</f>
        <v/>
      </c>
      <c r="B646" s="39">
        <f>IF(C646&lt;&gt;"",C646,IF(P646&lt;=IFERROR(INDEX(tblChannels[Watched Through],MATCH(N646,tblChannels[Channel ID],0)),0),"Watched","Unwatched"))</f>
        <v/>
      </c>
      <c r="C646" s="40" t="n"/>
      <c r="D646" s="41" t="n"/>
      <c r="E646" s="42" t="n">
        <v>45422.41666666666</v>
      </c>
      <c r="F646" s="43" t="inlineStr">
        <is>
          <t>Popcorn Culture</t>
        </is>
      </c>
      <c r="G646" t="inlineStr">
        <is>
          <t>Ben Took Off His Pants in a Bar | Popcorn Culture</t>
        </is>
      </c>
      <c r="H646" s="44" t="n">
        <v>0.05171296296296296</v>
      </c>
      <c r="I646" s="45" t="n">
        <v>3870</v>
      </c>
      <c r="J646" s="45" t="n">
        <v>193</v>
      </c>
      <c r="K646" s="45" t="n">
        <v>21</v>
      </c>
      <c r="L646" s="46" t="n"/>
      <c r="M646" s="47" t="n"/>
      <c r="N646" s="47" t="inlineStr">
        <is>
          <t>UCHfIbq9thHPC8yrKjAdJgDA</t>
        </is>
      </c>
      <c r="O646" s="48" t="n">
        <v>45422.58333333334</v>
      </c>
      <c r="P646" s="49" t="n">
        <v>45422</v>
      </c>
      <c r="Q646" s="47" t="n">
        <v>2622</v>
      </c>
      <c r="R646" s="47" t="inlineStr">
        <is>
          <t>No Video ID yet</t>
        </is>
      </c>
      <c r="S646" s="49" t="n"/>
      <c r="T646" s="49" t="n"/>
      <c r="U646" s="47" t="inlineStr">
        <is>
          <t>In the 231st episode of the Pop, Ben and J discuss the time Ben took his pants off in a bar, the Triple Crown, encountering wild animals, putting too much pressure on yourself, weight lifting, not peaking too early, tiny head starts, the Carousel of Progress, and a Needless World. Make J Grow a Mustache in May: Follow J on Instagram - Donate Here to help stop Sarcoidosis - Sign up for our Newsletter here - The Carousel of Progress - Final Fantasy X - Pantsless Bar Hurricane Mode Mechanical Bull Tiny Head Starts 00:00 - Intro, Ben’s Crazy Bar Story 14:23 - J’s Triple Crown Hike 42:44 - Peaking Early</t>
        </is>
      </c>
      <c r="V646" s="47">
        <f>IF(AND(P646&gt;=Calendar!$K$2,P646&lt;EDATE(Calendar!$K$2,1),OR(Calendar!$K$4="*",N646=Calendar!$K$4)),P646*100+COUNTIFS($P$6:$P$3267,P646,$Q$6:$Q$3267,"&lt;="&amp;Q646,$N$6:$N$3267,Calendar!$K$4),"")</f>
        <v/>
      </c>
      <c r="W646" s="47">
        <f>IF(AND(B646=Queue!$C$4,OR(Queue!$K$4="*",N646=Queue!$K$4)),Q646,"")</f>
        <v/>
      </c>
    </row>
    <row r="647">
      <c r="A647" s="38">
        <f>IF(M647="","",HYPERLINK("https://www.youtube.com/watch?v="&amp;M647,"▶"))</f>
        <v/>
      </c>
      <c r="B647" s="39">
        <f>IF(C647&lt;&gt;"",C647,IF(P647&lt;=IFERROR(INDEX(tblChannels[Watched Through],MATCH(N647,tblChannels[Channel ID],0)),0),"Watched","Unwatched"))</f>
        <v/>
      </c>
      <c r="C647" s="40" t="n"/>
      <c r="D647" s="41" t="n"/>
      <c r="E647" s="42" t="n">
        <v>45420.72361111111</v>
      </c>
      <c r="F647" s="50" t="inlineStr">
        <is>
          <t>Super Carlin Brothers</t>
        </is>
      </c>
      <c r="G647" t="inlineStr">
        <is>
          <t>J vs Ben: ULTIMATE Dursley Harry Potter TRIVIA Quiz</t>
        </is>
      </c>
      <c r="H647" s="44" t="n">
        <v>0.02761574074074074</v>
      </c>
      <c r="I647" s="45" t="n">
        <v>154427</v>
      </c>
      <c r="J647" s="45" t="n">
        <v>4975</v>
      </c>
      <c r="K647" s="45" t="n">
        <v>540</v>
      </c>
      <c r="L647" s="46" t="n"/>
      <c r="M647" s="47" t="n"/>
      <c r="N647" s="47" t="inlineStr">
        <is>
          <t>UCKZo4N0lVPccBkSiuyVh4yg</t>
        </is>
      </c>
      <c r="O647" s="48" t="n">
        <v>45420.89027777778</v>
      </c>
      <c r="P647" s="49" t="n">
        <v>45420</v>
      </c>
      <c r="Q647" s="47" t="n">
        <v>2621</v>
      </c>
      <c r="R647" s="47" t="inlineStr">
        <is>
          <t>No Video ID yet</t>
        </is>
      </c>
      <c r="S647" s="49" t="n"/>
      <c r="T647" s="49" t="n"/>
      <c r="U647" s="47" t="inlineStr">
        <is>
          <t>Go to and use code jvsb50 to get 50% off your first box plus 20% off your next month. Go to to get 10% off your first purchase. Today J and Ben face off once more to find out who knows more about the most muggly muggles that ever muggled: THE DURSLEYS! What is there full address, just how horrible is Aunt Marge? What are they afraid Sirius is going to turn them into? PRIDE SHIRTS :: Make J Grow a Mustache in May Follow on Instagram :: Sign Up for Newsletter :: DONATE :: Washington, D.C. - 6/13 (SOLD OUT!) 02:08 - Q1: What did the Dursleys tell Harry about his parents? 03:27 - Q2: What is the Dursleys address? 04:29 - Q3: What is the first thing Vernon noticed the day after Voldemort attacked? 05:53 - Q4: Why was Dudley on a diet? 07:39 - Q5: What school did they tell Aunt Marge Harry goes to? 10:48 - Q6: What are the Dursleys afraid Sirius will turn them into? 13:57 - Q7: How does Aunt Petunia know about Dementors? 15:34 - Q8: How long was Harry at the Dursleys after his 5th year? 17:32 - Q9: Where does the Ministry find Aunt Marge? 22:34 - Q10: What was for dinner the night the Masons came over? 25:54 - Q11: What Order members collected the Dursleys in book 7? 28:17 - Q12: How man</t>
        </is>
      </c>
      <c r="V647" s="47">
        <f>IF(AND(P647&gt;=Calendar!$K$2,P647&lt;EDATE(Calendar!$K$2,1),OR(Calendar!$K$4="*",N647=Calendar!$K$4)),P647*100+COUNTIFS($P$6:$P$3267,P647,$Q$6:$Q$3267,"&lt;="&amp;Q647,$N$6:$N$3267,Calendar!$K$4),"")</f>
        <v/>
      </c>
      <c r="W647" s="47">
        <f>IF(AND(B647=Queue!$C$4,OR(Queue!$K$4="*",N647=Queue!$K$4)),Q647,"")</f>
        <v/>
      </c>
    </row>
    <row r="648">
      <c r="A648" s="38">
        <f>IF(M648="","",HYPERLINK("https://www.youtube.com/watch?v="&amp;M648,"▶"))</f>
        <v/>
      </c>
      <c r="B648" s="39">
        <f>IF(C648&lt;&gt;"",C648,IF(P648&lt;=IFERROR(INDEX(tblChannels[Watched Through],MATCH(N648,tblChannels[Channel ID],0)),0),"Watched","Unwatched"))</f>
        <v/>
      </c>
      <c r="C648" s="40" t="n"/>
      <c r="D648" s="41" t="n"/>
      <c r="E648" s="42" t="n">
        <v>45417.41666666666</v>
      </c>
      <c r="F648" s="51" t="inlineStr">
        <is>
          <t>Through The Griffin Door</t>
        </is>
      </c>
      <c r="G648" t="inlineStr">
        <is>
          <t>Chapter 16: The Chamber of Secrets | Chamber of Secrets</t>
        </is>
      </c>
      <c r="H648" s="44" t="n">
        <v>0.06260416666666667</v>
      </c>
      <c r="I648" s="45" t="n">
        <v>75800</v>
      </c>
      <c r="J648" s="45" t="n">
        <v>2111</v>
      </c>
      <c r="K648" s="45" t="n">
        <v>583</v>
      </c>
      <c r="L648" s="46" t="n"/>
      <c r="M648" s="47" t="n"/>
      <c r="N648" s="47" t="inlineStr">
        <is>
          <t>UCEscP6ETYXWSSvsNrDHekMQ</t>
        </is>
      </c>
      <c r="O648" s="48" t="n">
        <v>45417.58333333334</v>
      </c>
      <c r="P648" s="49" t="n">
        <v>45417</v>
      </c>
      <c r="Q648" s="47" t="n">
        <v>2620</v>
      </c>
      <c r="R648" s="47" t="inlineStr">
        <is>
          <t>No Video ID yet</t>
        </is>
      </c>
      <c r="S648" s="49" t="n"/>
      <c r="T648" s="49" t="n"/>
      <c r="U648" s="47" t="inlineStr">
        <is>
          <t>Join J and Ben as they dive into Chapter 16 of the Chamber of Secrets and discuss various coincidences, Ron’s wand, Ginny’s almost confession, teachers escorting, Gilderoy’s “help”, Harry’s genuine skill, Myrtle’s death story, down the slide, Parseltongue, and the fancy door. 05:17 - Chapter Breakdown 1:20:46 - Closing Thoughts and Review</t>
        </is>
      </c>
      <c r="V648" s="47">
        <f>IF(AND(P648&gt;=Calendar!$K$2,P648&lt;EDATE(Calendar!$K$2,1),OR(Calendar!$K$4="*",N648=Calendar!$K$4)),P648*100+COUNTIFS($P$6:$P$3267,P648,$Q$6:$Q$3267,"&lt;="&amp;Q648,$N$6:$N$3267,Calendar!$K$4),"")</f>
        <v/>
      </c>
      <c r="W648" s="47">
        <f>IF(AND(B648=Queue!$C$4,OR(Queue!$K$4="*",N648=Queue!$K$4)),Q648,"")</f>
        <v/>
      </c>
    </row>
    <row r="649">
      <c r="A649" s="38">
        <f>IF(M649="","",HYPERLINK("https://www.youtube.com/watch?v="&amp;M649,"▶"))</f>
        <v/>
      </c>
      <c r="B649" s="39">
        <f>IF(C649&lt;&gt;"",C649,IF(P649&lt;=IFERROR(INDEX(tblChannels[Watched Through],MATCH(N649,tblChannels[Channel ID],0)),0),"Watched","Unwatched"))</f>
        <v/>
      </c>
      <c r="C649" s="40" t="n"/>
      <c r="D649" s="41" t="n"/>
      <c r="E649" s="42" t="n">
        <v>45416.41666666666</v>
      </c>
      <c r="F649" s="50" t="inlineStr">
        <is>
          <t>Super Carlin Brothers</t>
        </is>
      </c>
      <c r="G649" t="inlineStr">
        <is>
          <t>Through the Griffin Door Supercut: Chamber of Secrets Chapters 13-15</t>
        </is>
      </c>
      <c r="H649" s="44" t="n">
        <v>0.1643981481481482</v>
      </c>
      <c r="I649" s="45" t="n">
        <v>106446</v>
      </c>
      <c r="J649" s="45" t="n">
        <v>768</v>
      </c>
      <c r="K649" s="45" t="n">
        <v>138</v>
      </c>
      <c r="L649" s="46" t="n"/>
      <c r="M649" s="47" t="n"/>
      <c r="N649" s="47" t="inlineStr">
        <is>
          <t>UCKZo4N0lVPccBkSiuyVh4yg</t>
        </is>
      </c>
      <c r="O649" s="48" t="n">
        <v>45416.58333333334</v>
      </c>
      <c r="P649" s="49" t="n">
        <v>45416</v>
      </c>
      <c r="Q649" s="47" t="n">
        <v>2619</v>
      </c>
      <c r="R649" s="47" t="inlineStr">
        <is>
          <t>No Video ID yet</t>
        </is>
      </c>
      <c r="S649" s="49" t="n"/>
      <c r="T649" s="49" t="n"/>
      <c r="U649" s="47" t="inlineStr">
        <is>
          <t>00:00:00 - Chapter 13: The Very Secret Diary 01:33:41 - Chapter 14: Cornelius Fudge 02:42:11 - Chapter 15: Aragog</t>
        </is>
      </c>
      <c r="V649" s="47">
        <f>IF(AND(P649&gt;=Calendar!$K$2,P649&lt;EDATE(Calendar!$K$2,1),OR(Calendar!$K$4="*",N649=Calendar!$K$4)),P649*100+COUNTIFS($P$6:$P$3267,P649,$Q$6:$Q$3267,"&lt;="&amp;Q649,$N$6:$N$3267,Calendar!$K$4),"")</f>
        <v/>
      </c>
      <c r="W649" s="47">
        <f>IF(AND(B649=Queue!$C$4,OR(Queue!$K$4="*",N649=Queue!$K$4)),Q649,"")</f>
        <v/>
      </c>
    </row>
    <row r="650">
      <c r="A650" s="38">
        <f>IF(M650="","",HYPERLINK("https://www.youtube.com/watch?v="&amp;M650,"▶"))</f>
        <v/>
      </c>
      <c r="B650" s="39">
        <f>IF(C650&lt;&gt;"",C650,IF(P650&lt;=IFERROR(INDEX(tblChannels[Watched Through],MATCH(N650,tblChannels[Channel ID],0)),0),"Watched","Unwatched"))</f>
        <v/>
      </c>
      <c r="C650" s="40" t="n"/>
      <c r="D650" s="41" t="n"/>
      <c r="E650" s="42" t="n">
        <v>45415.64583333334</v>
      </c>
      <c r="F650" s="50" t="inlineStr">
        <is>
          <t>Super Carlin Brothers</t>
        </is>
      </c>
      <c r="G650" t="inlineStr">
        <is>
          <t>How Voldemort ACTUALLY Found The Chamber of Secrets | Harry Potter Film Theory</t>
        </is>
      </c>
      <c r="H650" s="44" t="n">
        <v>0.009907407407407408</v>
      </c>
      <c r="I650" s="45" t="n">
        <v>299841</v>
      </c>
      <c r="J650" s="45" t="n">
        <v>9834</v>
      </c>
      <c r="K650" s="45" t="n">
        <v>761</v>
      </c>
      <c r="L650" s="46" t="n"/>
      <c r="M650" s="47" t="n"/>
      <c r="N650" s="47" t="inlineStr">
        <is>
          <t>UCKZo4N0lVPccBkSiuyVh4yg</t>
        </is>
      </c>
      <c r="O650" s="48" t="n">
        <v>45415.8125</v>
      </c>
      <c r="P650" s="49" t="n">
        <v>45415</v>
      </c>
      <c r="Q650" s="47" t="n">
        <v>2618</v>
      </c>
      <c r="R650" s="47" t="inlineStr">
        <is>
          <t>No Video ID yet</t>
        </is>
      </c>
      <c r="S650" s="49" t="n"/>
      <c r="T650" s="49" t="n"/>
      <c r="U650" s="47" t="inlineStr">
        <is>
          <t>Today Ben dives deep into the Wizarding World of Harry Potter to reveal how Voldemort actually discovered the Chamber of Secrets and what it means for the his horcruxes. Make J Grow a Mustache in May Follow on Instagram :: Sign Up for Newsletter :: DONATE :: Washington, D.C. - 6/13 (SOLD OUT!)</t>
        </is>
      </c>
      <c r="V650" s="47">
        <f>IF(AND(P650&gt;=Calendar!$K$2,P650&lt;EDATE(Calendar!$K$2,1),OR(Calendar!$K$4="*",N650=Calendar!$K$4)),P650*100+COUNTIFS($P$6:$P$3267,P650,$Q$6:$Q$3267,"&lt;="&amp;Q650,$N$6:$N$3267,Calendar!$K$4),"")</f>
        <v/>
      </c>
      <c r="W650" s="47">
        <f>IF(AND(B650=Queue!$C$4,OR(Queue!$K$4="*",N650=Queue!$K$4)),Q650,"")</f>
        <v/>
      </c>
    </row>
    <row r="651">
      <c r="A651" s="38">
        <f>IF(M651="","",HYPERLINK("https://www.youtube.com/watch?v="&amp;M651,"▶"))</f>
        <v/>
      </c>
      <c r="B651" s="39">
        <f>IF(C651&lt;&gt;"",C651,IF(P651&lt;=IFERROR(INDEX(tblChannels[Watched Through],MATCH(N651,tblChannels[Channel ID],0)),0),"Watched","Unwatched"))</f>
        <v/>
      </c>
      <c r="C651" s="40" t="n"/>
      <c r="D651" s="41" t="n"/>
      <c r="E651" s="42" t="n">
        <v>45415.41666666666</v>
      </c>
      <c r="F651" s="43" t="inlineStr">
        <is>
          <t>Popcorn Culture</t>
        </is>
      </c>
      <c r="G651" t="inlineStr">
        <is>
          <t>Make J Grow A Mustache in May! | Popcorn Culture</t>
        </is>
      </c>
      <c r="H651" s="44" t="n">
        <v>0.04682870370370371</v>
      </c>
      <c r="I651" s="45" t="n">
        <v>3722</v>
      </c>
      <c r="J651" s="45" t="n">
        <v>185</v>
      </c>
      <c r="K651" s="45" t="n">
        <v>30</v>
      </c>
      <c r="L651" s="46" t="n"/>
      <c r="M651" s="47" t="n"/>
      <c r="N651" s="47" t="inlineStr">
        <is>
          <t>UCHfIbq9thHPC8yrKjAdJgDA</t>
        </is>
      </c>
      <c r="O651" s="48" t="n">
        <v>45415.58333333334</v>
      </c>
      <c r="P651" s="49" t="n">
        <v>45415</v>
      </c>
      <c r="Q651" s="47" t="n">
        <v>2617</v>
      </c>
      <c r="R651" s="47" t="inlineStr">
        <is>
          <t>No Video ID yet</t>
        </is>
      </c>
      <c r="S651" s="49" t="n"/>
      <c r="T651" s="49" t="n"/>
      <c r="U651" s="47" t="inlineStr">
        <is>
          <t>In the 230th episode of the Pop, Ben and J discuss matching drinks to your environment, J growing a mustache in May, 100s of Beavers, independent 2 year old, lunch boxes, tree climbing and dangerous jumping Follow J on Instagram - Donate Here to help stop Sarcoidosis - Sign up for our Newsletter here - 100s of Beavers Trailer - Margarita Vibes I Have Do It 00:00 - Intro, Libations 14:56 - MUSTACHE MAY! 27:29 - Wick of the Peek 32:25 - Parenting Addy</t>
        </is>
      </c>
      <c r="V651" s="47">
        <f>IF(AND(P651&gt;=Calendar!$K$2,P651&lt;EDATE(Calendar!$K$2,1),OR(Calendar!$K$4="*",N651=Calendar!$K$4)),P651*100+COUNTIFS($P$6:$P$3267,P651,$Q$6:$Q$3267,"&lt;="&amp;Q651,$N$6:$N$3267,Calendar!$K$4),"")</f>
        <v/>
      </c>
      <c r="W651" s="47">
        <f>IF(AND(B651=Queue!$C$4,OR(Queue!$K$4="*",N651=Queue!$K$4)),Q651,"")</f>
        <v/>
      </c>
    </row>
    <row r="652">
      <c r="A652" s="38">
        <f>IF(M652="","",HYPERLINK("https://www.youtube.com/watch?v="&amp;M652,"▶"))</f>
        <v/>
      </c>
      <c r="B652" s="39">
        <f>IF(C652&lt;&gt;"",C652,IF(P652&lt;=IFERROR(INDEX(tblChannels[Watched Through],MATCH(N652,tblChannels[Channel ID],0)),0),"Watched","Unwatched"))</f>
        <v/>
      </c>
      <c r="C652" s="40" t="n"/>
      <c r="D652" s="41" t="n"/>
      <c r="E652" s="42" t="n">
        <v>45413.68541666667</v>
      </c>
      <c r="F652" s="50" t="inlineStr">
        <is>
          <t>Super Carlin Brothers</t>
        </is>
      </c>
      <c r="G652" t="inlineStr">
        <is>
          <t>What Dumbledore ACTUALLY Taught Harry | Harry Potter Film Theory</t>
        </is>
      </c>
      <c r="H652" s="44" t="n">
        <v>0.01230324074074074</v>
      </c>
      <c r="I652" s="45" t="n">
        <v>153025</v>
      </c>
      <c r="J652" s="45" t="n">
        <v>6907</v>
      </c>
      <c r="K652" s="45" t="n">
        <v>462</v>
      </c>
      <c r="L652" s="46" t="n"/>
      <c r="M652" s="47" t="n"/>
      <c r="N652" s="47" t="inlineStr">
        <is>
          <t>UCKZo4N0lVPccBkSiuyVh4yg</t>
        </is>
      </c>
      <c r="O652" s="48" t="n">
        <v>45413.85208333333</v>
      </c>
      <c r="P652" s="49" t="n">
        <v>45413</v>
      </c>
      <c r="Q652" s="47" t="n">
        <v>2616</v>
      </c>
      <c r="R652" s="47" t="inlineStr">
        <is>
          <t>No Video ID yet</t>
        </is>
      </c>
      <c r="S652" s="49" t="n"/>
      <c r="T652" s="49" t="n"/>
      <c r="U652" s="47" t="inlineStr">
        <is>
          <t>Make J Grow a Mustache in May Follow on Instagram :: Sign Up for Newsletter :: DONATE :: Today J dives deep into the Wizarding World of Harry Potter to discuss exactly what Dumbledore taught Harry. Harry seems to think he was the best teacher, but when did he do any teaching? Turns out he has a very hands-off approach! Washington, D.C. - 6/13 (SOLD OUT!)</t>
        </is>
      </c>
      <c r="V652" s="47">
        <f>IF(AND(P652&gt;=Calendar!$K$2,P652&lt;EDATE(Calendar!$K$2,1),OR(Calendar!$K$4="*",N652=Calendar!$K$4)),P652*100+COUNTIFS($P$6:$P$3267,P652,$Q$6:$Q$3267,"&lt;="&amp;Q652,$N$6:$N$3267,Calendar!$K$4),"")</f>
        <v/>
      </c>
      <c r="W652" s="47">
        <f>IF(AND(B652=Queue!$C$4,OR(Queue!$K$4="*",N652=Queue!$K$4)),Q652,"")</f>
        <v/>
      </c>
    </row>
    <row r="653">
      <c r="A653" s="38">
        <f>IF(M653="","",HYPERLINK("https://www.youtube.com/watch?v="&amp;M653,"▶"))</f>
        <v/>
      </c>
      <c r="B653" s="39">
        <f>IF(C653&lt;&gt;"",C653,IF(P653&lt;=IFERROR(INDEX(tblChannels[Watched Through],MATCH(N653,tblChannels[Channel ID],0)),0),"Watched","Unwatched"))</f>
        <v/>
      </c>
      <c r="C653" s="40" t="n"/>
      <c r="D653" s="41" t="n"/>
      <c r="E653" s="42" t="n">
        <v>45412.77083333334</v>
      </c>
      <c r="F653" s="52" t="inlineStr">
        <is>
          <t>Super Carlin Gaming</t>
        </is>
      </c>
      <c r="G653" t="inlineStr">
        <is>
          <t>New Challenger Approaches | Carlin Brothers Box Breakers S11E4</t>
        </is>
      </c>
      <c r="H653" s="44" t="n">
        <v>0.02688657407407407</v>
      </c>
      <c r="I653" s="45" t="n">
        <v>1234</v>
      </c>
      <c r="J653" s="45" t="n">
        <v>69</v>
      </c>
      <c r="K653" s="45" t="n">
        <v>11</v>
      </c>
      <c r="L653" s="46" t="n"/>
      <c r="M653" s="47" t="n"/>
      <c r="N653" s="47" t="inlineStr">
        <is>
          <t>UCor_9jRnNNZVzTuQ92PKsaQ</t>
        </is>
      </c>
      <c r="O653" s="48" t="n">
        <v>45412.9375</v>
      </c>
      <c r="P653" s="49" t="n">
        <v>45412</v>
      </c>
      <c r="Q653" s="47" t="n">
        <v>2615</v>
      </c>
      <c r="R653" s="47" t="inlineStr">
        <is>
          <t>No Video ID yet</t>
        </is>
      </c>
      <c r="S653" s="49" t="n"/>
      <c r="T653" s="49" t="n"/>
      <c r="U653" s="47" t="inlineStr">
        <is>
          <t>Things get a little spicy near the top today!</t>
        </is>
      </c>
      <c r="V653" s="47">
        <f>IF(AND(P653&gt;=Calendar!$K$2,P653&lt;EDATE(Calendar!$K$2,1),OR(Calendar!$K$4="*",N653=Calendar!$K$4)),P653*100+COUNTIFS($P$6:$P$3267,P653,$Q$6:$Q$3267,"&lt;="&amp;Q653,$N$6:$N$3267,Calendar!$K$4),"")</f>
        <v/>
      </c>
      <c r="W653" s="47">
        <f>IF(AND(B653=Queue!$C$4,OR(Queue!$K$4="*",N653=Queue!$K$4)),Q653,"")</f>
        <v/>
      </c>
    </row>
    <row r="654">
      <c r="A654" s="38">
        <f>IF(M654="","",HYPERLINK("https://www.youtube.com/watch?v="&amp;M654,"▶"))</f>
        <v/>
      </c>
      <c r="B654" s="39">
        <f>IF(C654&lt;&gt;"",C654,IF(P654&lt;=IFERROR(INDEX(tblChannels[Watched Through],MATCH(N654,tblChannels[Channel ID],0)),0),"Watched","Unwatched"))</f>
        <v/>
      </c>
      <c r="C654" s="40" t="n"/>
      <c r="D654" s="41" t="n"/>
      <c r="E654" s="42" t="n">
        <v>45410.41666666666</v>
      </c>
      <c r="F654" s="51" t="inlineStr">
        <is>
          <t>Through The Griffin Door</t>
        </is>
      </c>
      <c r="G654" t="inlineStr">
        <is>
          <t>Chapter 15: Aragog | Chamber of Secrets</t>
        </is>
      </c>
      <c r="H654" s="44" t="n">
        <v>0.05177083333333334</v>
      </c>
      <c r="I654" s="45" t="n">
        <v>69529</v>
      </c>
      <c r="J654" s="45" t="n">
        <v>1991</v>
      </c>
      <c r="K654" s="45" t="n">
        <v>422</v>
      </c>
      <c r="L654" s="46" t="n"/>
      <c r="M654" s="47" t="n"/>
      <c r="N654" s="47" t="inlineStr">
        <is>
          <t>UCEscP6ETYXWSSvsNrDHekMQ</t>
        </is>
      </c>
      <c r="O654" s="48" t="n">
        <v>45410.58333333334</v>
      </c>
      <c r="P654" s="49" t="n">
        <v>45410</v>
      </c>
      <c r="Q654" s="47" t="n">
        <v>2614</v>
      </c>
      <c r="R654" s="47" t="inlineStr">
        <is>
          <t>No Video ID yet</t>
        </is>
      </c>
      <c r="S654" s="49" t="n"/>
      <c r="T654" s="49" t="n"/>
      <c r="U654" s="47" t="inlineStr">
        <is>
          <t>Join J and Ben as they dive into Chapter 15 of the Chamber of Secrets and discuss spiders, Hermione’s vitalness, Snape’s sneaky goodness, werewolves in the forest, the Ford Anglia, quest symbology, and the worst scene ever. The Knight Bus's BIG SECRET - Chamber of Secrets Alternate Covers - 14:07 - Chapter Breakdown 1:08:37- Closing Thoughts and Review</t>
        </is>
      </c>
      <c r="V654" s="47">
        <f>IF(AND(P654&gt;=Calendar!$K$2,P654&lt;EDATE(Calendar!$K$2,1),OR(Calendar!$K$4="*",N654=Calendar!$K$4)),P654*100+COUNTIFS($P$6:$P$3267,P654,$Q$6:$Q$3267,"&lt;="&amp;Q654,$N$6:$N$3267,Calendar!$K$4),"")</f>
        <v/>
      </c>
      <c r="W654" s="47">
        <f>IF(AND(B654=Queue!$C$4,OR(Queue!$K$4="*",N654=Queue!$K$4)),Q654,"")</f>
        <v/>
      </c>
    </row>
    <row r="655">
      <c r="A655" s="38">
        <f>IF(M655="","",HYPERLINK("https://www.youtube.com/watch?v="&amp;M655,"▶"))</f>
        <v/>
      </c>
      <c r="B655" s="39">
        <f>IF(C655&lt;&gt;"",C655,IF(P655&lt;=IFERROR(INDEX(tblChannels[Watched Through],MATCH(N655,tblChannels[Channel ID],0)),0),"Watched","Unwatched"))</f>
        <v/>
      </c>
      <c r="C655" s="40" t="n"/>
      <c r="D655" s="41" t="n"/>
      <c r="E655" s="42" t="n">
        <v>45408.77083333334</v>
      </c>
      <c r="F655" s="52" t="inlineStr">
        <is>
          <t>Super Carlin Gaming</t>
        </is>
      </c>
      <c r="G655" t="inlineStr">
        <is>
          <t>Multipliers Are EVERYTHING | Carlin Brothers Box Breakers S11E3</t>
        </is>
      </c>
      <c r="H655" s="44" t="n">
        <v>0.03115740740740741</v>
      </c>
      <c r="I655" s="45" t="n">
        <v>1331</v>
      </c>
      <c r="J655" s="45" t="n">
        <v>76</v>
      </c>
      <c r="K655" s="45" t="n">
        <v>7</v>
      </c>
      <c r="L655" s="46" t="n"/>
      <c r="M655" s="47" t="n"/>
      <c r="N655" s="47" t="inlineStr">
        <is>
          <t>UCor_9jRnNNZVzTuQ92PKsaQ</t>
        </is>
      </c>
      <c r="O655" s="48" t="n">
        <v>45408.9375</v>
      </c>
      <c r="P655" s="49" t="n">
        <v>45408</v>
      </c>
      <c r="Q655" s="47" t="n">
        <v>2613</v>
      </c>
      <c r="R655" s="47" t="inlineStr">
        <is>
          <t>No Video ID yet</t>
        </is>
      </c>
      <c r="S655" s="49" t="n"/>
      <c r="T655" s="49" t="n"/>
      <c r="U655" s="47" t="inlineStr">
        <is>
          <t>This week Temporal Forces gets A LITTLE CRAZY</t>
        </is>
      </c>
      <c r="V655" s="47">
        <f>IF(AND(P655&gt;=Calendar!$K$2,P655&lt;EDATE(Calendar!$K$2,1),OR(Calendar!$K$4="*",N655=Calendar!$K$4)),P655*100+COUNTIFS($P$6:$P$3267,P655,$Q$6:$Q$3267,"&lt;="&amp;Q655,$N$6:$N$3267,Calendar!$K$4),"")</f>
        <v/>
      </c>
      <c r="W655" s="47">
        <f>IF(AND(B655=Queue!$C$4,OR(Queue!$K$4="*",N655=Queue!$K$4)),Q655,"")</f>
        <v/>
      </c>
    </row>
    <row r="656">
      <c r="A656" s="38">
        <f>IF(M656="","",HYPERLINK("https://www.youtube.com/watch?v="&amp;M656,"▶"))</f>
        <v/>
      </c>
      <c r="B656" s="39">
        <f>IF(C656&lt;&gt;"",C656,IF(P656&lt;=IFERROR(INDEX(tblChannels[Watched Through],MATCH(N656,tblChannels[Channel ID],0)),0),"Watched","Unwatched"))</f>
        <v/>
      </c>
      <c r="C656" s="40" t="n"/>
      <c r="D656" s="41" t="n"/>
      <c r="E656" s="42" t="n">
        <v>45408.7125</v>
      </c>
      <c r="F656" s="50" t="inlineStr">
        <is>
          <t>Super Carlin Brothers</t>
        </is>
      </c>
      <c r="G656" t="inlineStr">
        <is>
          <t>How Voldemort Got His ORIGINAL Wand Back | Harry Potter Film Theory</t>
        </is>
      </c>
      <c r="H656" s="44" t="n">
        <v>0.009965277777777778</v>
      </c>
      <c r="I656" s="45" t="n">
        <v>129507</v>
      </c>
      <c r="J656" s="45" t="n">
        <v>5863</v>
      </c>
      <c r="K656" s="45" t="n">
        <v>871</v>
      </c>
      <c r="L656" s="46" t="n"/>
      <c r="M656" s="47" t="n"/>
      <c r="N656" s="47" t="inlineStr">
        <is>
          <t>UCKZo4N0lVPccBkSiuyVh4yg</t>
        </is>
      </c>
      <c r="O656" s="48" t="n">
        <v>45408.87916666667</v>
      </c>
      <c r="P656" s="49" t="n">
        <v>45408</v>
      </c>
      <c r="Q656" s="47" t="n">
        <v>2612</v>
      </c>
      <c r="R656" s="47" t="inlineStr">
        <is>
          <t>No Video ID yet</t>
        </is>
      </c>
      <c r="S656" s="49" t="n"/>
      <c r="T656" s="49" t="n"/>
      <c r="U656" s="47" t="inlineStr">
        <is>
          <t>Go to for 20% off your first order and free shipping. Today J dives deep into the Wizarding World of Harry Potter to uncover how Voldemort got his original wand back after the perilous night of the Potter’s plight! Washington, D.C. - 6/13 (SOLD OUT!)</t>
        </is>
      </c>
      <c r="V656" s="47">
        <f>IF(AND(P656&gt;=Calendar!$K$2,P656&lt;EDATE(Calendar!$K$2,1),OR(Calendar!$K$4="*",N656=Calendar!$K$4)),P656*100+COUNTIFS($P$6:$P$3267,P656,$Q$6:$Q$3267,"&lt;="&amp;Q656,$N$6:$N$3267,Calendar!$K$4),"")</f>
        <v/>
      </c>
      <c r="W656" s="47">
        <f>IF(AND(B656=Queue!$C$4,OR(Queue!$K$4="*",N656=Queue!$K$4)),Q656,"")</f>
        <v/>
      </c>
    </row>
    <row r="657">
      <c r="A657" s="38">
        <f>IF(M657="","",HYPERLINK("https://www.youtube.com/watch?v="&amp;M657,"▶"))</f>
        <v/>
      </c>
      <c r="B657" s="39">
        <f>IF(C657&lt;&gt;"",C657,IF(P657&lt;=IFERROR(INDEX(tblChannels[Watched Through],MATCH(N657,tblChannels[Channel ID],0)),0),"Watched","Unwatched"))</f>
        <v/>
      </c>
      <c r="C657" s="40" t="n"/>
      <c r="D657" s="41" t="n"/>
      <c r="E657" s="42" t="n">
        <v>45408.41666666666</v>
      </c>
      <c r="F657" s="43" t="inlineStr">
        <is>
          <t>Popcorn Culture</t>
        </is>
      </c>
      <c r="G657" t="inlineStr">
        <is>
          <t>Not-So-Profits | Popcorn Culture</t>
        </is>
      </c>
      <c r="H657" s="44" t="n">
        <v>0.05237268518518518</v>
      </c>
      <c r="I657" s="45" t="n">
        <v>3930</v>
      </c>
      <c r="J657" s="45" t="n">
        <v>190</v>
      </c>
      <c r="K657" s="45" t="n">
        <v>23</v>
      </c>
      <c r="L657" s="46" t="n"/>
      <c r="M657" s="47" t="n"/>
      <c r="N657" s="47" t="inlineStr">
        <is>
          <t>UCHfIbq9thHPC8yrKjAdJgDA</t>
        </is>
      </c>
      <c r="O657" s="48" t="n">
        <v>45408.58333333334</v>
      </c>
      <c r="P657" s="49" t="n">
        <v>45408</v>
      </c>
      <c r="Q657" s="47" t="n">
        <v>2611</v>
      </c>
      <c r="R657" s="47" t="inlineStr">
        <is>
          <t>No Video ID yet</t>
        </is>
      </c>
      <c r="S657" s="49" t="n"/>
      <c r="T657" s="49" t="n"/>
      <c r="U657" s="47" t="inlineStr">
        <is>
          <t>In the 229th episode of the pop, Ben and J discuss tone while typing, tour shirts, showering, Steve Prefontaine, basketball hoops, and not for profit (not non-profit) companies. Without Limits - Miracle - Strikethrough Emoji Dictionary A Big HAH Guy Basketball Hoops 00:00 - Intro, Video Got Borked :( 00:50 - Keyboard Commands 21:23 - Showers and Basketballs 52:21 - Not-So-Profits</t>
        </is>
      </c>
      <c r="V657" s="47">
        <f>IF(AND(P657&gt;=Calendar!$K$2,P657&lt;EDATE(Calendar!$K$2,1),OR(Calendar!$K$4="*",N657=Calendar!$K$4)),P657*100+COUNTIFS($P$6:$P$3267,P657,$Q$6:$Q$3267,"&lt;="&amp;Q657,$N$6:$N$3267,Calendar!$K$4),"")</f>
        <v/>
      </c>
      <c r="W657" s="47">
        <f>IF(AND(B657=Queue!$C$4,OR(Queue!$K$4="*",N657=Queue!$K$4)),Q657,"")</f>
        <v/>
      </c>
    </row>
    <row r="658">
      <c r="A658" s="38">
        <f>IF(M658="","",HYPERLINK("https://www.youtube.com/watch?v="&amp;M658,"▶"))</f>
        <v/>
      </c>
      <c r="B658" s="39">
        <f>IF(C658&lt;&gt;"",C658,IF(P658&lt;=IFERROR(INDEX(tblChannels[Watched Through],MATCH(N658,tblChannels[Channel ID],0)),0),"Watched","Unwatched"))</f>
        <v/>
      </c>
      <c r="C658" s="40" t="n"/>
      <c r="D658" s="41" t="n"/>
      <c r="E658" s="42" t="n">
        <v>45406.71875</v>
      </c>
      <c r="F658" s="50" t="inlineStr">
        <is>
          <t>Super Carlin Brothers</t>
        </is>
      </c>
      <c r="G658" t="inlineStr">
        <is>
          <t>J vs Ben: The BIGGEST Hagrid Harry Potter Trivia Quiz EVER</t>
        </is>
      </c>
      <c r="H658" s="44" t="n">
        <v>0.02921296296296296</v>
      </c>
      <c r="I658" s="45" t="n">
        <v>155686</v>
      </c>
      <c r="J658" s="45" t="n">
        <v>4983</v>
      </c>
      <c r="K658" s="45" t="n">
        <v>517</v>
      </c>
      <c r="L658" s="46" t="n"/>
      <c r="M658" s="47" t="n"/>
      <c r="N658" s="47" t="inlineStr">
        <is>
          <t>UCKZo4N0lVPccBkSiuyVh4yg</t>
        </is>
      </c>
      <c r="O658" s="48" t="n">
        <v>45406.88541666666</v>
      </c>
      <c r="P658" s="49" t="n">
        <v>45406</v>
      </c>
      <c r="Q658" s="47" t="n">
        <v>2610</v>
      </c>
      <c r="R658" s="47" t="inlineStr">
        <is>
          <t>No Video ID yet</t>
        </is>
      </c>
      <c r="S658" s="49" t="n"/>
      <c r="T658" s="49" t="n"/>
      <c r="U658" s="47" t="inlineStr">
        <is>
          <t>Go to to find out how you can get 3 months free. Go to for 20% off your first order and free shipping. Today J and Ben face off once more to find out who knows more about everyone’s favorite Half-Giant: Rubeus Hagrid! What is Hagrid's Mom’s name? Who had his job before Hagrid? What color tie does Hagrid wear to the Yule Ball?! Washington, D.C. - 6/13 (SOLD OUT!) 02:12 - Q1: What did Hagrid carry into Dumbledore's office? 03:22 - Q2: What does Hagrid teach after Hippogriffs? 04:34 - Q3: Who was the gamekeeper at Hogwarts before Hagrid? 05:55 - Q4: How did Hagrid get to Harry? 08:02 - Q5: What was Hagrid's cryptic advice? 09:43 - Q6: When were Hagrid and Harry supposed to arrive at the Burrow? 10:41 - Q7: How many seats did Hagrid crush at the wedding? 15:01 - Q8: Which bike modification did Hagrid suggest? 17:00 - Q9: What two gifts did Hagrid give to the giants? 24:22 - Q10: What time of day did Hagrid bury Aragog? 26:08 - Q11: How many times does Hagrid say "I shouldn't have said that"? 27:36 - Q12: What was Hagrid's tie pattern? 30:36 - Q13: What's Hagrid's mother's name? 35:07 - Q14: Where did Hagrid and Olympe run into trolls? 37:19 - Q15: What do Hagrid's eyes glint like?</t>
        </is>
      </c>
      <c r="V658" s="47">
        <f>IF(AND(P658&gt;=Calendar!$K$2,P658&lt;EDATE(Calendar!$K$2,1),OR(Calendar!$K$4="*",N658=Calendar!$K$4)),P658*100+COUNTIFS($P$6:$P$3267,P658,$Q$6:$Q$3267,"&lt;="&amp;Q658,$N$6:$N$3267,Calendar!$K$4),"")</f>
        <v/>
      </c>
      <c r="W658" s="47">
        <f>IF(AND(B658=Queue!$C$4,OR(Queue!$K$4="*",N658=Queue!$K$4)),Q658,"")</f>
        <v/>
      </c>
    </row>
    <row r="659">
      <c r="A659" s="38">
        <f>IF(M659="","",HYPERLINK("https://www.youtube.com/watch?v="&amp;M659,"▶"))</f>
        <v/>
      </c>
      <c r="B659" s="39">
        <f>IF(C659&lt;&gt;"",C659,IF(P659&lt;=IFERROR(INDEX(tblChannels[Watched Through],MATCH(N659,tblChannels[Channel ID],0)),0),"Watched","Unwatched"))</f>
        <v/>
      </c>
      <c r="C659" s="40" t="n"/>
      <c r="D659" s="41" t="n"/>
      <c r="E659" s="42" t="n">
        <v>45403.41666666666</v>
      </c>
      <c r="F659" s="51" t="inlineStr">
        <is>
          <t>Through The Griffin Door</t>
        </is>
      </c>
      <c r="G659" t="inlineStr">
        <is>
          <t>Chapter 14: Cornelius Fudge | Chamber of Secrets</t>
        </is>
      </c>
      <c r="H659" s="44" t="n">
        <v>0.04768518518518518</v>
      </c>
      <c r="I659" s="45" t="n">
        <v>70177</v>
      </c>
      <c r="J659" s="45" t="n">
        <v>2120</v>
      </c>
      <c r="K659" s="45" t="n">
        <v>407</v>
      </c>
      <c r="L659" s="46" t="n"/>
      <c r="M659" s="47" t="n"/>
      <c r="N659" s="47" t="inlineStr">
        <is>
          <t>UCEscP6ETYXWSSvsNrDHekMQ</t>
        </is>
      </c>
      <c r="O659" s="48" t="n">
        <v>45403.58333333334</v>
      </c>
      <c r="P659" s="49" t="n">
        <v>45403</v>
      </c>
      <c r="Q659" s="47" t="n">
        <v>2609</v>
      </c>
      <c r="R659" s="47" t="inlineStr">
        <is>
          <t>No Video ID yet</t>
        </is>
      </c>
      <c r="S659" s="49" t="n"/>
      <c r="T659" s="49" t="n"/>
      <c r="U659" s="47" t="inlineStr">
        <is>
          <t>Join J and Ben as they dive into Chapter 14 of the Chamber of Secrets and discuss Hogwarts monsters, 3rd year classes, Ginny stealing the Diary, McGonagall canceling quidditch, visiting Hagrid’s hut, Dumbledore’s animagus is a phoenix, and cryptic messages. Dumbledore Is A Phoenix - 09:55 - Chapter Breakdown 57:16 - Closing Thoughts and Review</t>
        </is>
      </c>
      <c r="V659" s="47">
        <f>IF(AND(P659&gt;=Calendar!$K$2,P659&lt;EDATE(Calendar!$K$2,1),OR(Calendar!$K$4="*",N659=Calendar!$K$4)),P659*100+COUNTIFS($P$6:$P$3267,P659,$Q$6:$Q$3267,"&lt;="&amp;Q659,$N$6:$N$3267,Calendar!$K$4),"")</f>
        <v/>
      </c>
      <c r="W659" s="47">
        <f>IF(AND(B659=Queue!$C$4,OR(Queue!$K$4="*",N659=Queue!$K$4)),Q659,"")</f>
        <v/>
      </c>
    </row>
    <row r="660">
      <c r="A660" s="38">
        <f>IF(M660="","",HYPERLINK("https://www.youtube.com/watch?v="&amp;M660,"▶"))</f>
        <v/>
      </c>
      <c r="B660" s="39">
        <f>IF(C660&lt;&gt;"",C660,IF(P660&lt;=IFERROR(INDEX(tblChannels[Watched Through],MATCH(N660,tblChannels[Channel ID],0)),0),"Watched","Unwatched"))</f>
        <v/>
      </c>
      <c r="C660" s="40" t="n"/>
      <c r="D660" s="41" t="n"/>
      <c r="E660" s="42" t="n">
        <v>45401.72291666667</v>
      </c>
      <c r="F660" s="50" t="inlineStr">
        <is>
          <t>Super Carlin Brothers</t>
        </is>
      </c>
      <c r="G660" t="inlineStr">
        <is>
          <t>Bluey’s “The Sign” Might Be the Best Episode of TV. Ever.</t>
        </is>
      </c>
      <c r="H660" s="44" t="n">
        <v>0.01695601851851852</v>
      </c>
      <c r="I660" s="45" t="n">
        <v>86307</v>
      </c>
      <c r="J660" s="45" t="n">
        <v>5839</v>
      </c>
      <c r="K660" s="45" t="n">
        <v>1085</v>
      </c>
      <c r="L660" s="46" t="n"/>
      <c r="M660" s="47" t="n"/>
      <c r="N660" s="47" t="inlineStr">
        <is>
          <t>UCKZo4N0lVPccBkSiuyVh4yg</t>
        </is>
      </c>
      <c r="O660" s="48" t="n">
        <v>45401.88958333333</v>
      </c>
      <c r="P660" s="49" t="n">
        <v>45401</v>
      </c>
      <c r="Q660" s="47" t="n">
        <v>2608</v>
      </c>
      <c r="R660" s="47" t="inlineStr">
        <is>
          <t>No Video ID yet</t>
        </is>
      </c>
      <c r="S660" s="49" t="n"/>
      <c r="T660" s="49" t="n"/>
      <c r="U660" s="47" t="inlineStr">
        <is>
          <t>Get a free Mystery Gift with your first monthly shipment when you sign up at Today J breaks down the latest episode of Bluey, The Sign, and reveals every easter egg, hidden plot, things you missed, and just gushes about how Bluey is the perfect show. JUG RECIPE: 1. Get yourself a large JUG like the one featured in the video, but any will do. Ingredients: 2. Fill 1/3 with spirit of choice - (I would recommend Vodka or Rum) 3. Fill rest with water 4. Mix in the appropriate amount of Crystal Light per size of your JUG. ANY flavor is fine (I like raspberry lemonade) 5. Top with Fresca! 6. DON'T put Ice in your JUG it will dilute the mixture, add ice to your cup afterwards 7. Enjoy responsibly! Washington, D.C. - 6/13 (SOLD OUT!) #supercarlinbrothers #Bluey Edited by : Ethan Edghill &amp; Isybelle Christley</t>
        </is>
      </c>
      <c r="V660" s="47">
        <f>IF(AND(P660&gt;=Calendar!$K$2,P660&lt;EDATE(Calendar!$K$2,1),OR(Calendar!$K$4="*",N660=Calendar!$K$4)),P660*100+COUNTIFS($P$6:$P$3267,P660,$Q$6:$Q$3267,"&lt;="&amp;Q660,$N$6:$N$3267,Calendar!$K$4),"")</f>
        <v/>
      </c>
      <c r="W660" s="47">
        <f>IF(AND(B660=Queue!$C$4,OR(Queue!$K$4="*",N660=Queue!$K$4)),Q660,"")</f>
        <v/>
      </c>
    </row>
    <row r="661">
      <c r="A661" s="38">
        <f>IF(M661="","",HYPERLINK("https://www.youtube.com/watch?v="&amp;M661,"▶"))</f>
        <v/>
      </c>
      <c r="B661" s="39">
        <f>IF(C661&lt;&gt;"",C661,IF(P661&lt;=IFERROR(INDEX(tblChannels[Watched Through],MATCH(N661,tblChannels[Channel ID],0)),0),"Watched","Unwatched"))</f>
        <v/>
      </c>
      <c r="C661" s="40" t="n"/>
      <c r="D661" s="41" t="n"/>
      <c r="E661" s="42" t="n">
        <v>45401.41666666666</v>
      </c>
      <c r="F661" s="43" t="inlineStr">
        <is>
          <t>Popcorn Culture</t>
        </is>
      </c>
      <c r="G661" t="inlineStr">
        <is>
          <t>The Railsplitter | Popcorn Culture</t>
        </is>
      </c>
      <c r="H661" s="44" t="n">
        <v>0.05648148148148148</v>
      </c>
      <c r="I661" s="45" t="n">
        <v>4554</v>
      </c>
      <c r="J661" s="45" t="n">
        <v>188</v>
      </c>
      <c r="K661" s="45" t="n">
        <v>24</v>
      </c>
      <c r="L661" s="46" t="n"/>
      <c r="M661" s="47" t="n"/>
      <c r="N661" s="47" t="inlineStr">
        <is>
          <t>UCHfIbq9thHPC8yrKjAdJgDA</t>
        </is>
      </c>
      <c r="O661" s="48" t="n">
        <v>45401.58333333334</v>
      </c>
      <c r="P661" s="49" t="n">
        <v>45401</v>
      </c>
      <c r="Q661" s="47" t="n">
        <v>2607</v>
      </c>
      <c r="R661" s="47" t="inlineStr">
        <is>
          <t>No Video ID yet</t>
        </is>
      </c>
      <c r="S661" s="49" t="n"/>
      <c r="T661" s="49" t="n"/>
      <c r="U661" s="47" t="inlineStr">
        <is>
          <t>In the 228th episode of the Pop, Ben and J discuss our latest D&amp;D one shot, arrogance vs. confidence, The Masters, Jurassic Quest, original quotes, Avatar the Last Airbender, a reemergence of the Abe Lincoln and Coyote Fun Facts, and crossword puzzles. Formula 1: Drive to Survive - The Masters - Avatar the Last Airbender - Remember the Titans - Miracle - Quiet Confidence The Customer’s Always Right 00:00 - Intro, A Corny Joke! 01:46 - Julian Clockfart 28:22 - Wifeless Weekend 47:17 - “The Customer’s Always Right” 1:05:24 - Abe Lincoln! 1:12:53 - Crosswords</t>
        </is>
      </c>
      <c r="V661" s="47">
        <f>IF(AND(P661&gt;=Calendar!$K$2,P661&lt;EDATE(Calendar!$K$2,1),OR(Calendar!$K$4="*",N661=Calendar!$K$4)),P661*100+COUNTIFS($P$6:$P$3267,P661,$Q$6:$Q$3267,"&lt;="&amp;Q661,$N$6:$N$3267,Calendar!$K$4),"")</f>
        <v/>
      </c>
      <c r="W661" s="47">
        <f>IF(AND(B661=Queue!$C$4,OR(Queue!$K$4="*",N661=Queue!$K$4)),Q661,"")</f>
        <v/>
      </c>
    </row>
    <row r="662">
      <c r="A662" s="38">
        <f>IF(M662="","",HYPERLINK("https://www.youtube.com/watch?v="&amp;M662,"▶"))</f>
        <v/>
      </c>
      <c r="B662" s="39">
        <f>IF(C662&lt;&gt;"",C662,IF(P662&lt;=IFERROR(INDEX(tblChannels[Watched Through],MATCH(N662,tblChannels[Channel ID],0)),0),"Watched","Unwatched"))</f>
        <v/>
      </c>
      <c r="C662" s="40" t="n"/>
      <c r="D662" s="41" t="n"/>
      <c r="E662" s="42" t="n">
        <v>45399.70486111111</v>
      </c>
      <c r="F662" s="50" t="inlineStr">
        <is>
          <t>Super Carlin Brothers</t>
        </is>
      </c>
      <c r="G662" t="inlineStr">
        <is>
          <t>The TRUE Origin of Mad-Eye’s Eye | Harry Potter Film Theory</t>
        </is>
      </c>
      <c r="H662" s="44" t="n">
        <v>0.01100694444444444</v>
      </c>
      <c r="I662" s="45" t="n">
        <v>189326</v>
      </c>
      <c r="J662" s="45" t="n">
        <v>7809</v>
      </c>
      <c r="K662" s="45" t="n">
        <v>541</v>
      </c>
      <c r="L662" s="46" t="n"/>
      <c r="M662" s="47" t="n"/>
      <c r="N662" s="47" t="inlineStr">
        <is>
          <t>UCKZo4N0lVPccBkSiuyVh4yg</t>
        </is>
      </c>
      <c r="O662" s="48" t="n">
        <v>45399.87152777778</v>
      </c>
      <c r="P662" s="49" t="n">
        <v>45399</v>
      </c>
      <c r="Q662" s="47" t="n">
        <v>2606</v>
      </c>
      <c r="R662" s="47" t="inlineStr">
        <is>
          <t>No Video ID yet</t>
        </is>
      </c>
      <c r="S662" s="49" t="n"/>
      <c r="T662" s="49" t="n"/>
      <c r="U662" s="47" t="inlineStr">
        <is>
          <t>Today Ben dives into the Wizarding World of Harry Potter to find out where Mad-Eye Moody’s Eye came from, who created, why he needed it and WHY it can see through Harry’s invisibility cloak!? Washington, D.C. - 6/13 (SOLD OUT!)</t>
        </is>
      </c>
      <c r="V662" s="47">
        <f>IF(AND(P662&gt;=Calendar!$K$2,P662&lt;EDATE(Calendar!$K$2,1),OR(Calendar!$K$4="*",N662=Calendar!$K$4)),P662*100+COUNTIFS($P$6:$P$3267,P662,$Q$6:$Q$3267,"&lt;="&amp;Q662,$N$6:$N$3267,Calendar!$K$4),"")</f>
        <v/>
      </c>
      <c r="W662" s="47">
        <f>IF(AND(B662=Queue!$C$4,OR(Queue!$K$4="*",N662=Queue!$K$4)),Q662,"")</f>
        <v/>
      </c>
    </row>
    <row r="663">
      <c r="A663" s="38">
        <f>IF(M663="","",HYPERLINK("https://www.youtube.com/watch?v="&amp;M663,"▶"))</f>
        <v/>
      </c>
      <c r="B663" s="39">
        <f>IF(C663&lt;&gt;"",C663,IF(P663&lt;=IFERROR(INDEX(tblChannels[Watched Through],MATCH(N663,tblChannels[Channel ID],0)),0),"Watched","Unwatched"))</f>
        <v/>
      </c>
      <c r="C663" s="40" t="n"/>
      <c r="D663" s="41" t="n"/>
      <c r="E663" s="42" t="n">
        <v>45397.58402777778</v>
      </c>
      <c r="F663" s="50" t="inlineStr">
        <is>
          <t>Super Carlin Brothers</t>
        </is>
      </c>
      <c r="G663" t="inlineStr">
        <is>
          <t>Through the Griffin Door Supercut: Chamber of Secrets Chapters 10-12</t>
        </is>
      </c>
      <c r="H663" s="44" t="n">
        <v>0.1800810185185185</v>
      </c>
      <c r="I663" s="45" t="n">
        <v>38059</v>
      </c>
      <c r="J663" s="45" t="n">
        <v>644</v>
      </c>
      <c r="K663" s="45" t="n">
        <v>152</v>
      </c>
      <c r="L663" s="46" t="n"/>
      <c r="M663" s="47" t="n"/>
      <c r="N663" s="47" t="inlineStr">
        <is>
          <t>UCKZo4N0lVPccBkSiuyVh4yg</t>
        </is>
      </c>
      <c r="O663" s="48" t="n">
        <v>45397.75069444445</v>
      </c>
      <c r="P663" s="49" t="n">
        <v>45397</v>
      </c>
      <c r="Q663" s="47" t="n">
        <v>2605</v>
      </c>
      <c r="R663" s="47" t="inlineStr">
        <is>
          <t>No Video ID yet</t>
        </is>
      </c>
      <c r="S663" s="49" t="n"/>
      <c r="T663" s="49" t="n"/>
      <c r="U663" s="47" t="inlineStr">
        <is>
          <t>00:00:00 - Chapter 10: The Rogue Bludger 01:14:16 - Chapter 11: The Dueling Club 02:33:34 - Chapter 12: The Polyjuice Potion</t>
        </is>
      </c>
      <c r="V663" s="47">
        <f>IF(AND(P663&gt;=Calendar!$K$2,P663&lt;EDATE(Calendar!$K$2,1),OR(Calendar!$K$4="*",N663=Calendar!$K$4)),P663*100+COUNTIFS($P$6:$P$3267,P663,$Q$6:$Q$3267,"&lt;="&amp;Q663,$N$6:$N$3267,Calendar!$K$4),"")</f>
        <v/>
      </c>
      <c r="W663" s="47">
        <f>IF(AND(B663=Queue!$C$4,OR(Queue!$K$4="*",N663=Queue!$K$4)),Q663,"")</f>
        <v/>
      </c>
    </row>
    <row r="664">
      <c r="A664" s="38">
        <f>IF(M664="","",HYPERLINK("https://www.youtube.com/watch?v="&amp;M664,"▶"))</f>
        <v/>
      </c>
      <c r="B664" s="39">
        <f>IF(C664&lt;&gt;"",C664,IF(P664&lt;=IFERROR(INDEX(tblChannels[Watched Through],MATCH(N664,tblChannels[Channel ID],0)),0),"Watched","Unwatched"))</f>
        <v/>
      </c>
      <c r="C664" s="40" t="n"/>
      <c r="D664" s="41" t="n"/>
      <c r="E664" s="42" t="n">
        <v>45396.41666666666</v>
      </c>
      <c r="F664" s="51" t="inlineStr">
        <is>
          <t>Through The Griffin Door</t>
        </is>
      </c>
      <c r="G664" t="inlineStr">
        <is>
          <t>Chapter 13: The Very Secret Diary | Chamber of Secrets</t>
        </is>
      </c>
      <c r="H664" s="44" t="n">
        <v>0.06516203703703703</v>
      </c>
      <c r="I664" s="45" t="n">
        <v>85137</v>
      </c>
      <c r="J664" s="45" t="n">
        <v>2136</v>
      </c>
      <c r="K664" s="45" t="n">
        <v>625</v>
      </c>
      <c r="L664" s="46" t="n"/>
      <c r="M664" s="47" t="n"/>
      <c r="N664" s="47" t="inlineStr">
        <is>
          <t>UCEscP6ETYXWSSvsNrDHekMQ</t>
        </is>
      </c>
      <c r="O664" s="48" t="n">
        <v>45396.58333333334</v>
      </c>
      <c r="P664" s="49" t="n">
        <v>45396</v>
      </c>
      <c r="Q664" s="47" t="n">
        <v>2604</v>
      </c>
      <c r="R664" s="47" t="inlineStr">
        <is>
          <t>No Video ID yet</t>
        </is>
      </c>
      <c r="S664" s="49" t="n"/>
      <c r="T664" s="49" t="n"/>
      <c r="U664" s="47" t="inlineStr">
        <is>
          <t>Join J and Ben as they dive into Chapter 13 of the Chamber of Secrets and discuss Ron’s instincts, Lockhart’s signature, ghosts’ lack of solidity, the details of the Diary, the trophy room, who sent Harry the Valentine, Harry writing in the Diary, Riddle’s manipulation of the truth, and the details of the memory. Percy Weasley Had A Time Turner - 11:40 - Chapter Breakdown 1:25:41 - Closing Thoughts and Review</t>
        </is>
      </c>
      <c r="V664" s="47">
        <f>IF(AND(P664&gt;=Calendar!$K$2,P664&lt;EDATE(Calendar!$K$2,1),OR(Calendar!$K$4="*",N664=Calendar!$K$4)),P664*100+COUNTIFS($P$6:$P$3267,P664,$Q$6:$Q$3267,"&lt;="&amp;Q664,$N$6:$N$3267,Calendar!$K$4),"")</f>
        <v/>
      </c>
      <c r="W664" s="47">
        <f>IF(AND(B664=Queue!$C$4,OR(Queue!$K$4="*",N664=Queue!$K$4)),Q664,"")</f>
        <v/>
      </c>
    </row>
    <row r="665">
      <c r="A665" s="38">
        <f>IF(M665="","",HYPERLINK("https://www.youtube.com/watch?v="&amp;M665,"▶"))</f>
        <v/>
      </c>
      <c r="B665" s="39">
        <f>IF(C665&lt;&gt;"",C665,IF(P665&lt;=IFERROR(INDEX(tblChannels[Watched Through],MATCH(N665,tblChannels[Channel ID],0)),0),"Watched","Unwatched"))</f>
        <v/>
      </c>
      <c r="C665" s="40" t="n"/>
      <c r="D665" s="41" t="n"/>
      <c r="E665" s="42" t="n">
        <v>45394.68055555555</v>
      </c>
      <c r="F665" s="50" t="inlineStr">
        <is>
          <t>Super Carlin Brothers</t>
        </is>
      </c>
      <c r="G665" t="inlineStr">
        <is>
          <t>Why Does Voldemort GOOGLE AUTOFILL</t>
        </is>
      </c>
      <c r="H665" s="44" t="n">
        <v>0.01498842592592593</v>
      </c>
      <c r="I665" s="45" t="n">
        <v>153808</v>
      </c>
      <c r="J665" s="45" t="n">
        <v>6177</v>
      </c>
      <c r="K665" s="45" t="n">
        <v>625</v>
      </c>
      <c r="L665" s="46" t="n"/>
      <c r="M665" s="47" t="n"/>
      <c r="N665" s="47" t="inlineStr">
        <is>
          <t>UCKZo4N0lVPccBkSiuyVh4yg</t>
        </is>
      </c>
      <c r="O665" s="48" t="n">
        <v>45394.84722222222</v>
      </c>
      <c r="P665" s="49" t="n">
        <v>45394</v>
      </c>
      <c r="Q665" s="47" t="n">
        <v>2603</v>
      </c>
      <c r="R665" s="47" t="inlineStr">
        <is>
          <t>No Video ID yet</t>
        </is>
      </c>
      <c r="S665" s="49" t="n"/>
      <c r="T665" s="49" t="n"/>
      <c r="U665" s="47" t="inlineStr">
        <is>
          <t>Go to for 20% off your first order plus free shipping. Today J dives into the Wizarding World of Harry Potter to answer all of Google’s Most Burning questions about the Dark Lord Voldemort! Why does he call Peter Wormtail? Why does Voldemort fear Dumbledore, and most importantly WHY DOES HE KEEP STEALING MY SHAMPOO! Washington, D.C. - 6/13 (SOLD OUT!)</t>
        </is>
      </c>
      <c r="V665" s="47">
        <f>IF(AND(P665&gt;=Calendar!$K$2,P665&lt;EDATE(Calendar!$K$2,1),OR(Calendar!$K$4="*",N665=Calendar!$K$4)),P665*100+COUNTIFS($P$6:$P$3267,P665,$Q$6:$Q$3267,"&lt;="&amp;Q665,$N$6:$N$3267,Calendar!$K$4),"")</f>
        <v/>
      </c>
      <c r="W665" s="47">
        <f>IF(AND(B665=Queue!$C$4,OR(Queue!$K$4="*",N665=Queue!$K$4)),Q665,"")</f>
        <v/>
      </c>
    </row>
    <row r="666">
      <c r="A666" s="38">
        <f>IF(M666="","",HYPERLINK("https://www.youtube.com/watch?v="&amp;M666,"▶"))</f>
        <v/>
      </c>
      <c r="B666" s="39">
        <f>IF(C666&lt;&gt;"",C666,IF(P666&lt;=IFERROR(INDEX(tblChannels[Watched Through],MATCH(N666,tblChannels[Channel ID],0)),0),"Watched","Unwatched"))</f>
        <v/>
      </c>
      <c r="C666" s="40" t="n"/>
      <c r="D666" s="41" t="n"/>
      <c r="E666" s="42" t="n">
        <v>45394.41666666666</v>
      </c>
      <c r="F666" s="43" t="inlineStr">
        <is>
          <t>Popcorn Culture</t>
        </is>
      </c>
      <c r="G666" t="inlineStr">
        <is>
          <t>Proud Survivors of Quicksand (Probably) | Popcorn Culture</t>
        </is>
      </c>
      <c r="H666" s="44" t="n">
        <v>0.04736111111111111</v>
      </c>
      <c r="I666" s="45" t="n">
        <v>3879</v>
      </c>
      <c r="J666" s="45" t="n">
        <v>202</v>
      </c>
      <c r="K666" s="45" t="n">
        <v>37</v>
      </c>
      <c r="L666" s="46" t="n"/>
      <c r="M666" s="47" t="n"/>
      <c r="N666" s="47" t="inlineStr">
        <is>
          <t>UCHfIbq9thHPC8yrKjAdJgDA</t>
        </is>
      </c>
      <c r="O666" s="48" t="n">
        <v>45394.58333333334</v>
      </c>
      <c r="P666" s="49" t="n">
        <v>45394</v>
      </c>
      <c r="Q666" s="47" t="n">
        <v>2602</v>
      </c>
      <c r="R666" s="47" t="inlineStr">
        <is>
          <t>No Video ID yet</t>
        </is>
      </c>
      <c r="S666" s="49" t="n"/>
      <c r="T666" s="49" t="n"/>
      <c r="U666" s="47" t="inlineStr">
        <is>
          <t>In the 227th episode of the Pop, Ben and J discuss steaks, the Shout, corn silos and quicksand, banana stories, cereal, single parent weekends, magna tiles, mowing lawns, and faith in humanity. Shout! Cubed Watermelon The Banana of the Doubt 00:00 - Intro, A Corny Joke! 05:04 - Corn Silos and Quicksand 13:31 - Bananas 37:09 - Single Parent Weekends 48:55 - Faith in Humanity</t>
        </is>
      </c>
      <c r="V666" s="47">
        <f>IF(AND(P666&gt;=Calendar!$K$2,P666&lt;EDATE(Calendar!$K$2,1),OR(Calendar!$K$4="*",N666=Calendar!$K$4)),P666*100+COUNTIFS($P$6:$P$3267,P666,$Q$6:$Q$3267,"&lt;="&amp;Q666,$N$6:$N$3267,Calendar!$K$4),"")</f>
        <v/>
      </c>
      <c r="W666" s="47">
        <f>IF(AND(B666=Queue!$C$4,OR(Queue!$K$4="*",N666=Queue!$K$4)),Q666,"")</f>
        <v/>
      </c>
    </row>
    <row r="667">
      <c r="A667" s="38">
        <f>IF(M667="","",HYPERLINK("https://www.youtube.com/watch?v="&amp;M667,"▶"))</f>
        <v/>
      </c>
      <c r="B667" s="39">
        <f>IF(C667&lt;&gt;"",C667,IF(P667&lt;=IFERROR(INDEX(tblChannels[Watched Through],MATCH(N667,tblChannels[Channel ID],0)),0),"Watched","Unwatched"))</f>
        <v/>
      </c>
      <c r="C667" s="40" t="n"/>
      <c r="D667" s="41" t="n"/>
      <c r="E667" s="42" t="n">
        <v>45392.77083333334</v>
      </c>
      <c r="F667" s="52" t="inlineStr">
        <is>
          <t>Super Carlin Gaming</t>
        </is>
      </c>
      <c r="G667" t="inlineStr">
        <is>
          <t>Ace Spec COMES TO PLAY | Carlin Brothers Box Breakers S11E2</t>
        </is>
      </c>
      <c r="H667" s="44" t="n">
        <v>0.02896990740740741</v>
      </c>
      <c r="I667" s="45" t="n">
        <v>1396</v>
      </c>
      <c r="J667" s="45" t="n">
        <v>78</v>
      </c>
      <c r="K667" s="45" t="n">
        <v>7</v>
      </c>
      <c r="L667" s="46" t="n"/>
      <c r="M667" s="47" t="n"/>
      <c r="N667" s="47" t="inlineStr">
        <is>
          <t>UCor_9jRnNNZVzTuQ92PKsaQ</t>
        </is>
      </c>
      <c r="O667" s="48" t="n">
        <v>45392.9375</v>
      </c>
      <c r="P667" s="49" t="n">
        <v>45392</v>
      </c>
      <c r="Q667" s="47" t="n">
        <v>2601</v>
      </c>
      <c r="R667" s="47" t="inlineStr">
        <is>
          <t>No Video ID yet</t>
        </is>
      </c>
      <c r="S667" s="49" t="n"/>
      <c r="T667" s="49" t="n"/>
      <c r="U667" s="47" t="inlineStr">
        <is>
          <t>This week Temporal Forces delivers RIGHT at the end</t>
        </is>
      </c>
      <c r="V667" s="47">
        <f>IF(AND(P667&gt;=Calendar!$K$2,P667&lt;EDATE(Calendar!$K$2,1),OR(Calendar!$K$4="*",N667=Calendar!$K$4)),P667*100+COUNTIFS($P$6:$P$3267,P667,$Q$6:$Q$3267,"&lt;="&amp;Q667,$N$6:$N$3267,Calendar!$K$4),"")</f>
        <v/>
      </c>
      <c r="W667" s="47">
        <f>IF(AND(B667=Queue!$C$4,OR(Queue!$K$4="*",N667=Queue!$K$4)),Q667,"")</f>
        <v/>
      </c>
    </row>
    <row r="668">
      <c r="A668" s="38">
        <f>IF(M668="","",HYPERLINK("https://www.youtube.com/watch?v="&amp;M668,"▶"))</f>
        <v/>
      </c>
      <c r="B668" s="39">
        <f>IF(C668&lt;&gt;"",C668,IF(P668&lt;=IFERROR(INDEX(tblChannels[Watched Through],MATCH(N668,tblChannels[Channel ID],0)),0),"Watched","Unwatched"))</f>
        <v/>
      </c>
      <c r="C668" s="40" t="n"/>
      <c r="D668" s="41" t="n"/>
      <c r="E668" s="42" t="n">
        <v>45392.72638888889</v>
      </c>
      <c r="F668" s="50" t="inlineStr">
        <is>
          <t>Super Carlin Brothers</t>
        </is>
      </c>
      <c r="G668" t="inlineStr">
        <is>
          <t>J vs Ben: ULTIMATE Tom Riddle Harry Potter Trivia Quiz</t>
        </is>
      </c>
      <c r="H668" s="44" t="n">
        <v>0.02524305555555556</v>
      </c>
      <c r="I668" s="45" t="n">
        <v>158490</v>
      </c>
      <c r="J668" s="45" t="n">
        <v>5387</v>
      </c>
      <c r="K668" s="45" t="n">
        <v>636</v>
      </c>
      <c r="L668" s="46" t="n"/>
      <c r="M668" s="47" t="n"/>
      <c r="N668" s="47" t="inlineStr">
        <is>
          <t>UCKZo4N0lVPccBkSiuyVh4yg</t>
        </is>
      </c>
      <c r="O668" s="48" t="n">
        <v>45392.89305555556</v>
      </c>
      <c r="P668" s="49" t="n">
        <v>45392</v>
      </c>
      <c r="Q668" s="47" t="n">
        <v>2600</v>
      </c>
      <c r="R668" s="47" t="inlineStr">
        <is>
          <t>No Video ID yet</t>
        </is>
      </c>
      <c r="S668" s="49" t="n"/>
      <c r="T668" s="49" t="n"/>
      <c r="U668" s="47" t="inlineStr">
        <is>
          <t>Wizarding Candle Club :: Today J and Ben face off once more to find out who knows more about the Dark Lord: Tom Riddle or ya know.. “He-Who-Must-Not-Be-Named,” “You-Know-Who,” “VOLDEMORT!” Play Along with us :: Washington, D.C. - 6/13 (SOLD OUT!) 03:31 - Q1: What is Tom Riddle's mother's name? 04:26 - Q2: Who did Tom frame for Myrtle's death? 06:52 - Q3: Where did Tom buy the diary? 11:24 - Q4: What did Tom take from Morfin? 12:36 - Q5: Where was the prophecy given? 14:45 - Q6: Which horcrux did Tom make when he killed the homeless muggle? 16:32 - Q7: What does Voldemort make Harry do first in the graveyard duel? 18:10 - Q8: How did Tom kill Hepzibah Smith? 22:48 - Q9: What nickname does Lee Jordan call Tom on Potterwatch? 23:53 - Q10: Who's rabbit did Tom kill? 27:11 - Q11: Which professor's retirement did Tom ask Slughorn about? 28:30 - Q12: How many years after Hepzibah's death did Tom return to Hogwarts? 30:14 - Q13: What did Dumbledore use to protect Harry against Voldemort in the MoM? 31:16 - Q14: What were Voldemort's last words? 33:33 - Q15: What did Voldemort see James doing through the window?</t>
        </is>
      </c>
      <c r="V668" s="47">
        <f>IF(AND(P668&gt;=Calendar!$K$2,P668&lt;EDATE(Calendar!$K$2,1),OR(Calendar!$K$4="*",N668=Calendar!$K$4)),P668*100+COUNTIFS($P$6:$P$3267,P668,$Q$6:$Q$3267,"&lt;="&amp;Q668,$N$6:$N$3267,Calendar!$K$4),"")</f>
        <v/>
      </c>
      <c r="W668" s="47">
        <f>IF(AND(B668=Queue!$C$4,OR(Queue!$K$4="*",N668=Queue!$K$4)),Q668,"")</f>
        <v/>
      </c>
    </row>
    <row r="669">
      <c r="A669" s="38">
        <f>IF(M669="","",HYPERLINK("https://www.youtube.com/watch?v="&amp;M669,"▶"))</f>
        <v/>
      </c>
      <c r="B669" s="39">
        <f>IF(C669&lt;&gt;"",C669,IF(P669&lt;=IFERROR(INDEX(tblChannels[Watched Through],MATCH(N669,tblChannels[Channel ID],0)),0),"Watched","Unwatched"))</f>
        <v/>
      </c>
      <c r="C669" s="40" t="n"/>
      <c r="D669" s="41" t="n"/>
      <c r="E669" s="42" t="n">
        <v>45389.41666666666</v>
      </c>
      <c r="F669" s="51" t="inlineStr">
        <is>
          <t>Through The Griffin Door</t>
        </is>
      </c>
      <c r="G669" t="inlineStr">
        <is>
          <t>Chapter 12: The Polyjuice Potion | Chamber of Secrets</t>
        </is>
      </c>
      <c r="H669" s="44" t="n">
        <v>0.0734375</v>
      </c>
      <c r="I669" s="45" t="n">
        <v>91206</v>
      </c>
      <c r="J669" s="45" t="n">
        <v>2246</v>
      </c>
      <c r="K669" s="45" t="n">
        <v>715</v>
      </c>
      <c r="L669" s="46" t="n"/>
      <c r="M669" s="47" t="n"/>
      <c r="N669" s="47" t="inlineStr">
        <is>
          <t>UCEscP6ETYXWSSvsNrDHekMQ</t>
        </is>
      </c>
      <c r="O669" s="48" t="n">
        <v>45389.58333333334</v>
      </c>
      <c r="P669" s="49" t="n">
        <v>45389</v>
      </c>
      <c r="Q669" s="47" t="n">
        <v>2599</v>
      </c>
      <c r="R669" s="47" t="inlineStr">
        <is>
          <t>No Video ID yet</t>
        </is>
      </c>
      <c r="S669" s="49" t="n"/>
      <c r="T669" s="49" t="n"/>
      <c r="U669" s="47" t="inlineStr">
        <is>
          <t>Join J and Ben as they dive into Chapter 12 of the Chamber of Secrets and discuss Harry’s conversations with the Sorting Hat and Dumbledore, the faithfulness of Fawkes, more Ginny and Percy herrings, Malfoy staying for Christmas, the Christmas feast, the Slytherin Common Room, Draco being a bad person, how Hagrid could’ve been a Slytherin, and spend a long time working out the answer to a question that just ended up being Friday’s SCB video. The TRUE Origins of the Hogwarts Houses - Which House Was Hagrid In? - 06:39 - Chapter Breakdown 1:28:17- Closing Thoughts and Review</t>
        </is>
      </c>
      <c r="V669" s="47">
        <f>IF(AND(P669&gt;=Calendar!$K$2,P669&lt;EDATE(Calendar!$K$2,1),OR(Calendar!$K$4="*",N669=Calendar!$K$4)),P669*100+COUNTIFS($P$6:$P$3267,P669,$Q$6:$Q$3267,"&lt;="&amp;Q669,$N$6:$N$3267,Calendar!$K$4),"")</f>
        <v/>
      </c>
      <c r="W669" s="47">
        <f>IF(AND(B669=Queue!$C$4,OR(Queue!$K$4="*",N669=Queue!$K$4)),Q669,"")</f>
        <v/>
      </c>
    </row>
    <row r="670">
      <c r="A670" s="38">
        <f>IF(M670="","",HYPERLINK("https://www.youtube.com/watch?v="&amp;M670,"▶"))</f>
        <v/>
      </c>
      <c r="B670" s="39">
        <f>IF(C670&lt;&gt;"",C670,IF(P670&lt;=IFERROR(INDEX(tblChannels[Watched Through],MATCH(N670,tblChannels[Channel ID],0)),0),"Watched","Unwatched"))</f>
        <v/>
      </c>
      <c r="C670" s="40" t="n"/>
      <c r="D670" s="41" t="n"/>
      <c r="E670" s="42" t="n">
        <v>45387.67291666667</v>
      </c>
      <c r="F670" s="50" t="inlineStr">
        <is>
          <t>Super Carlin Brothers</t>
        </is>
      </c>
      <c r="G670" t="inlineStr">
        <is>
          <t>Would a Horcrux Show Up on the Marauder's Map? | Harry Potter Film Theory</t>
        </is>
      </c>
      <c r="H670" s="44" t="n">
        <v>0.01010416666666667</v>
      </c>
      <c r="I670" s="45" t="n">
        <v>179353</v>
      </c>
      <c r="J670" s="45" t="n">
        <v>7261</v>
      </c>
      <c r="K670" s="45" t="n">
        <v>844</v>
      </c>
      <c r="L670" s="46" t="n"/>
      <c r="M670" s="47" t="n"/>
      <c r="N670" s="47" t="inlineStr">
        <is>
          <t>UCKZo4N0lVPccBkSiuyVh4yg</t>
        </is>
      </c>
      <c r="O670" s="48" t="n">
        <v>45387.83958333333</v>
      </c>
      <c r="P670" s="49" t="n">
        <v>45387</v>
      </c>
      <c r="Q670" s="47" t="n">
        <v>2598</v>
      </c>
      <c r="R670" s="47" t="inlineStr">
        <is>
          <t>No Video ID yet</t>
        </is>
      </c>
      <c r="S670" s="49" t="n"/>
      <c r="T670" s="49" t="n"/>
      <c r="U670" s="47" t="inlineStr">
        <is>
          <t>Head on over to to sign up for a $1 per month trial period. Today Ben dives into Marauder’s Map lore: Could it have helped the Golden Trio in their hunt for Horcruxes?! There’s so much to consider: Why does anyone or anything show up on the map? If we can understand why ghosts appear, does that help us to better understand if the fragment of soul inside of a horcrux could be enough? And even if it is: does it make a difference! Shoutout to: NerdyNerd29 for submitting this question! Washington, D.C. - 6/13 SOLD OUT!</t>
        </is>
      </c>
      <c r="V670" s="47">
        <f>IF(AND(P670&gt;=Calendar!$K$2,P670&lt;EDATE(Calendar!$K$2,1),OR(Calendar!$K$4="*",N670=Calendar!$K$4)),P670*100+COUNTIFS($P$6:$P$3267,P670,$Q$6:$Q$3267,"&lt;="&amp;Q670,$N$6:$N$3267,Calendar!$K$4),"")</f>
        <v/>
      </c>
      <c r="W670" s="47">
        <f>IF(AND(B670=Queue!$C$4,OR(Queue!$K$4="*",N670=Queue!$K$4)),Q670,"")</f>
        <v/>
      </c>
    </row>
    <row r="671">
      <c r="A671" s="38">
        <f>IF(M671="","",HYPERLINK("https://www.youtube.com/watch?v="&amp;M671,"▶"))</f>
        <v/>
      </c>
      <c r="B671" s="39">
        <f>IF(C671&lt;&gt;"",C671,IF(P671&lt;=IFERROR(INDEX(tblChannels[Watched Through],MATCH(N671,tblChannels[Channel ID],0)),0),"Watched","Unwatched"))</f>
        <v/>
      </c>
      <c r="C671" s="40" t="n"/>
      <c r="D671" s="41" t="n"/>
      <c r="E671" s="42" t="n">
        <v>45387.41666666666</v>
      </c>
      <c r="F671" s="43" t="inlineStr">
        <is>
          <t>Popcorn Culture</t>
        </is>
      </c>
      <c r="G671" t="inlineStr">
        <is>
          <t>BEN GOT A BOAT… AGAIN! | Popcorn Culture</t>
        </is>
      </c>
      <c r="H671" s="44" t="n">
        <v>0.05236111111111111</v>
      </c>
      <c r="I671" s="45" t="n">
        <v>4359</v>
      </c>
      <c r="J671" s="45" t="n">
        <v>202</v>
      </c>
      <c r="K671" s="45" t="n">
        <v>21</v>
      </c>
      <c r="L671" s="46" t="n"/>
      <c r="M671" s="47" t="n"/>
      <c r="N671" s="47" t="inlineStr">
        <is>
          <t>UCHfIbq9thHPC8yrKjAdJgDA</t>
        </is>
      </c>
      <c r="O671" s="48" t="n">
        <v>45387.58333333334</v>
      </c>
      <c r="P671" s="49" t="n">
        <v>45387</v>
      </c>
      <c r="Q671" s="47" t="n">
        <v>2597</v>
      </c>
      <c r="R671" s="47" t="inlineStr">
        <is>
          <t>No Video ID yet</t>
        </is>
      </c>
      <c r="S671" s="49" t="n"/>
      <c r="T671" s="49" t="n"/>
      <c r="U671" s="47" t="inlineStr">
        <is>
          <t>In the 226th episode of the Pop, Ben and J discuss obnoxious phrases, April Fools pranks, a weird social interaction, self fulfilling prophecies/manifestation, trash TV, first trip out on Ben’s boat, mountain biking, and expectation hangovers. Ben Quit - Black Mirror Episode - Love Is Blind - 00:00 - Intro, April Fools 06:42 - Aquariums vs. YouTube 24:30 - Manifesting 48:18 - Ben’s Boat!</t>
        </is>
      </c>
      <c r="V671" s="47">
        <f>IF(AND(P671&gt;=Calendar!$K$2,P671&lt;EDATE(Calendar!$K$2,1),OR(Calendar!$K$4="*",N671=Calendar!$K$4)),P671*100+COUNTIFS($P$6:$P$3267,P671,$Q$6:$Q$3267,"&lt;="&amp;Q671,$N$6:$N$3267,Calendar!$K$4),"")</f>
        <v/>
      </c>
      <c r="W671" s="47">
        <f>IF(AND(B671=Queue!$C$4,OR(Queue!$K$4="*",N671=Queue!$K$4)),Q671,"")</f>
        <v/>
      </c>
    </row>
    <row r="672">
      <c r="A672" s="38">
        <f>IF(M672="","",HYPERLINK("https://www.youtube.com/watch?v="&amp;M672,"▶"))</f>
        <v/>
      </c>
      <c r="B672" s="39">
        <f>IF(C672&lt;&gt;"",C672,IF(P672&lt;=IFERROR(INDEX(tblChannels[Watched Through],MATCH(N672,tblChannels[Channel ID],0)),0),"Watched","Unwatched"))</f>
        <v/>
      </c>
      <c r="C672" s="40" t="n"/>
      <c r="D672" s="41" t="n"/>
      <c r="E672" s="42" t="n">
        <v>45385.69513888889</v>
      </c>
      <c r="F672" s="50" t="inlineStr">
        <is>
          <t>Super Carlin Brothers</t>
        </is>
      </c>
      <c r="G672" t="inlineStr">
        <is>
          <t>The TRUE Origins of the Hogwarts Houses | Harry Potter Film Theory</t>
        </is>
      </c>
      <c r="H672" s="44" t="n">
        <v>0.01017361111111111</v>
      </c>
      <c r="I672" s="45" t="n">
        <v>109314</v>
      </c>
      <c r="J672" s="45" t="n">
        <v>5288</v>
      </c>
      <c r="K672" s="45" t="n">
        <v>657</v>
      </c>
      <c r="L672" s="46" t="n"/>
      <c r="M672" s="47" t="n"/>
      <c r="N672" s="47" t="inlineStr">
        <is>
          <t>UCKZo4N0lVPccBkSiuyVh4yg</t>
        </is>
      </c>
      <c r="O672" s="48" t="n">
        <v>45385.86180555556</v>
      </c>
      <c r="P672" s="49" t="n">
        <v>45385</v>
      </c>
      <c r="Q672" s="47" t="n">
        <v>2596</v>
      </c>
      <c r="R672" s="47" t="inlineStr">
        <is>
          <t>No Video ID yet</t>
        </is>
      </c>
      <c r="S672" s="49" t="n"/>
      <c r="T672" s="49" t="n"/>
      <c r="U672" s="47" t="inlineStr">
        <is>
          <t>Today J dives into biblical times to discover the inspiration for the story of the four Hogwarts houses in Harry Potter and reveal their true origin. Is the tale of Salazar Slytherin abandoning Gryffindor, Hufflepuff and Ravenclaw older than Hogwarts? And where else does it show up? Avatar the Last Airbender? Brave? Narnia? The Bible? #supercarlinbrothers #Pixar #ThePixarTheory</t>
        </is>
      </c>
      <c r="V672" s="47">
        <f>IF(AND(P672&gt;=Calendar!$K$2,P672&lt;EDATE(Calendar!$K$2,1),OR(Calendar!$K$4="*",N672=Calendar!$K$4)),P672*100+COUNTIFS($P$6:$P$3267,P672,$Q$6:$Q$3267,"&lt;="&amp;Q672,$N$6:$N$3267,Calendar!$K$4),"")</f>
        <v/>
      </c>
      <c r="W672" s="47">
        <f>IF(AND(B672=Queue!$C$4,OR(Queue!$K$4="*",N672=Queue!$K$4)),Q672,"")</f>
        <v/>
      </c>
    </row>
    <row r="673">
      <c r="A673" s="38">
        <f>IF(M673="","",HYPERLINK("https://www.youtube.com/watch?v="&amp;M673,"▶"))</f>
        <v/>
      </c>
      <c r="B673" s="39">
        <f>IF(C673&lt;&gt;"",C673,IF(P673&lt;=IFERROR(INDEX(tblChannels[Watched Through],MATCH(N673,tblChannels[Channel ID],0)),0),"Watched","Unwatched"))</f>
        <v/>
      </c>
      <c r="C673" s="40" t="n"/>
      <c r="D673" s="41" t="n"/>
      <c r="E673" s="42" t="n">
        <v>45384.77083333334</v>
      </c>
      <c r="F673" s="52" t="inlineStr">
        <is>
          <t>Super Carlin Gaming</t>
        </is>
      </c>
      <c r="G673" t="inlineStr">
        <is>
          <t>Temporal Forces Begins | Carlin Brothers Box Breakers S11E1</t>
        </is>
      </c>
      <c r="H673" s="44" t="n">
        <v>0.0366087962962963</v>
      </c>
      <c r="I673" s="45" t="n">
        <v>1734</v>
      </c>
      <c r="J673" s="45" t="n">
        <v>88</v>
      </c>
      <c r="K673" s="45" t="n">
        <v>11</v>
      </c>
      <c r="L673" s="46" t="n"/>
      <c r="M673" s="47" t="n"/>
      <c r="N673" s="47" t="inlineStr">
        <is>
          <t>UCor_9jRnNNZVzTuQ92PKsaQ</t>
        </is>
      </c>
      <c r="O673" s="48" t="n">
        <v>45384.9375</v>
      </c>
      <c r="P673" s="49" t="n">
        <v>45384</v>
      </c>
      <c r="Q673" s="47" t="n">
        <v>2595</v>
      </c>
      <c r="R673" s="47" t="inlineStr">
        <is>
          <t>No Video ID yet</t>
        </is>
      </c>
      <c r="S673" s="49" t="n"/>
      <c r="T673" s="49" t="n"/>
      <c r="U673" s="47" t="inlineStr">
        <is>
          <t>This week a NEW SEASON BEGINS as we unbox our first Temporal Forces cards</t>
        </is>
      </c>
      <c r="V673" s="47">
        <f>IF(AND(P673&gt;=Calendar!$K$2,P673&lt;EDATE(Calendar!$K$2,1),OR(Calendar!$K$4="*",N673=Calendar!$K$4)),P673*100+COUNTIFS($P$6:$P$3267,P673,$Q$6:$Q$3267,"&lt;="&amp;Q673,$N$6:$N$3267,Calendar!$K$4),"")</f>
        <v/>
      </c>
      <c r="W673" s="47">
        <f>IF(AND(B673=Queue!$C$4,OR(Queue!$K$4="*",N673=Queue!$K$4)),Q673,"")</f>
        <v/>
      </c>
    </row>
    <row r="674">
      <c r="A674" s="38">
        <f>IF(M674="","",HYPERLINK("https://www.youtube.com/watch?v="&amp;M674,"▶"))</f>
        <v/>
      </c>
      <c r="B674" s="39">
        <f>IF(C674&lt;&gt;"",C674,IF(P674&lt;=IFERROR(INDEX(tblChannels[Watched Through],MATCH(N674,tblChannels[Channel ID],0)),0),"Watched","Unwatched"))</f>
        <v/>
      </c>
      <c r="C674" s="40" t="n"/>
      <c r="D674" s="41" t="n"/>
      <c r="E674" s="42" t="n">
        <v>45382.41666666666</v>
      </c>
      <c r="F674" s="51" t="inlineStr">
        <is>
          <t>Through The Griffin Door</t>
        </is>
      </c>
      <c r="G674" t="inlineStr">
        <is>
          <t>Chapter 11: The Dueling Club | Chamber of Secrets</t>
        </is>
      </c>
      <c r="H674" s="44" t="n">
        <v>0.05517361111111111</v>
      </c>
      <c r="I674" s="45" t="n">
        <v>76336</v>
      </c>
      <c r="J674" s="45" t="n">
        <v>2351</v>
      </c>
      <c r="K674" s="45" t="n">
        <v>465</v>
      </c>
      <c r="L674" s="46" t="n"/>
      <c r="M674" s="47" t="n"/>
      <c r="N674" s="47" t="inlineStr">
        <is>
          <t>UCEscP6ETYXWSSvsNrDHekMQ</t>
        </is>
      </c>
      <c r="O674" s="48" t="n">
        <v>45382.58333333334</v>
      </c>
      <c r="P674" s="49" t="n">
        <v>45382</v>
      </c>
      <c r="Q674" s="47" t="n">
        <v>2594</v>
      </c>
      <c r="R674" s="47" t="inlineStr">
        <is>
          <t>No Video ID yet</t>
        </is>
      </c>
      <c r="S674" s="49" t="n"/>
      <c r="T674" s="49" t="n"/>
      <c r="U674" s="47" t="inlineStr">
        <is>
          <t>Join J and Ben as they dive into Chapter 11 of the Chamber of Secrets and discuss quidditch point logistics, gossip, wizard plumbing, the dueling club and Dumbledore’s potential involvement, very vs. pretty, tickle fights and dance battles, Harry talking to snakes, and Harry at the scene of the crime. Snape is a Vampire - 05:26 - Chapter Breakdown 1:13:02 - Closing Thoughts and Review</t>
        </is>
      </c>
      <c r="V674" s="47">
        <f>IF(AND(P674&gt;=Calendar!$K$2,P674&lt;EDATE(Calendar!$K$2,1),OR(Calendar!$K$4="*",N674=Calendar!$K$4)),P674*100+COUNTIFS($P$6:$P$3267,P674,$Q$6:$Q$3267,"&lt;="&amp;Q674,$N$6:$N$3267,Calendar!$K$4),"")</f>
        <v/>
      </c>
      <c r="W674" s="47">
        <f>IF(AND(B674=Queue!$C$4,OR(Queue!$K$4="*",N674=Queue!$K$4)),Q674,"")</f>
        <v/>
      </c>
    </row>
    <row r="675">
      <c r="A675" s="38">
        <f>IF(M675="","",HYPERLINK("https://www.youtube.com/watch?v="&amp;M675,"▶"))</f>
        <v/>
      </c>
      <c r="B675" s="39">
        <f>IF(C675&lt;&gt;"",C675,IF(P675&lt;=IFERROR(INDEX(tblChannels[Watched Through],MATCH(N675,tblChannels[Channel ID],0)),0),"Watched","Unwatched"))</f>
        <v/>
      </c>
      <c r="C675" s="40" t="n"/>
      <c r="D675" s="41" t="n"/>
      <c r="E675" s="42" t="n">
        <v>45381.41666666666</v>
      </c>
      <c r="F675" s="50" t="inlineStr">
        <is>
          <t>Super Carlin Brothers</t>
        </is>
      </c>
      <c r="G675" t="inlineStr">
        <is>
          <t>What If James Kept The Invisibility Cloak - FULL STORY 1-5 | Harry Potter Film Theory</t>
        </is>
      </c>
      <c r="H675" s="44" t="n">
        <v>0.05841435185185185</v>
      </c>
      <c r="I675" s="45" t="n">
        <v>435410</v>
      </c>
      <c r="J675" s="45" t="n">
        <v>6742</v>
      </c>
      <c r="K675" s="45" t="n">
        <v>606</v>
      </c>
      <c r="L675" s="46" t="n"/>
      <c r="M675" s="47" t="n"/>
      <c r="N675" s="47" t="inlineStr">
        <is>
          <t>UCKZo4N0lVPccBkSiuyVh4yg</t>
        </is>
      </c>
      <c r="O675" s="48" t="n">
        <v>45381.58333333334</v>
      </c>
      <c r="P675" s="49" t="n">
        <v>45381</v>
      </c>
      <c r="Q675" s="47" t="n">
        <v>2593</v>
      </c>
      <c r="R675" s="47" t="inlineStr">
        <is>
          <t>No Video ID yet</t>
        </is>
      </c>
      <c r="S675" s="49" t="n"/>
      <c r="T675" s="49" t="n"/>
      <c r="U675" s="47" t="inlineStr">
        <is>
          <t>What if James Potter had kept the Invisibility Cloak instead of lending it to Dumbledore? Would it have helped the Potters survive the night Voldemort attacked? Would Harry still become the chosen one? Does Voldemort win or does he ever fall at all? Edited by : Isybelle Christley &amp; Ethan Edghill</t>
        </is>
      </c>
      <c r="V675" s="47">
        <f>IF(AND(P675&gt;=Calendar!$K$2,P675&lt;EDATE(Calendar!$K$2,1),OR(Calendar!$K$4="*",N675=Calendar!$K$4)),P675*100+COUNTIFS($P$6:$P$3267,P675,$Q$6:$Q$3267,"&lt;="&amp;Q675,$N$6:$N$3267,Calendar!$K$4),"")</f>
        <v/>
      </c>
      <c r="W675" s="47">
        <f>IF(AND(B675=Queue!$C$4,OR(Queue!$K$4="*",N675=Queue!$K$4)),Q675,"")</f>
        <v/>
      </c>
    </row>
    <row r="676">
      <c r="A676" s="38">
        <f>IF(M676="","",HYPERLINK("https://www.youtube.com/watch?v="&amp;M676,"▶"))</f>
        <v/>
      </c>
      <c r="B676" s="39">
        <f>IF(C676&lt;&gt;"",C676,IF(P676&lt;=IFERROR(INDEX(tblChannels[Watched Through],MATCH(N676,tblChannels[Channel ID],0)),0),"Watched","Unwatched"))</f>
        <v/>
      </c>
      <c r="C676" s="40" t="n"/>
      <c r="D676" s="41" t="n"/>
      <c r="E676" s="42" t="n">
        <v>45381.41666666666</v>
      </c>
      <c r="F676" s="50" t="inlineStr">
        <is>
          <t>Super Carlin Brothers</t>
        </is>
      </c>
      <c r="G676" t="inlineStr">
        <is>
          <t>FAQs: What if James Had Kept the Invisibility Cloak?</t>
        </is>
      </c>
      <c r="H676" s="44" t="n">
        <v>0.02961805555555556</v>
      </c>
      <c r="I676" s="45" t="n">
        <v>90399</v>
      </c>
      <c r="J676" s="45" t="n">
        <v>3153</v>
      </c>
      <c r="K676" s="45" t="n">
        <v>417</v>
      </c>
      <c r="L676" s="46" t="n"/>
      <c r="M676" s="47" t="n"/>
      <c r="N676" s="47" t="inlineStr">
        <is>
          <t>UCKZo4N0lVPccBkSiuyVh4yg</t>
        </is>
      </c>
      <c r="O676" s="48" t="n">
        <v>45381.58333333334</v>
      </c>
      <c r="P676" s="49" t="n">
        <v>45381</v>
      </c>
      <c r="Q676" s="47" t="n">
        <v>2592</v>
      </c>
      <c r="R676" s="47" t="inlineStr">
        <is>
          <t>No Video ID yet</t>
        </is>
      </c>
      <c r="S676" s="49" t="n"/>
      <c r="T676" s="49" t="n"/>
      <c r="U676" s="47" t="inlineStr">
        <is>
          <t>What if James had Kept the Invisibility Cloak is one of our favorite What If's EVER and writing it week to week was a blast! Turns out you guys still had a bunch of questions about the series as a whole so we decided to make a video answer all of your most common ones! Why couldn't James and Lily Hide Under the cloak too? Did Harry end up with Fleur in the end? What did the twin cores STILL choose Harry? How did Avada Kedavra kill the horcrux in the sword?! We answer them all and more!</t>
        </is>
      </c>
      <c r="V676" s="47">
        <f>IF(AND(P676&gt;=Calendar!$K$2,P676&lt;EDATE(Calendar!$K$2,1),OR(Calendar!$K$4="*",N676=Calendar!$K$4)),P676*100+COUNTIFS($P$6:$P$3267,P676,$Q$6:$Q$3267,"&lt;="&amp;Q676,$N$6:$N$3267,Calendar!$K$4),"")</f>
        <v/>
      </c>
      <c r="W676" s="47">
        <f>IF(AND(B676=Queue!$C$4,OR(Queue!$K$4="*",N676=Queue!$K$4)),Q676,"")</f>
        <v/>
      </c>
    </row>
    <row r="677">
      <c r="A677" s="38">
        <f>IF(M677="","",HYPERLINK("https://www.youtube.com/watch?v="&amp;M677,"▶"))</f>
        <v/>
      </c>
      <c r="B677" s="39">
        <f>IF(C677&lt;&gt;"",C677,IF(P677&lt;=IFERROR(INDEX(tblChannels[Watched Through],MATCH(N677,tblChannels[Channel ID],0)),0),"Watched","Unwatched"))</f>
        <v/>
      </c>
      <c r="C677" s="40" t="n"/>
      <c r="D677" s="41" t="n"/>
      <c r="E677" s="42" t="n">
        <v>45380.77083333334</v>
      </c>
      <c r="F677" s="52" t="inlineStr">
        <is>
          <t>Super Carlin Gaming</t>
        </is>
      </c>
      <c r="G677" t="inlineStr">
        <is>
          <t>Obsidian Flames Burns Out | Carlin Brothers Box Breakers S10E4</t>
        </is>
      </c>
      <c r="H677" s="44" t="n">
        <v>0.04461805555555556</v>
      </c>
      <c r="I677" s="45" t="n">
        <v>1442</v>
      </c>
      <c r="J677" s="45" t="n">
        <v>79</v>
      </c>
      <c r="K677" s="45" t="n">
        <v>14</v>
      </c>
      <c r="L677" s="46" t="n"/>
      <c r="M677" s="47" t="n"/>
      <c r="N677" s="47" t="inlineStr">
        <is>
          <t>UCor_9jRnNNZVzTuQ92PKsaQ</t>
        </is>
      </c>
      <c r="O677" s="48" t="n">
        <v>45380.9375</v>
      </c>
      <c r="P677" s="49" t="n">
        <v>45380</v>
      </c>
      <c r="Q677" s="47" t="n">
        <v>2591</v>
      </c>
      <c r="R677" s="47" t="inlineStr">
        <is>
          <t>No Video ID yet</t>
        </is>
      </c>
      <c r="S677" s="49" t="n"/>
      <c r="T677" s="49" t="n"/>
      <c r="U677" s="47" t="inlineStr">
        <is>
          <t>THIS IS THE FINALE! PLUS A LITTLE SUDDEN DEATH!</t>
        </is>
      </c>
      <c r="V677" s="47">
        <f>IF(AND(P677&gt;=Calendar!$K$2,P677&lt;EDATE(Calendar!$K$2,1),OR(Calendar!$K$4="*",N677=Calendar!$K$4)),P677*100+COUNTIFS($P$6:$P$3267,P677,$Q$6:$Q$3267,"&lt;="&amp;Q677,$N$6:$N$3267,Calendar!$K$4),"")</f>
        <v/>
      </c>
      <c r="W677" s="47">
        <f>IF(AND(B677=Queue!$C$4,OR(Queue!$K$4="*",N677=Queue!$K$4)),Q677,"")</f>
        <v/>
      </c>
    </row>
    <row r="678">
      <c r="A678" s="38">
        <f>IF(M678="","",HYPERLINK("https://www.youtube.com/watch?v="&amp;M678,"▶"))</f>
        <v/>
      </c>
      <c r="B678" s="39">
        <f>IF(C678&lt;&gt;"",C678,IF(P678&lt;=IFERROR(INDEX(tblChannels[Watched Through],MATCH(N678,tblChannels[Channel ID],0)),0),"Watched","Unwatched"))</f>
        <v/>
      </c>
      <c r="C678" s="40" t="n"/>
      <c r="D678" s="41" t="n"/>
      <c r="E678" s="42" t="n">
        <v>45380.61666666667</v>
      </c>
      <c r="F678" s="50" t="inlineStr">
        <is>
          <t>Super Carlin Brothers</t>
        </is>
      </c>
      <c r="G678" t="inlineStr">
        <is>
          <t>The MOST Important Movies to The Pixar Theory</t>
        </is>
      </c>
      <c r="H678" s="44" t="n">
        <v>0.01038194444444444</v>
      </c>
      <c r="I678" s="45" t="n">
        <v>63195</v>
      </c>
      <c r="J678" s="45" t="n">
        <v>3351</v>
      </c>
      <c r="K678" s="45" t="n">
        <v>212</v>
      </c>
      <c r="L678" s="46" t="n"/>
      <c r="M678" s="47" t="n"/>
      <c r="N678" s="47" t="inlineStr">
        <is>
          <t>UCKZo4N0lVPccBkSiuyVh4yg</t>
        </is>
      </c>
      <c r="O678" s="48" t="n">
        <v>45380.78333333333</v>
      </c>
      <c r="P678" s="49" t="n">
        <v>45380</v>
      </c>
      <c r="Q678" s="47" t="n">
        <v>2590</v>
      </c>
      <c r="R678" s="47" t="inlineStr">
        <is>
          <t>No Video ID yet</t>
        </is>
      </c>
      <c r="S678" s="49" t="n"/>
      <c r="T678" s="49" t="n"/>
      <c r="U678" s="47" t="inlineStr">
        <is>
          <t>Go to and use code super50 to get 50% off. With 27 Pixar Movies out there it can be really hard to remember how every single movie fits into The Pixar Theory so today Ben dives into the vast Pixar Universe to provide a more abridged version of the Pixar Theory that will help explain it to your friends with out you needing to remember exactly what the ants in a bugs life did. The Pixar Theory Song :: #supercarlinbrothers #Pixar #ThePixarTheory</t>
        </is>
      </c>
      <c r="V678" s="47">
        <f>IF(AND(P678&gt;=Calendar!$K$2,P678&lt;EDATE(Calendar!$K$2,1),OR(Calendar!$K$4="*",N678=Calendar!$K$4)),P678*100+COUNTIFS($P$6:$P$3267,P678,$Q$6:$Q$3267,"&lt;="&amp;Q678,$N$6:$N$3267,Calendar!$K$4),"")</f>
        <v/>
      </c>
      <c r="W678" s="47">
        <f>IF(AND(B678=Queue!$C$4,OR(Queue!$K$4="*",N678=Queue!$K$4)),Q678,"")</f>
        <v/>
      </c>
    </row>
    <row r="679">
      <c r="A679" s="38">
        <f>IF(M679="","",HYPERLINK("https://www.youtube.com/watch?v="&amp;M679,"▶"))</f>
        <v/>
      </c>
      <c r="B679" s="39">
        <f>IF(C679&lt;&gt;"",C679,IF(P679&lt;=IFERROR(INDEX(tblChannels[Watched Through],MATCH(N679,tblChannels[Channel ID],0)),0),"Watched","Unwatched"))</f>
        <v/>
      </c>
      <c r="C679" s="40" t="n"/>
      <c r="D679" s="41" t="n"/>
      <c r="E679" s="42" t="n">
        <v>45380.41666666666</v>
      </c>
      <c r="F679" s="43" t="inlineStr">
        <is>
          <t>Popcorn Culture</t>
        </is>
      </c>
      <c r="G679" t="inlineStr">
        <is>
          <t>Hot Wheels Officiant | Popcorn Culture</t>
        </is>
      </c>
      <c r="H679" s="44" t="n">
        <v>0.04260416666666667</v>
      </c>
      <c r="I679" s="45" t="n">
        <v>3642</v>
      </c>
      <c r="J679" s="45" t="n">
        <v>209</v>
      </c>
      <c r="K679" s="45" t="n">
        <v>14</v>
      </c>
      <c r="L679" s="46" t="n"/>
      <c r="M679" s="47" t="n"/>
      <c r="N679" s="47" t="inlineStr">
        <is>
          <t>UCHfIbq9thHPC8yrKjAdJgDA</t>
        </is>
      </c>
      <c r="O679" s="48" t="n">
        <v>45380.58333333334</v>
      </c>
      <c r="P679" s="49" t="n">
        <v>45380</v>
      </c>
      <c r="Q679" s="47" t="n">
        <v>2589</v>
      </c>
      <c r="R679" s="47" t="inlineStr">
        <is>
          <t>No Video ID yet</t>
        </is>
      </c>
      <c r="S679" s="49" t="n"/>
      <c r="T679" s="49" t="n"/>
      <c r="U679" s="47" t="inlineStr">
        <is>
          <t>In the 225th episode of the Pop, Ben and J discuss Hot Wheels, elementary school fundraisers, March Madness, general anxiety disorder, The Pinewood Derby, Beanie Babies, pin trading, and the Dorito Theory. NapTimeKitchen - Hot Wheels Let’s Race - Immortals by Fall Out Boy - Hot Wheels Let’s Race Theme Song - Maple Bear Beanie Baby - The Dorito Theory -</t>
        </is>
      </c>
      <c r="V679" s="47">
        <f>IF(AND(P679&gt;=Calendar!$K$2,P679&lt;EDATE(Calendar!$K$2,1),OR(Calendar!$K$4="*",N679=Calendar!$K$4)),P679*100+COUNTIFS($P$6:$P$3267,P679,$Q$6:$Q$3267,"&lt;="&amp;Q679,$N$6:$N$3267,Calendar!$K$4),"")</f>
        <v/>
      </c>
      <c r="W679" s="47">
        <f>IF(AND(B679=Queue!$C$4,OR(Queue!$K$4="*",N679=Queue!$K$4)),Q679,"")</f>
        <v/>
      </c>
    </row>
    <row r="680">
      <c r="A680" s="38">
        <f>IF(M680="","",HYPERLINK("https://www.youtube.com/watch?v="&amp;M680,"▶"))</f>
        <v/>
      </c>
      <c r="B680" s="39">
        <f>IF(C680&lt;&gt;"",C680,IF(P680&lt;=IFERROR(INDEX(tblChannels[Watched Through],MATCH(N680,tblChannels[Channel ID],0)),0),"Watched","Unwatched"))</f>
        <v/>
      </c>
      <c r="C680" s="40" t="n"/>
      <c r="D680" s="41" t="n"/>
      <c r="E680" s="42" t="n">
        <v>45378.74652777778</v>
      </c>
      <c r="F680" s="50" t="inlineStr">
        <is>
          <t>Super Carlin Brothers</t>
        </is>
      </c>
      <c r="G680" t="inlineStr">
        <is>
          <t>J vs Ben: The CLEVEREST Hermione Granger Harry Potter Trivia Quiz EVER</t>
        </is>
      </c>
      <c r="H680" s="44" t="n">
        <v>0.029375</v>
      </c>
      <c r="I680" s="45" t="n">
        <v>193405</v>
      </c>
      <c r="J680" s="45" t="n">
        <v>5772</v>
      </c>
      <c r="K680" s="45" t="n">
        <v>829</v>
      </c>
      <c r="L680" s="46" t="n"/>
      <c r="M680" s="47" t="n"/>
      <c r="N680" s="47" t="inlineStr">
        <is>
          <t>UCKZo4N0lVPccBkSiuyVh4yg</t>
        </is>
      </c>
      <c r="O680" s="48" t="n">
        <v>45378.91319444445</v>
      </c>
      <c r="P680" s="49" t="n">
        <v>45378</v>
      </c>
      <c r="Q680" s="47" t="n">
        <v>2588</v>
      </c>
      <c r="R680" s="47" t="inlineStr">
        <is>
          <t>No Video ID yet</t>
        </is>
      </c>
      <c r="S680" s="49" t="n"/>
      <c r="T680" s="49" t="n"/>
      <c r="U680" s="47" t="inlineStr">
        <is>
          <t>Go to to get 20% off your first order and free shipping. Today J and Ben face off once more to find out whos is most clever about the cleverest witch of her age: Hermione Granger. 01:53 - Q1: Why was Hermione petrified? 04:17 - Q2: What does S.P.E.W. stand for? 06:20 - Q3: What spell grew Hermione's teeth? 07:39 - Q4: How many classes did Hermione take in year 3? 10:20 - Q5: Why did Hermione want to go to Godric's Hollow? 13:51 - Q6: What book had info on the Basilisk? 15:52 - Q7: What does Hermione's amortentia smell like? 18:36 - Q8: What did Hermione change her parents names to? 25:29 - Q9: Where does Hermione vacation? 28:39 - Q10: What did Hermione get in her hate mail? 30:16 - Q11: Which number Minister for Magic was Hermione? 32:13 - Q12: What spell broke Harry's wand in Godric's Hollow? 33:57 - Q13: Which bottle solved the riddle? 36:33 - Q14: What charm is Terry Boot impressed Hermione can do? 37:27 - Q15: What quill does Hermione buy in her 5th year?</t>
        </is>
      </c>
      <c r="V680" s="47">
        <f>IF(AND(P680&gt;=Calendar!$K$2,P680&lt;EDATE(Calendar!$K$2,1),OR(Calendar!$K$4="*",N680=Calendar!$K$4)),P680*100+COUNTIFS($P$6:$P$3267,P680,$Q$6:$Q$3267,"&lt;="&amp;Q680,$N$6:$N$3267,Calendar!$K$4),"")</f>
        <v/>
      </c>
      <c r="W680" s="47">
        <f>IF(AND(B680=Queue!$C$4,OR(Queue!$K$4="*",N680=Queue!$K$4)),Q680,"")</f>
        <v/>
      </c>
    </row>
    <row r="681">
      <c r="A681" s="38">
        <f>IF(M681="","",HYPERLINK("https://www.youtube.com/watch?v="&amp;M681,"▶"))</f>
        <v/>
      </c>
      <c r="B681" s="39">
        <f>IF(C681&lt;&gt;"",C681,IF(P681&lt;=IFERROR(INDEX(tblChannels[Watched Through],MATCH(N681,tblChannels[Channel ID],0)),0),"Watched","Unwatched"))</f>
        <v/>
      </c>
      <c r="C681" s="40" t="n"/>
      <c r="D681" s="41" t="n"/>
      <c r="E681" s="42" t="n">
        <v>45377.77083333334</v>
      </c>
      <c r="F681" s="52" t="inlineStr">
        <is>
          <t>Super Carlin Gaming</t>
        </is>
      </c>
      <c r="G681" t="inlineStr">
        <is>
          <t>ANOTHER HUGE CHARIZARD | Carlin Brothers Box Breakers S10E3</t>
        </is>
      </c>
      <c r="H681" s="44" t="n">
        <v>0.03077546296296296</v>
      </c>
      <c r="I681" s="45" t="n">
        <v>1328</v>
      </c>
      <c r="J681" s="45" t="n">
        <v>74</v>
      </c>
      <c r="K681" s="45" t="n">
        <v>8</v>
      </c>
      <c r="L681" s="46" t="n"/>
      <c r="M681" s="47" t="n"/>
      <c r="N681" s="47" t="inlineStr">
        <is>
          <t>UCor_9jRnNNZVzTuQ92PKsaQ</t>
        </is>
      </c>
      <c r="O681" s="48" t="n">
        <v>45377.9375</v>
      </c>
      <c r="P681" s="49" t="n">
        <v>45377</v>
      </c>
      <c r="Q681" s="47" t="n">
        <v>2587</v>
      </c>
      <c r="R681" s="47" t="inlineStr">
        <is>
          <t>No Video ID yet</t>
        </is>
      </c>
      <c r="S681" s="49" t="n"/>
      <c r="T681" s="49" t="n"/>
      <c r="U681" s="47" t="inlineStr">
        <is>
          <t>This week Obsidian Flames does what it says on the box and FIRES UP</t>
        </is>
      </c>
      <c r="V681" s="47">
        <f>IF(AND(P681&gt;=Calendar!$K$2,P681&lt;EDATE(Calendar!$K$2,1),OR(Calendar!$K$4="*",N681=Calendar!$K$4)),P681*100+COUNTIFS($P$6:$P$3267,P681,$Q$6:$Q$3267,"&lt;="&amp;Q681,$N$6:$N$3267,Calendar!$K$4),"")</f>
        <v/>
      </c>
      <c r="W681" s="47">
        <f>IF(AND(B681=Queue!$C$4,OR(Queue!$K$4="*",N681=Queue!$K$4)),Q681,"")</f>
        <v/>
      </c>
    </row>
    <row r="682">
      <c r="A682" s="38">
        <f>IF(M682="","",HYPERLINK("https://www.youtube.com/watch?v="&amp;M682,"▶"))</f>
        <v/>
      </c>
      <c r="B682" s="39">
        <f>IF(C682&lt;&gt;"",C682,IF(P682&lt;=IFERROR(INDEX(tblChannels[Watched Through],MATCH(N682,tblChannels[Channel ID],0)),0),"Watched","Unwatched"))</f>
        <v/>
      </c>
      <c r="C682" s="40" t="n"/>
      <c r="D682" s="41" t="n"/>
      <c r="E682" s="42" t="n">
        <v>45375.41666666666</v>
      </c>
      <c r="F682" s="51" t="inlineStr">
        <is>
          <t>Through The Griffin Door</t>
        </is>
      </c>
      <c r="G682" t="inlineStr">
        <is>
          <t>Chapter 10: The Rogue Bludger | Chamber of Secrets</t>
        </is>
      </c>
      <c r="H682" s="44" t="n">
        <v>0.05237268518518518</v>
      </c>
      <c r="I682" s="45" t="n">
        <v>75977</v>
      </c>
      <c r="J682" s="45" t="n">
        <v>2259</v>
      </c>
      <c r="K682" s="45" t="n">
        <v>525</v>
      </c>
      <c r="L682" s="46" t="n"/>
      <c r="M682" s="47" t="n"/>
      <c r="N682" s="47" t="inlineStr">
        <is>
          <t>UCEscP6ETYXWSSvsNrDHekMQ</t>
        </is>
      </c>
      <c r="O682" s="48" t="n">
        <v>45375.58333333334</v>
      </c>
      <c r="P682" s="49" t="n">
        <v>45375</v>
      </c>
      <c r="Q682" s="47" t="n">
        <v>2586</v>
      </c>
      <c r="R682" s="47" t="inlineStr">
        <is>
          <t>No Video ID yet</t>
        </is>
      </c>
      <c r="S682" s="49" t="n"/>
      <c r="T682" s="49" t="n"/>
      <c r="U682" s="47" t="inlineStr">
        <is>
          <t>Join J and Ben as they dive into Chapter 10 of the Chamber of Secrets and discuss Lockhart reenacting stuff, werewolves, ghouls, the library, polyjuice potion, the quidditch match, Harry’s boneless arm, Harry’s hospital wing stay, Dobby’s visit, and Colin and the grapes. The REAL History of Magic - 00:00 - Cold Open: TOUR 01:08 - Intro and Chapter Art 07:49 - Chapter Breakdown 1:10:34 - Closing Thoughts and Review</t>
        </is>
      </c>
      <c r="V682" s="47">
        <f>IF(AND(P682&gt;=Calendar!$K$2,P682&lt;EDATE(Calendar!$K$2,1),OR(Calendar!$K$4="*",N682=Calendar!$K$4)),P682*100+COUNTIFS($P$6:$P$3267,P682,$Q$6:$Q$3267,"&lt;="&amp;Q682,$N$6:$N$3267,Calendar!$K$4),"")</f>
        <v/>
      </c>
      <c r="W682" s="47">
        <f>IF(AND(B682=Queue!$C$4,OR(Queue!$K$4="*",N682=Queue!$K$4)),Q682,"")</f>
        <v/>
      </c>
    </row>
    <row r="683">
      <c r="A683" s="38">
        <f>IF(M683="","",HYPERLINK("https://www.youtube.com/watch?v="&amp;M683,"▶"))</f>
        <v/>
      </c>
      <c r="B683" s="39">
        <f>IF(C683&lt;&gt;"",C683,IF(P683&lt;=IFERROR(INDEX(tblChannels[Watched Through],MATCH(N683,tblChannels[Channel ID],0)),0),"Watched","Unwatched"))</f>
        <v/>
      </c>
      <c r="C683" s="40" t="n"/>
      <c r="D683" s="41" t="n"/>
      <c r="E683" s="42" t="n">
        <v>45374.77083333334</v>
      </c>
      <c r="F683" s="52" t="inlineStr">
        <is>
          <t>Super Carlin Gaming</t>
        </is>
      </c>
      <c r="G683" t="inlineStr">
        <is>
          <t>LAUREN vs. LAUREN | Carlin Brothers Box Breakers S10E2</t>
        </is>
      </c>
      <c r="H683" s="44" t="n">
        <v>0.03305555555555555</v>
      </c>
      <c r="I683" s="45" t="n">
        <v>1289</v>
      </c>
      <c r="J683" s="45" t="n">
        <v>82</v>
      </c>
      <c r="K683" s="45" t="n">
        <v>11</v>
      </c>
      <c r="L683" s="46" t="n"/>
      <c r="M683" s="47" t="n"/>
      <c r="N683" s="47" t="inlineStr">
        <is>
          <t>UCor_9jRnNNZVzTuQ92PKsaQ</t>
        </is>
      </c>
      <c r="O683" s="48" t="n">
        <v>45374.9375</v>
      </c>
      <c r="P683" s="49" t="n">
        <v>45374</v>
      </c>
      <c r="Q683" s="47" t="n">
        <v>2585</v>
      </c>
      <c r="R683" s="47" t="inlineStr">
        <is>
          <t>No Video ID yet</t>
        </is>
      </c>
      <c r="S683" s="49" t="n"/>
      <c r="T683" s="49" t="n"/>
      <c r="U683" s="47" t="inlineStr">
        <is>
          <t>This week gets ICE COLD as Obisidian Flames keeps on delivering the FIRE</t>
        </is>
      </c>
      <c r="V683" s="47">
        <f>IF(AND(P683&gt;=Calendar!$K$2,P683&lt;EDATE(Calendar!$K$2,1),OR(Calendar!$K$4="*",N683=Calendar!$K$4)),P683*100+COUNTIFS($P$6:$P$3267,P683,$Q$6:$Q$3267,"&lt;="&amp;Q683,$N$6:$N$3267,Calendar!$K$4),"")</f>
        <v/>
      </c>
      <c r="W683" s="47">
        <f>IF(AND(B683=Queue!$C$4,OR(Queue!$K$4="*",N683=Queue!$K$4)),Q683,"")</f>
        <v/>
      </c>
    </row>
    <row r="684">
      <c r="A684" s="38">
        <f>IF(M684="","",HYPERLINK("https://www.youtube.com/watch?v="&amp;M684,"▶"))</f>
        <v/>
      </c>
      <c r="B684" s="39">
        <f>IF(C684&lt;&gt;"",C684,IF(P684&lt;=IFERROR(INDEX(tblChannels[Watched Through],MATCH(N684,tblChannels[Channel ID],0)),0),"Watched","Unwatched"))</f>
        <v/>
      </c>
      <c r="C684" s="40" t="n"/>
      <c r="D684" s="41" t="n"/>
      <c r="E684" s="42" t="n">
        <v>45374.41666666666</v>
      </c>
      <c r="F684" s="50" t="inlineStr">
        <is>
          <t>Super Carlin Brothers</t>
        </is>
      </c>
      <c r="G684" t="inlineStr">
        <is>
          <t>Through the Griffin Door Supercut: Chamber of Secrets Chapters 7-9</t>
        </is>
      </c>
      <c r="H684" s="44" t="n">
        <v>0.1507523148148148</v>
      </c>
      <c r="I684" s="45" t="n">
        <v>108878</v>
      </c>
      <c r="J684" s="45" t="n">
        <v>791</v>
      </c>
      <c r="K684" s="45" t="n">
        <v>165</v>
      </c>
      <c r="L684" s="46" t="n"/>
      <c r="M684" s="47" t="n"/>
      <c r="N684" s="47" t="inlineStr">
        <is>
          <t>UCKZo4N0lVPccBkSiuyVh4yg</t>
        </is>
      </c>
      <c r="O684" s="48" t="n">
        <v>45374.58333333334</v>
      </c>
      <c r="P684" s="49" t="n">
        <v>45374</v>
      </c>
      <c r="Q684" s="47" t="n">
        <v>2584</v>
      </c>
      <c r="R684" s="47" t="inlineStr">
        <is>
          <t>No Video ID yet</t>
        </is>
      </c>
      <c r="S684" s="49" t="n"/>
      <c r="T684" s="49" t="n"/>
      <c r="U684" s="47" t="inlineStr">
        <is>
          <t>Join J and Ben as they continue with their newest endeavor: rereading the Harry Potter series in this chapter by chapter recap podcast! We hope you enjoy all the Harry Potter goodness that this podcast will bring. Come along as we go Through the Griffin Door. 00:00:00 - Chapter 7: Mudbloods and Murmurs 01:11:52 - Chapter 8: The Deathday Party 02:24:55 - Chapter 9: The Writing on the Wall</t>
        </is>
      </c>
      <c r="V684" s="47">
        <f>IF(AND(P684&gt;=Calendar!$K$2,P684&lt;EDATE(Calendar!$K$2,1),OR(Calendar!$K$4="*",N684=Calendar!$K$4)),P684*100+COUNTIFS($P$6:$P$3267,P684,$Q$6:$Q$3267,"&lt;="&amp;Q684,$N$6:$N$3267,Calendar!$K$4),"")</f>
        <v/>
      </c>
      <c r="W684" s="47">
        <f>IF(AND(B684=Queue!$C$4,OR(Queue!$K$4="*",N684=Queue!$K$4)),Q684,"")</f>
        <v/>
      </c>
    </row>
    <row r="685">
      <c r="A685" s="38">
        <f>IF(M685="","",HYPERLINK("https://www.youtube.com/watch?v="&amp;M685,"▶"))</f>
        <v/>
      </c>
      <c r="B685" s="39">
        <f>IF(C685&lt;&gt;"",C685,IF(P685&lt;=IFERROR(INDEX(tblChannels[Watched Through],MATCH(N685,tblChannels[Channel ID],0)),0),"Watched","Unwatched"))</f>
        <v/>
      </c>
      <c r="C685" s="40" t="n"/>
      <c r="D685" s="41" t="n"/>
      <c r="E685" s="42" t="n">
        <v>45373.69930555556</v>
      </c>
      <c r="F685" s="50" t="inlineStr">
        <is>
          <t>Super Carlin Brothers</t>
        </is>
      </c>
      <c r="G685" t="inlineStr">
        <is>
          <t>Voldemort’s TRUE Origins | Harry Potter Film Theory</t>
        </is>
      </c>
      <c r="H685" s="44" t="n">
        <v>0.01207175925925926</v>
      </c>
      <c r="I685" s="45" t="n">
        <v>181470</v>
      </c>
      <c r="J685" s="45" t="n">
        <v>7277</v>
      </c>
      <c r="K685" s="45" t="n">
        <v>483</v>
      </c>
      <c r="L685" s="46" t="n"/>
      <c r="M685" s="47" t="n"/>
      <c r="N685" s="47" t="inlineStr">
        <is>
          <t>UCKZo4N0lVPccBkSiuyVh4yg</t>
        </is>
      </c>
      <c r="O685" s="48" t="n">
        <v>45373.86597222222</v>
      </c>
      <c r="P685" s="49" t="n">
        <v>45373</v>
      </c>
      <c r="Q685" s="47" t="n">
        <v>2583</v>
      </c>
      <c r="R685" s="47" t="inlineStr">
        <is>
          <t>No Video ID yet</t>
        </is>
      </c>
      <c r="S685" s="49" t="n"/>
      <c r="T685" s="49" t="n"/>
      <c r="U685" s="47" t="inlineStr">
        <is>
          <t>Get a free Mystery Gift with your first monthly shipment when you sign up at Today Ben dives into the Wizarding World of Harry Potter to uncover the origins of Lord Voldemort, who inspired him and will he ever get that boulder up the hill!?</t>
        </is>
      </c>
      <c r="V685" s="47">
        <f>IF(AND(P685&gt;=Calendar!$K$2,P685&lt;EDATE(Calendar!$K$2,1),OR(Calendar!$K$4="*",N685=Calendar!$K$4)),P685*100+COUNTIFS($P$6:$P$3267,P685,$Q$6:$Q$3267,"&lt;="&amp;Q685,$N$6:$N$3267,Calendar!$K$4),"")</f>
        <v/>
      </c>
      <c r="W685" s="47">
        <f>IF(AND(B685=Queue!$C$4,OR(Queue!$K$4="*",N685=Queue!$K$4)),Q685,"")</f>
        <v/>
      </c>
    </row>
    <row r="686">
      <c r="A686" s="38">
        <f>IF(M686="","",HYPERLINK("https://www.youtube.com/watch?v="&amp;M686,"▶"))</f>
        <v/>
      </c>
      <c r="B686" s="39">
        <f>IF(C686&lt;&gt;"",C686,IF(P686&lt;=IFERROR(INDEX(tblChannels[Watched Through],MATCH(N686,tblChannels[Channel ID],0)),0),"Watched","Unwatched"))</f>
        <v/>
      </c>
      <c r="C686" s="40" t="n"/>
      <c r="D686" s="41" t="n"/>
      <c r="E686" s="42" t="n">
        <v>45373.41666666666</v>
      </c>
      <c r="F686" s="43" t="inlineStr">
        <is>
          <t>Popcorn Culture</t>
        </is>
      </c>
      <c r="G686" t="inlineStr">
        <is>
          <t>224 - Feeling a Certain Type of Way | Popcorn Culture</t>
        </is>
      </c>
      <c r="H686" s="44" t="n">
        <v>0.04734953703703704</v>
      </c>
      <c r="I686" s="45" t="n">
        <v>4233</v>
      </c>
      <c r="J686" s="45" t="n">
        <v>235</v>
      </c>
      <c r="K686" s="45" t="n">
        <v>64</v>
      </c>
      <c r="L686" s="46" t="n"/>
      <c r="M686" s="47" t="n"/>
      <c r="N686" s="47" t="inlineStr">
        <is>
          <t>UCHfIbq9thHPC8yrKjAdJgDA</t>
        </is>
      </c>
      <c r="O686" s="48" t="n">
        <v>45373.58333333334</v>
      </c>
      <c r="P686" s="49" t="n">
        <v>45373</v>
      </c>
      <c r="Q686" s="47" t="n">
        <v>2582</v>
      </c>
      <c r="R686" s="47" t="inlineStr">
        <is>
          <t>No Video ID yet</t>
        </is>
      </c>
      <c r="S686" s="49" t="n"/>
      <c r="T686" s="49" t="n"/>
      <c r="U686" s="47" t="inlineStr">
        <is>
          <t>In the 224th episode of the Pop, Ben and J discuss Ben’s first NBA game, the Olympics, history being made, ice cream vessels, slippery slopes with kids and new lingo. Washington Wizards - Boston Celtics - Fever Pitch - Inside Out - Eating Ice Cream - Full Body Sport 00:00 - Cold Open Crash, Intro 01:10 - DC Trip 33:07 - Ice Cream 52:40 - An Annoying New Phrase</t>
        </is>
      </c>
      <c r="V686" s="47">
        <f>IF(AND(P686&gt;=Calendar!$K$2,P686&lt;EDATE(Calendar!$K$2,1),OR(Calendar!$K$4="*",N686=Calendar!$K$4)),P686*100+COUNTIFS($P$6:$P$3267,P686,$Q$6:$Q$3267,"&lt;="&amp;Q686,$N$6:$N$3267,Calendar!$K$4),"")</f>
        <v/>
      </c>
      <c r="W686" s="47">
        <f>IF(AND(B686=Queue!$C$4,OR(Queue!$K$4="*",N686=Queue!$K$4)),Q686,"")</f>
        <v/>
      </c>
    </row>
    <row r="687">
      <c r="A687" s="38">
        <f>IF(M687="","",HYPERLINK("https://www.youtube.com/watch?v="&amp;M687,"▶"))</f>
        <v/>
      </c>
      <c r="B687" s="39">
        <f>IF(C687&lt;&gt;"",C687,IF(P687&lt;=IFERROR(INDEX(tblChannels[Watched Through],MATCH(N687,tblChannels[Channel ID],0)),0),"Watched","Unwatched"))</f>
        <v/>
      </c>
      <c r="C687" s="40" t="n"/>
      <c r="D687" s="41" t="n"/>
      <c r="E687" s="42" t="n">
        <v>45371.72083333333</v>
      </c>
      <c r="F687" s="50" t="inlineStr">
        <is>
          <t>Super Carlin Brothers</t>
        </is>
      </c>
      <c r="G687" t="inlineStr">
        <is>
          <t>The REAL History of Magic | Harry Potter Film Theory</t>
        </is>
      </c>
      <c r="H687" s="44" t="n">
        <v>0.01265046296296296</v>
      </c>
      <c r="I687" s="45" t="n">
        <v>176012</v>
      </c>
      <c r="J687" s="45" t="n">
        <v>8121</v>
      </c>
      <c r="K687" s="45" t="n">
        <v>609</v>
      </c>
      <c r="L687" s="46" t="n"/>
      <c r="M687" s="47" t="n"/>
      <c r="N687" s="47" t="inlineStr">
        <is>
          <t>UCKZo4N0lVPccBkSiuyVh4yg</t>
        </is>
      </c>
      <c r="O687" s="48" t="n">
        <v>45371.8875</v>
      </c>
      <c r="P687" s="49" t="n">
        <v>45371</v>
      </c>
      <c r="Q687" s="47" t="n">
        <v>2581</v>
      </c>
      <c r="R687" s="47" t="inlineStr">
        <is>
          <t>No Video ID yet</t>
        </is>
      </c>
      <c r="S687" s="49" t="n"/>
      <c r="T687" s="49" t="n"/>
      <c r="U687" s="47" t="inlineStr">
        <is>
          <t>This show is sponsored by BetterHelp – go to to get started today. Today J breaks down the REAL History of Magic in Harry Potter and reveals how many things are inspired from folklore vs were genuine creations of the Wizarding World!</t>
        </is>
      </c>
      <c r="V687" s="47">
        <f>IF(AND(P687&gt;=Calendar!$K$2,P687&lt;EDATE(Calendar!$K$2,1),OR(Calendar!$K$4="*",N687=Calendar!$K$4)),P687*100+COUNTIFS($P$6:$P$3267,P687,$Q$6:$Q$3267,"&lt;="&amp;Q687,$N$6:$N$3267,Calendar!$K$4),"")</f>
        <v/>
      </c>
      <c r="W687" s="47">
        <f>IF(AND(B687=Queue!$C$4,OR(Queue!$K$4="*",N687=Queue!$K$4)),Q687,"")</f>
        <v/>
      </c>
    </row>
    <row r="688">
      <c r="A688" s="38">
        <f>IF(M688="","",HYPERLINK("https://www.youtube.com/watch?v="&amp;M688,"▶"))</f>
        <v/>
      </c>
      <c r="B688" s="39">
        <f>IF(C688&lt;&gt;"",C688,IF(P688&lt;=IFERROR(INDEX(tblChannels[Watched Through],MATCH(N688,tblChannels[Channel ID],0)),0),"Watched","Unwatched"))</f>
        <v/>
      </c>
      <c r="C688" s="40" t="n"/>
      <c r="D688" s="41" t="n"/>
      <c r="E688" s="42" t="n">
        <v>45368.41666666666</v>
      </c>
      <c r="F688" s="51" t="inlineStr">
        <is>
          <t>Through The Griffin Door</t>
        </is>
      </c>
      <c r="G688" t="inlineStr">
        <is>
          <t>Chapter 9: The Writing on the Wall | Chamber of Secrets</t>
        </is>
      </c>
      <c r="H688" s="44" t="n">
        <v>0.05091435185185185</v>
      </c>
      <c r="I688" s="45" t="n">
        <v>71654</v>
      </c>
      <c r="J688" s="45" t="n">
        <v>2142</v>
      </c>
      <c r="K688" s="45" t="n">
        <v>464</v>
      </c>
      <c r="L688" s="46" t="n"/>
      <c r="M688" s="47" t="n"/>
      <c r="N688" s="47" t="inlineStr">
        <is>
          <t>UCEscP6ETYXWSSvsNrDHekMQ</t>
        </is>
      </c>
      <c r="O688" s="48" t="n">
        <v>45368.58333333334</v>
      </c>
      <c r="P688" s="49" t="n">
        <v>45368</v>
      </c>
      <c r="Q688" s="47" t="n">
        <v>2580</v>
      </c>
      <c r="R688" s="47" t="inlineStr">
        <is>
          <t>No Video ID yet</t>
        </is>
      </c>
      <c r="S688" s="49" t="n"/>
      <c r="T688" s="49" t="n"/>
      <c r="U688" s="47" t="inlineStr">
        <is>
          <t>Join J and Ben as they dive into Chapter 9 of the Chamber of Secrets and discuss the scene of the crime, Lockhart’s paintings, Snape and Dumbledore reading Harry’s mind, squibs, Professor Binns, the introduction of the Chamber of Secrets, Slytherin’s locket, prefect points, and Hermione’s rule breaking evolution. TOUR TICKETS: Tickets for Boston on 6/2 - Tickets for New York City on 6/3 - Tickets for Philly on 6/5 - Tickets for Washington, D.C. on 6/13 - Ouagadougou - HOGWARTS IS A DRAGON - 04:52 - Chapter Breakdown 1:08:20 - Closing Thoughts and Review</t>
        </is>
      </c>
      <c r="V688" s="47">
        <f>IF(AND(P688&gt;=Calendar!$K$2,P688&lt;EDATE(Calendar!$K$2,1),OR(Calendar!$K$4="*",N688=Calendar!$K$4)),P688*100+COUNTIFS($P$6:$P$3267,P688,$Q$6:$Q$3267,"&lt;="&amp;Q688,$N$6:$N$3267,Calendar!$K$4),"")</f>
        <v/>
      </c>
      <c r="W688" s="47">
        <f>IF(AND(B688=Queue!$C$4,OR(Queue!$K$4="*",N688=Queue!$K$4)),Q688,"")</f>
        <v/>
      </c>
    </row>
    <row r="689">
      <c r="A689" s="38">
        <f>IF(M689="","",HYPERLINK("https://www.youtube.com/watch?v="&amp;M689,"▶"))</f>
        <v/>
      </c>
      <c r="B689" s="39">
        <f>IF(C689&lt;&gt;"",C689,IF(P689&lt;=IFERROR(INDEX(tblChannels[Watched Through],MATCH(N689,tblChannels[Channel ID],0)),0),"Watched","Unwatched"))</f>
        <v/>
      </c>
      <c r="C689" s="40" t="n"/>
      <c r="D689" s="41" t="n"/>
      <c r="E689" s="42" t="n">
        <v>45366.69652777778</v>
      </c>
      <c r="F689" s="50" t="inlineStr">
        <is>
          <t>Super Carlin Brothers</t>
        </is>
      </c>
      <c r="G689" t="inlineStr">
        <is>
          <t>DESTROYING AI Generated Harry Potter Theories | Harry Potter Film Theory</t>
        </is>
      </c>
      <c r="H689" s="44" t="n">
        <v>0.01380787037037037</v>
      </c>
      <c r="I689" s="45" t="n">
        <v>193379</v>
      </c>
      <c r="J689" s="45" t="n">
        <v>7271</v>
      </c>
      <c r="K689" s="45" t="n">
        <v>647</v>
      </c>
      <c r="L689" s="46" t="n"/>
      <c r="M689" s="47" t="n"/>
      <c r="N689" s="47" t="inlineStr">
        <is>
          <t>UCKZo4N0lVPccBkSiuyVh4yg</t>
        </is>
      </c>
      <c r="O689" s="48" t="n">
        <v>45366.86319444444</v>
      </c>
      <c r="P689" s="49" t="n">
        <v>45366</v>
      </c>
      <c r="Q689" s="47" t="n">
        <v>2579</v>
      </c>
      <c r="R689" s="47" t="inlineStr">
        <is>
          <t>No Video ID yet</t>
        </is>
      </c>
      <c r="S689" s="49" t="n"/>
      <c r="T689" s="49" t="n"/>
      <c r="U689" s="47" t="inlineStr">
        <is>
          <t>This show is sponsored by BetterHelp – go to to get started today. Go to to get 20% off and free shipping. Today J asks ChatGPT to generate some Harry Potter theories and then proceeds to DESTROY THEM. Enjoy!</t>
        </is>
      </c>
      <c r="V689" s="47">
        <f>IF(AND(P689&gt;=Calendar!$K$2,P689&lt;EDATE(Calendar!$K$2,1),OR(Calendar!$K$4="*",N689=Calendar!$K$4)),P689*100+COUNTIFS($P$6:$P$3267,P689,$Q$6:$Q$3267,"&lt;="&amp;Q689,$N$6:$N$3267,Calendar!$K$4),"")</f>
        <v/>
      </c>
      <c r="W689" s="47">
        <f>IF(AND(B689=Queue!$C$4,OR(Queue!$K$4="*",N689=Queue!$K$4)),Q689,"")</f>
        <v/>
      </c>
    </row>
    <row r="690">
      <c r="A690" s="38">
        <f>IF(M690="","",HYPERLINK("https://www.youtube.com/watch?v="&amp;M690,"▶"))</f>
        <v/>
      </c>
      <c r="B690" s="39">
        <f>IF(C690&lt;&gt;"",C690,IF(P690&lt;=IFERROR(INDEX(tblChannels[Watched Through],MATCH(N690,tblChannels[Channel ID],0)),0),"Watched","Unwatched"))</f>
        <v/>
      </c>
      <c r="C690" s="40" t="n"/>
      <c r="D690" s="41" t="n"/>
      <c r="E690" s="42" t="n">
        <v>45366.42708333334</v>
      </c>
      <c r="F690" s="43" t="inlineStr">
        <is>
          <t>Popcorn Culture</t>
        </is>
      </c>
      <c r="G690" t="inlineStr">
        <is>
          <t>Complicated Soup | Popcorn Culture</t>
        </is>
      </c>
      <c r="H690" s="44" t="n">
        <v>0.05467592592592593</v>
      </c>
      <c r="I690" s="45" t="n">
        <v>4640</v>
      </c>
      <c r="J690" s="45" t="n">
        <v>250</v>
      </c>
      <c r="K690" s="45" t="n">
        <v>44</v>
      </c>
      <c r="L690" s="46" t="n"/>
      <c r="M690" s="47" t="n"/>
      <c r="N690" s="47" t="inlineStr">
        <is>
          <t>UCHfIbq9thHPC8yrKjAdJgDA</t>
        </is>
      </c>
      <c r="O690" s="48" t="n">
        <v>45366.59375</v>
      </c>
      <c r="P690" s="49" t="n">
        <v>45366</v>
      </c>
      <c r="Q690" s="47" t="n">
        <v>2578</v>
      </c>
      <c r="R690" s="47" t="inlineStr">
        <is>
          <t>No Video ID yet</t>
        </is>
      </c>
      <c r="S690" s="49" t="n"/>
      <c r="T690" s="49" t="n"/>
      <c r="U690" s="47" t="inlineStr">
        <is>
          <t>In the 223rd episode of the Pop, Ben and J discuss rolling Rs, oatmeal raisin cookies, cliff jumping, niche social anxiety, Halo, LAN parties, getting commended, the nature of complicated things, he said/she said, arguing over text, and burrito theft. Tickets for Boston on 6/2 - Tickets for New York City on 6/3 - Tickets for Philedelphia on 6/5 - Tickets for Washington, D.C. on 6/13 - Elemental - Olaf is Always Right (video with 200 foot drop) - Halo - Jerry Seinfeld - The Bee Movie - *TV Static Noise* Niche Social Anxiety A Maybe Cool Thing? The Destination is the Destination Jerry Seinfeld in a Bee Costume Mystery Burrito 00:00 - Cold Open Announcement! 01:33 - Intro, Oatmeal Raisin Cookies 21:57 - Social Anxiety 35:24 - A Maybe Cool Thing??</t>
        </is>
      </c>
      <c r="V690" s="47">
        <f>IF(AND(P690&gt;=Calendar!$K$2,P690&lt;EDATE(Calendar!$K$2,1),OR(Calendar!$K$4="*",N690=Calendar!$K$4)),P690*100+COUNTIFS($P$6:$P$3267,P690,$Q$6:$Q$3267,"&lt;="&amp;Q690,$N$6:$N$3267,Calendar!$K$4),"")</f>
        <v/>
      </c>
      <c r="W690" s="47">
        <f>IF(AND(B690=Queue!$C$4,OR(Queue!$K$4="*",N690=Queue!$K$4)),Q690,"")</f>
        <v/>
      </c>
    </row>
    <row r="691">
      <c r="A691" s="38">
        <f>IF(M691="","",HYPERLINK("https://www.youtube.com/watch?v="&amp;M691,"▶"))</f>
        <v/>
      </c>
      <c r="B691" s="39">
        <f>IF(C691&lt;&gt;"",C691,IF(P691&lt;=IFERROR(INDEX(tblChannels[Watched Through],MATCH(N691,tblChannels[Channel ID],0)),0),"Watched","Unwatched"))</f>
        <v/>
      </c>
      <c r="C691" s="40" t="n"/>
      <c r="D691" s="41" t="n"/>
      <c r="E691" s="42" t="n">
        <v>45364.74236111111</v>
      </c>
      <c r="F691" s="50" t="inlineStr">
        <is>
          <t>Super Carlin Brothers</t>
        </is>
      </c>
      <c r="G691" t="inlineStr">
        <is>
          <t>J vs Ben: HARDEST Draco Malfoy Harry Potter TRIVIA Quiz Ever</t>
        </is>
      </c>
      <c r="H691" s="44" t="n">
        <v>0.03012731481481482</v>
      </c>
      <c r="I691" s="45" t="n">
        <v>208977</v>
      </c>
      <c r="J691" s="45" t="n">
        <v>6003</v>
      </c>
      <c r="K691" s="45" t="n">
        <v>743</v>
      </c>
      <c r="L691" s="46" t="n"/>
      <c r="M691" s="47" t="n"/>
      <c r="N691" s="47" t="inlineStr">
        <is>
          <t>UCKZo4N0lVPccBkSiuyVh4yg</t>
        </is>
      </c>
      <c r="O691" s="48" t="n">
        <v>45364.90902777778</v>
      </c>
      <c r="P691" s="49" t="n">
        <v>45364</v>
      </c>
      <c r="Q691" s="47" t="n">
        <v>2577</v>
      </c>
      <c r="R691" s="47" t="inlineStr">
        <is>
          <t>No Video ID yet</t>
        </is>
      </c>
      <c r="S691" s="49" t="n"/>
      <c r="T691" s="49" t="n"/>
      <c r="U691" s="47" t="inlineStr">
        <is>
          <t>Go to to get an extra three months. Get 10% off Subscriptions when you head over to Today J and Ben face off once more to find out who knows more about the Wizarding World and take on the HARDEST Draco Malfoy Harry Potter TRIVIA Quiz Ever! Tickets for Through the Griffin TOUR go on sale THIS FRIDAY at 10:00 a.m. EDT. Visit to sign up for the email list and be the first to snag your tickets! Play Along with us ::</t>
        </is>
      </c>
      <c r="V691" s="47">
        <f>IF(AND(P691&gt;=Calendar!$K$2,P691&lt;EDATE(Calendar!$K$2,1),OR(Calendar!$K$4="*",N691=Calendar!$K$4)),P691*100+COUNTIFS($P$6:$P$3267,P691,$Q$6:$Q$3267,"&lt;="&amp;Q691,$N$6:$N$3267,Calendar!$K$4),"")</f>
        <v/>
      </c>
      <c r="W691" s="47">
        <f>IF(AND(B691=Queue!$C$4,OR(Queue!$K$4="*",N691=Queue!$K$4)),Q691,"")</f>
        <v/>
      </c>
    </row>
    <row r="692">
      <c r="A692" s="38">
        <f>IF(M692="","",HYPERLINK("https://www.youtube.com/watch?v="&amp;M692,"▶"))</f>
        <v/>
      </c>
      <c r="B692" s="39">
        <f>IF(C692&lt;&gt;"",C692,IF(P692&lt;=IFERROR(INDEX(tblChannels[Watched Through],MATCH(N692,tblChannels[Channel ID],0)),0),"Watched","Unwatched"))</f>
        <v/>
      </c>
      <c r="C692" s="40" t="n"/>
      <c r="D692" s="41" t="n"/>
      <c r="E692" s="42" t="n">
        <v>45363.68611111111</v>
      </c>
      <c r="F692" s="51" t="inlineStr">
        <is>
          <t>Through The Griffin Door</t>
        </is>
      </c>
      <c r="G692" t="inlineStr">
        <is>
          <t>WE’RE GOING ON TOUR!</t>
        </is>
      </c>
      <c r="H692" s="44" t="n">
        <v>0.002013888888888889</v>
      </c>
      <c r="I692" s="45" t="n">
        <v>8730</v>
      </c>
      <c r="J692" s="45" t="n">
        <v>653</v>
      </c>
      <c r="K692" s="45" t="n">
        <v>140</v>
      </c>
      <c r="L692" s="46" t="n"/>
      <c r="M692" s="47" t="n"/>
      <c r="N692" s="47" t="inlineStr">
        <is>
          <t>UCEscP6ETYXWSSvsNrDHekMQ</t>
        </is>
      </c>
      <c r="O692" s="48" t="n">
        <v>45363.85277777778</v>
      </c>
      <c r="P692" s="49" t="n">
        <v>45363</v>
      </c>
      <c r="Q692" s="47" t="n">
        <v>2576</v>
      </c>
      <c r="R692" s="47" t="inlineStr">
        <is>
          <t>No Video ID yet</t>
        </is>
      </c>
      <c r="S692" s="49" t="n"/>
      <c r="T692" s="49" t="n"/>
      <c r="U692" s="47" t="inlineStr">
        <is>
          <t>WE'RE GOING ON TOUR!!! Tickets for Through the Griffin TOUR go on sale THIS FRIDAY at 10:00 a.m. EDT. Visit to sign up for the email list and be the first to snag your tickets!</t>
        </is>
      </c>
      <c r="V692" s="47">
        <f>IF(AND(P692&gt;=Calendar!$K$2,P692&lt;EDATE(Calendar!$K$2,1),OR(Calendar!$K$4="*",N692=Calendar!$K$4)),P692*100+COUNTIFS($P$6:$P$3267,P692,$Q$6:$Q$3267,"&lt;="&amp;Q692,$N$6:$N$3267,Calendar!$K$4),"")</f>
        <v/>
      </c>
      <c r="W692" s="47">
        <f>IF(AND(B692=Queue!$C$4,OR(Queue!$K$4="*",N692=Queue!$K$4)),Q692,"")</f>
        <v/>
      </c>
    </row>
    <row r="693">
      <c r="A693" s="38">
        <f>IF(M693="","",HYPERLINK("https://www.youtube.com/watch?v="&amp;M693,"▶"))</f>
        <v/>
      </c>
      <c r="B693" s="39">
        <f>IF(C693&lt;&gt;"",C693,IF(P693&lt;=IFERROR(INDEX(tblChannels[Watched Through],MATCH(N693,tblChannels[Channel ID],0)),0),"Watched","Unwatched"))</f>
        <v/>
      </c>
      <c r="C693" s="40" t="n"/>
      <c r="D693" s="41" t="n"/>
      <c r="E693" s="42" t="n">
        <v>45363.66458333333</v>
      </c>
      <c r="F693" s="50" t="inlineStr">
        <is>
          <t>Super Carlin Brothers</t>
        </is>
      </c>
      <c r="G693" t="inlineStr">
        <is>
          <t>WE’RE GOING ON TOUR!</t>
        </is>
      </c>
      <c r="H693" s="44" t="n">
        <v>0.001446759259259259</v>
      </c>
      <c r="I693" s="45" t="n">
        <v>15890</v>
      </c>
      <c r="J693" s="45" t="n">
        <v>1273</v>
      </c>
      <c r="K693" s="45" t="n">
        <v>243</v>
      </c>
      <c r="L693" s="46" t="n"/>
      <c r="M693" s="47" t="n"/>
      <c r="N693" s="47" t="inlineStr">
        <is>
          <t>UCKZo4N0lVPccBkSiuyVh4yg</t>
        </is>
      </c>
      <c r="O693" s="48" t="n">
        <v>45363.83125</v>
      </c>
      <c r="P693" s="49" t="n">
        <v>45363</v>
      </c>
      <c r="Q693" s="47" t="n">
        <v>2575</v>
      </c>
      <c r="R693" s="47" t="inlineStr">
        <is>
          <t>No Video ID yet</t>
        </is>
      </c>
      <c r="S693" s="49" t="n"/>
      <c r="T693" s="49" t="n"/>
      <c r="U693" s="47" t="inlineStr">
        <is>
          <t>WE'RE GOING ON TOUR!!! Tickets for Through the Griffin TOUR go on sale THIS FRIDAY at 10:00 a.m. EDT. Visit to sign up for the email list and be the first to snag your tickets!</t>
        </is>
      </c>
      <c r="V693" s="47">
        <f>IF(AND(P693&gt;=Calendar!$K$2,P693&lt;EDATE(Calendar!$K$2,1),OR(Calendar!$K$4="*",N693=Calendar!$K$4)),P693*100+COUNTIFS($P$6:$P$3267,P693,$Q$6:$Q$3267,"&lt;="&amp;Q693,$N$6:$N$3267,Calendar!$K$4),"")</f>
        <v/>
      </c>
      <c r="W693" s="47">
        <f>IF(AND(B693=Queue!$C$4,OR(Queue!$K$4="*",N693=Queue!$K$4)),Q693,"")</f>
        <v/>
      </c>
    </row>
    <row r="694">
      <c r="A694" s="38">
        <f>IF(M694="","",HYPERLINK("https://www.youtube.com/watch?v="&amp;M694,"▶"))</f>
        <v/>
      </c>
      <c r="B694" s="39">
        <f>IF(C694&lt;&gt;"",C694,IF(P694&lt;=IFERROR(INDEX(tblChannels[Watched Through],MATCH(N694,tblChannels[Channel ID],0)),0),"Watched","Unwatched"))</f>
        <v/>
      </c>
      <c r="C694" s="40" t="n"/>
      <c r="D694" s="41" t="n"/>
      <c r="E694" s="42" t="n">
        <v>45361.41666666666</v>
      </c>
      <c r="F694" s="51" t="inlineStr">
        <is>
          <t>Through The Griffin Door</t>
        </is>
      </c>
      <c r="G694" t="inlineStr">
        <is>
          <t>Chapter 8: The Deathday Party | Chamber of Secrets</t>
        </is>
      </c>
      <c r="H694" s="44" t="n">
        <v>0.05074074074074074</v>
      </c>
      <c r="I694" s="45" t="n">
        <v>75148</v>
      </c>
      <c r="J694" s="45" t="n">
        <v>2063</v>
      </c>
      <c r="K694" s="45" t="n">
        <v>514</v>
      </c>
      <c r="L694" s="46" t="n"/>
      <c r="M694" s="47" t="n"/>
      <c r="N694" s="47" t="inlineStr">
        <is>
          <t>UCEscP6ETYXWSSvsNrDHekMQ</t>
        </is>
      </c>
      <c r="O694" s="48" t="n">
        <v>45361.58333333334</v>
      </c>
      <c r="P694" s="49" t="n">
        <v>45361</v>
      </c>
      <c r="Q694" s="47" t="n">
        <v>2574</v>
      </c>
      <c r="R694" s="47" t="inlineStr">
        <is>
          <t>No Video ID yet</t>
        </is>
      </c>
      <c r="S694" s="49" t="n"/>
      <c r="T694" s="49" t="n"/>
      <c r="U694" s="47" t="inlineStr">
        <is>
          <t>Join J and Ben as they dive into Chapter 8 of the Chamber of Secrets and Halloween recurrences, more evidence that Filch is a poltergeist, the canon timeline, Myrtle wearing glasses, the concept of Death Days, immortality, food at the party, and the basilisk. 12:30 - Chapter Breakdown 1:06:14 - Closing Thoughts and Review</t>
        </is>
      </c>
      <c r="V694" s="47">
        <f>IF(AND(P694&gt;=Calendar!$K$2,P694&lt;EDATE(Calendar!$K$2,1),OR(Calendar!$K$4="*",N694=Calendar!$K$4)),P694*100+COUNTIFS($P$6:$P$3267,P694,$Q$6:$Q$3267,"&lt;="&amp;Q694,$N$6:$N$3267,Calendar!$K$4),"")</f>
        <v/>
      </c>
      <c r="W694" s="47">
        <f>IF(AND(B694=Queue!$C$4,OR(Queue!$K$4="*",N694=Queue!$K$4)),Q694,"")</f>
        <v/>
      </c>
    </row>
    <row r="695">
      <c r="A695" s="38">
        <f>IF(M695="","",HYPERLINK("https://www.youtube.com/watch?v="&amp;M695,"▶"))</f>
        <v/>
      </c>
      <c r="B695" s="39">
        <f>IF(C695&lt;&gt;"",C695,IF(P695&lt;=IFERROR(INDEX(tblChannels[Watched Through],MATCH(N695,tblChannels[Channel ID],0)),0),"Watched","Unwatched"))</f>
        <v/>
      </c>
      <c r="C695" s="40" t="n"/>
      <c r="D695" s="41" t="n"/>
      <c r="E695" s="42" t="n">
        <v>45360.41666666666</v>
      </c>
      <c r="F695" s="50" t="inlineStr">
        <is>
          <t>Super Carlin Brothers</t>
        </is>
      </c>
      <c r="G695" t="inlineStr">
        <is>
          <t>Through the Griffin Door Supercut: Chamber of Secrets Chapters 4-6</t>
        </is>
      </c>
      <c r="H695" s="44" t="n">
        <v>0.1584606481481481</v>
      </c>
      <c r="I695" s="45" t="n">
        <v>153895</v>
      </c>
      <c r="J695" s="45" t="n">
        <v>991</v>
      </c>
      <c r="K695" s="45" t="n">
        <v>152</v>
      </c>
      <c r="L695" s="46" t="n"/>
      <c r="M695" s="47" t="n"/>
      <c r="N695" s="47" t="inlineStr">
        <is>
          <t>UCKZo4N0lVPccBkSiuyVh4yg</t>
        </is>
      </c>
      <c r="O695" s="48" t="n">
        <v>45360.625</v>
      </c>
      <c r="P695" s="49" t="n">
        <v>45360</v>
      </c>
      <c r="Q695" s="47" t="n">
        <v>2573</v>
      </c>
      <c r="R695" s="47" t="inlineStr">
        <is>
          <t>No Video ID yet</t>
        </is>
      </c>
      <c r="S695" s="49" t="n"/>
      <c r="T695" s="49" t="n"/>
      <c r="U695" s="47" t="inlineStr">
        <is>
          <t>Join J and Ben as they continue with their newest endeavor: rereading the Harry Potter series in this chapter by chapter recap podcast! We hope you enjoy all the Harry Potter goodness that this podcast will bring. Come along as we go Through the Griffin Door. 00:00:00 - Chapter 4: At Flourish and Blotts 01:39:58 - Chapter 5: The Whomping Willow 02:35:57 - Chapter 6: Gilderoy Lockhart</t>
        </is>
      </c>
      <c r="V695" s="47">
        <f>IF(AND(P695&gt;=Calendar!$K$2,P695&lt;EDATE(Calendar!$K$2,1),OR(Calendar!$K$4="*",N695=Calendar!$K$4)),P695*100+COUNTIFS($P$6:$P$3267,P695,$Q$6:$Q$3267,"&lt;="&amp;Q695,$N$6:$N$3267,Calendar!$K$4),"")</f>
        <v/>
      </c>
      <c r="W695" s="47">
        <f>IF(AND(B695=Queue!$C$4,OR(Queue!$K$4="*",N695=Queue!$K$4)),Q695,"")</f>
        <v/>
      </c>
    </row>
    <row r="696">
      <c r="A696" s="38">
        <f>IF(M696="","",HYPERLINK("https://www.youtube.com/watch?v="&amp;M696,"▶"))</f>
        <v/>
      </c>
      <c r="B696" s="39">
        <f>IF(C696&lt;&gt;"",C696,IF(P696&lt;=IFERROR(INDEX(tblChannels[Watched Through],MATCH(N696,tblChannels[Channel ID],0)),0),"Watched","Unwatched"))</f>
        <v/>
      </c>
      <c r="C696" s="40" t="n"/>
      <c r="D696" s="41" t="n"/>
      <c r="E696" s="42" t="n">
        <v>45359.77083333334</v>
      </c>
      <c r="F696" s="52" t="inlineStr">
        <is>
          <t>Super Carlin Gaming</t>
        </is>
      </c>
      <c r="G696" t="inlineStr">
        <is>
          <t>LET THE FLAMES BEGIN | Carlin Brothers Box Breakers S10E1</t>
        </is>
      </c>
      <c r="H696" s="44" t="n">
        <v>0.03439814814814815</v>
      </c>
      <c r="I696" s="45" t="n">
        <v>1642</v>
      </c>
      <c r="J696" s="45" t="n">
        <v>86</v>
      </c>
      <c r="K696" s="45" t="n">
        <v>19</v>
      </c>
      <c r="L696" s="46" t="n"/>
      <c r="M696" s="47" t="n"/>
      <c r="N696" s="47" t="inlineStr">
        <is>
          <t>UCor_9jRnNNZVzTuQ92PKsaQ</t>
        </is>
      </c>
      <c r="O696" s="48" t="n">
        <v>45359.97916666666</v>
      </c>
      <c r="P696" s="49" t="n">
        <v>45359</v>
      </c>
      <c r="Q696" s="47" t="n">
        <v>2572</v>
      </c>
      <c r="R696" s="47" t="inlineStr">
        <is>
          <t>No Video ID yet</t>
        </is>
      </c>
      <c r="S696" s="49" t="n"/>
      <c r="T696" s="49" t="n"/>
      <c r="U696" s="47" t="inlineStr">
        <is>
          <t>This week we unbox our first cards from OBSIDIAN FLAMES</t>
        </is>
      </c>
      <c r="V696" s="47">
        <f>IF(AND(P696&gt;=Calendar!$K$2,P696&lt;EDATE(Calendar!$K$2,1),OR(Calendar!$K$4="*",N696=Calendar!$K$4)),P696*100+COUNTIFS($P$6:$P$3267,P696,$Q$6:$Q$3267,"&lt;="&amp;Q696,$N$6:$N$3267,Calendar!$K$4),"")</f>
        <v/>
      </c>
      <c r="W696" s="47">
        <f>IF(AND(B696=Queue!$C$4,OR(Queue!$K$4="*",N696=Queue!$K$4)),Q696,"")</f>
        <v/>
      </c>
    </row>
    <row r="697">
      <c r="A697" s="38">
        <f>IF(M697="","",HYPERLINK("https://www.youtube.com/watch?v="&amp;M697,"▶"))</f>
        <v/>
      </c>
      <c r="B697" s="39">
        <f>IF(C697&lt;&gt;"",C697,IF(P697&lt;=IFERROR(INDEX(tblChannels[Watched Through],MATCH(N697,tblChannels[Channel ID],0)),0),"Watched","Unwatched"))</f>
        <v/>
      </c>
      <c r="C697" s="40" t="n"/>
      <c r="D697" s="41" t="n"/>
      <c r="E697" s="42" t="n">
        <v>45359.61597222222</v>
      </c>
      <c r="F697" s="50" t="inlineStr">
        <is>
          <t>Super Carlin Brothers</t>
        </is>
      </c>
      <c r="G697" t="inlineStr">
        <is>
          <t>Did Harry Potter ACTUALLY Die!? | Harry Potter Film Theory</t>
        </is>
      </c>
      <c r="H697" s="44" t="n">
        <v>0.009444444444444445</v>
      </c>
      <c r="I697" s="45" t="n">
        <v>106212</v>
      </c>
      <c r="J697" s="45" t="n">
        <v>5391</v>
      </c>
      <c r="K697" s="45" t="n">
        <v>414</v>
      </c>
      <c r="L697" s="46" t="n"/>
      <c r="M697" s="47" t="n"/>
      <c r="N697" s="47" t="inlineStr">
        <is>
          <t>UCKZo4N0lVPccBkSiuyVh4yg</t>
        </is>
      </c>
      <c r="O697" s="48" t="n">
        <v>45359.82430555556</v>
      </c>
      <c r="P697" s="49" t="n">
        <v>45359</v>
      </c>
      <c r="Q697" s="47" t="n">
        <v>2571</v>
      </c>
      <c r="R697" s="47" t="inlineStr">
        <is>
          <t>No Video ID yet</t>
        </is>
      </c>
      <c r="S697" s="49" t="n"/>
      <c r="T697" s="49" t="n"/>
      <c r="U697" s="47" t="inlineStr">
        <is>
          <t>Shopify info for description: Go to to sign up for a $1 per month trial period. Today J dives into the Wizarding World of Harry Potter to find out if Harry ACTUALLY died at in the forest when Voldemort hits him with Avada Kedavra or if he only got part of the way there. What do you think?</t>
        </is>
      </c>
      <c r="V697" s="47">
        <f>IF(AND(P697&gt;=Calendar!$K$2,P697&lt;EDATE(Calendar!$K$2,1),OR(Calendar!$K$4="*",N697=Calendar!$K$4)),P697*100+COUNTIFS($P$6:$P$3267,P697,$Q$6:$Q$3267,"&lt;="&amp;Q697,$N$6:$N$3267,Calendar!$K$4),"")</f>
        <v/>
      </c>
      <c r="W697" s="47">
        <f>IF(AND(B697=Queue!$C$4,OR(Queue!$K$4="*",N697=Queue!$K$4)),Q697,"")</f>
        <v/>
      </c>
    </row>
    <row r="698">
      <c r="A698" s="38">
        <f>IF(M698="","",HYPERLINK("https://www.youtube.com/watch?v="&amp;M698,"▶"))</f>
        <v/>
      </c>
      <c r="B698" s="39">
        <f>IF(C698&lt;&gt;"",C698,IF(P698&lt;=IFERROR(INDEX(tblChannels[Watched Through],MATCH(N698,tblChannels[Channel ID],0)),0),"Watched","Unwatched"))</f>
        <v/>
      </c>
      <c r="C698" s="40" t="n"/>
      <c r="D698" s="41" t="n"/>
      <c r="E698" s="42" t="n">
        <v>45359.56180555555</v>
      </c>
      <c r="F698" s="50" t="inlineStr">
        <is>
          <t>Super Carlin Brothers</t>
        </is>
      </c>
      <c r="G698" t="inlineStr">
        <is>
          <t>Our Top 10 MOST Used Harry Potter Clips #shorts  #harrypotter</t>
        </is>
      </c>
      <c r="H698" s="44" t="n">
        <v>0.000625</v>
      </c>
      <c r="I698" s="45" t="n">
        <v>106765</v>
      </c>
      <c r="J698" s="45" t="n">
        <v>6556</v>
      </c>
      <c r="K698" s="45" t="n">
        <v>213</v>
      </c>
      <c r="L698" s="46" t="n"/>
      <c r="M698" s="47" t="n"/>
      <c r="N698" s="47" t="inlineStr">
        <is>
          <t>UCKZo4N0lVPccBkSiuyVh4yg</t>
        </is>
      </c>
      <c r="O698" s="48" t="n">
        <v>45359.77013888889</v>
      </c>
      <c r="P698" s="49" t="n">
        <v>45359</v>
      </c>
      <c r="Q698" s="47" t="n">
        <v>2570</v>
      </c>
      <c r="R698" s="47" t="inlineStr">
        <is>
          <t>No Video ID yet</t>
        </is>
      </c>
      <c r="S698" s="49" t="n"/>
      <c r="T698" s="49" t="n"/>
      <c r="U698" s="47" t="inlineStr">
        <is>
          <t>We've made a lot of Harry Potter videos over the years... these are the top 10 clips we have used most often!</t>
        </is>
      </c>
      <c r="V698" s="47">
        <f>IF(AND(P698&gt;=Calendar!$K$2,P698&lt;EDATE(Calendar!$K$2,1),OR(Calendar!$K$4="*",N698=Calendar!$K$4)),P698*100+COUNTIFS($P$6:$P$3267,P698,$Q$6:$Q$3267,"&lt;="&amp;Q698,$N$6:$N$3267,Calendar!$K$4),"")</f>
        <v/>
      </c>
      <c r="W698" s="47">
        <f>IF(AND(B698=Queue!$C$4,OR(Queue!$K$4="*",N698=Queue!$K$4)),Q698,"")</f>
        <v/>
      </c>
    </row>
    <row r="699">
      <c r="A699" s="38">
        <f>IF(M699="","",HYPERLINK("https://www.youtube.com/watch?v="&amp;M699,"▶"))</f>
        <v/>
      </c>
      <c r="B699" s="39">
        <f>IF(C699&lt;&gt;"",C699,IF(P699&lt;=IFERROR(INDEX(tblChannels[Watched Through],MATCH(N699,tblChannels[Channel ID],0)),0),"Watched","Unwatched"))</f>
        <v/>
      </c>
      <c r="C699" s="40" t="n"/>
      <c r="D699" s="41" t="n"/>
      <c r="E699" s="42" t="n">
        <v>45359.41666666666</v>
      </c>
      <c r="F699" s="43" t="inlineStr">
        <is>
          <t>Popcorn Culture</t>
        </is>
      </c>
      <c r="G699" t="inlineStr">
        <is>
          <t>Little Debra | Popcorn Culture</t>
        </is>
      </c>
      <c r="H699" s="44" t="n">
        <v>0.05046296296296297</v>
      </c>
      <c r="I699" s="45" t="n">
        <v>4353</v>
      </c>
      <c r="J699" s="45" t="n">
        <v>225</v>
      </c>
      <c r="K699" s="45" t="n">
        <v>59</v>
      </c>
      <c r="L699" s="46" t="n"/>
      <c r="M699" s="47" t="n"/>
      <c r="N699" s="47" t="inlineStr">
        <is>
          <t>UCHfIbq9thHPC8yrKjAdJgDA</t>
        </is>
      </c>
      <c r="O699" s="48" t="n">
        <v>45359.625</v>
      </c>
      <c r="P699" s="49" t="n">
        <v>45359</v>
      </c>
      <c r="Q699" s="47" t="n">
        <v>2569</v>
      </c>
      <c r="R699" s="47" t="inlineStr">
        <is>
          <t>No Video ID yet</t>
        </is>
      </c>
      <c r="S699" s="49" t="n"/>
      <c r="T699" s="49" t="n"/>
      <c r="U699" s="47" t="inlineStr">
        <is>
          <t>In the 222nd episode of the Pop, Ben and J discuss Little Debbie Cakes, routines with little kids, anxiety dreams, SodaStream, signs from the universe, pancakes and waffles, and quality of food. Show Notes Inside Out - Good Mythical Morning - Jack Browns Roanoke - What Is This, BROWN WATER? A Hot Cake, If You Will 00:00 - Intro, The Little Debbie Brand 33:06 - Signs 47:44 - Pancakes vs. Waffles</t>
        </is>
      </c>
      <c r="V699" s="47">
        <f>IF(AND(P699&gt;=Calendar!$K$2,P699&lt;EDATE(Calendar!$K$2,1),OR(Calendar!$K$4="*",N699=Calendar!$K$4)),P699*100+COUNTIFS($P$6:$P$3267,P699,$Q$6:$Q$3267,"&lt;="&amp;Q699,$N$6:$N$3267,Calendar!$K$4),"")</f>
        <v/>
      </c>
      <c r="W699" s="47">
        <f>IF(AND(B699=Queue!$C$4,OR(Queue!$K$4="*",N699=Queue!$K$4)),Q699,"")</f>
        <v/>
      </c>
    </row>
    <row r="700">
      <c r="A700" s="38">
        <f>IF(M700="","",HYPERLINK("https://www.youtube.com/watch?v="&amp;M700,"▶"))</f>
        <v/>
      </c>
      <c r="B700" s="39">
        <f>IF(C700&lt;&gt;"",C700,IF(P700&lt;=IFERROR(INDEX(tblChannels[Watched Through],MATCH(N700,tblChannels[Channel ID],0)),0),"Watched","Unwatched"))</f>
        <v/>
      </c>
      <c r="C700" s="40" t="n"/>
      <c r="D700" s="41" t="n"/>
      <c r="E700" s="42" t="n">
        <v>45357.69513888889</v>
      </c>
      <c r="F700" s="50" t="inlineStr">
        <is>
          <t>Super Carlin Brothers</t>
        </is>
      </c>
      <c r="G700" t="inlineStr">
        <is>
          <t>Why Does Aang GOOGLE AUTOFILL | Avatar The Last Airbender</t>
        </is>
      </c>
      <c r="H700" s="44" t="n">
        <v>0.01172453703703704</v>
      </c>
      <c r="I700" s="45" t="n">
        <v>131188</v>
      </c>
      <c r="J700" s="45" t="n">
        <v>5115</v>
      </c>
      <c r="K700" s="45" t="n">
        <v>350</v>
      </c>
      <c r="L700" s="46" t="n"/>
      <c r="M700" s="47" t="n"/>
      <c r="N700" s="47" t="inlineStr">
        <is>
          <t>UCKZo4N0lVPccBkSiuyVh4yg</t>
        </is>
      </c>
      <c r="O700" s="48" t="n">
        <v>45357.90347222222</v>
      </c>
      <c r="P700" s="49" t="n">
        <v>45357</v>
      </c>
      <c r="Q700" s="47" t="n">
        <v>2568</v>
      </c>
      <c r="R700" s="47" t="inlineStr">
        <is>
          <t>No Video ID yet</t>
        </is>
      </c>
      <c r="S700" s="49" t="n"/>
      <c r="T700" s="49" t="n"/>
      <c r="U700" s="47" t="inlineStr">
        <is>
          <t>This show is sponsored by BetterHelp - go to to get 10% off your first month. Today J dives off a sky bison into the world of Avatar The Last Airbender to answer all of Google’s most burning questions about why Aang does anything! #supercarlinbrothers #Atla #AvatarTheLastAirbender</t>
        </is>
      </c>
      <c r="V700" s="47">
        <f>IF(AND(P700&gt;=Calendar!$K$2,P700&lt;EDATE(Calendar!$K$2,1),OR(Calendar!$K$4="*",N700=Calendar!$K$4)),P700*100+COUNTIFS($P$6:$P$3267,P700,$Q$6:$Q$3267,"&lt;="&amp;Q700,$N$6:$N$3267,Calendar!$K$4),"")</f>
        <v/>
      </c>
      <c r="W700" s="47">
        <f>IF(AND(B700=Queue!$C$4,OR(Queue!$K$4="*",N700=Queue!$K$4)),Q700,"")</f>
        <v/>
      </c>
    </row>
    <row r="701">
      <c r="A701" s="38">
        <f>IF(M701="","",HYPERLINK("https://www.youtube.com/watch?v="&amp;M701,"▶"))</f>
        <v/>
      </c>
      <c r="B701" s="39">
        <f>IF(C701&lt;&gt;"",C701,IF(P701&lt;=IFERROR(INDEX(tblChannels[Watched Through],MATCH(N701,tblChannels[Channel ID],0)),0),"Watched","Unwatched"))</f>
        <v/>
      </c>
      <c r="C701" s="40" t="n"/>
      <c r="D701" s="41" t="n"/>
      <c r="E701" s="42" t="n">
        <v>45354.41666666666</v>
      </c>
      <c r="F701" s="51" t="inlineStr">
        <is>
          <t>Through The Griffin Door</t>
        </is>
      </c>
      <c r="G701" t="inlineStr">
        <is>
          <t>Chapter 7: Mudbloods and Murmurs | Chamber of Secrets</t>
        </is>
      </c>
      <c r="H701" s="44" t="n">
        <v>0.04990740740740741</v>
      </c>
      <c r="I701" s="45" t="n">
        <v>78542</v>
      </c>
      <c r="J701" s="45" t="n">
        <v>2182</v>
      </c>
      <c r="K701" s="45" t="n">
        <v>401</v>
      </c>
      <c r="L701" s="46" t="n"/>
      <c r="M701" s="47" t="n"/>
      <c r="N701" s="47" t="inlineStr">
        <is>
          <t>UCEscP6ETYXWSSvsNrDHekMQ</t>
        </is>
      </c>
      <c r="O701" s="48" t="n">
        <v>45354.625</v>
      </c>
      <c r="P701" s="49" t="n">
        <v>45354</v>
      </c>
      <c r="Q701" s="47" t="n">
        <v>2567</v>
      </c>
      <c r="R701" s="47" t="inlineStr">
        <is>
          <t>No Video ID yet</t>
        </is>
      </c>
      <c r="S701" s="49" t="n"/>
      <c r="T701" s="49" t="n"/>
      <c r="U701" s="47" t="inlineStr">
        <is>
          <t>Join J and Ben as they dive into Chapter 7 of the Chamber of Secrets and discuss the copious amount of slugs, Wood’s Quidditch mania, photo agency, the strength of the slug belching curse, the trio going to Hagrid’s hut, good misdirects, detentions, and the voice in the walls. 05:53 - Chapter Breakdown 59:51 - Closing Thoughts and Review</t>
        </is>
      </c>
      <c r="V701" s="47">
        <f>IF(AND(P701&gt;=Calendar!$K$2,P701&lt;EDATE(Calendar!$K$2,1),OR(Calendar!$K$4="*",N701=Calendar!$K$4)),P701*100+COUNTIFS($P$6:$P$3267,P701,$Q$6:$Q$3267,"&lt;="&amp;Q701,$N$6:$N$3267,Calendar!$K$4),"")</f>
        <v/>
      </c>
      <c r="W701" s="47">
        <f>IF(AND(B701=Queue!$C$4,OR(Queue!$K$4="*",N701=Queue!$K$4)),Q701,"")</f>
        <v/>
      </c>
    </row>
    <row r="702">
      <c r="A702" s="38">
        <f>IF(M702="","",HYPERLINK("https://www.youtube.com/watch?v="&amp;M702,"▶"))</f>
        <v/>
      </c>
      <c r="B702" s="39">
        <f>IF(C702&lt;&gt;"",C702,IF(P702&lt;=IFERROR(INDEX(tblChannels[Watched Through],MATCH(N702,tblChannels[Channel ID],0)),0),"Watched","Unwatched"))</f>
        <v/>
      </c>
      <c r="C702" s="40" t="n"/>
      <c r="D702" s="41" t="n"/>
      <c r="E702" s="42" t="n">
        <v>45352.575</v>
      </c>
      <c r="F702" s="50" t="inlineStr">
        <is>
          <t>Super Carlin Brothers</t>
        </is>
      </c>
      <c r="G702" t="inlineStr">
        <is>
          <t>J vs Ben: HARDEST Ron Weasley Harry Potter TRIVIA Quiz Ever</t>
        </is>
      </c>
      <c r="H702" s="44" t="n">
        <v>0.02938657407407408</v>
      </c>
      <c r="I702" s="45" t="n">
        <v>190813</v>
      </c>
      <c r="J702" s="45" t="n">
        <v>5456</v>
      </c>
      <c r="K702" s="45" t="n">
        <v>513</v>
      </c>
      <c r="L702" s="46" t="n"/>
      <c r="M702" s="47" t="n"/>
      <c r="N702" s="47" t="inlineStr">
        <is>
          <t>UCKZo4N0lVPccBkSiuyVh4yg</t>
        </is>
      </c>
      <c r="O702" s="48" t="n">
        <v>45352.78333333333</v>
      </c>
      <c r="P702" s="49" t="n">
        <v>45352</v>
      </c>
      <c r="Q702" s="47" t="n">
        <v>2566</v>
      </c>
      <c r="R702" s="47" t="inlineStr">
        <is>
          <t>No Video ID yet</t>
        </is>
      </c>
      <c r="S702" s="49" t="n"/>
      <c r="T702" s="49" t="n"/>
      <c r="U702" s="47" t="inlineStr">
        <is>
          <t>Go to to cancel your unwanted subscriptions with Rocket Money Go to for 20% off your first order plus free shipping. Today J and Ben dive into the wizarding world of Harry Potter to face off once more to find out who knows the most about Harry’s best friend RON WEASLEY! 02:37 - Q1: Where does Ron fall in the sibling lineup? 04:09 - Q2: What spell does Ron use against the troll? 05:33 - Q3: What is Ron’s wand? 08:20 - Q4: Who did Ron beat for Keeper? 11:28 - Q5: Who’s Polyjuice Potion did Ron take in his 2nd year? 12:51 - Q6: How many times does Ron go to the hospital wing? 16:09 - Q7: Which Unforgivable Curse did Ron know? 17:07 - Q8: What was Ron’s Prefect gift? 18:57 - Q9: Which two chocolate frog cards is Ron missing? 27:19 - Q10: What did Ron accidentally eat on his 17th birthday? 28:48 - Q11: Who does Ron tell the snatchers he is? 30:28 - Q12: Which chaser did Ron successfully block? 33:31 - Q13: What did Ron give Dobby for Christmas? 34:34 - Q14: What tripped Ron up in Lupin’s DADA exam? 37:28 - Q15: What does Ginny joke that Ron has a tattoo of? #supercarlinbrothers #JvsBen #HarryPotter</t>
        </is>
      </c>
      <c r="V702" s="47">
        <f>IF(AND(P702&gt;=Calendar!$K$2,P702&lt;EDATE(Calendar!$K$2,1),OR(Calendar!$K$4="*",N702=Calendar!$K$4)),P702*100+COUNTIFS($P$6:$P$3267,P702,$Q$6:$Q$3267,"&lt;="&amp;Q702,$N$6:$N$3267,Calendar!$K$4),"")</f>
        <v/>
      </c>
      <c r="W702" s="47">
        <f>IF(AND(B702=Queue!$C$4,OR(Queue!$K$4="*",N702=Queue!$K$4)),Q702,"")</f>
        <v/>
      </c>
    </row>
    <row r="703">
      <c r="A703" s="38">
        <f>IF(M703="","",HYPERLINK("https://www.youtube.com/watch?v="&amp;M703,"▶"))</f>
        <v/>
      </c>
      <c r="B703" s="39">
        <f>IF(C703&lt;&gt;"",C703,IF(P703&lt;=IFERROR(INDEX(tblChannels[Watched Through],MATCH(N703,tblChannels[Channel ID],0)),0),"Watched","Unwatched"))</f>
        <v/>
      </c>
      <c r="C703" s="40" t="n"/>
      <c r="D703" s="41" t="n"/>
      <c r="E703" s="42" t="n">
        <v>45352.41666666666</v>
      </c>
      <c r="F703" s="43" t="inlineStr">
        <is>
          <t>Popcorn Culture</t>
        </is>
      </c>
      <c r="G703" t="inlineStr">
        <is>
          <t>NEVER BACK DOWN | Popcorn Culture</t>
        </is>
      </c>
      <c r="H703" s="44" t="n">
        <v>0.05347222222222222</v>
      </c>
      <c r="I703" s="45" t="n">
        <v>4335</v>
      </c>
      <c r="J703" s="45" t="n">
        <v>207</v>
      </c>
      <c r="K703" s="45" t="n">
        <v>39</v>
      </c>
      <c r="L703" s="46" t="n"/>
      <c r="M703" s="47" t="n"/>
      <c r="N703" s="47" t="inlineStr">
        <is>
          <t>UCHfIbq9thHPC8yrKjAdJgDA</t>
        </is>
      </c>
      <c r="O703" s="48" t="n">
        <v>45352.625</v>
      </c>
      <c r="P703" s="49" t="n">
        <v>45352</v>
      </c>
      <c r="Q703" s="47" t="n">
        <v>2565</v>
      </c>
      <c r="R703" s="47" t="inlineStr">
        <is>
          <t>No Video ID yet</t>
        </is>
      </c>
      <c r="S703" s="49" t="n"/>
      <c r="T703" s="49" t="n"/>
      <c r="U703" s="47" t="inlineStr">
        <is>
          <t>In the 221st episode of the Pop, Ben and J discuss football, ethics of gameplay, their position in reviewing films, bad pump up movies and movies that got them. Show Notes Never Back Down - Rocky - Avatar - The Good Dinosaur - The Starbucks Cup in Game of Thrones - Glass Onion Director Breakdown - Knives Out - Glass Onion - Star Wars Franchise - Emperor’s New Groove - The Prestige - Ocean’s Eleven - Shawshank Redemption - Fight Club - Creed Franchise -</t>
        </is>
      </c>
      <c r="V703" s="47">
        <f>IF(AND(P703&gt;=Calendar!$K$2,P703&lt;EDATE(Calendar!$K$2,1),OR(Calendar!$K$4="*",N703=Calendar!$K$4)),P703*100+COUNTIFS($P$6:$P$3267,P703,$Q$6:$Q$3267,"&lt;="&amp;Q703,$N$6:$N$3267,Calendar!$K$4),"")</f>
        <v/>
      </c>
      <c r="W703" s="47">
        <f>IF(AND(B703=Queue!$C$4,OR(Queue!$K$4="*",N703=Queue!$K$4)),Q703,"")</f>
        <v/>
      </c>
    </row>
    <row r="704">
      <c r="A704" s="38">
        <f>IF(M704="","",HYPERLINK("https://www.youtube.com/watch?v="&amp;M704,"▶"))</f>
        <v/>
      </c>
      <c r="B704" s="39">
        <f>IF(C704&lt;&gt;"",C704,IF(P704&lt;=IFERROR(INDEX(tblChannels[Watched Through],MATCH(N704,tblChannels[Channel ID],0)),0),"Watched","Unwatched"))</f>
        <v/>
      </c>
      <c r="C704" s="40" t="n"/>
      <c r="D704" s="41" t="n"/>
      <c r="E704" s="42" t="n">
        <v>45350.77083333334</v>
      </c>
      <c r="F704" s="52" t="inlineStr">
        <is>
          <t>Super Carlin Gaming</t>
        </is>
      </c>
      <c r="G704" t="inlineStr">
        <is>
          <t>In Fate's Hands | Carlin Brothers Box Breakers S9E4</t>
        </is>
      </c>
      <c r="H704" s="44" t="n">
        <v>0.02827546296296296</v>
      </c>
      <c r="I704" s="45" t="n">
        <v>1233</v>
      </c>
      <c r="J704" s="45" t="n">
        <v>79</v>
      </c>
      <c r="K704" s="45" t="n">
        <v>10</v>
      </c>
      <c r="L704" s="46" t="n"/>
      <c r="M704" s="47" t="n"/>
      <c r="N704" s="47" t="inlineStr">
        <is>
          <t>UCor_9jRnNNZVzTuQ92PKsaQ</t>
        </is>
      </c>
      <c r="O704" s="48" t="n">
        <v>45350.97916666666</v>
      </c>
      <c r="P704" s="49" t="n">
        <v>45350</v>
      </c>
      <c r="Q704" s="47" t="n">
        <v>2564</v>
      </c>
      <c r="R704" s="47" t="inlineStr">
        <is>
          <t>No Video ID yet</t>
        </is>
      </c>
      <c r="S704" s="49" t="n"/>
      <c r="T704" s="49" t="n"/>
      <c r="U704" s="47" t="inlineStr">
        <is>
          <t>This Week Paldean Fates Ends</t>
        </is>
      </c>
      <c r="V704" s="47">
        <f>IF(AND(P704&gt;=Calendar!$K$2,P704&lt;EDATE(Calendar!$K$2,1),OR(Calendar!$K$4="*",N704=Calendar!$K$4)),P704*100+COUNTIFS($P$6:$P$3267,P704,$Q$6:$Q$3267,"&lt;="&amp;Q704,$N$6:$N$3267,Calendar!$K$4),"")</f>
        <v/>
      </c>
      <c r="W704" s="47">
        <f>IF(AND(B704=Queue!$C$4,OR(Queue!$K$4="*",N704=Queue!$K$4)),Q704,"")</f>
        <v/>
      </c>
    </row>
    <row r="705">
      <c r="A705" s="38">
        <f>IF(M705="","",HYPERLINK("https://www.youtube.com/watch?v="&amp;M705,"▶"))</f>
        <v/>
      </c>
      <c r="B705" s="39">
        <f>IF(C705&lt;&gt;"",C705,IF(P705&lt;=IFERROR(INDEX(tblChannels[Watched Through],MATCH(N705,tblChannels[Channel ID],0)),0),"Watched","Unwatched"))</f>
        <v/>
      </c>
      <c r="C705" s="40" t="n"/>
      <c r="D705" s="41" t="n"/>
      <c r="E705" s="42" t="n">
        <v>45350.70625</v>
      </c>
      <c r="F705" s="50" t="inlineStr">
        <is>
          <t>Super Carlin Brothers</t>
        </is>
      </c>
      <c r="G705" t="inlineStr">
        <is>
          <t>Who Are Aang’s Parents | Avatar the Last Airbender Film Theory</t>
        </is>
      </c>
      <c r="H705" s="44" t="n">
        <v>0.01150462962962963</v>
      </c>
      <c r="I705" s="45" t="n">
        <v>89665</v>
      </c>
      <c r="J705" s="45" t="n">
        <v>4659</v>
      </c>
      <c r="K705" s="45" t="n">
        <v>358</v>
      </c>
      <c r="L705" s="46" t="n"/>
      <c r="M705" s="47" t="n"/>
      <c r="N705" s="47" t="inlineStr">
        <is>
          <t>UCKZo4N0lVPccBkSiuyVh4yg</t>
        </is>
      </c>
      <c r="O705" s="48" t="n">
        <v>45350.91458333333</v>
      </c>
      <c r="P705" s="49" t="n">
        <v>45350</v>
      </c>
      <c r="Q705" s="47" t="n">
        <v>2563</v>
      </c>
      <c r="R705" s="47" t="inlineStr">
        <is>
          <t>No Video ID yet</t>
        </is>
      </c>
      <c r="S705" s="49" t="n"/>
      <c r="T705" s="49" t="n"/>
      <c r="U705" s="47" t="inlineStr">
        <is>
          <t>Check out our FIRE BENDING-TASTIC Wizarding Candle subscription available now HERE: Today J dives off a sky bison into the world of Avatar the Last Airbender to find out who are Aang’s parents and what happened to them? Did he ever even know them? #supercarlinbrothers #atla #AvatarTheLastAirbender</t>
        </is>
      </c>
      <c r="V705" s="47">
        <f>IF(AND(P705&gt;=Calendar!$K$2,P705&lt;EDATE(Calendar!$K$2,1),OR(Calendar!$K$4="*",N705=Calendar!$K$4)),P705*100+COUNTIFS($P$6:$P$3267,P705,$Q$6:$Q$3267,"&lt;="&amp;Q705,$N$6:$N$3267,Calendar!$K$4),"")</f>
        <v/>
      </c>
      <c r="W705" s="47">
        <f>IF(AND(B705=Queue!$C$4,OR(Queue!$K$4="*",N705=Queue!$K$4)),Q705,"")</f>
        <v/>
      </c>
    </row>
    <row r="706">
      <c r="A706" s="38">
        <f>IF(M706="","",HYPERLINK("https://www.youtube.com/watch?v="&amp;M706,"▶"))</f>
        <v/>
      </c>
      <c r="B706" s="39">
        <f>IF(C706&lt;&gt;"",C706,IF(P706&lt;=IFERROR(INDEX(tblChannels[Watched Through],MATCH(N706,tblChannels[Channel ID],0)),0),"Watched","Unwatched"))</f>
        <v/>
      </c>
      <c r="C706" s="40" t="n"/>
      <c r="D706" s="41" t="n"/>
      <c r="E706" s="42" t="n">
        <v>45347.41666666666</v>
      </c>
      <c r="F706" s="51" t="inlineStr">
        <is>
          <t>Through The Griffin Door</t>
        </is>
      </c>
      <c r="G706" t="inlineStr">
        <is>
          <t>Chapter 6: Gilderoy Lockhart | Chamber of Secrets</t>
        </is>
      </c>
      <c r="H706" s="44" t="n">
        <v>0.05015046296296297</v>
      </c>
      <c r="I706" s="45" t="n">
        <v>79805</v>
      </c>
      <c r="J706" s="45" t="n">
        <v>2788</v>
      </c>
      <c r="K706" s="45" t="n">
        <v>598</v>
      </c>
      <c r="L706" s="46" t="n"/>
      <c r="M706" s="47" t="n"/>
      <c r="N706" s="47" t="inlineStr">
        <is>
          <t>UCEscP6ETYXWSSvsNrDHekMQ</t>
        </is>
      </c>
      <c r="O706" s="48" t="n">
        <v>45347.625</v>
      </c>
      <c r="P706" s="49" t="n">
        <v>45347</v>
      </c>
      <c r="Q706" s="47" t="n">
        <v>2562</v>
      </c>
      <c r="R706" s="47" t="inlineStr">
        <is>
          <t>No Video ID yet</t>
        </is>
      </c>
      <c r="S706" s="49" t="n"/>
      <c r="T706" s="49" t="n"/>
      <c r="U706" s="47" t="inlineStr">
        <is>
          <t>Join J and Ben as they dive into Chapter 6 of the Chamber of Secrets and discuss real mandrakes, Lockhart’s cockiness, Neville’s trauma, the guilt-inducing howler, the mandrake potion, Ron’s broken wand, Colin Creevy and his photos, more of Lockhart smarminess and surprisingly progressive ideals. Sign up for the Wizarding Candle Club! - 10:53 - Chapter Breakdown 1:05:17 - Closing Thoughts and Review</t>
        </is>
      </c>
      <c r="V706" s="47">
        <f>IF(AND(P706&gt;=Calendar!$K$2,P706&lt;EDATE(Calendar!$K$2,1),OR(Calendar!$K$4="*",N706=Calendar!$K$4)),P706*100+COUNTIFS($P$6:$P$3267,P706,$Q$6:$Q$3267,"&lt;="&amp;Q706,$N$6:$N$3267,Calendar!$K$4),"")</f>
        <v/>
      </c>
      <c r="W706" s="47">
        <f>IF(AND(B706=Queue!$C$4,OR(Queue!$K$4="*",N706=Queue!$K$4)),Q706,"")</f>
        <v/>
      </c>
    </row>
    <row r="707">
      <c r="A707" s="38">
        <f>IF(M707="","",HYPERLINK("https://www.youtube.com/watch?v="&amp;M707,"▶"))</f>
        <v/>
      </c>
      <c r="B707" s="39">
        <f>IF(C707&lt;&gt;"",C707,IF(P707&lt;=IFERROR(INDEX(tblChannels[Watched Through],MATCH(N707,tblChannels[Channel ID],0)),0),"Watched","Unwatched"))</f>
        <v/>
      </c>
      <c r="C707" s="40" t="n"/>
      <c r="D707" s="41" t="n"/>
      <c r="E707" s="42" t="n">
        <v>45345.75</v>
      </c>
      <c r="F707" s="50" t="inlineStr">
        <is>
          <t>Super Carlin Brothers</t>
        </is>
      </c>
      <c r="G707" t="inlineStr">
        <is>
          <t>What If James Kept The Invisibility Cloak Part 5 | Harry Potter Film Theory</t>
        </is>
      </c>
      <c r="H707" s="44" t="n">
        <v>0.0172337962962963</v>
      </c>
      <c r="I707" s="45" t="n">
        <v>113264</v>
      </c>
      <c r="J707" s="45" t="n">
        <v>5543</v>
      </c>
      <c r="K707" s="45" t="n">
        <v>558</v>
      </c>
      <c r="L707" s="46" t="n"/>
      <c r="M707" s="47" t="n"/>
      <c r="N707" s="47" t="inlineStr">
        <is>
          <t>UCKZo4N0lVPccBkSiuyVh4yg</t>
        </is>
      </c>
      <c r="O707" s="48" t="n">
        <v>45345.95833333334</v>
      </c>
      <c r="P707" s="49" t="n">
        <v>45345</v>
      </c>
      <c r="Q707" s="47" t="n">
        <v>2561</v>
      </c>
      <c r="R707" s="47" t="inlineStr">
        <is>
          <t>No Video ID yet</t>
        </is>
      </c>
      <c r="S707" s="49" t="n"/>
      <c r="T707" s="49" t="n"/>
      <c r="U707" s="47" t="inlineStr">
        <is>
          <t>Go to to sign up for a $1 per month trial period. Today Ben returns once more to try and answer the question: What If James Kept The Invisibility Cloak! Thus far Harry has found and destroyed the Locket and while he stole the cup he lost the sword which has now become ANOTHER Horcrux! How will it all end? Find out today in the thrilling FINALE! Check out our PRETTY OBVIOUS Wizarding Candle subscription available now HERE: #supercarlinbrothers #harrypotter</t>
        </is>
      </c>
      <c r="V707" s="47">
        <f>IF(AND(P707&gt;=Calendar!$K$2,P707&lt;EDATE(Calendar!$K$2,1),OR(Calendar!$K$4="*",N707=Calendar!$K$4)),P707*100+COUNTIFS($P$6:$P$3267,P707,$Q$6:$Q$3267,"&lt;="&amp;Q707,$N$6:$N$3267,Calendar!$K$4),"")</f>
        <v/>
      </c>
      <c r="W707" s="47">
        <f>IF(AND(B707=Queue!$C$4,OR(Queue!$K$4="*",N707=Queue!$K$4)),Q707,"")</f>
        <v/>
      </c>
    </row>
    <row r="708">
      <c r="A708" s="38">
        <f>IF(M708="","",HYPERLINK("https://www.youtube.com/watch?v="&amp;M708,"▶"))</f>
        <v/>
      </c>
      <c r="B708" s="39">
        <f>IF(C708&lt;&gt;"",C708,IF(P708&lt;=IFERROR(INDEX(tblChannels[Watched Through],MATCH(N708,tblChannels[Channel ID],0)),0),"Watched","Unwatched"))</f>
        <v/>
      </c>
      <c r="C708" s="40" t="n"/>
      <c r="D708" s="41" t="n"/>
      <c r="E708" s="42" t="n">
        <v>45345.41666666666</v>
      </c>
      <c r="F708" s="43" t="inlineStr">
        <is>
          <t>Popcorn Culture</t>
        </is>
      </c>
      <c r="G708" t="inlineStr">
        <is>
          <t>The Flow State | Popcorn Culture</t>
        </is>
      </c>
      <c r="H708" s="44" t="n">
        <v>0.04517361111111111</v>
      </c>
      <c r="I708" s="45" t="n">
        <v>3987</v>
      </c>
      <c r="J708" s="45" t="n">
        <v>216</v>
      </c>
      <c r="K708" s="45" t="n">
        <v>38</v>
      </c>
      <c r="L708" s="46" t="n"/>
      <c r="M708" s="47" t="n"/>
      <c r="N708" s="47" t="inlineStr">
        <is>
          <t>UCHfIbq9thHPC8yrKjAdJgDA</t>
        </is>
      </c>
      <c r="O708" s="48" t="n">
        <v>45345.625</v>
      </c>
      <c r="P708" s="49" t="n">
        <v>45345</v>
      </c>
      <c r="Q708" s="47" t="n">
        <v>2560</v>
      </c>
      <c r="R708" s="47" t="inlineStr">
        <is>
          <t>No Video ID yet</t>
        </is>
      </c>
      <c r="S708" s="49" t="n"/>
      <c r="T708" s="49" t="n"/>
      <c r="U708" s="47" t="inlineStr">
        <is>
          <t>In the 220th episode of the Pop Ben and J discuss: iconic music, the flow state, party dynamics, being too good at things, hedonism vs. nihilism and trampolines. Show Notes Most Iconic Songs List - Smells Like Teen Spirit - Kurt Cobain - Blink 182 - Green Day - American Idiot - Beat Saber - Hedonism vs. Nihilism 00:00 - Intro, Most Iconic Song 16:49 - Flow State 37:43 - Hedonism vs. Nihilism</t>
        </is>
      </c>
      <c r="V708" s="47">
        <f>IF(AND(P708&gt;=Calendar!$K$2,P708&lt;EDATE(Calendar!$K$2,1),OR(Calendar!$K$4="*",N708=Calendar!$K$4)),P708*100+COUNTIFS($P$6:$P$3267,P708,$Q$6:$Q$3267,"&lt;="&amp;Q708,$N$6:$N$3267,Calendar!$K$4),"")</f>
        <v/>
      </c>
      <c r="W708" s="47">
        <f>IF(AND(B708=Queue!$C$4,OR(Queue!$K$4="*",N708=Queue!$K$4)),Q708,"")</f>
        <v/>
      </c>
    </row>
    <row r="709">
      <c r="A709" s="38">
        <f>IF(M709="","",HYPERLINK("https://www.youtube.com/watch?v="&amp;M709,"▶"))</f>
        <v/>
      </c>
      <c r="B709" s="39">
        <f>IF(C709&lt;&gt;"",C709,IF(P709&lt;=IFERROR(INDEX(tblChannels[Watched Through],MATCH(N709,tblChannels[Channel ID],0)),0),"Watched","Unwatched"))</f>
        <v/>
      </c>
      <c r="C709" s="40" t="n"/>
      <c r="D709" s="41" t="n"/>
      <c r="E709" s="42" t="n">
        <v>45344.77083333334</v>
      </c>
      <c r="F709" s="52" t="inlineStr">
        <is>
          <t>Super Carlin Gaming</t>
        </is>
      </c>
      <c r="G709" t="inlineStr">
        <is>
          <t>WE GOT A CHARIZARD | Carlin Brothers Box Breakers S9E3</t>
        </is>
      </c>
      <c r="H709" s="44" t="n">
        <v>0.03003472222222222</v>
      </c>
      <c r="I709" s="45" t="n">
        <v>1439</v>
      </c>
      <c r="J709" s="45" t="n">
        <v>80</v>
      </c>
      <c r="K709" s="45" t="n">
        <v>4</v>
      </c>
      <c r="L709" s="46" t="n"/>
      <c r="M709" s="47" t="n"/>
      <c r="N709" s="47" t="inlineStr">
        <is>
          <t>UCor_9jRnNNZVzTuQ92PKsaQ</t>
        </is>
      </c>
      <c r="O709" s="48" t="n">
        <v>45344.97916666666</v>
      </c>
      <c r="P709" s="49" t="n">
        <v>45344</v>
      </c>
      <c r="Q709" s="47" t="n">
        <v>2559</v>
      </c>
      <c r="R709" s="47" t="inlineStr">
        <is>
          <t>No Video ID yet</t>
        </is>
      </c>
      <c r="S709" s="49" t="n"/>
      <c r="T709" s="49" t="n"/>
      <c r="U709" s="47" t="n"/>
      <c r="V709" s="47">
        <f>IF(AND(P709&gt;=Calendar!$K$2,P709&lt;EDATE(Calendar!$K$2,1),OR(Calendar!$K$4="*",N709=Calendar!$K$4)),P709*100+COUNTIFS($P$6:$P$3267,P709,$Q$6:$Q$3267,"&lt;="&amp;Q709,$N$6:$N$3267,Calendar!$K$4),"")</f>
        <v/>
      </c>
      <c r="W709" s="47">
        <f>IF(AND(B709=Queue!$C$4,OR(Queue!$K$4="*",N709=Queue!$K$4)),Q709,"")</f>
        <v/>
      </c>
    </row>
    <row r="710">
      <c r="A710" s="38">
        <f>IF(M710="","",HYPERLINK("https://www.youtube.com/watch?v="&amp;M710,"▶"))</f>
        <v/>
      </c>
      <c r="B710" s="39">
        <f>IF(C710&lt;&gt;"",C710,IF(P710&lt;=IFERROR(INDEX(tblChannels[Watched Through],MATCH(N710,tblChannels[Channel ID],0)),0),"Watched","Unwatched"))</f>
        <v/>
      </c>
      <c r="C710" s="40" t="n"/>
      <c r="D710" s="41" t="n"/>
      <c r="E710" s="42" t="n">
        <v>45344.65555555555</v>
      </c>
      <c r="F710" s="50" t="inlineStr">
        <is>
          <t>Super Carlin Brothers</t>
        </is>
      </c>
      <c r="G710" t="inlineStr">
        <is>
          <t>The TOP 5 Best Avatar The Last Airbender Theories</t>
        </is>
      </c>
      <c r="H710" s="44" t="n">
        <v>0.04333333333333333</v>
      </c>
      <c r="I710" s="45" t="n">
        <v>252511</v>
      </c>
      <c r="J710" s="45" t="n">
        <v>7008</v>
      </c>
      <c r="K710" s="45" t="n">
        <v>818</v>
      </c>
      <c r="L710" s="46" t="n"/>
      <c r="M710" s="47" t="n"/>
      <c r="N710" s="47" t="inlineStr">
        <is>
          <t>UCKZo4N0lVPccBkSiuyVh4yg</t>
        </is>
      </c>
      <c r="O710" s="48" t="n">
        <v>45344.86388888889</v>
      </c>
      <c r="P710" s="49" t="n">
        <v>45344</v>
      </c>
      <c r="Q710" s="47" t="n">
        <v>2558</v>
      </c>
      <c r="R710" s="47" t="inlineStr">
        <is>
          <t>No Video ID yet</t>
        </is>
      </c>
      <c r="S710" s="49" t="n"/>
      <c r="T710" s="49" t="n"/>
      <c r="U710" s="47" t="inlineStr">
        <is>
          <t>To celebrate the launch of the new Live Action Avatar The Last Airbender series on Netflix we are recapping our TOP 5 BEST Theories! Is Ty Lee is an Air Nomad? Why is Azula's Fire Blue? Why Did the Fire Nation Kill the Dragons? What is The Painted Lady's True Identity? Why did the Fire Nation Killed Katara's Mom? #atla #avatarthelastairbender #supercarlinbrothers</t>
        </is>
      </c>
      <c r="V710" s="47">
        <f>IF(AND(P710&gt;=Calendar!$K$2,P710&lt;EDATE(Calendar!$K$2,1),OR(Calendar!$K$4="*",N710=Calendar!$K$4)),P710*100+COUNTIFS($P$6:$P$3267,P710,$Q$6:$Q$3267,"&lt;="&amp;Q710,$N$6:$N$3267,Calendar!$K$4),"")</f>
        <v/>
      </c>
      <c r="W710" s="47">
        <f>IF(AND(B710=Queue!$C$4,OR(Queue!$K$4="*",N710=Queue!$K$4)),Q710,"")</f>
        <v/>
      </c>
    </row>
    <row r="711">
      <c r="A711" s="38">
        <f>IF(M711="","",HYPERLINK("https://www.youtube.com/watch?v="&amp;M711,"▶"))</f>
        <v/>
      </c>
      <c r="B711" s="39">
        <f>IF(C711&lt;&gt;"",C711,IF(P711&lt;=IFERROR(INDEX(tblChannels[Watched Through],MATCH(N711,tblChannels[Channel ID],0)),0),"Watched","Unwatched"))</f>
        <v/>
      </c>
      <c r="C711" s="40" t="n"/>
      <c r="D711" s="41" t="n"/>
      <c r="E711" s="42" t="n">
        <v>45343.71319444444</v>
      </c>
      <c r="F711" s="50" t="inlineStr">
        <is>
          <t>Super Carlin Brothers</t>
        </is>
      </c>
      <c r="G711" t="inlineStr">
        <is>
          <t>How Do Horcruxes ACTUALLY Work | Harry Potter Film Theory</t>
        </is>
      </c>
      <c r="H711" s="44" t="n">
        <v>0.01163194444444444</v>
      </c>
      <c r="I711" s="45" t="n">
        <v>174413</v>
      </c>
      <c r="J711" s="45" t="n">
        <v>7174</v>
      </c>
      <c r="K711" s="45" t="n">
        <v>823</v>
      </c>
      <c r="L711" s="46" t="n"/>
      <c r="M711" s="47" t="n"/>
      <c r="N711" s="47" t="inlineStr">
        <is>
          <t>UCKZo4N0lVPccBkSiuyVh4yg</t>
        </is>
      </c>
      <c r="O711" s="48" t="n">
        <v>45343.92152777778</v>
      </c>
      <c r="P711" s="49" t="n">
        <v>45343</v>
      </c>
      <c r="Q711" s="47" t="n">
        <v>2557</v>
      </c>
      <c r="R711" s="47" t="inlineStr">
        <is>
          <t>No Video ID yet</t>
        </is>
      </c>
      <c r="S711" s="49" t="n"/>
      <c r="T711" s="49" t="n"/>
      <c r="U711" s="47" t="inlineStr">
        <is>
          <t>Today J dives into the Wizarding World of Harry Potter to give you a comprehensive guide to the most evil of objects: Horcruxes! How are horcruxes made? How do Horcruxes Work? How do you Destroy a Horcrux? Can a Horcrux come back to life? We get to the bottom of it all! Check out our PRETTY OBVIOUS Wizarding Candle subscription available now HERE: #supercarlinbrothers #harrypotter</t>
        </is>
      </c>
      <c r="V711" s="47">
        <f>IF(AND(P711&gt;=Calendar!$K$2,P711&lt;EDATE(Calendar!$K$2,1),OR(Calendar!$K$4="*",N711=Calendar!$K$4)),P711*100+COUNTIFS($P$6:$P$3267,P711,$Q$6:$Q$3267,"&lt;="&amp;Q711,$N$6:$N$3267,Calendar!$K$4),"")</f>
        <v/>
      </c>
      <c r="W711" s="47">
        <f>IF(AND(B711=Queue!$C$4,OR(Queue!$K$4="*",N711=Queue!$K$4)),Q711,"")</f>
        <v/>
      </c>
    </row>
    <row r="712">
      <c r="A712" s="38">
        <f>IF(M712="","",HYPERLINK("https://www.youtube.com/watch?v="&amp;M712,"▶"))</f>
        <v/>
      </c>
      <c r="B712" s="39">
        <f>IF(C712&lt;&gt;"",C712,IF(P712&lt;=IFERROR(INDEX(tblChannels[Watched Through],MATCH(N712,tblChannels[Channel ID],0)),0),"Watched","Unwatched"))</f>
        <v/>
      </c>
      <c r="C712" s="40" t="n"/>
      <c r="D712" s="41" t="n"/>
      <c r="E712" s="42" t="n">
        <v>45341.64583333334</v>
      </c>
      <c r="F712" s="52" t="inlineStr">
        <is>
          <t>Super Carlin Gaming</t>
        </is>
      </c>
      <c r="G712" t="inlineStr">
        <is>
          <t>Grass Still Dominating? | Carlin Brothers Box Breakers S9E2</t>
        </is>
      </c>
      <c r="H712" s="44" t="n">
        <v>0.0347337962962963</v>
      </c>
      <c r="I712" s="45" t="n">
        <v>1426</v>
      </c>
      <c r="J712" s="45" t="n">
        <v>85</v>
      </c>
      <c r="K712" s="45" t="n">
        <v>10</v>
      </c>
      <c r="L712" s="46" t="n"/>
      <c r="M712" s="47" t="n"/>
      <c r="N712" s="47" t="inlineStr">
        <is>
          <t>UCor_9jRnNNZVzTuQ92PKsaQ</t>
        </is>
      </c>
      <c r="O712" s="48" t="n">
        <v>45341.85416666666</v>
      </c>
      <c r="P712" s="49" t="n">
        <v>45341</v>
      </c>
      <c r="Q712" s="47" t="n">
        <v>2556</v>
      </c>
      <c r="R712" s="47" t="inlineStr">
        <is>
          <t>No Video ID yet</t>
        </is>
      </c>
      <c r="S712" s="49" t="n"/>
      <c r="T712" s="49" t="n"/>
      <c r="U712" s="47" t="n"/>
      <c r="V712" s="47">
        <f>IF(AND(P712&gt;=Calendar!$K$2,P712&lt;EDATE(Calendar!$K$2,1),OR(Calendar!$K$4="*",N712=Calendar!$K$4)),P712*100+COUNTIFS($P$6:$P$3267,P712,$Q$6:$Q$3267,"&lt;="&amp;Q712,$N$6:$N$3267,Calendar!$K$4),"")</f>
        <v/>
      </c>
      <c r="W712" s="47">
        <f>IF(AND(B712=Queue!$C$4,OR(Queue!$K$4="*",N712=Queue!$K$4)),Q712,"")</f>
        <v/>
      </c>
    </row>
    <row r="713">
      <c r="A713" s="38">
        <f>IF(M713="","",HYPERLINK("https://www.youtube.com/watch?v="&amp;M713,"▶"))</f>
        <v/>
      </c>
      <c r="B713" s="39">
        <f>IF(C713&lt;&gt;"",C713,IF(P713&lt;=IFERROR(INDEX(tblChannels[Watched Through],MATCH(N713,tblChannels[Channel ID],0)),0),"Watched","Unwatched"))</f>
        <v/>
      </c>
      <c r="C713" s="40" t="n"/>
      <c r="D713" s="41" t="n"/>
      <c r="E713" s="42" t="n">
        <v>45340.41666666666</v>
      </c>
      <c r="F713" s="51" t="inlineStr">
        <is>
          <t>Through The Griffin Door</t>
        </is>
      </c>
      <c r="G713" t="inlineStr">
        <is>
          <t>Chapter 5: The Whomping Willow | Chamber of Secrets</t>
        </is>
      </c>
      <c r="H713" s="44" t="n">
        <v>0.03887731481481482</v>
      </c>
      <c r="I713" s="45" t="n">
        <v>72447</v>
      </c>
      <c r="J713" s="45" t="n">
        <v>2149</v>
      </c>
      <c r="K713" s="45" t="n">
        <v>409</v>
      </c>
      <c r="L713" s="46" t="n"/>
      <c r="M713" s="47" t="n"/>
      <c r="N713" s="47" t="inlineStr">
        <is>
          <t>UCEscP6ETYXWSSvsNrDHekMQ</t>
        </is>
      </c>
      <c r="O713" s="48" t="n">
        <v>45340.625</v>
      </c>
      <c r="P713" s="49" t="n">
        <v>45340</v>
      </c>
      <c r="Q713" s="47" t="n">
        <v>2555</v>
      </c>
      <c r="R713" s="47" t="inlineStr">
        <is>
          <t>No Video ID yet</t>
        </is>
      </c>
      <c r="S713" s="49" t="n"/>
      <c r="T713" s="49" t="n"/>
      <c r="U713" s="47" t="inlineStr">
        <is>
          <t>Join J and Ben as they dive into Chapter 5 of the Chamber of Secrets and discuss the serendipitous Checkov’s guns, wand woods, the last night at the Weasleys, chaos of leaving the Burrow, Arthur’s impact on the twins, taking the car, magical object sentience, and why Dumbledore is actually upset. Home Alone - 09:29 - Chapter Breakdown 53:34 - Closing Thoughts and Review</t>
        </is>
      </c>
      <c r="V713" s="47">
        <f>IF(AND(P713&gt;=Calendar!$K$2,P713&lt;EDATE(Calendar!$K$2,1),OR(Calendar!$K$4="*",N713=Calendar!$K$4)),P713*100+COUNTIFS($P$6:$P$3267,P713,$Q$6:$Q$3267,"&lt;="&amp;Q713,$N$6:$N$3267,Calendar!$K$4),"")</f>
        <v/>
      </c>
      <c r="W713" s="47">
        <f>IF(AND(B713=Queue!$C$4,OR(Queue!$K$4="*",N713=Queue!$K$4)),Q713,"")</f>
        <v/>
      </c>
    </row>
    <row r="714">
      <c r="A714" s="38">
        <f>IF(M714="","",HYPERLINK("https://www.youtube.com/watch?v="&amp;M714,"▶"))</f>
        <v/>
      </c>
      <c r="B714" s="39">
        <f>IF(C714&lt;&gt;"",C714,IF(P714&lt;=IFERROR(INDEX(tblChannels[Watched Through],MATCH(N714,tblChannels[Channel ID],0)),0),"Watched","Unwatched"))</f>
        <v/>
      </c>
      <c r="C714" s="40" t="n"/>
      <c r="D714" s="41" t="n"/>
      <c r="E714" s="42" t="n">
        <v>45338.74375</v>
      </c>
      <c r="F714" s="50" t="inlineStr">
        <is>
          <t>Super Carlin Brothers</t>
        </is>
      </c>
      <c r="G714" t="inlineStr">
        <is>
          <t>What If James Kept The Invisibility Cloak - Part 4 | Harry Potter Film Theory</t>
        </is>
      </c>
      <c r="H714" s="44" t="n">
        <v>0.01686342592592593</v>
      </c>
      <c r="I714" s="45" t="n">
        <v>132290</v>
      </c>
      <c r="J714" s="45" t="n">
        <v>5845</v>
      </c>
      <c r="K714" s="45" t="n">
        <v>574</v>
      </c>
      <c r="L714" s="46" t="n"/>
      <c r="M714" s="47" t="n"/>
      <c r="N714" s="47" t="inlineStr">
        <is>
          <t>UCKZo4N0lVPccBkSiuyVh4yg</t>
        </is>
      </c>
      <c r="O714" s="48" t="n">
        <v>45338.95208333333</v>
      </c>
      <c r="P714" s="49" t="n">
        <v>45338</v>
      </c>
      <c r="Q714" s="47" t="n">
        <v>2554</v>
      </c>
      <c r="R714" s="47" t="inlineStr">
        <is>
          <t>No Video ID yet</t>
        </is>
      </c>
      <c r="S714" s="49" t="n"/>
      <c r="T714" s="49" t="n"/>
      <c r="U714" s="47" t="inlineStr">
        <is>
          <t>Go to for 20% off your first order plus free shipping. Check out our PRETTY OBVIOUS Wizarding Candle subscription available now HERE: #supercarlinbrothers #harrypotter</t>
        </is>
      </c>
      <c r="V714" s="47">
        <f>IF(AND(P714&gt;=Calendar!$K$2,P714&lt;EDATE(Calendar!$K$2,1),OR(Calendar!$K$4="*",N714=Calendar!$K$4)),P714*100+COUNTIFS($P$6:$P$3267,P714,$Q$6:$Q$3267,"&lt;="&amp;Q714,$N$6:$N$3267,Calendar!$K$4),"")</f>
        <v/>
      </c>
      <c r="W714" s="47">
        <f>IF(AND(B714=Queue!$C$4,OR(Queue!$K$4="*",N714=Queue!$K$4)),Q714,"")</f>
        <v/>
      </c>
    </row>
    <row r="715">
      <c r="A715" s="38">
        <f>IF(M715="","",HYPERLINK("https://www.youtube.com/watch?v="&amp;M715,"▶"))</f>
        <v/>
      </c>
      <c r="B715" s="39">
        <f>IF(C715&lt;&gt;"",C715,IF(P715&lt;=IFERROR(INDEX(tblChannels[Watched Through],MATCH(N715,tblChannels[Channel ID],0)),0),"Watched","Unwatched"))</f>
        <v/>
      </c>
      <c r="C715" s="40" t="n"/>
      <c r="D715" s="41" t="n"/>
      <c r="E715" s="42" t="n">
        <v>45338.41666666666</v>
      </c>
      <c r="F715" s="43" t="inlineStr">
        <is>
          <t>Popcorn Culture</t>
        </is>
      </c>
      <c r="G715" t="inlineStr">
        <is>
          <t>Raisins Are an Abomination | Popcorn Culture</t>
        </is>
      </c>
      <c r="H715" s="44" t="n">
        <v>0.04641203703703704</v>
      </c>
      <c r="I715" s="45" t="n">
        <v>4515</v>
      </c>
      <c r="J715" s="45" t="n">
        <v>235</v>
      </c>
      <c r="K715" s="45" t="n">
        <v>53</v>
      </c>
      <c r="L715" s="46" t="n"/>
      <c r="M715" s="47" t="n"/>
      <c r="N715" s="47" t="inlineStr">
        <is>
          <t>UCHfIbq9thHPC8yrKjAdJgDA</t>
        </is>
      </c>
      <c r="O715" s="48" t="n">
        <v>45338.625</v>
      </c>
      <c r="P715" s="49" t="n">
        <v>45338</v>
      </c>
      <c r="Q715" s="47" t="n">
        <v>2553</v>
      </c>
      <c r="R715" s="47" t="inlineStr">
        <is>
          <t>No Video ID yet</t>
        </is>
      </c>
      <c r="S715" s="49" t="n"/>
      <c r="T715" s="49" t="n"/>
      <c r="U715" s="47" t="inlineStr">
        <is>
          <t>In the 219th episode of the Pop, Ben and J discuss their various “ready” phrases, their ski trip with Tyler, scheduling fun, rug on carpet, murphy beds, packing for a dudes trip vs. family trip, onion pizza, cereal and smoothies and have a heated debate about raisins. Show Notes Spongebob Theme Song - Oceans 11- Schitt’s Creek - Danger Dolan - Arrested Development - Lost - Community - The Eternals - Rollin’ Rollin’ Danger Dolan The Thing from the Thing Ankle Roll Zone Culch Free Dander Lands on Top Briefcase Smoothie OR The Smoothie Revolution 00:00 - Intro, Getting Started 07:29 - Ski Trip 22:03 - Chores vs. Fun 36:31 - Dude Trip Packing</t>
        </is>
      </c>
      <c r="V715" s="47">
        <f>IF(AND(P715&gt;=Calendar!$K$2,P715&lt;EDATE(Calendar!$K$2,1),OR(Calendar!$K$4="*",N715=Calendar!$K$4)),P715*100+COUNTIFS($P$6:$P$3267,P715,$Q$6:$Q$3267,"&lt;="&amp;Q715,$N$6:$N$3267,Calendar!$K$4),"")</f>
        <v/>
      </c>
      <c r="W715" s="47">
        <f>IF(AND(B715=Queue!$C$4,OR(Queue!$K$4="*",N715=Queue!$K$4)),Q715,"")</f>
        <v/>
      </c>
    </row>
    <row r="716">
      <c r="A716" s="38">
        <f>IF(M716="","",HYPERLINK("https://www.youtube.com/watch?v="&amp;M716,"▶"))</f>
        <v/>
      </c>
      <c r="B716" s="39">
        <f>IF(C716&lt;&gt;"",C716,IF(P716&lt;=IFERROR(INDEX(tblChannels[Watched Through],MATCH(N716,tblChannels[Channel ID],0)),0),"Watched","Unwatched"))</f>
        <v/>
      </c>
      <c r="C716" s="40" t="n"/>
      <c r="D716" s="41" t="n"/>
      <c r="E716" s="42" t="n">
        <v>45337.67361111111</v>
      </c>
      <c r="F716" s="43" t="inlineStr">
        <is>
          <t>Popcorn Culture</t>
        </is>
      </c>
      <c r="G716" t="inlineStr">
        <is>
          <t>The Great Raisin Debate | Popcorn Culture</t>
        </is>
      </c>
      <c r="H716" s="44" t="n">
        <v>0.001886574074074074</v>
      </c>
      <c r="I716" s="45" t="n">
        <v>2700</v>
      </c>
      <c r="J716" s="45" t="n">
        <v>355</v>
      </c>
      <c r="K716" s="45" t="n">
        <v>101</v>
      </c>
      <c r="L716" s="46" t="n"/>
      <c r="M716" s="47" t="n"/>
      <c r="N716" s="47" t="inlineStr">
        <is>
          <t>UCHfIbq9thHPC8yrKjAdJgDA</t>
        </is>
      </c>
      <c r="O716" s="48" t="n">
        <v>45337.88194444445</v>
      </c>
      <c r="P716" s="49" t="n">
        <v>45337</v>
      </c>
      <c r="Q716" s="47" t="n">
        <v>2552</v>
      </c>
      <c r="R716" s="47" t="inlineStr">
        <is>
          <t>No Video ID yet</t>
        </is>
      </c>
      <c r="S716" s="49" t="n"/>
      <c r="T716" s="49" t="n"/>
      <c r="U716" s="47" t="inlineStr">
        <is>
          <t>Here's a little teaser for tomorrow's episode! Tune in on 2/16 at 10:00am for the premiere! Animated by: Isybelle Christley</t>
        </is>
      </c>
      <c r="V716" s="47">
        <f>IF(AND(P716&gt;=Calendar!$K$2,P716&lt;EDATE(Calendar!$K$2,1),OR(Calendar!$K$4="*",N716=Calendar!$K$4)),P716*100+COUNTIFS($P$6:$P$3267,P716,$Q$6:$Q$3267,"&lt;="&amp;Q716,$N$6:$N$3267,Calendar!$K$4),"")</f>
        <v/>
      </c>
      <c r="W716" s="47">
        <f>IF(AND(B716=Queue!$C$4,OR(Queue!$K$4="*",N716=Queue!$K$4)),Q716,"")</f>
        <v/>
      </c>
    </row>
    <row r="717">
      <c r="A717" s="38">
        <f>IF(M717="","",HYPERLINK("https://www.youtube.com/watch?v="&amp;M717,"▶"))</f>
        <v/>
      </c>
      <c r="B717" s="39">
        <f>IF(C717&lt;&gt;"",C717,IF(P717&lt;=IFERROR(INDEX(tblChannels[Watched Through],MATCH(N717,tblChannels[Channel ID],0)),0),"Watched","Unwatched"))</f>
        <v/>
      </c>
      <c r="C717" s="40" t="n"/>
      <c r="D717" s="41" t="n"/>
      <c r="E717" s="42" t="n">
        <v>45336.69166666667</v>
      </c>
      <c r="F717" s="50" t="inlineStr">
        <is>
          <t>Super Carlin Brothers</t>
        </is>
      </c>
      <c r="G717" t="inlineStr">
        <is>
          <t>J vs Ben: SMARTEST Ravenclaw House Harry Potter TRIVIA Quiz</t>
        </is>
      </c>
      <c r="H717" s="44" t="n">
        <v>0.02287037037037037</v>
      </c>
      <c r="I717" s="45" t="n">
        <v>135394</v>
      </c>
      <c r="J717" s="45" t="n">
        <v>5437</v>
      </c>
      <c r="K717" s="45" t="n">
        <v>933</v>
      </c>
      <c r="L717" s="46" t="n"/>
      <c r="M717" s="47" t="n"/>
      <c r="N717" s="47" t="inlineStr">
        <is>
          <t>UCKZo4N0lVPccBkSiuyVh4yg</t>
        </is>
      </c>
      <c r="O717" s="48" t="n">
        <v>45336.9</v>
      </c>
      <c r="P717" s="49" t="n">
        <v>45336</v>
      </c>
      <c r="Q717" s="47" t="n">
        <v>2551</v>
      </c>
      <c r="R717" s="47" t="inlineStr">
        <is>
          <t>No Video ID yet</t>
        </is>
      </c>
      <c r="S717" s="49" t="n"/>
      <c r="T717" s="49" t="n"/>
      <c r="U717" s="47" t="inlineStr">
        <is>
          <t>Go to to cancel your unwanted subscriptions with Rocket Money Go to and use code super50 to get 50% off. Today J and Ben face off once more to find out who knows the most about the Wizarding World of Harry Potter and Ravneclaw House! How do you enter the common room? What is Cho’s patronus? Where is Rowena Ravenclaw from!? Play Along With Us :: Check out our PRETTY OBVIOUS Wizarding Candle subscription available now HERE: #supercarlinbrothers #harrypotter #jvsben</t>
        </is>
      </c>
      <c r="V717" s="47">
        <f>IF(AND(P717&gt;=Calendar!$K$2,P717&lt;EDATE(Calendar!$K$2,1),OR(Calendar!$K$4="*",N717=Calendar!$K$4)),P717*100+COUNTIFS($P$6:$P$3267,P717,$Q$6:$Q$3267,"&lt;="&amp;Q717,$N$6:$N$3267,Calendar!$K$4),"")</f>
        <v/>
      </c>
      <c r="W717" s="47">
        <f>IF(AND(B717=Queue!$C$4,OR(Queue!$K$4="*",N717=Queue!$K$4)),Q717,"")</f>
        <v/>
      </c>
    </row>
    <row r="718">
      <c r="A718" s="38">
        <f>IF(M718="","",HYPERLINK("https://www.youtube.com/watch?v="&amp;M718,"▶"))</f>
        <v/>
      </c>
      <c r="B718" s="39">
        <f>IF(C718&lt;&gt;"",C718,IF(P718&lt;=IFERROR(INDEX(tblChannels[Watched Through],MATCH(N718,tblChannels[Channel ID],0)),0),"Watched","Unwatched"))</f>
        <v/>
      </c>
      <c r="C718" s="40" t="n"/>
      <c r="D718" s="41" t="n"/>
      <c r="E718" s="42" t="n">
        <v>45334.64652777778</v>
      </c>
      <c r="F718" s="51" t="inlineStr">
        <is>
          <t>Through The Griffin Door</t>
        </is>
      </c>
      <c r="G718" t="inlineStr">
        <is>
          <t>Chapter 4: At Flourish and Blotts | Chamber of Secrets</t>
        </is>
      </c>
      <c r="H718" s="44" t="n">
        <v>0.06943287037037037</v>
      </c>
      <c r="I718" s="45" t="n">
        <v>106042</v>
      </c>
      <c r="J718" s="45" t="n">
        <v>2578</v>
      </c>
      <c r="K718" s="45" t="n">
        <v>671</v>
      </c>
      <c r="L718" s="46" t="n"/>
      <c r="M718" s="47" t="n"/>
      <c r="N718" s="47" t="inlineStr">
        <is>
          <t>UCEscP6ETYXWSSvsNrDHekMQ</t>
        </is>
      </c>
      <c r="O718" s="48" t="n">
        <v>45334.85486111111</v>
      </c>
      <c r="P718" s="49" t="n">
        <v>45334</v>
      </c>
      <c r="Q718" s="47" t="n">
        <v>2550</v>
      </c>
      <c r="R718" s="47" t="inlineStr">
        <is>
          <t>No Video ID yet</t>
        </is>
      </c>
      <c r="S718" s="49" t="n"/>
      <c r="T718" s="49" t="n"/>
      <c r="U718" s="47" t="inlineStr">
        <is>
          <t>Join J and Ben as they dive into Chapter 4 of the Chamber of Secrets and discuss cleanliness, ghouls, electricity, Lockhart’s book list scam, bad brooms, Percy’s OWLs, Floo Powder, wizard economy, Borgin and Burkes Easter eggs, Lucius’s scheming, PB&amp;J, and all the interactions in the bookstore. Tiberian Sun - Goku - Percy Weasley Had A Time Turner - Floo Powder’s SECRET Ingredient - Seamus Gorman - Why Lucius Malfoy Is The Worst Death Eater Ever - 02:50 - Chapter Breakdown 1:31:17 - Closing Thoughts and Review</t>
        </is>
      </c>
      <c r="V718" s="47">
        <f>IF(AND(P718&gt;=Calendar!$K$2,P718&lt;EDATE(Calendar!$K$2,1),OR(Calendar!$K$4="*",N718=Calendar!$K$4)),P718*100+COUNTIFS($P$6:$P$3267,P718,$Q$6:$Q$3267,"&lt;="&amp;Q718,$N$6:$N$3267,Calendar!$K$4),"")</f>
        <v/>
      </c>
      <c r="W718" s="47">
        <f>IF(AND(B718=Queue!$C$4,OR(Queue!$K$4="*",N718=Queue!$K$4)),Q718,"")</f>
        <v/>
      </c>
    </row>
    <row r="719">
      <c r="A719" s="38">
        <f>IF(M719="","",HYPERLINK("https://www.youtube.com/watch?v="&amp;M719,"▶"))</f>
        <v/>
      </c>
      <c r="B719" s="39">
        <f>IF(C719&lt;&gt;"",C719,IF(P719&lt;=IFERROR(INDEX(tblChannels[Watched Through],MATCH(N719,tblChannels[Channel ID],0)),0),"Watched","Unwatched"))</f>
        <v/>
      </c>
      <c r="C719" s="40" t="n"/>
      <c r="D719" s="41" t="n"/>
      <c r="E719" s="42" t="n">
        <v>45332.41666666666</v>
      </c>
      <c r="F719" s="50" t="inlineStr">
        <is>
          <t>Super Carlin Brothers</t>
        </is>
      </c>
      <c r="G719" t="inlineStr">
        <is>
          <t>Through the Griffin Door Supercut: Chamber of Secrets Chapters 1-3</t>
        </is>
      </c>
      <c r="H719" s="44" t="n">
        <v>0.1429166666666667</v>
      </c>
      <c r="I719" s="45" t="n">
        <v>121474</v>
      </c>
      <c r="J719" s="45" t="n">
        <v>1158</v>
      </c>
      <c r="K719" s="45" t="n">
        <v>261</v>
      </c>
      <c r="L719" s="46" t="n"/>
      <c r="M719" s="47" t="n"/>
      <c r="N719" s="47" t="inlineStr">
        <is>
          <t>UCKZo4N0lVPccBkSiuyVh4yg</t>
        </is>
      </c>
      <c r="O719" s="48" t="n">
        <v>45332.625</v>
      </c>
      <c r="P719" s="49" t="n">
        <v>45332</v>
      </c>
      <c r="Q719" s="47" t="n">
        <v>2549</v>
      </c>
      <c r="R719" s="47" t="inlineStr">
        <is>
          <t>No Video ID yet</t>
        </is>
      </c>
      <c r="S719" s="49" t="n"/>
      <c r="T719" s="49" t="n"/>
      <c r="U719" s="47" t="inlineStr">
        <is>
          <t>Join J and Ben as they embark on their newest endeavor: rereading the Harry Potter series in this chapter by chapter recap podcast! We hope you enjoy all the Harry Potter goodness that this podcast will bring. Come along as we go Through the Griffin Door. 00:00:00 Introduction 00:13:33 Chapter 1: The Worst Birthday 01:11:10: Chapter 2: Dobby's Warning 02:10:32: Dumbledore's Big Plan Explained</t>
        </is>
      </c>
      <c r="V719" s="47">
        <f>IF(AND(P719&gt;=Calendar!$K$2,P719&lt;EDATE(Calendar!$K$2,1),OR(Calendar!$K$4="*",N719=Calendar!$K$4)),P719*100+COUNTIFS($P$6:$P$3267,P719,$Q$6:$Q$3267,"&lt;="&amp;Q719,$N$6:$N$3267,Calendar!$K$4),"")</f>
        <v/>
      </c>
      <c r="W719" s="47">
        <f>IF(AND(B719=Queue!$C$4,OR(Queue!$K$4="*",N719=Queue!$K$4)),Q719,"")</f>
        <v/>
      </c>
    </row>
    <row r="720">
      <c r="A720" s="38">
        <f>IF(M720="","",HYPERLINK("https://www.youtube.com/watch?v="&amp;M720,"▶"))</f>
        <v/>
      </c>
      <c r="B720" s="39">
        <f>IF(C720&lt;&gt;"",C720,IF(P720&lt;=IFERROR(INDEX(tblChannels[Watched Through],MATCH(N720,tblChannels[Channel ID],0)),0),"Watched","Unwatched"))</f>
        <v/>
      </c>
      <c r="C720" s="40" t="n"/>
      <c r="D720" s="41" t="n"/>
      <c r="E720" s="42" t="n">
        <v>45331.69930555556</v>
      </c>
      <c r="F720" s="50" t="inlineStr">
        <is>
          <t>Super Carlin Brothers</t>
        </is>
      </c>
      <c r="G720" t="inlineStr">
        <is>
          <t>What If James Kept The Invisibility Cloak - PART 3 | Harry Potter Film Theory</t>
        </is>
      </c>
      <c r="H720" s="44" t="n">
        <v>0.02053240740740741</v>
      </c>
      <c r="I720" s="45" t="n">
        <v>165968</v>
      </c>
      <c r="J720" s="45" t="n">
        <v>6371</v>
      </c>
      <c r="K720" s="45" t="n">
        <v>552</v>
      </c>
      <c r="L720" s="46" t="n"/>
      <c r="M720" s="47" t="n"/>
      <c r="N720" s="47" t="inlineStr">
        <is>
          <t>UCKZo4N0lVPccBkSiuyVh4yg</t>
        </is>
      </c>
      <c r="O720" s="48" t="n">
        <v>45331.90763888889</v>
      </c>
      <c r="P720" s="49" t="n">
        <v>45331</v>
      </c>
      <c r="Q720" s="47" t="n">
        <v>2548</v>
      </c>
      <c r="R720" s="47" t="inlineStr">
        <is>
          <t>No Video ID yet</t>
        </is>
      </c>
      <c r="S720" s="49" t="n"/>
      <c r="T720" s="49" t="n"/>
      <c r="U720" s="47" t="inlineStr">
        <is>
          <t>This show is sponsored by BetterHelp - go to to get 10% off your first month. Today J dives back into the Wizarding World of Harry Potter to continue answering the question: What If James Kept The Invisibility Cloak? Does Voldemort still seek the prophecy? Is the ministry still against Harry? Is UMBRIDGE STILL AROUND? Check out our PRETTY OBVIOUS Wizarding Candle subscription available now HERE: #supercarlinbrothers #harrypotter</t>
        </is>
      </c>
      <c r="V720" s="47">
        <f>IF(AND(P720&gt;=Calendar!$K$2,P720&lt;EDATE(Calendar!$K$2,1),OR(Calendar!$K$4="*",N720=Calendar!$K$4)),P720*100+COUNTIFS($P$6:$P$3267,P720,$Q$6:$Q$3267,"&lt;="&amp;Q720,$N$6:$N$3267,Calendar!$K$4),"")</f>
        <v/>
      </c>
      <c r="W720" s="47">
        <f>IF(AND(B720=Queue!$C$4,OR(Queue!$K$4="*",N720=Queue!$K$4)),Q720,"")</f>
        <v/>
      </c>
    </row>
    <row r="721">
      <c r="A721" s="38">
        <f>IF(M721="","",HYPERLINK("https://www.youtube.com/watch?v="&amp;M721,"▶"))</f>
        <v/>
      </c>
      <c r="B721" s="39">
        <f>IF(C721&lt;&gt;"",C721,IF(P721&lt;=IFERROR(INDEX(tblChannels[Watched Through],MATCH(N721,tblChannels[Channel ID],0)),0),"Watched","Unwatched"))</f>
        <v/>
      </c>
      <c r="C721" s="40" t="n"/>
      <c r="D721" s="41" t="n"/>
      <c r="E721" s="42" t="n">
        <v>45331.41666666666</v>
      </c>
      <c r="F721" s="43" t="inlineStr">
        <is>
          <t>Popcorn Culture</t>
        </is>
      </c>
      <c r="G721" t="inlineStr">
        <is>
          <t>Voice Cracks and Phone Farts | Popcorn Culture</t>
        </is>
      </c>
      <c r="H721" s="44" t="n">
        <v>0.0549074074074074</v>
      </c>
      <c r="I721" s="45" t="n">
        <v>4838</v>
      </c>
      <c r="J721" s="45" t="n">
        <v>218</v>
      </c>
      <c r="K721" s="45" t="n">
        <v>20</v>
      </c>
      <c r="L721" s="46" t="n"/>
      <c r="M721" s="47" t="n"/>
      <c r="N721" s="47" t="inlineStr">
        <is>
          <t>UCHfIbq9thHPC8yrKjAdJgDA</t>
        </is>
      </c>
      <c r="O721" s="48" t="n">
        <v>45331.625</v>
      </c>
      <c r="P721" s="49" t="n">
        <v>45331</v>
      </c>
      <c r="Q721" s="47" t="n">
        <v>2547</v>
      </c>
      <c r="R721" s="47" t="inlineStr">
        <is>
          <t>No Video ID yet</t>
        </is>
      </c>
      <c r="S721" s="49" t="n"/>
      <c r="T721" s="49" t="n"/>
      <c r="U721" s="47" t="inlineStr">
        <is>
          <t>Ben and J discuss: J’s Birthday, adjustment periods, getting out of your comfort zone, little basketball, mountain biking, adventurous food, and classic embarrassing moments. Show Notes Yes Man - Embarrassing or No? Phone Fart 00:00 - Intro, Being 36 20:33 - Broadening Your Horizons 52:20 - Embarrassing Stuff</t>
        </is>
      </c>
      <c r="V721" s="47">
        <f>IF(AND(P721&gt;=Calendar!$K$2,P721&lt;EDATE(Calendar!$K$2,1),OR(Calendar!$K$4="*",N721=Calendar!$K$4)),P721*100+COUNTIFS($P$6:$P$3267,P721,$Q$6:$Q$3267,"&lt;="&amp;Q721,$N$6:$N$3267,Calendar!$K$4),"")</f>
        <v/>
      </c>
      <c r="W721" s="47">
        <f>IF(AND(B721=Queue!$C$4,OR(Queue!$K$4="*",N721=Queue!$K$4)),Q721,"")</f>
        <v/>
      </c>
    </row>
    <row r="722">
      <c r="A722" s="38">
        <f>IF(M722="","",HYPERLINK("https://www.youtube.com/watch?v="&amp;M722,"▶"))</f>
        <v/>
      </c>
      <c r="B722" s="39">
        <f>IF(C722&lt;&gt;"",C722,IF(P722&lt;=IFERROR(INDEX(tblChannels[Watched Through],MATCH(N722,tblChannels[Channel ID],0)),0),"Watched","Unwatched"))</f>
        <v/>
      </c>
      <c r="C722" s="40" t="n"/>
      <c r="D722" s="41" t="n"/>
      <c r="E722" s="42" t="n">
        <v>45329.67361111111</v>
      </c>
      <c r="F722" s="50" t="inlineStr">
        <is>
          <t>Super Carlin Brothers</t>
        </is>
      </c>
      <c r="G722" t="inlineStr">
        <is>
          <t>Every SECRET Bending Style Explained | Avatar The Last Airbender</t>
        </is>
      </c>
      <c r="H722" s="44" t="n">
        <v>0.01105324074074074</v>
      </c>
      <c r="I722" s="45" t="n">
        <v>189431</v>
      </c>
      <c r="J722" s="45" t="n">
        <v>8214</v>
      </c>
      <c r="K722" s="45" t="n">
        <v>1190</v>
      </c>
      <c r="L722" s="46" t="n"/>
      <c r="M722" s="47" t="n"/>
      <c r="N722" s="47" t="inlineStr">
        <is>
          <t>UCKZo4N0lVPccBkSiuyVh4yg</t>
        </is>
      </c>
      <c r="O722" s="48" t="n">
        <v>45329.88194444445</v>
      </c>
      <c r="P722" s="49" t="n">
        <v>45329</v>
      </c>
      <c r="Q722" s="47" t="n">
        <v>2546</v>
      </c>
      <c r="R722" s="47" t="inlineStr">
        <is>
          <t>No Video ID yet</t>
        </is>
      </c>
      <c r="S722" s="49" t="n"/>
      <c r="T722" s="49" t="n"/>
      <c r="U722" s="47" t="inlineStr">
        <is>
          <t>Today J dives off the back of a sky bison into the world of Avatar: The Last Airbender to explain how every secret sub-bending technique works for the 4 elements: Air, Water, Earth, Fire! Check out our PRETTY OBVIOUS Wizarding Candle subscription available now HERE: #supercarlinbrothers #atla #avatar</t>
        </is>
      </c>
      <c r="V722" s="47">
        <f>IF(AND(P722&gt;=Calendar!$K$2,P722&lt;EDATE(Calendar!$K$2,1),OR(Calendar!$K$4="*",N722=Calendar!$K$4)),P722*100+COUNTIFS($P$6:$P$3267,P722,$Q$6:$Q$3267,"&lt;="&amp;Q722,$N$6:$N$3267,Calendar!$K$4),"")</f>
        <v/>
      </c>
      <c r="W722" s="47">
        <f>IF(AND(B722=Queue!$C$4,OR(Queue!$K$4="*",N722=Queue!$K$4)),Q722,"")</f>
        <v/>
      </c>
    </row>
    <row r="723">
      <c r="A723" s="38">
        <f>IF(M723="","",HYPERLINK("https://www.youtube.com/watch?v="&amp;M723,"▶"))</f>
        <v/>
      </c>
      <c r="B723" s="39">
        <f>IF(C723&lt;&gt;"",C723,IF(P723&lt;=IFERROR(INDEX(tblChannels[Watched Through],MATCH(N723,tblChannels[Channel ID],0)),0),"Watched","Unwatched"))</f>
        <v/>
      </c>
      <c r="C723" s="40" t="n"/>
      <c r="D723" s="41" t="n"/>
      <c r="E723" s="42" t="n">
        <v>45329.48958333334</v>
      </c>
      <c r="F723" s="50" t="inlineStr">
        <is>
          <t>Super Carlin Brothers</t>
        </is>
      </c>
      <c r="G723" t="inlineStr">
        <is>
          <t>Why Does Harry Potter Come Back To Life? #harrypotter</t>
        </is>
      </c>
      <c r="H723" s="44" t="n">
        <v>0.0004282407407407408</v>
      </c>
      <c r="I723" s="45" t="n">
        <v>48729</v>
      </c>
      <c r="J723" s="45" t="n">
        <v>2574</v>
      </c>
      <c r="K723" s="45" t="n">
        <v>43</v>
      </c>
      <c r="L723" s="46" t="n"/>
      <c r="M723" s="47" t="n"/>
      <c r="N723" s="47" t="inlineStr">
        <is>
          <t>UCKZo4N0lVPccBkSiuyVh4yg</t>
        </is>
      </c>
      <c r="O723" s="48" t="n">
        <v>45329.69791666666</v>
      </c>
      <c r="P723" s="49" t="n">
        <v>45329</v>
      </c>
      <c r="Q723" s="47" t="n">
        <v>2545</v>
      </c>
      <c r="R723" s="47" t="inlineStr">
        <is>
          <t>No Video ID yet</t>
        </is>
      </c>
      <c r="S723" s="49" t="n"/>
      <c r="T723" s="49" t="n"/>
      <c r="U723" s="47" t="inlineStr">
        <is>
          <t>Join us as we dive into the Wizarding World of Harry Potter to find out: Why does Harry Potter come back to life after Voldemort kills him in the forest in Deathly Hallows? #supercarlinbrothers</t>
        </is>
      </c>
      <c r="V723" s="47">
        <f>IF(AND(P723&gt;=Calendar!$K$2,P723&lt;EDATE(Calendar!$K$2,1),OR(Calendar!$K$4="*",N723=Calendar!$K$4)),P723*100+COUNTIFS($P$6:$P$3267,P723,$Q$6:$Q$3267,"&lt;="&amp;Q723,$N$6:$N$3267,Calendar!$K$4),"")</f>
        <v/>
      </c>
      <c r="W723" s="47">
        <f>IF(AND(B723=Queue!$C$4,OR(Queue!$K$4="*",N723=Queue!$K$4)),Q723,"")</f>
        <v/>
      </c>
    </row>
    <row r="724">
      <c r="A724" s="38">
        <f>IF(M724="","",HYPERLINK("https://www.youtube.com/watch?v="&amp;M724,"▶"))</f>
        <v/>
      </c>
      <c r="B724" s="39">
        <f>IF(C724&lt;&gt;"",C724,IF(P724&lt;=IFERROR(INDEX(tblChannels[Watched Through],MATCH(N724,tblChannels[Channel ID],0)),0),"Watched","Unwatched"))</f>
        <v/>
      </c>
      <c r="C724" s="40" t="n"/>
      <c r="D724" s="41" t="n"/>
      <c r="E724" s="42" t="n">
        <v>45328.77083333334</v>
      </c>
      <c r="F724" s="52" t="inlineStr">
        <is>
          <t>Super Carlin Gaming</t>
        </is>
      </c>
      <c r="G724" t="inlineStr">
        <is>
          <t>PALDEAN FATES HAS ARRIVED | Carlin Brothers Box Breakers S9E1</t>
        </is>
      </c>
      <c r="H724" s="44" t="n">
        <v>0.03815972222222222</v>
      </c>
      <c r="I724" s="45" t="n">
        <v>1722</v>
      </c>
      <c r="J724" s="45" t="n">
        <v>104</v>
      </c>
      <c r="K724" s="45" t="n">
        <v>15</v>
      </c>
      <c r="L724" s="46" t="n"/>
      <c r="M724" s="47" t="n"/>
      <c r="N724" s="47" t="inlineStr">
        <is>
          <t>UCor_9jRnNNZVzTuQ92PKsaQ</t>
        </is>
      </c>
      <c r="O724" s="48" t="n">
        <v>45328.97916666666</v>
      </c>
      <c r="P724" s="49" t="n">
        <v>45328</v>
      </c>
      <c r="Q724" s="47" t="n">
        <v>2544</v>
      </c>
      <c r="R724" s="47" t="inlineStr">
        <is>
          <t>No Video ID yet</t>
        </is>
      </c>
      <c r="S724" s="49" t="n"/>
      <c r="T724" s="49" t="n"/>
      <c r="U724" s="47" t="inlineStr">
        <is>
          <t>This week we get our first unboxing of the BRAND NEW Paldean Fates set</t>
        </is>
      </c>
      <c r="V724" s="47">
        <f>IF(AND(P724&gt;=Calendar!$K$2,P724&lt;EDATE(Calendar!$K$2,1),OR(Calendar!$K$4="*",N724=Calendar!$K$4)),P724*100+COUNTIFS($P$6:$P$3267,P724,$Q$6:$Q$3267,"&lt;="&amp;Q724,$N$6:$N$3267,Calendar!$K$4),"")</f>
        <v/>
      </c>
      <c r="W724" s="47">
        <f>IF(AND(B724=Queue!$C$4,OR(Queue!$K$4="*",N724=Queue!$K$4)),Q724,"")</f>
        <v/>
      </c>
    </row>
    <row r="725">
      <c r="A725" s="38">
        <f>IF(M725="","",HYPERLINK("https://www.youtube.com/watch?v="&amp;M725,"▶"))</f>
        <v/>
      </c>
      <c r="B725" s="39">
        <f>IF(C725&lt;&gt;"",C725,IF(P725&lt;=IFERROR(INDEX(tblChannels[Watched Through],MATCH(N725,tblChannels[Channel ID],0)),0),"Watched","Unwatched"))</f>
        <v/>
      </c>
      <c r="C725" s="40" t="n"/>
      <c r="D725" s="41" t="n"/>
      <c r="E725" s="42" t="n">
        <v>45326.41666666666</v>
      </c>
      <c r="F725" s="51" t="inlineStr">
        <is>
          <t>Through The Griffin Door</t>
        </is>
      </c>
      <c r="G725" t="inlineStr">
        <is>
          <t>Chapter 3: The Burrow | Chamber of Secrets</t>
        </is>
      </c>
      <c r="H725" s="44" t="n">
        <v>0.05228009259259259</v>
      </c>
      <c r="I725" s="45" t="n">
        <v>91078</v>
      </c>
      <c r="J725" s="45" t="n">
        <v>2749</v>
      </c>
      <c r="K725" s="45" t="n">
        <v>848</v>
      </c>
      <c r="L725" s="46" t="n"/>
      <c r="M725" s="47" t="n"/>
      <c r="N725" s="47" t="inlineStr">
        <is>
          <t>UCEscP6ETYXWSSvsNrDHekMQ</t>
        </is>
      </c>
      <c r="O725" s="48" t="n">
        <v>45326.625</v>
      </c>
      <c r="P725" s="49" t="n">
        <v>45326</v>
      </c>
      <c r="Q725" s="47" t="n">
        <v>2543</v>
      </c>
      <c r="R725" s="47" t="inlineStr">
        <is>
          <t>No Video ID yet</t>
        </is>
      </c>
      <c r="S725" s="49" t="n"/>
      <c r="T725" s="49" t="n"/>
      <c r="U725" s="47" t="inlineStr">
        <is>
          <t>Join J and Ben as they dive into Chapter 3 of the Chamber of Secrets and discuss Harry’s letters from Ron’s perspective, more trace ridiculousness, bewitched muggle artifacts, warlocks vs. wizards, the raids, the shape of the Burrow, home names, Mrs. Weasley’s intro, Charmed Cheese, Lockhart’s first mention, degnoming, Arthur Weasley’s intro and Ron’s room. Was Percy Under The Imperius Curse? - Hocus Pocus - 07:23 - Chapter Breakdown 1:12:24 - Closing Thoughts and Review</t>
        </is>
      </c>
      <c r="V725" s="47">
        <f>IF(AND(P725&gt;=Calendar!$K$2,P725&lt;EDATE(Calendar!$K$2,1),OR(Calendar!$K$4="*",N725=Calendar!$K$4)),P725*100+COUNTIFS($P$6:$P$3267,P725,$Q$6:$Q$3267,"&lt;="&amp;Q725,$N$6:$N$3267,Calendar!$K$4),"")</f>
        <v/>
      </c>
      <c r="W725" s="47">
        <f>IF(AND(B725=Queue!$C$4,OR(Queue!$K$4="*",N725=Queue!$K$4)),Q725,"")</f>
        <v/>
      </c>
    </row>
    <row r="726">
      <c r="A726" s="38">
        <f>IF(M726="","",HYPERLINK("https://www.youtube.com/watch?v="&amp;M726,"▶"))</f>
        <v/>
      </c>
      <c r="B726" s="39">
        <f>IF(C726&lt;&gt;"",C726,IF(P726&lt;=IFERROR(INDEX(tblChannels[Watched Through],MATCH(N726,tblChannels[Channel ID],0)),0),"Watched","Unwatched"))</f>
        <v/>
      </c>
      <c r="C726" s="40" t="n"/>
      <c r="D726" s="41" t="n"/>
      <c r="E726" s="42" t="n">
        <v>45324.70208333333</v>
      </c>
      <c r="F726" s="50" t="inlineStr">
        <is>
          <t>Super Carlin Brothers</t>
        </is>
      </c>
      <c r="G726" t="inlineStr">
        <is>
          <t>Tangled Was All A DREAM | Rapunzel Disney Film Theory</t>
        </is>
      </c>
      <c r="H726" s="44" t="n">
        <v>0.01101851851851852</v>
      </c>
      <c r="I726" s="45" t="n">
        <v>89558</v>
      </c>
      <c r="J726" s="45" t="n">
        <v>5215</v>
      </c>
      <c r="K726" s="45" t="n">
        <v>368</v>
      </c>
      <c r="L726" s="46" t="n"/>
      <c r="M726" s="47" t="n"/>
      <c r="N726" s="47" t="inlineStr">
        <is>
          <t>UCKZo4N0lVPccBkSiuyVh4yg</t>
        </is>
      </c>
      <c r="O726" s="48" t="n">
        <v>45324.91041666667</v>
      </c>
      <c r="P726" s="49" t="n">
        <v>45324</v>
      </c>
      <c r="Q726" s="47" t="n">
        <v>2542</v>
      </c>
      <c r="R726" s="47" t="inlineStr">
        <is>
          <t>No Video ID yet</t>
        </is>
      </c>
      <c r="S726" s="49" t="n"/>
      <c r="T726" s="49" t="n"/>
      <c r="U726" s="47" t="inlineStr">
        <is>
          <t>Head on over to to sign up for a $1-per-month trial period. Today J dives into the Tangled world of Disney’s…. Tangled to uncover how almost the entire story is actually a DREAM from baby Rapunzel Check out our PRETTY OBVIOUS Wizarding Candle subscription available now HERE: #supercarlinbrothers #Tangled #Disney</t>
        </is>
      </c>
      <c r="V726" s="47">
        <f>IF(AND(P726&gt;=Calendar!$K$2,P726&lt;EDATE(Calendar!$K$2,1),OR(Calendar!$K$4="*",N726=Calendar!$K$4)),P726*100+COUNTIFS($P$6:$P$3267,P726,$Q$6:$Q$3267,"&lt;="&amp;Q726,$N$6:$N$3267,Calendar!$K$4),"")</f>
        <v/>
      </c>
      <c r="W726" s="47">
        <f>IF(AND(B726=Queue!$C$4,OR(Queue!$K$4="*",N726=Queue!$K$4)),Q726,"")</f>
        <v/>
      </c>
    </row>
    <row r="727">
      <c r="A727" s="38">
        <f>IF(M727="","",HYPERLINK("https://www.youtube.com/watch?v="&amp;M727,"▶"))</f>
        <v/>
      </c>
      <c r="B727" s="39">
        <f>IF(C727&lt;&gt;"",C727,IF(P727&lt;=IFERROR(INDEX(tblChannels[Watched Through],MATCH(N727,tblChannels[Channel ID],0)),0),"Watched","Unwatched"))</f>
        <v/>
      </c>
      <c r="C727" s="40" t="n"/>
      <c r="D727" s="41" t="n"/>
      <c r="E727" s="42" t="n">
        <v>45324.41666666666</v>
      </c>
      <c r="F727" s="43" t="inlineStr">
        <is>
          <t>Popcorn Culture</t>
        </is>
      </c>
      <c r="G727" t="inlineStr">
        <is>
          <t>OUR FIRST CRUISE! | Popcorn Culture</t>
        </is>
      </c>
      <c r="H727" s="44" t="n">
        <v>0.04806712962962963</v>
      </c>
      <c r="I727" s="45" t="n">
        <v>4649</v>
      </c>
      <c r="J727" s="45" t="n">
        <v>247</v>
      </c>
      <c r="K727" s="45" t="n">
        <v>21</v>
      </c>
      <c r="L727" s="46" t="n"/>
      <c r="M727" s="47" t="n"/>
      <c r="N727" s="47" t="inlineStr">
        <is>
          <t>UCHfIbq9thHPC8yrKjAdJgDA</t>
        </is>
      </c>
      <c r="O727" s="48" t="n">
        <v>45324.625</v>
      </c>
      <c r="P727" s="49" t="n">
        <v>45324</v>
      </c>
      <c r="Q727" s="47" t="n">
        <v>2541</v>
      </c>
      <c r="R727" s="47" t="inlineStr">
        <is>
          <t>No Video ID yet</t>
        </is>
      </c>
      <c r="S727" s="49" t="n"/>
      <c r="T727" s="49" t="n"/>
      <c r="U727" s="47" t="inlineStr">
        <is>
          <t>In the 217th episode of the Pop, Ben and J discuss their first cruise, character interactions, Carlin family pin mania, special popcorn, and lost luggage. Pin Mania 00:00 - Intro, Recap of First Cruise 22:38 - Pin Mania and Lost Luggage</t>
        </is>
      </c>
      <c r="V727" s="47">
        <f>IF(AND(P727&gt;=Calendar!$K$2,P727&lt;EDATE(Calendar!$K$2,1),OR(Calendar!$K$4="*",N727=Calendar!$K$4)),P727*100+COUNTIFS($P$6:$P$3267,P727,$Q$6:$Q$3267,"&lt;="&amp;Q727,$N$6:$N$3267,Calendar!$K$4),"")</f>
        <v/>
      </c>
      <c r="W727" s="47">
        <f>IF(AND(B727=Queue!$C$4,OR(Queue!$K$4="*",N727=Queue!$K$4)),Q727,"")</f>
        <v/>
      </c>
    </row>
    <row r="728">
      <c r="A728" s="38">
        <f>IF(M728="","",HYPERLINK("https://www.youtube.com/watch?v="&amp;M728,"▶"))</f>
        <v/>
      </c>
      <c r="B728" s="39">
        <f>IF(C728&lt;&gt;"",C728,IF(P728&lt;=IFERROR(INDEX(tblChannels[Watched Through],MATCH(N728,tblChannels[Channel ID],0)),0),"Watched","Unwatched"))</f>
        <v/>
      </c>
      <c r="C728" s="40" t="n"/>
      <c r="D728" s="41" t="n"/>
      <c r="E728" s="42" t="n">
        <v>45322.74305555555</v>
      </c>
      <c r="F728" s="50" t="inlineStr">
        <is>
          <t>Super Carlin Brothers</t>
        </is>
      </c>
      <c r="G728" t="inlineStr">
        <is>
          <t>J vs Ben: FLUFFIEST Hufflepuff House Harry Potter TRIVIA Quiz</t>
        </is>
      </c>
      <c r="H728" s="44" t="n">
        <v>0.02765046296296296</v>
      </c>
      <c r="I728" s="45" t="n">
        <v>183679</v>
      </c>
      <c r="J728" s="45" t="n">
        <v>6179</v>
      </c>
      <c r="K728" s="45" t="n">
        <v>843</v>
      </c>
      <c r="L728" s="46" t="n"/>
      <c r="M728" s="47" t="n"/>
      <c r="N728" s="47" t="inlineStr">
        <is>
          <t>UCKZo4N0lVPccBkSiuyVh4yg</t>
        </is>
      </c>
      <c r="O728" s="48" t="n">
        <v>45322.95138888889</v>
      </c>
      <c r="P728" s="49" t="n">
        <v>45322</v>
      </c>
      <c r="Q728" s="47" t="n">
        <v>2540</v>
      </c>
      <c r="R728" s="47" t="inlineStr">
        <is>
          <t>No Video ID yet</t>
        </is>
      </c>
      <c r="S728" s="49" t="n"/>
      <c r="T728" s="49" t="n"/>
      <c r="U728" s="47" t="inlineStr">
        <is>
          <t>Go to for 20% off your first order plus free shipping. Check out our PRETTY OBVIOUS Wizarding Candle subscription available now HERE: Today J and Ben continue the 2024 J vs Ben season with the FLUFFIEST Hufflepuff House Quiz! Which Hufflepuffs show up to Dumbledore’s Army? How many times do they win the House cup? WHERE IS HELGA FROM?! Check out our PRETTY OBVIOUS Wizarding Candle subscription available now HERE:</t>
        </is>
      </c>
      <c r="V728" s="47">
        <f>IF(AND(P728&gt;=Calendar!$K$2,P728&lt;EDATE(Calendar!$K$2,1),OR(Calendar!$K$4="*",N728=Calendar!$K$4)),P728*100+COUNTIFS($P$6:$P$3267,P728,$Q$6:$Q$3267,"&lt;="&amp;Q728,$N$6:$N$3267,Calendar!$K$4),"")</f>
        <v/>
      </c>
      <c r="W728" s="47">
        <f>IF(AND(B728=Queue!$C$4,OR(Queue!$K$4="*",N728=Queue!$K$4)),Q728,"")</f>
        <v/>
      </c>
    </row>
    <row r="729">
      <c r="A729" s="38">
        <f>IF(M729="","",HYPERLINK("https://www.youtube.com/watch?v="&amp;M729,"▶"))</f>
        <v/>
      </c>
      <c r="B729" s="39">
        <f>IF(C729&lt;&gt;"",C729,IF(P729&lt;=IFERROR(INDEX(tblChannels[Watched Through],MATCH(N729,tblChannels[Channel ID],0)),0),"Watched","Unwatched"))</f>
        <v/>
      </c>
      <c r="C729" s="40" t="n"/>
      <c r="D729" s="41" t="n"/>
      <c r="E729" s="42" t="n">
        <v>45322.43958333333</v>
      </c>
      <c r="F729" s="50" t="inlineStr">
        <is>
          <t>Super Carlin Brothers</t>
        </is>
      </c>
      <c r="G729" t="inlineStr">
        <is>
          <t>Why Harry Potter Makes Me So Happy #shorts  #harrypotter</t>
        </is>
      </c>
      <c r="H729" s="44" t="n">
        <v>0.0007060185185185185</v>
      </c>
      <c r="I729" s="45" t="n">
        <v>53225</v>
      </c>
      <c r="J729" s="45" t="n">
        <v>3758</v>
      </c>
      <c r="K729" s="45" t="n">
        <v>104</v>
      </c>
      <c r="L729" s="46" t="n"/>
      <c r="M729" s="47" t="n"/>
      <c r="N729" s="47" t="inlineStr">
        <is>
          <t>UCKZo4N0lVPccBkSiuyVh4yg</t>
        </is>
      </c>
      <c r="O729" s="48" t="n">
        <v>45322.64791666667</v>
      </c>
      <c r="P729" s="49" t="n">
        <v>45322</v>
      </c>
      <c r="Q729" s="47" t="n">
        <v>2539</v>
      </c>
      <c r="R729" s="47" t="inlineStr">
        <is>
          <t>No Video ID yet</t>
        </is>
      </c>
      <c r="S729" s="49" t="n"/>
      <c r="T729" s="49" t="n"/>
      <c r="U729" s="47" t="inlineStr">
        <is>
          <t>Why does Harry Potter make me so Happy? Well, it's a long story.. #shorts #harrypotter #supercarlinbrothers</t>
        </is>
      </c>
      <c r="V729" s="47">
        <f>IF(AND(P729&gt;=Calendar!$K$2,P729&lt;EDATE(Calendar!$K$2,1),OR(Calendar!$K$4="*",N729=Calendar!$K$4)),P729*100+COUNTIFS($P$6:$P$3267,P729,$Q$6:$Q$3267,"&lt;="&amp;Q729,$N$6:$N$3267,Calendar!$K$4),"")</f>
        <v/>
      </c>
      <c r="W729" s="47">
        <f>IF(AND(B729=Queue!$C$4,OR(Queue!$K$4="*",N729=Queue!$K$4)),Q729,"")</f>
        <v/>
      </c>
    </row>
    <row r="730">
      <c r="A730" s="38">
        <f>IF(M730="","",HYPERLINK("https://www.youtube.com/watch?v="&amp;M730,"▶"))</f>
        <v/>
      </c>
      <c r="B730" s="39">
        <f>IF(C730&lt;&gt;"",C730,IF(P730&lt;=IFERROR(INDEX(tblChannels[Watched Through],MATCH(N730,tblChannels[Channel ID],0)),0),"Watched","Unwatched"))</f>
        <v/>
      </c>
      <c r="C730" s="40" t="n"/>
      <c r="D730" s="41" t="n"/>
      <c r="E730" s="42" t="n">
        <v>45321.77083333334</v>
      </c>
      <c r="F730" s="52" t="inlineStr">
        <is>
          <t>Super Carlin Gaming</t>
        </is>
      </c>
      <c r="G730" t="inlineStr">
        <is>
          <t>The Paradox Rift Closes | Carlin Brothers Box Breakers S8E12</t>
        </is>
      </c>
      <c r="H730" s="44" t="n">
        <v>0.02747685185185185</v>
      </c>
      <c r="I730" s="45" t="n">
        <v>1174</v>
      </c>
      <c r="J730" s="45" t="n">
        <v>84</v>
      </c>
      <c r="K730" s="45" t="n">
        <v>9</v>
      </c>
      <c r="L730" s="46" t="n"/>
      <c r="M730" s="47" t="n"/>
      <c r="N730" s="47" t="inlineStr">
        <is>
          <t>UCor_9jRnNNZVzTuQ92PKsaQ</t>
        </is>
      </c>
      <c r="O730" s="48" t="n">
        <v>45321.97916666666</v>
      </c>
      <c r="P730" s="49" t="n">
        <v>45321</v>
      </c>
      <c r="Q730" s="47" t="n">
        <v>2538</v>
      </c>
      <c r="R730" s="47" t="inlineStr">
        <is>
          <t>No Video ID yet</t>
        </is>
      </c>
      <c r="S730" s="49" t="n"/>
      <c r="T730" s="49" t="n"/>
      <c r="U730" s="47" t="inlineStr">
        <is>
          <t>This week we crown a PARADOX RIFT CHAMPION</t>
        </is>
      </c>
      <c r="V730" s="47">
        <f>IF(AND(P730&gt;=Calendar!$K$2,P730&lt;EDATE(Calendar!$K$2,1),OR(Calendar!$K$4="*",N730=Calendar!$K$4)),P730*100+COUNTIFS($P$6:$P$3267,P730,$Q$6:$Q$3267,"&lt;="&amp;Q730,$N$6:$N$3267,Calendar!$K$4),"")</f>
        <v/>
      </c>
      <c r="W730" s="47">
        <f>IF(AND(B730=Queue!$C$4,OR(Queue!$K$4="*",N730=Queue!$K$4)),Q730,"")</f>
        <v/>
      </c>
    </row>
    <row r="731">
      <c r="A731" s="38">
        <f>IF(M731="","",HYPERLINK("https://www.youtube.com/watch?v="&amp;M731,"▶"))</f>
        <v/>
      </c>
      <c r="B731" s="39">
        <f>IF(C731&lt;&gt;"",C731,IF(P731&lt;=IFERROR(INDEX(tblChannels[Watched Through],MATCH(N731,tblChannels[Channel ID],0)),0),"Watched","Unwatched"))</f>
        <v/>
      </c>
      <c r="C731" s="40" t="n"/>
      <c r="D731" s="41" t="n"/>
      <c r="E731" s="42" t="n">
        <v>45319.41666666666</v>
      </c>
      <c r="F731" s="51" t="inlineStr">
        <is>
          <t>Through The Griffin Door</t>
        </is>
      </c>
      <c r="G731" t="inlineStr">
        <is>
          <t>Chapter 2: Dobby’s Warning | Chamber of Secrets</t>
        </is>
      </c>
      <c r="H731" s="44" t="n">
        <v>0.04122685185185185</v>
      </c>
      <c r="I731" s="45" t="n">
        <v>77749</v>
      </c>
      <c r="J731" s="45" t="n">
        <v>2423</v>
      </c>
      <c r="K731" s="45" t="n">
        <v>491</v>
      </c>
      <c r="L731" s="46" t="n"/>
      <c r="M731" s="47" t="n"/>
      <c r="N731" s="47" t="inlineStr">
        <is>
          <t>UCEscP6ETYXWSSvsNrDHekMQ</t>
        </is>
      </c>
      <c r="O731" s="48" t="n">
        <v>45319.625</v>
      </c>
      <c r="P731" s="49" t="n">
        <v>45319</v>
      </c>
      <c r="Q731" s="47" t="n">
        <v>2537</v>
      </c>
      <c r="R731" s="47" t="inlineStr">
        <is>
          <t>No Video ID yet</t>
        </is>
      </c>
      <c r="S731" s="49" t="n"/>
      <c r="T731" s="49" t="n"/>
      <c r="U731" s="47" t="inlineStr">
        <is>
          <t>Join J and Ben as they dive into Chapter 2 of the Chamber of Secrets and discuss the origin of “Dobby”, Harry’s innate politeness, elves breaking rules, Lucius planning everything, magically giving your word, Mrs. Mason’s fear of birds, and the ridiculous age restriction laws. We ended up answering the question at the end here - 05:21 - Chapter Breakdown 47:52 - Closing Thoughts and Review</t>
        </is>
      </c>
      <c r="V731" s="47">
        <f>IF(AND(P731&gt;=Calendar!$K$2,P731&lt;EDATE(Calendar!$K$2,1),OR(Calendar!$K$4="*",N731=Calendar!$K$4)),P731*100+COUNTIFS($P$6:$P$3267,P731,$Q$6:$Q$3267,"&lt;="&amp;Q731,$N$6:$N$3267,Calendar!$K$4),"")</f>
        <v/>
      </c>
      <c r="W731" s="47">
        <f>IF(AND(B731=Queue!$C$4,OR(Queue!$K$4="*",N731=Queue!$K$4)),Q731,"")</f>
        <v/>
      </c>
    </row>
    <row r="732">
      <c r="A732" s="38">
        <f>IF(M732="","",HYPERLINK("https://www.youtube.com/watch?v="&amp;M732,"▶"))</f>
        <v/>
      </c>
      <c r="B732" s="39">
        <f>IF(C732&lt;&gt;"",C732,IF(P732&lt;=IFERROR(INDEX(tblChannels[Watched Through],MATCH(N732,tblChannels[Channel ID],0)),0),"Watched","Unwatched"))</f>
        <v/>
      </c>
      <c r="C732" s="40" t="n"/>
      <c r="D732" s="41" t="n"/>
      <c r="E732" s="42" t="n">
        <v>45317.68819444445</v>
      </c>
      <c r="F732" s="50" t="inlineStr">
        <is>
          <t>Super Carlin Brothers</t>
        </is>
      </c>
      <c r="G732" t="inlineStr">
        <is>
          <t>J vs Ben: ULTIMATE Slytherin House Harry Potter TRIVIA Quiz</t>
        </is>
      </c>
      <c r="H732" s="44" t="n">
        <v>0.02275462962962963</v>
      </c>
      <c r="I732" s="45" t="n">
        <v>157100</v>
      </c>
      <c r="J732" s="45" t="n">
        <v>5489</v>
      </c>
      <c r="K732" s="45" t="n">
        <v>516</v>
      </c>
      <c r="L732" s="46" t="n"/>
      <c r="M732" s="47" t="n"/>
      <c r="N732" s="47" t="inlineStr">
        <is>
          <t>UCKZo4N0lVPccBkSiuyVh4yg</t>
        </is>
      </c>
      <c r="O732" s="48" t="n">
        <v>45317.89652777778</v>
      </c>
      <c r="P732" s="49" t="n">
        <v>45317</v>
      </c>
      <c r="Q732" s="47" t="n">
        <v>2536</v>
      </c>
      <c r="R732" s="47" t="inlineStr">
        <is>
          <t>No Video ID yet</t>
        </is>
      </c>
      <c r="S732" s="49" t="n"/>
      <c r="T732" s="49" t="n"/>
      <c r="U732" s="47" t="inlineStr">
        <is>
          <t>Check out our PRETTY OBVIOUS Wizarding Candle subscription available now HERE: Today J and Ben continue their epic trivia battle by finding out who know’s more about the ever cunning, sly and ambitious SLYTHERIN HOUSE! What was Salazar Slytherin’s Wand made from? Where is the Slytherin Common Room and who was the first Slytherin to be sorted in Harry’s year? 02:11 - Q1: What’s the founder’s name? 03:23 - Q2: What’s the points gem? 04:25 - Q3: Where is Slytherin from? 06:18 - Q4: What’s the common room entrance? 08:11 - Q5: Who was sorted first? 10:05 - Q6: How long did Slughorn work at Hogwarts? 12:38 - Q7: Who did the Bloody Baron love? 13:26 - Q8: What did Draco’s father send him? 15:27 - Q9: What subject did Amycus Carrow teach? 16:17 - Q10: How often is the password changed? 18:24 - Q11: Who founded Ilvermorny? 19:32 - Q12: Who is the Slytherin Seeker in Philosopher’s Stone? 21:54 - Q13: Who were the last three Slytherin Heads of House 25:47 - Q14: What was Slytherin’s wand? 29:17 - Q15: What color is the blood on the Baron’s robes? #supercarlinbrothers # #HarryPotter #JvsBen</t>
        </is>
      </c>
      <c r="V732" s="47">
        <f>IF(AND(P732&gt;=Calendar!$K$2,P732&lt;EDATE(Calendar!$K$2,1),OR(Calendar!$K$4="*",N732=Calendar!$K$4)),P732*100+COUNTIFS($P$6:$P$3267,P732,$Q$6:$Q$3267,"&lt;="&amp;Q732,$N$6:$N$3267,Calendar!$K$4),"")</f>
        <v/>
      </c>
      <c r="W732" s="47">
        <f>IF(AND(B732=Queue!$C$4,OR(Queue!$K$4="*",N732=Queue!$K$4)),Q732,"")</f>
        <v/>
      </c>
    </row>
    <row r="733">
      <c r="A733" s="38">
        <f>IF(M733="","",HYPERLINK("https://www.youtube.com/watch?v="&amp;M733,"▶"))</f>
        <v/>
      </c>
      <c r="B733" s="39">
        <f>IF(C733&lt;&gt;"",C733,IF(P733&lt;=IFERROR(INDEX(tblChannels[Watched Through],MATCH(N733,tblChannels[Channel ID],0)),0),"Watched","Unwatched"))</f>
        <v/>
      </c>
      <c r="C733" s="40" t="n"/>
      <c r="D733" s="41" t="n"/>
      <c r="E733" s="42" t="n">
        <v>45317.41666666666</v>
      </c>
      <c r="F733" s="43" t="inlineStr">
        <is>
          <t>Popcorn Culture</t>
        </is>
      </c>
      <c r="G733" t="inlineStr">
        <is>
          <t>Dumpster Holes, Subwoofers and Hot Tubs | Popcorn Culture</t>
        </is>
      </c>
      <c r="H733" s="44" t="n">
        <v>0.05348379629629629</v>
      </c>
      <c r="I733" s="45" t="n">
        <v>4401</v>
      </c>
      <c r="J733" s="45" t="n">
        <v>220</v>
      </c>
      <c r="K733" s="45" t="n">
        <v>21</v>
      </c>
      <c r="L733" s="46" t="n"/>
      <c r="M733" s="47" t="n"/>
      <c r="N733" s="47" t="inlineStr">
        <is>
          <t>UCHfIbq9thHPC8yrKjAdJgDA</t>
        </is>
      </c>
      <c r="O733" s="48" t="n">
        <v>45317.625</v>
      </c>
      <c r="P733" s="49" t="n">
        <v>45317</v>
      </c>
      <c r="Q733" s="47" t="n">
        <v>2535</v>
      </c>
      <c r="R733" s="47" t="inlineStr">
        <is>
          <t>No Video ID yet</t>
        </is>
      </c>
      <c r="S733" s="49" t="n"/>
      <c r="T733" s="49" t="n"/>
      <c r="U733" s="47" t="inlineStr">
        <is>
          <t>In the 216th episode of the Pop, Ben and J discuss their upcoming Disney trip/cruise, pin collecting, social media algorithms, Angry Birds, liking things before they’re popular, J’s recycling center, a Zeigarnik Effect follow up, subwoofers and hot tubs. Angry Birds - (Voting is already over for the Roanoker, whoops sorry!) The Angry Birds Snowball Effect The Life Cycle of a Hipster That’s My Hole, Man! Squeesh it into the Cravassas 00:00 - Intro, Upcoming Disney Trip 07:22 - Pin Collecting and Snowball Effects 37:07 - A Breakdown in Recycling Etiquette 52:12 - Follow Up on Zeigarnik Effect</t>
        </is>
      </c>
      <c r="V733" s="47">
        <f>IF(AND(P733&gt;=Calendar!$K$2,P733&lt;EDATE(Calendar!$K$2,1),OR(Calendar!$K$4="*",N733=Calendar!$K$4)),P733*100+COUNTIFS($P$6:$P$3267,P733,$Q$6:$Q$3267,"&lt;="&amp;Q733,$N$6:$N$3267,Calendar!$K$4),"")</f>
        <v/>
      </c>
      <c r="W733" s="47">
        <f>IF(AND(B733=Queue!$C$4,OR(Queue!$K$4="*",N733=Queue!$K$4)),Q733,"")</f>
        <v/>
      </c>
    </row>
    <row r="734">
      <c r="A734" s="38">
        <f>IF(M734="","",HYPERLINK("https://www.youtube.com/watch?v="&amp;M734,"▶"))</f>
        <v/>
      </c>
      <c r="B734" s="39">
        <f>IF(C734&lt;&gt;"",C734,IF(P734&lt;=IFERROR(INDEX(tblChannels[Watched Through],MATCH(N734,tblChannels[Channel ID],0)),0),"Watched","Unwatched"))</f>
        <v/>
      </c>
      <c r="C734" s="40" t="n"/>
      <c r="D734" s="41" t="n"/>
      <c r="E734" s="42" t="n">
        <v>45315.69236111111</v>
      </c>
      <c r="F734" s="50" t="inlineStr">
        <is>
          <t>Super Carlin Brothers</t>
        </is>
      </c>
      <c r="G734" t="inlineStr">
        <is>
          <t>Why Does Harry Potter GOOGLE AUTOFILL | Harry Potter Film Theory</t>
        </is>
      </c>
      <c r="H734" s="44" t="n">
        <v>0.0147337962962963</v>
      </c>
      <c r="I734" s="45" t="n">
        <v>149429</v>
      </c>
      <c r="J734" s="45" t="n">
        <v>6353</v>
      </c>
      <c r="K734" s="45" t="n">
        <v>667</v>
      </c>
      <c r="L734" s="46" t="n"/>
      <c r="M734" s="47" t="n"/>
      <c r="N734" s="47" t="inlineStr">
        <is>
          <t>UCKZo4N0lVPccBkSiuyVh4yg</t>
        </is>
      </c>
      <c r="O734" s="48" t="n">
        <v>45315.90069444444</v>
      </c>
      <c r="P734" s="49" t="n">
        <v>45315</v>
      </c>
      <c r="Q734" s="47" t="n">
        <v>2534</v>
      </c>
      <c r="R734" s="47" t="inlineStr">
        <is>
          <t>No Video ID yet</t>
        </is>
      </c>
      <c r="S734" s="49" t="n"/>
      <c r="T734" s="49" t="n"/>
      <c r="U734" s="47" t="inlineStr">
        <is>
          <t>Get a free Mystery Gift with your first monthly shipment when you sign up at boxofawesome.com/ and enter code SUPER. Today J dives into the Wizarding World of Harry Potter to answer Google's most asked questions about The Chosen One: Harry Potter! Why does Harry always go back to the Dursleys? Why Does Harry Drop the Resurrection Stone? Why Does Harry Potter always wear the same shirt? And WHY does it make me so happy?? #supercarlinbrothers #HarryPotter #GoogleAutofill</t>
        </is>
      </c>
      <c r="V734" s="47">
        <f>IF(AND(P734&gt;=Calendar!$K$2,P734&lt;EDATE(Calendar!$K$2,1),OR(Calendar!$K$4="*",N734=Calendar!$K$4)),P734*100+COUNTIFS($P$6:$P$3267,P734,$Q$6:$Q$3267,"&lt;="&amp;Q734,$N$6:$N$3267,Calendar!$K$4),"")</f>
        <v/>
      </c>
      <c r="W734" s="47">
        <f>IF(AND(B734=Queue!$C$4,OR(Queue!$K$4="*",N734=Queue!$K$4)),Q734,"")</f>
        <v/>
      </c>
    </row>
    <row r="735">
      <c r="A735" s="38">
        <f>IF(M735="","",HYPERLINK("https://www.youtube.com/watch?v="&amp;M735,"▶"))</f>
        <v/>
      </c>
      <c r="B735" s="39">
        <f>IF(C735&lt;&gt;"",C735,IF(P735&lt;=IFERROR(INDEX(tblChannels[Watched Through],MATCH(N735,tblChannels[Channel ID],0)),0),"Watched","Unwatched"))</f>
        <v/>
      </c>
      <c r="C735" s="40" t="n"/>
      <c r="D735" s="41" t="n"/>
      <c r="E735" s="42" t="n">
        <v>45314.77083333334</v>
      </c>
      <c r="F735" s="52" t="inlineStr">
        <is>
          <t>Super Carlin Gaming</t>
        </is>
      </c>
      <c r="G735" t="inlineStr">
        <is>
          <t>NINE POINTS | Carlin Brothers Box Breakers S8E11</t>
        </is>
      </c>
      <c r="H735" s="44" t="n">
        <v>0.02888888888888889</v>
      </c>
      <c r="I735" s="45" t="n">
        <v>1229</v>
      </c>
      <c r="J735" s="45" t="n">
        <v>77</v>
      </c>
      <c r="K735" s="45" t="n">
        <v>9</v>
      </c>
      <c r="L735" s="46" t="n"/>
      <c r="M735" s="47" t="n"/>
      <c r="N735" s="47" t="inlineStr">
        <is>
          <t>UCor_9jRnNNZVzTuQ92PKsaQ</t>
        </is>
      </c>
      <c r="O735" s="48" t="n">
        <v>45314.97916666666</v>
      </c>
      <c r="P735" s="49" t="n">
        <v>45314</v>
      </c>
      <c r="Q735" s="47" t="n">
        <v>2533</v>
      </c>
      <c r="R735" s="47" t="inlineStr">
        <is>
          <t>No Video ID yet</t>
        </is>
      </c>
      <c r="S735" s="49" t="n"/>
      <c r="T735" s="49" t="n"/>
      <c r="U735" s="47" t="n"/>
      <c r="V735" s="47">
        <f>IF(AND(P735&gt;=Calendar!$K$2,P735&lt;EDATE(Calendar!$K$2,1),OR(Calendar!$K$4="*",N735=Calendar!$K$4)),P735*100+COUNTIFS($P$6:$P$3267,P735,$Q$6:$Q$3267,"&lt;="&amp;Q735,$N$6:$N$3267,Calendar!$K$4),"")</f>
        <v/>
      </c>
      <c r="W735" s="47">
        <f>IF(AND(B735=Queue!$C$4,OR(Queue!$K$4="*",N735=Queue!$K$4)),Q735,"")</f>
        <v/>
      </c>
    </row>
    <row r="736">
      <c r="A736" s="38">
        <f>IF(M736="","",HYPERLINK("https://www.youtube.com/watch?v="&amp;M736,"▶"))</f>
        <v/>
      </c>
      <c r="B736" s="39">
        <f>IF(C736&lt;&gt;"",C736,IF(P736&lt;=IFERROR(INDEX(tblChannels[Watched Through],MATCH(N736,tblChannels[Channel ID],0)),0),"Watched","Unwatched"))</f>
        <v/>
      </c>
      <c r="C736" s="40" t="n"/>
      <c r="D736" s="41" t="n"/>
      <c r="E736" s="42" t="n">
        <v>45312.41666666666</v>
      </c>
      <c r="F736" s="51" t="inlineStr">
        <is>
          <t>Through The Griffin Door</t>
        </is>
      </c>
      <c r="G736" t="inlineStr">
        <is>
          <t>Chapter 1: The Worst Birthday | Chamber of Secrets</t>
        </is>
      </c>
      <c r="H736" s="44" t="n">
        <v>0.0494212962962963</v>
      </c>
      <c r="I736" s="45" t="n">
        <v>103157</v>
      </c>
      <c r="J736" s="45" t="n">
        <v>3097</v>
      </c>
      <c r="K736" s="45" t="n">
        <v>627</v>
      </c>
      <c r="L736" s="46" t="n"/>
      <c r="M736" s="47" t="n"/>
      <c r="N736" s="47" t="inlineStr">
        <is>
          <t>UCEscP6ETYXWSSvsNrDHekMQ</t>
        </is>
      </c>
      <c r="O736" s="48" t="n">
        <v>45312.625</v>
      </c>
      <c r="P736" s="49" t="n">
        <v>45312</v>
      </c>
      <c r="Q736" s="47" t="n">
        <v>2532</v>
      </c>
      <c r="R736" s="47" t="inlineStr">
        <is>
          <t>No Video ID yet</t>
        </is>
      </c>
      <c r="S736" s="49" t="n"/>
      <c r="T736" s="49" t="n"/>
      <c r="U736" s="47" t="inlineStr">
        <is>
          <t>Join J and Ben as they dive into Chapter 1 of the Chamber of Secrets and discuss the other founders rooms, Dobby’s eyes in the bush, intro/outro continuity, the frying pan, ancient magic, Harry’s birthday, Dobby’s efforts, a cringey line, fake magic words and Barty Crouch Jr.’s house. The Hogwarts Founders OTHER Secret Chambers - Chapters 13:33 - Chapter Breakdown 56:54 - Closing Thoughts and Review</t>
        </is>
      </c>
      <c r="V736" s="47">
        <f>IF(AND(P736&gt;=Calendar!$K$2,P736&lt;EDATE(Calendar!$K$2,1),OR(Calendar!$K$4="*",N736=Calendar!$K$4)),P736*100+COUNTIFS($P$6:$P$3267,P736,$Q$6:$Q$3267,"&lt;="&amp;Q736,$N$6:$N$3267,Calendar!$K$4),"")</f>
        <v/>
      </c>
      <c r="W736" s="47">
        <f>IF(AND(B736=Queue!$C$4,OR(Queue!$K$4="*",N736=Queue!$K$4)),Q736,"")</f>
        <v/>
      </c>
    </row>
    <row r="737">
      <c r="A737" s="38">
        <f>IF(M737="","",HYPERLINK("https://www.youtube.com/watch?v="&amp;M737,"▶"))</f>
        <v/>
      </c>
      <c r="B737" s="39">
        <f>IF(C737&lt;&gt;"",C737,IF(P737&lt;=IFERROR(INDEX(tblChannels[Watched Through],MATCH(N737,tblChannels[Channel ID],0)),0),"Watched","Unwatched"))</f>
        <v/>
      </c>
      <c r="C737" s="40" t="n"/>
      <c r="D737" s="41" t="n"/>
      <c r="E737" s="42" t="n">
        <v>45311.41666666666</v>
      </c>
      <c r="F737" s="50" t="inlineStr">
        <is>
          <t>Super Carlin Brothers</t>
        </is>
      </c>
      <c r="G737" t="inlineStr">
        <is>
          <t>Through the Griffin Door Supercut: Chapters 16 &amp; 17 and Dumbledore's Big Plan</t>
        </is>
      </c>
      <c r="H737" s="44" t="n">
        <v>0.1519444444444444</v>
      </c>
      <c r="I737" s="45" t="n">
        <v>104800</v>
      </c>
      <c r="J737" s="45" t="n">
        <v>947</v>
      </c>
      <c r="K737" s="45" t="n">
        <v>154</v>
      </c>
      <c r="L737" s="46" t="n"/>
      <c r="M737" s="47" t="n"/>
      <c r="N737" s="47" t="inlineStr">
        <is>
          <t>UCKZo4N0lVPccBkSiuyVh4yg</t>
        </is>
      </c>
      <c r="O737" s="48" t="n">
        <v>45311.625</v>
      </c>
      <c r="P737" s="49" t="n">
        <v>45311</v>
      </c>
      <c r="Q737" s="47" t="n">
        <v>2531</v>
      </c>
      <c r="R737" s="47" t="inlineStr">
        <is>
          <t>No Video ID yet</t>
        </is>
      </c>
      <c r="S737" s="49" t="n"/>
      <c r="T737" s="49" t="n"/>
      <c r="U737" s="47" t="inlineStr">
        <is>
          <t>Join J and Ben as they embark on their newest endeavor: rereading the Harry Potter series in this chapter by chapter recap podcast! We hope you enjoy all the Harry Potter goodness that this podcast will bring. Come along as we go Through the Griffin Door. 00:00:00 Introduction 00:16:39 Chapter 16: Through the Trap Door 01:23:46: Chapter 17: The Man with Two Faces 02:31:48: Dumbledore's Big Plan Explained #supercarlinbrothers #HarryPotter #ThroughTheGriffinDoor</t>
        </is>
      </c>
      <c r="V737" s="47">
        <f>IF(AND(P737&gt;=Calendar!$K$2,P737&lt;EDATE(Calendar!$K$2,1),OR(Calendar!$K$4="*",N737=Calendar!$K$4)),P737*100+COUNTIFS($P$6:$P$3267,P737,$Q$6:$Q$3267,"&lt;="&amp;Q737,$N$6:$N$3267,Calendar!$K$4),"")</f>
        <v/>
      </c>
      <c r="W737" s="47">
        <f>IF(AND(B737=Queue!$C$4,OR(Queue!$K$4="*",N737=Queue!$K$4)),Q737,"")</f>
        <v/>
      </c>
    </row>
    <row r="738">
      <c r="A738" s="38">
        <f>IF(M738="","",HYPERLINK("https://www.youtube.com/watch?v="&amp;M738,"▶"))</f>
        <v/>
      </c>
      <c r="B738" s="39">
        <f>IF(C738&lt;&gt;"",C738,IF(P738&lt;=IFERROR(INDEX(tblChannels[Watched Through],MATCH(N738,tblChannels[Channel ID],0)),0),"Watched","Unwatched"))</f>
        <v/>
      </c>
      <c r="C738" s="40" t="n"/>
      <c r="D738" s="41" t="n"/>
      <c r="E738" s="42" t="n">
        <v>45310.67916666667</v>
      </c>
      <c r="F738" s="50" t="inlineStr">
        <is>
          <t>Super Carlin Brothers</t>
        </is>
      </c>
      <c r="G738" t="inlineStr">
        <is>
          <t>J vs Ben: ULTIMATE Gryffindor House Harry Potter TRIVIA Quiz</t>
        </is>
      </c>
      <c r="H738" s="44" t="n">
        <v>0.02814814814814815</v>
      </c>
      <c r="I738" s="45" t="n">
        <v>170286</v>
      </c>
      <c r="J738" s="45" t="n">
        <v>5596</v>
      </c>
      <c r="K738" s="45" t="n">
        <v>520</v>
      </c>
      <c r="L738" s="46" t="n"/>
      <c r="M738" s="47" t="n"/>
      <c r="N738" s="47" t="inlineStr">
        <is>
          <t>UCKZo4N0lVPccBkSiuyVh4yg</t>
        </is>
      </c>
      <c r="O738" s="48" t="n">
        <v>45310.8875</v>
      </c>
      <c r="P738" s="49" t="n">
        <v>45310</v>
      </c>
      <c r="Q738" s="47" t="n">
        <v>2530</v>
      </c>
      <c r="R738" s="47" t="inlineStr">
        <is>
          <t>No Video ID yet</t>
        </is>
      </c>
      <c r="S738" s="49" t="n"/>
      <c r="T738" s="49" t="n"/>
      <c r="U738" s="47" t="inlineStr">
        <is>
          <t>Go to and use code jvsb50 to get 50% off. Go to to cancel your unwanted subscriptions with Rocket Money Today J and Ben kick off the 2024 J vs Ben season with the ULTIMATE Gryffindor House Quiz! What color is the Fat Lady’s Dress? What subject did Godric Gryffindor Teach?! Who replaced the Weasley Twins as Beaters?! Check out our PRETTY OBVIOUS Wizarding Candle subscription available now HERE:</t>
        </is>
      </c>
      <c r="V738" s="47">
        <f>IF(AND(P738&gt;=Calendar!$K$2,P738&lt;EDATE(Calendar!$K$2,1),OR(Calendar!$K$4="*",N738=Calendar!$K$4)),P738*100+COUNTIFS($P$6:$P$3267,P738,$Q$6:$Q$3267,"&lt;="&amp;Q738,$N$6:$N$3267,Calendar!$K$4),"")</f>
        <v/>
      </c>
      <c r="W738" s="47">
        <f>IF(AND(B738=Queue!$C$4,OR(Queue!$K$4="*",N738=Queue!$K$4)),Q738,"")</f>
        <v/>
      </c>
    </row>
    <row r="739">
      <c r="A739" s="38">
        <f>IF(M739="","",HYPERLINK("https://www.youtube.com/watch?v="&amp;M739,"▶"))</f>
        <v/>
      </c>
      <c r="B739" s="39">
        <f>IF(C739&lt;&gt;"",C739,IF(P739&lt;=IFERROR(INDEX(tblChannels[Watched Through],MATCH(N739,tblChannels[Channel ID],0)),0),"Watched","Unwatched"))</f>
        <v/>
      </c>
      <c r="C739" s="40" t="n"/>
      <c r="D739" s="41" t="n"/>
      <c r="E739" s="42" t="n">
        <v>45310.41666666666</v>
      </c>
      <c r="F739" s="43" t="inlineStr">
        <is>
          <t>Popcorn Culture</t>
        </is>
      </c>
      <c r="G739" t="inlineStr">
        <is>
          <t>Secret Life of Siblings | Popcorn Culture</t>
        </is>
      </c>
      <c r="H739" s="44" t="n">
        <v>0.04836805555555555</v>
      </c>
      <c r="I739" s="45" t="n">
        <v>6249</v>
      </c>
      <c r="J739" s="45" t="n">
        <v>262</v>
      </c>
      <c r="K739" s="45" t="n">
        <v>27</v>
      </c>
      <c r="L739" s="46" t="n"/>
      <c r="M739" s="47" t="n"/>
      <c r="N739" s="47" t="inlineStr">
        <is>
          <t>UCHfIbq9thHPC8yrKjAdJgDA</t>
        </is>
      </c>
      <c r="O739" s="48" t="n">
        <v>45310.625</v>
      </c>
      <c r="P739" s="49" t="n">
        <v>45310</v>
      </c>
      <c r="Q739" s="47" t="n">
        <v>2529</v>
      </c>
      <c r="R739" s="47" t="inlineStr">
        <is>
          <t>No Video ID yet</t>
        </is>
      </c>
      <c r="S739" s="49" t="n"/>
      <c r="T739" s="49" t="n"/>
      <c r="U739" s="47" t="inlineStr">
        <is>
          <t>In episode 215 of the Pop, Ben and J discuss kids growing up, Luke’ first basketball game, swimming in high school, skiing, pogo sticks, Boy Scout trips, and party tricks. Name Tag Pancakes - Pogo Stick Maybe I Should Go Swim? Random Skills You Could Learn Name Tag Pancakes 00:00 - Intro, The Last Four Years 08:06 - Luke’s First Basketball Game 23:35 - Swim Team 42:10 - Pogo Sticks and Other Skills</t>
        </is>
      </c>
      <c r="V739" s="47">
        <f>IF(AND(P739&gt;=Calendar!$K$2,P739&lt;EDATE(Calendar!$K$2,1),OR(Calendar!$K$4="*",N739=Calendar!$K$4)),P739*100+COUNTIFS($P$6:$P$3267,P739,$Q$6:$Q$3267,"&lt;="&amp;Q739,$N$6:$N$3267,Calendar!$K$4),"")</f>
        <v/>
      </c>
      <c r="W739" s="47">
        <f>IF(AND(B739=Queue!$C$4,OR(Queue!$K$4="*",N739=Queue!$K$4)),Q739,"")</f>
        <v/>
      </c>
    </row>
    <row r="740">
      <c r="A740" s="38">
        <f>IF(M740="","",HYPERLINK("https://www.youtube.com/watch?v="&amp;M740,"▶"))</f>
        <v/>
      </c>
      <c r="B740" s="39">
        <f>IF(C740&lt;&gt;"",C740,IF(P740&lt;=IFERROR(INDEX(tblChannels[Watched Through],MATCH(N740,tblChannels[Channel ID],0)),0),"Watched","Unwatched"))</f>
        <v/>
      </c>
      <c r="C740" s="40" t="n"/>
      <c r="D740" s="41" t="n"/>
      <c r="E740" s="42" t="n">
        <v>45308.77083333334</v>
      </c>
      <c r="F740" s="52" t="inlineStr">
        <is>
          <t>Super Carlin Gaming</t>
        </is>
      </c>
      <c r="G740" t="inlineStr">
        <is>
          <t>The Chase For 8th Heats Up | Carlin Brothers Box Breakers S8E10</t>
        </is>
      </c>
      <c r="H740" s="44" t="n">
        <v>0.02846064814814815</v>
      </c>
      <c r="I740" s="45" t="n">
        <v>1248</v>
      </c>
      <c r="J740" s="45" t="n">
        <v>82</v>
      </c>
      <c r="K740" s="45" t="n">
        <v>8</v>
      </c>
      <c r="L740" s="46" t="n"/>
      <c r="M740" s="47" t="n"/>
      <c r="N740" s="47" t="inlineStr">
        <is>
          <t>UCor_9jRnNNZVzTuQ92PKsaQ</t>
        </is>
      </c>
      <c r="O740" s="48" t="n">
        <v>45308.97916666666</v>
      </c>
      <c r="P740" s="49" t="n">
        <v>45308</v>
      </c>
      <c r="Q740" s="47" t="n">
        <v>2528</v>
      </c>
      <c r="R740" s="47" t="inlineStr">
        <is>
          <t>No Video ID yet</t>
        </is>
      </c>
      <c r="S740" s="49" t="n"/>
      <c r="T740" s="49" t="n"/>
      <c r="U740" s="47" t="n"/>
      <c r="V740" s="47">
        <f>IF(AND(P740&gt;=Calendar!$K$2,P740&lt;EDATE(Calendar!$K$2,1),OR(Calendar!$K$4="*",N740=Calendar!$K$4)),P740*100+COUNTIFS($P$6:$P$3267,P740,$Q$6:$Q$3267,"&lt;="&amp;Q740,$N$6:$N$3267,Calendar!$K$4),"")</f>
        <v/>
      </c>
      <c r="W740" s="47">
        <f>IF(AND(B740=Queue!$C$4,OR(Queue!$K$4="*",N740=Queue!$K$4)),Q740,"")</f>
        <v/>
      </c>
    </row>
    <row r="741">
      <c r="A741" s="38">
        <f>IF(M741="","",HYPERLINK("https://www.youtube.com/watch?v="&amp;M741,"▶"))</f>
        <v/>
      </c>
      <c r="B741" s="39">
        <f>IF(C741&lt;&gt;"",C741,IF(P741&lt;=IFERROR(INDEX(tblChannels[Watched Through],MATCH(N741,tblChannels[Channel ID],0)),0),"Watched","Unwatched"))</f>
        <v/>
      </c>
      <c r="C741" s="40" t="n"/>
      <c r="D741" s="41" t="n"/>
      <c r="E741" s="42" t="n">
        <v>45308.69513888889</v>
      </c>
      <c r="F741" s="50" t="inlineStr">
        <is>
          <t>Super Carlin Brothers</t>
        </is>
      </c>
      <c r="G741" t="inlineStr">
        <is>
          <t>What If James Kept The Invisibility Cloak - Part 2 | Harry Potter Film Theory</t>
        </is>
      </c>
      <c r="H741" s="44" t="n">
        <v>0.01063657407407407</v>
      </c>
      <c r="I741" s="45" t="n">
        <v>190108</v>
      </c>
      <c r="J741" s="45" t="n">
        <v>7514</v>
      </c>
      <c r="K741" s="45" t="n">
        <v>909</v>
      </c>
      <c r="L741" s="46" t="n"/>
      <c r="M741" s="47" t="n"/>
      <c r="N741" s="47" t="inlineStr">
        <is>
          <t>UCKZo4N0lVPccBkSiuyVh4yg</t>
        </is>
      </c>
      <c r="O741" s="48" t="n">
        <v>45308.90347222222</v>
      </c>
      <c r="P741" s="49" t="n">
        <v>45308</v>
      </c>
      <c r="Q741" s="47" t="n">
        <v>2527</v>
      </c>
      <c r="R741" s="47" t="inlineStr">
        <is>
          <t>No Video ID yet</t>
        </is>
      </c>
      <c r="S741" s="49" t="n"/>
      <c r="T741" s="49" t="n"/>
      <c r="U741" s="47" t="inlineStr">
        <is>
          <t>This show is sponsored by BetterHelp - go to to get 10% off your first month. Today Ben dives into the Wizarding World of Harry Potter to continue answering what would have happened if James had KEPT the invisibility cloak! Does Voldemort come back? Does Harry compete in the Tri-Wizard Tournament? Who is his date to the Yule Ball?! Check out our PRETTY OBVIOUS Wizarding Candle subscription available now HERE: #supercarlinbrothers # #HarryPotter #WhatIf Edited by : Isybelle Christley &amp; Ethan Edghill</t>
        </is>
      </c>
      <c r="V741" s="47">
        <f>IF(AND(P741&gt;=Calendar!$K$2,P741&lt;EDATE(Calendar!$K$2,1),OR(Calendar!$K$4="*",N741=Calendar!$K$4)),P741*100+COUNTIFS($P$6:$P$3267,P741,$Q$6:$Q$3267,"&lt;="&amp;Q741,$N$6:$N$3267,Calendar!$K$4),"")</f>
        <v/>
      </c>
      <c r="W741" s="47">
        <f>IF(AND(B741=Queue!$C$4,OR(Queue!$K$4="*",N741=Queue!$K$4)),Q741,"")</f>
        <v/>
      </c>
    </row>
    <row r="742">
      <c r="A742" s="38">
        <f>IF(M742="","",HYPERLINK("https://www.youtube.com/watch?v="&amp;M742,"▶"))</f>
        <v/>
      </c>
      <c r="B742" s="39">
        <f>IF(C742&lt;&gt;"",C742,IF(P742&lt;=IFERROR(INDEX(tblChannels[Watched Through],MATCH(N742,tblChannels[Channel ID],0)),0),"Watched","Unwatched"))</f>
        <v/>
      </c>
      <c r="C742" s="40" t="n"/>
      <c r="D742" s="41" t="n"/>
      <c r="E742" s="42" t="n">
        <v>45305.41666666666</v>
      </c>
      <c r="F742" s="51" t="inlineStr">
        <is>
          <t>Through The Griffin Door</t>
        </is>
      </c>
      <c r="G742" t="inlineStr">
        <is>
          <t>Dumbledore’s Big Plan Explainer Episode</t>
        </is>
      </c>
      <c r="H742" s="44" t="n">
        <v>0.04653935185185185</v>
      </c>
      <c r="I742" s="45" t="n">
        <v>71083</v>
      </c>
      <c r="J742" s="45" t="n">
        <v>2301</v>
      </c>
      <c r="K742" s="45" t="n">
        <v>351</v>
      </c>
      <c r="L742" s="46" t="n"/>
      <c r="M742" s="47" t="n"/>
      <c r="N742" s="47" t="inlineStr">
        <is>
          <t>UCEscP6ETYXWSSvsNrDHekMQ</t>
        </is>
      </c>
      <c r="O742" s="48" t="n">
        <v>45305.625</v>
      </c>
      <c r="P742" s="49" t="n">
        <v>45305</v>
      </c>
      <c r="Q742" s="47" t="n">
        <v>2526</v>
      </c>
      <c r="R742" s="47" t="inlineStr">
        <is>
          <t>No Video ID yet</t>
        </is>
      </c>
      <c r="S742" s="49" t="n"/>
      <c r="T742" s="49" t="n"/>
      <c r="U742" s="47" t="inlineStr">
        <is>
          <t>Join J and Ben as they discuss how Dumbledore is pulling the strings throughout the entire Harry Potter Series. If you want to see the SCB Theory videos click here: Sign up for the Wizarding Candle Club here: 09:18 - Philosopher’s Stone 29:57 - Chamber of Secrets 37:43 - Prisoner of Azkaban 43:50 - Goblet of Fire 51:46 - Order of the Phoenix 56:54 - Half Blood Prince 59:31 - Deathly Hallows 1:03:44 - Closing Thoughts</t>
        </is>
      </c>
      <c r="V742" s="47">
        <f>IF(AND(P742&gt;=Calendar!$K$2,P742&lt;EDATE(Calendar!$K$2,1),OR(Calendar!$K$4="*",N742=Calendar!$K$4)),P742*100+COUNTIFS($P$6:$P$3267,P742,$Q$6:$Q$3267,"&lt;="&amp;Q742,$N$6:$N$3267,Calendar!$K$4),"")</f>
        <v/>
      </c>
      <c r="W742" s="47">
        <f>IF(AND(B742=Queue!$C$4,OR(Queue!$K$4="*",N742=Queue!$K$4)),Q742,"")</f>
        <v/>
      </c>
    </row>
    <row r="743">
      <c r="A743" s="38">
        <f>IF(M743="","",HYPERLINK("https://www.youtube.com/watch?v="&amp;M743,"▶"))</f>
        <v/>
      </c>
      <c r="B743" s="39">
        <f>IF(C743&lt;&gt;"",C743,IF(P743&lt;=IFERROR(INDEX(tblChannels[Watched Through],MATCH(N743,tblChannels[Channel ID],0)),0),"Watched","Unwatched"))</f>
        <v/>
      </c>
      <c r="C743" s="40" t="n"/>
      <c r="D743" s="41" t="n"/>
      <c r="E743" s="42" t="n">
        <v>45303.69861111111</v>
      </c>
      <c r="F743" s="50" t="inlineStr">
        <is>
          <t>Super Carlin Brothers</t>
        </is>
      </c>
      <c r="G743" t="inlineStr">
        <is>
          <t>What If James Kept The Invisibility Cloak | Harry Potter Film Theory</t>
        </is>
      </c>
      <c r="H743" s="44" t="n">
        <v>0.01158564814814815</v>
      </c>
      <c r="I743" s="45" t="n">
        <v>241521</v>
      </c>
      <c r="J743" s="45" t="n">
        <v>9095</v>
      </c>
      <c r="K743" s="45" t="n">
        <v>841</v>
      </c>
      <c r="L743" s="46" t="n"/>
      <c r="M743" s="47" t="n"/>
      <c r="N743" s="47" t="inlineStr">
        <is>
          <t>UCKZo4N0lVPccBkSiuyVh4yg</t>
        </is>
      </c>
      <c r="O743" s="48" t="n">
        <v>45303.90694444445</v>
      </c>
      <c r="P743" s="49" t="n">
        <v>45303</v>
      </c>
      <c r="Q743" s="47" t="n">
        <v>2525</v>
      </c>
      <c r="R743" s="47" t="inlineStr">
        <is>
          <t>No Video ID yet</t>
        </is>
      </c>
      <c r="S743" s="49" t="n"/>
      <c r="T743" s="49" t="n"/>
      <c r="U743" s="47" t="inlineStr">
        <is>
          <t>Go to for 20% off your first order plus free shipping. Today Ben dives into the Wizarding Word of Harry Potter to find out what would have happened if James Potter had never lent Dumbledore his Invisibility Cloak and had it the night Voldemort attacked! Check out our PRETTY OBVIOUS Wizarding Candle subscription available now HERE: #supercarlinbrothers # #HarryPotter</t>
        </is>
      </c>
      <c r="V743" s="47">
        <f>IF(AND(P743&gt;=Calendar!$K$2,P743&lt;EDATE(Calendar!$K$2,1),OR(Calendar!$K$4="*",N743=Calendar!$K$4)),P743*100+COUNTIFS($P$6:$P$3267,P743,$Q$6:$Q$3267,"&lt;="&amp;Q743,$N$6:$N$3267,Calendar!$K$4),"")</f>
        <v/>
      </c>
      <c r="W743" s="47">
        <f>IF(AND(B743=Queue!$C$4,OR(Queue!$K$4="*",N743=Queue!$K$4)),Q743,"")</f>
        <v/>
      </c>
    </row>
    <row r="744">
      <c r="A744" s="38">
        <f>IF(M744="","",HYPERLINK("https://www.youtube.com/watch?v="&amp;M744,"▶"))</f>
        <v/>
      </c>
      <c r="B744" s="39">
        <f>IF(C744&lt;&gt;"",C744,IF(P744&lt;=IFERROR(INDEX(tblChannels[Watched Through],MATCH(N744,tblChannels[Channel ID],0)),0),"Watched","Unwatched"))</f>
        <v/>
      </c>
      <c r="C744" s="40" t="n"/>
      <c r="D744" s="41" t="n"/>
      <c r="E744" s="42" t="n">
        <v>45303.41666666666</v>
      </c>
      <c r="F744" s="43" t="inlineStr">
        <is>
          <t>Popcorn Culture</t>
        </is>
      </c>
      <c r="G744" t="inlineStr">
        <is>
          <t>Google Embarrassment | Popcorn Culture</t>
        </is>
      </c>
      <c r="H744" s="44" t="n">
        <v>0.05267361111111111</v>
      </c>
      <c r="I744" s="45" t="n">
        <v>5750</v>
      </c>
      <c r="J744" s="45" t="n">
        <v>250</v>
      </c>
      <c r="K744" s="45" t="n">
        <v>51</v>
      </c>
      <c r="L744" s="46" t="n"/>
      <c r="M744" s="47" t="n"/>
      <c r="N744" s="47" t="inlineStr">
        <is>
          <t>UCHfIbq9thHPC8yrKjAdJgDA</t>
        </is>
      </c>
      <c r="O744" s="48" t="n">
        <v>45303.625</v>
      </c>
      <c r="P744" s="49" t="n">
        <v>45303</v>
      </c>
      <c r="Q744" s="47" t="n">
        <v>2524</v>
      </c>
      <c r="R744" s="47" t="inlineStr">
        <is>
          <t>No Video ID yet</t>
        </is>
      </c>
      <c r="S744" s="49" t="n"/>
      <c r="T744" s="49" t="n"/>
      <c r="U744" s="47" t="inlineStr">
        <is>
          <t>In the 214th episode of the Pop, Ben and J discuss aftershave, googling things, J’s crazy memory, scarcity mindset, Survivor, the Zeigarnik Effect, the cave experience, J’s weird disconnection with Pokémon this month, and mobile games. Home Alone Face Scene - Survivor - The Zeigarnik Effect - Freakonomics Episode - Mr Beast Solitary Confinement- Marvel Snap - Kingdom Rush - Clash Royale - The Best Breakup The Cave Experience Do You Play Mobile Games? 00:00 - Intro, The Home Alone Face 05:11 - Google Embarrassment 17:19 - The Zeigarnik Effect 43:29 - Unintentional Pokémon Hiatus</t>
        </is>
      </c>
      <c r="V744" s="47">
        <f>IF(AND(P744&gt;=Calendar!$K$2,P744&lt;EDATE(Calendar!$K$2,1),OR(Calendar!$K$4="*",N744=Calendar!$K$4)),P744*100+COUNTIFS($P$6:$P$3267,P744,$Q$6:$Q$3267,"&lt;="&amp;Q744,$N$6:$N$3267,Calendar!$K$4),"")</f>
        <v/>
      </c>
      <c r="W744" s="47">
        <f>IF(AND(B744=Queue!$C$4,OR(Queue!$K$4="*",N744=Queue!$K$4)),Q744,"")</f>
        <v/>
      </c>
    </row>
    <row r="745">
      <c r="A745" s="38">
        <f>IF(M745="","",HYPERLINK("https://www.youtube.com/watch?v="&amp;M745,"▶"))</f>
        <v/>
      </c>
      <c r="B745" s="39">
        <f>IF(C745&lt;&gt;"",C745,IF(P745&lt;=IFERROR(INDEX(tblChannels[Watched Through],MATCH(N745,tblChannels[Channel ID],0)),0),"Watched","Unwatched"))</f>
        <v/>
      </c>
      <c r="C745" s="40" t="n"/>
      <c r="D745" s="41" t="n"/>
      <c r="E745" s="42" t="n">
        <v>45301.70763888889</v>
      </c>
      <c r="F745" s="50" t="inlineStr">
        <is>
          <t>Super Carlin Brothers</t>
        </is>
      </c>
      <c r="G745" t="inlineStr">
        <is>
          <t>Harry Potter is JUST Star Wars | Harry Potter Film Theory</t>
        </is>
      </c>
      <c r="H745" s="44" t="n">
        <v>0.00869212962962963</v>
      </c>
      <c r="I745" s="45" t="n">
        <v>81813</v>
      </c>
      <c r="J745" s="45" t="n">
        <v>4274</v>
      </c>
      <c r="K745" s="45" t="n">
        <v>655</v>
      </c>
      <c r="L745" s="46" t="n"/>
      <c r="M745" s="47" t="n"/>
      <c r="N745" s="47" t="inlineStr">
        <is>
          <t>UCKZo4N0lVPccBkSiuyVh4yg</t>
        </is>
      </c>
      <c r="O745" s="48" t="n">
        <v>45301.91597222222</v>
      </c>
      <c r="P745" s="49" t="n">
        <v>45301</v>
      </c>
      <c r="Q745" s="47" t="n">
        <v>2523</v>
      </c>
      <c r="R745" s="47" t="inlineStr">
        <is>
          <t>No Video ID yet</t>
        </is>
      </c>
      <c r="S745" s="49" t="n"/>
      <c r="T745" s="49" t="n"/>
      <c r="U745" s="47" t="inlineStr">
        <is>
          <t>Today J dives into the Wizarding World of Harry Potter AND the Star Wars Galaxy to figure out: Is Harry Potter just star wars? Are Wands just lightsabers? Is Harry just Luke? An orphan hero who gets left with his school-hating aunt and uncle before being rescued by an older bearded man? PRETTY OBVIOUS CANDLE :: #supercarlinbrothers #StarWars #HarryPotter</t>
        </is>
      </c>
      <c r="V745" s="47">
        <f>IF(AND(P745&gt;=Calendar!$K$2,P745&lt;EDATE(Calendar!$K$2,1),OR(Calendar!$K$4="*",N745=Calendar!$K$4)),P745*100+COUNTIFS($P$6:$P$3267,P745,$Q$6:$Q$3267,"&lt;="&amp;Q745,$N$6:$N$3267,Calendar!$K$4),"")</f>
        <v/>
      </c>
      <c r="W745" s="47">
        <f>IF(AND(B745=Queue!$C$4,OR(Queue!$K$4="*",N745=Queue!$K$4)),Q745,"")</f>
        <v/>
      </c>
    </row>
    <row r="746">
      <c r="A746" s="38">
        <f>IF(M746="","",HYPERLINK("https://www.youtube.com/watch?v="&amp;M746,"▶"))</f>
        <v/>
      </c>
      <c r="B746" s="39">
        <f>IF(C746&lt;&gt;"",C746,IF(P746&lt;=IFERROR(INDEX(tblChannels[Watched Through],MATCH(N746,tblChannels[Channel ID],0)),0),"Watched","Unwatched"))</f>
        <v/>
      </c>
      <c r="C746" s="40" t="n"/>
      <c r="D746" s="41" t="n"/>
      <c r="E746" s="42" t="n">
        <v>45300.77083333334</v>
      </c>
      <c r="F746" s="52" t="inlineStr">
        <is>
          <t>Super Carlin Gaming</t>
        </is>
      </c>
      <c r="G746" t="inlineStr">
        <is>
          <t>A NEW LEADER IS CROWNED | Carlin Brothers Box Breakers S8E9</t>
        </is>
      </c>
      <c r="H746" s="44" t="n">
        <v>0.03354166666666666</v>
      </c>
      <c r="I746" s="45" t="n">
        <v>1528</v>
      </c>
      <c r="J746" s="45" t="n">
        <v>103</v>
      </c>
      <c r="K746" s="45" t="n">
        <v>12</v>
      </c>
      <c r="L746" s="46" t="n"/>
      <c r="M746" s="47" t="n"/>
      <c r="N746" s="47" t="inlineStr">
        <is>
          <t>UCor_9jRnNNZVzTuQ92PKsaQ</t>
        </is>
      </c>
      <c r="O746" s="48" t="n">
        <v>45300.97916666666</v>
      </c>
      <c r="P746" s="49" t="n">
        <v>45300</v>
      </c>
      <c r="Q746" s="47" t="n">
        <v>2522</v>
      </c>
      <c r="R746" s="47" t="inlineStr">
        <is>
          <t>No Video ID yet</t>
        </is>
      </c>
      <c r="S746" s="49" t="n"/>
      <c r="T746" s="49" t="n"/>
      <c r="U746" s="47" t="inlineStr">
        <is>
          <t>This week someone takes a HUGE lead</t>
        </is>
      </c>
      <c r="V746" s="47">
        <f>IF(AND(P746&gt;=Calendar!$K$2,P746&lt;EDATE(Calendar!$K$2,1),OR(Calendar!$K$4="*",N746=Calendar!$K$4)),P746*100+COUNTIFS($P$6:$P$3267,P746,$Q$6:$Q$3267,"&lt;="&amp;Q746,$N$6:$N$3267,Calendar!$K$4),"")</f>
        <v/>
      </c>
      <c r="W746" s="47">
        <f>IF(AND(B746=Queue!$C$4,OR(Queue!$K$4="*",N746=Queue!$K$4)),Q746,"")</f>
        <v/>
      </c>
    </row>
    <row r="747">
      <c r="A747" s="38">
        <f>IF(M747="","",HYPERLINK("https://www.youtube.com/watch?v="&amp;M747,"▶"))</f>
        <v/>
      </c>
      <c r="B747" s="39">
        <f>IF(C747&lt;&gt;"",C747,IF(P747&lt;=IFERROR(INDEX(tblChannels[Watched Through],MATCH(N747,tblChannels[Channel ID],0)),0),"Watched","Unwatched"))</f>
        <v/>
      </c>
      <c r="C747" s="40" t="n"/>
      <c r="D747" s="41" t="n"/>
      <c r="E747" s="42" t="n">
        <v>45298.41666666666</v>
      </c>
      <c r="F747" s="51" t="inlineStr">
        <is>
          <t>Through The Griffin Door</t>
        </is>
      </c>
      <c r="G747" t="inlineStr">
        <is>
          <t>Chapter 17: The Man with Two Faces | Philosopher's Stone</t>
        </is>
      </c>
      <c r="H747" s="44" t="n">
        <v>0.04724537037037037</v>
      </c>
      <c r="I747" s="45" t="n">
        <v>76562</v>
      </c>
      <c r="J747" s="45" t="n">
        <v>2579</v>
      </c>
      <c r="K747" s="45" t="n">
        <v>457</v>
      </c>
      <c r="L747" s="46" t="n"/>
      <c r="M747" s="47" t="n"/>
      <c r="N747" s="47" t="inlineStr">
        <is>
          <t>UCEscP6ETYXWSSvsNrDHekMQ</t>
        </is>
      </c>
      <c r="O747" s="48" t="n">
        <v>45298.625</v>
      </c>
      <c r="P747" s="49" t="n">
        <v>45298</v>
      </c>
      <c r="Q747" s="47" t="n">
        <v>2521</v>
      </c>
      <c r="R747" s="47" t="inlineStr">
        <is>
          <t>No Video ID yet</t>
        </is>
      </c>
      <c r="S747" s="49" t="n"/>
      <c r="T747" s="49" t="n"/>
      <c r="U747" s="47" t="inlineStr">
        <is>
          <t>Join J and Ben as they dive into Chapter 17 of the Philosopher’s Stone and discuss how concise this chapter is, an actual “Dumbledore’s Big Plan” breakdown, the details of Harry and Quirrell’s confrontation, Dumbledore trailing behind the trio, what Voldemort would look like if the Stone revived him, how Quirrell actually died, and the House Cup. Check Out the Wizarding Candle Subscription! How The Centaurs Predicted Harry’s Death -</t>
        </is>
      </c>
      <c r="V747" s="47">
        <f>IF(AND(P747&gt;=Calendar!$K$2,P747&lt;EDATE(Calendar!$K$2,1),OR(Calendar!$K$4="*",N747=Calendar!$K$4)),P747*100+COUNTIFS($P$6:$P$3267,P747,$Q$6:$Q$3267,"&lt;="&amp;Q747,$N$6:$N$3267,Calendar!$K$4),"")</f>
        <v/>
      </c>
      <c r="W747" s="47">
        <f>IF(AND(B747=Queue!$C$4,OR(Queue!$K$4="*",N747=Queue!$K$4)),Q747,"")</f>
        <v/>
      </c>
    </row>
    <row r="748">
      <c r="A748" s="38">
        <f>IF(M748="","",HYPERLINK("https://www.youtube.com/watch?v="&amp;M748,"▶"))</f>
        <v/>
      </c>
      <c r="B748" s="39">
        <f>IF(C748&lt;&gt;"",C748,IF(P748&lt;=IFERROR(INDEX(tblChannels[Watched Through],MATCH(N748,tblChannels[Channel ID],0)),0),"Watched","Unwatched"))</f>
        <v/>
      </c>
      <c r="C748" s="40" t="n"/>
      <c r="D748" s="41" t="n"/>
      <c r="E748" s="42" t="n">
        <v>45296.67291666667</v>
      </c>
      <c r="F748" s="50" t="inlineStr">
        <is>
          <t>Super Carlin Brothers</t>
        </is>
      </c>
      <c r="G748" t="inlineStr">
        <is>
          <t>Why Voldemort ACTUALLY Fears Dumbledore | Harry Potter Film Theory</t>
        </is>
      </c>
      <c r="H748" s="44" t="n">
        <v>0.009722222222222222</v>
      </c>
      <c r="I748" s="45" t="n">
        <v>385567</v>
      </c>
      <c r="J748" s="45" t="n">
        <v>13260</v>
      </c>
      <c r="K748" s="45" t="n">
        <v>865</v>
      </c>
      <c r="L748" s="46" t="n"/>
      <c r="M748" s="47" t="n"/>
      <c r="N748" s="47" t="inlineStr">
        <is>
          <t>UCKZo4N0lVPccBkSiuyVh4yg</t>
        </is>
      </c>
      <c r="O748" s="48" t="n">
        <v>45296.88125</v>
      </c>
      <c r="P748" s="49" t="n">
        <v>45296</v>
      </c>
      <c r="Q748" s="47" t="n">
        <v>2520</v>
      </c>
      <c r="R748" s="47" t="inlineStr">
        <is>
          <t>No Video ID yet</t>
        </is>
      </c>
      <c r="S748" s="49" t="n"/>
      <c r="T748" s="49" t="n"/>
      <c r="U748" s="47" t="inlineStr">
        <is>
          <t>Today J dives into the Wizarding World of Harry Potter to find out Why Voldemort actually fears Dumbledore even though he cant die and knows Harry is the only one who can defeat him.</t>
        </is>
      </c>
      <c r="V748" s="47">
        <f>IF(AND(P748&gt;=Calendar!$K$2,P748&lt;EDATE(Calendar!$K$2,1),OR(Calendar!$K$4="*",N748=Calendar!$K$4)),P748*100+COUNTIFS($P$6:$P$3267,P748,$Q$6:$Q$3267,"&lt;="&amp;Q748,$N$6:$N$3267,Calendar!$K$4),"")</f>
        <v/>
      </c>
      <c r="W748" s="47">
        <f>IF(AND(B748=Queue!$C$4,OR(Queue!$K$4="*",N748=Queue!$K$4)),Q748,"")</f>
        <v/>
      </c>
    </row>
    <row r="749">
      <c r="A749" s="38">
        <f>IF(M749="","",HYPERLINK("https://www.youtube.com/watch?v="&amp;M749,"▶"))</f>
        <v/>
      </c>
      <c r="B749" s="39">
        <f>IF(C749&lt;&gt;"",C749,IF(P749&lt;=IFERROR(INDEX(tblChannels[Watched Through],MATCH(N749,tblChannels[Channel ID],0)),0),"Watched","Unwatched"))</f>
        <v/>
      </c>
      <c r="C749" s="40" t="n"/>
      <c r="D749" s="41" t="n"/>
      <c r="E749" s="42" t="n">
        <v>45296.41666666666</v>
      </c>
      <c r="F749" s="43" t="inlineStr">
        <is>
          <t>Popcorn Culture</t>
        </is>
      </c>
      <c r="G749" t="inlineStr">
        <is>
          <t>Smoothies are Cheating | Popcorn Culture</t>
        </is>
      </c>
      <c r="H749" s="44" t="n">
        <v>0.05251157407407407</v>
      </c>
      <c r="I749" s="45" t="n">
        <v>5340</v>
      </c>
      <c r="J749" s="45" t="n">
        <v>256</v>
      </c>
      <c r="K749" s="45" t="n">
        <v>34</v>
      </c>
      <c r="L749" s="46" t="n"/>
      <c r="M749" s="47" t="n"/>
      <c r="N749" s="47" t="inlineStr">
        <is>
          <t>UCHfIbq9thHPC8yrKjAdJgDA</t>
        </is>
      </c>
      <c r="O749" s="48" t="n">
        <v>45296.625</v>
      </c>
      <c r="P749" s="49" t="n">
        <v>45296</v>
      </c>
      <c r="Q749" s="47" t="n">
        <v>2519</v>
      </c>
      <c r="R749" s="47" t="inlineStr">
        <is>
          <t>No Video ID yet</t>
        </is>
      </c>
      <c r="S749" s="49" t="n"/>
      <c r="T749" s="49" t="n"/>
      <c r="U749" s="47" t="inlineStr">
        <is>
          <t>In the 213th episode of the Pop, Ben and J discuss New Year's resolutions, ordering salads, smoothies, Cliff bars, small household faults, pavlova, sourdough, Christmas gifts and activities. How Often Do You Eat Fruit - Bluey S3E17: Pavlova - Guilty Salads Feel Bad Less Futzing Up 00:00 - Intro, New Year! 28:48 - The Household Faults Competition 40:11 - Baking 51:54 - Carlin Family Christmas</t>
        </is>
      </c>
      <c r="V749" s="47">
        <f>IF(AND(P749&gt;=Calendar!$K$2,P749&lt;EDATE(Calendar!$K$2,1),OR(Calendar!$K$4="*",N749=Calendar!$K$4)),P749*100+COUNTIFS($P$6:$P$3267,P749,$Q$6:$Q$3267,"&lt;="&amp;Q749,$N$6:$N$3267,Calendar!$K$4),"")</f>
        <v/>
      </c>
      <c r="W749" s="47">
        <f>IF(AND(B749=Queue!$C$4,OR(Queue!$K$4="*",N749=Queue!$K$4)),Q749,"")</f>
        <v/>
      </c>
    </row>
    <row r="750">
      <c r="A750" s="38">
        <f>IF(M750="","",HYPERLINK("https://www.youtube.com/watch?v="&amp;M750,"▶"))</f>
        <v/>
      </c>
      <c r="B750" s="39">
        <f>IF(C750&lt;&gt;"",C750,IF(P750&lt;=IFERROR(INDEX(tblChannels[Watched Through],MATCH(N750,tblChannels[Channel ID],0)),0),"Watched","Unwatched"))</f>
        <v/>
      </c>
      <c r="C750" s="40" t="n"/>
      <c r="D750" s="41" t="n"/>
      <c r="E750" s="42" t="n">
        <v>45294.71736111111</v>
      </c>
      <c r="F750" s="50" t="inlineStr">
        <is>
          <t>Super Carlin Brothers</t>
        </is>
      </c>
      <c r="G750" t="inlineStr">
        <is>
          <t>J vs Ben: Getting SORTED Into Hogwarts Houses By YOU</t>
        </is>
      </c>
      <c r="H750" s="44" t="n">
        <v>0.03972222222222222</v>
      </c>
      <c r="I750" s="45" t="n">
        <v>139819</v>
      </c>
      <c r="J750" s="45" t="n">
        <v>5045</v>
      </c>
      <c r="K750" s="45" t="n">
        <v>534</v>
      </c>
      <c r="L750" s="46" t="n"/>
      <c r="M750" s="47" t="n"/>
      <c r="N750" s="47" t="inlineStr">
        <is>
          <t>UCKZo4N0lVPccBkSiuyVh4yg</t>
        </is>
      </c>
      <c r="O750" s="48" t="n">
        <v>45294.92569444444</v>
      </c>
      <c r="P750" s="49" t="n">
        <v>45294</v>
      </c>
      <c r="Q750" s="47" t="n">
        <v>2518</v>
      </c>
      <c r="R750" s="47" t="inlineStr">
        <is>
          <t>No Video ID yet</t>
        </is>
      </c>
      <c r="S750" s="49" t="n"/>
      <c r="T750" s="49" t="n"/>
      <c r="U750" s="47" t="inlineStr">
        <is>
          <t>Go to to cancel your unwanted subscriptions with Rocket Money Go to to get 3 extra months of ExpressVPN free We’ve sorted ourselves and each other into our Harry Potter Hogwarst Houses, but THIS YEAR we put the power in YOUR hands and got sorted by our viewers! How well do you know us? And will it affect what house we are in!? PRETTY OBVIOUS CANDLE :: 02:19 - Q1: Hate people calling them 05:00 - Q2: How people remember them 06:44 - Q3: Known to history 09:03 - Q4: Invent a potion 12:15 - Q5: Scent attraction 14:53 - Q6: Which goblet 18:50 - Q7: Favorite instrument 25:35 - Q8: Enchanted garden 28:07 - Q9: Most looking forward to at Hogwarts 31:00 - Q10: Most difficult to deal with 33:56 - Q11: Bridge troll 38:20 - Q12: Which power 42:38 - Q13: Muggle confrontation 45:13 - Q14: Scariest nightmare 47:11 - Q15: Most tempting road #supercarlinbrothers #Hogwarts #harrypotter</t>
        </is>
      </c>
      <c r="V750" s="47">
        <f>IF(AND(P750&gt;=Calendar!$K$2,P750&lt;EDATE(Calendar!$K$2,1),OR(Calendar!$K$4="*",N750=Calendar!$K$4)),P750*100+COUNTIFS($P$6:$P$3267,P750,$Q$6:$Q$3267,"&lt;="&amp;Q750,$N$6:$N$3267,Calendar!$K$4),"")</f>
        <v/>
      </c>
      <c r="W750" s="47">
        <f>IF(AND(B750=Queue!$C$4,OR(Queue!$K$4="*",N750=Queue!$K$4)),Q750,"")</f>
        <v/>
      </c>
    </row>
    <row r="751">
      <c r="A751" s="38">
        <f>IF(M751="","",HYPERLINK("https://www.youtube.com/watch?v="&amp;M751,"▶"))</f>
        <v/>
      </c>
      <c r="B751" s="39">
        <f>IF(C751&lt;&gt;"",C751,IF(P751&lt;=IFERROR(INDEX(tblChannels[Watched Through],MATCH(N751,tblChannels[Channel ID],0)),0),"Watched","Unwatched"))</f>
        <v/>
      </c>
      <c r="C751" s="40" t="n"/>
      <c r="D751" s="41" t="n"/>
      <c r="E751" s="42" t="n">
        <v>45291.41666666666</v>
      </c>
      <c r="F751" s="51" t="inlineStr">
        <is>
          <t>Through The Griffin Door</t>
        </is>
      </c>
      <c r="G751" t="inlineStr">
        <is>
          <t>Chapter 16: Through the Trap Door | Philosopher's Stone</t>
        </is>
      </c>
      <c r="H751" s="44" t="n">
        <v>0.05818287037037037</v>
      </c>
      <c r="I751" s="45" t="n">
        <v>82394</v>
      </c>
      <c r="J751" s="45" t="n">
        <v>2442</v>
      </c>
      <c r="K751" s="45" t="n">
        <v>461</v>
      </c>
      <c r="L751" s="46" t="n"/>
      <c r="M751" s="47" t="n"/>
      <c r="N751" s="47" t="inlineStr">
        <is>
          <t>UCEscP6ETYXWSSvsNrDHekMQ</t>
        </is>
      </c>
      <c r="O751" s="48" t="n">
        <v>45291.625</v>
      </c>
      <c r="P751" s="49" t="n">
        <v>45291</v>
      </c>
      <c r="Q751" s="47" t="n">
        <v>2517</v>
      </c>
      <c r="R751" s="47" t="inlineStr">
        <is>
          <t>No Video ID yet</t>
        </is>
      </c>
      <c r="S751" s="49" t="n"/>
      <c r="T751" s="49" t="n"/>
      <c r="U751" s="47" t="inlineStr">
        <is>
          <t>Join J and Ben as they dive into Chapter 16 of the Philosopher’s Stone and discuss, Fluffy, lots of Dumbledore’s Big Plan details, exams, werewolves mating, the Hog’s Head, Snape trying to be a good guy, the trio’s strong bonds of friendship, Neville standing up to them, Peeves, the distance of the trap door, the other obstacles. Did Philosopher’s Stone Predict EVERYTHING? - Olaf Is Always Right?! - Carlin Brothers Candles - 16:39 - Chapter Breakdown 1:19:02 - Closing Thoughts and Review</t>
        </is>
      </c>
      <c r="V751" s="47">
        <f>IF(AND(P751&gt;=Calendar!$K$2,P751&lt;EDATE(Calendar!$K$2,1),OR(Calendar!$K$4="*",N751=Calendar!$K$4)),P751*100+COUNTIFS($P$6:$P$3267,P751,$Q$6:$Q$3267,"&lt;="&amp;Q751,$N$6:$N$3267,Calendar!$K$4),"")</f>
        <v/>
      </c>
      <c r="W751" s="47">
        <f>IF(AND(B751=Queue!$C$4,OR(Queue!$K$4="*",N751=Queue!$K$4)),Q751,"")</f>
        <v/>
      </c>
    </row>
    <row r="752">
      <c r="A752" s="38">
        <f>IF(M752="","",HYPERLINK("https://www.youtube.com/watch?v="&amp;M752,"▶"))</f>
        <v/>
      </c>
      <c r="B752" s="39">
        <f>IF(C752&lt;&gt;"",C752,IF(P752&lt;=IFERROR(INDEX(tblChannels[Watched Through],MATCH(N752,tblChannels[Channel ID],0)),0),"Watched","Unwatched"))</f>
        <v/>
      </c>
      <c r="C752" s="40" t="n"/>
      <c r="D752" s="41" t="n"/>
      <c r="E752" s="42" t="n">
        <v>45290.41666666666</v>
      </c>
      <c r="F752" s="50" t="inlineStr">
        <is>
          <t>Super Carlin Brothers</t>
        </is>
      </c>
      <c r="G752" t="inlineStr">
        <is>
          <t>Through the Griffin Door Supercut: Chapters 13-15 | Philosopher’s Stone Supercut</t>
        </is>
      </c>
      <c r="H752" s="44" t="n">
        <v>0.1395833333333333</v>
      </c>
      <c r="I752" s="45" t="n">
        <v>115394</v>
      </c>
      <c r="J752" s="45" t="n">
        <v>1211</v>
      </c>
      <c r="K752" s="45" t="n">
        <v>159</v>
      </c>
      <c r="L752" s="46" t="n"/>
      <c r="M752" s="47" t="n"/>
      <c r="N752" s="47" t="inlineStr">
        <is>
          <t>UCKZo4N0lVPccBkSiuyVh4yg</t>
        </is>
      </c>
      <c r="O752" s="48" t="n">
        <v>45290.625</v>
      </c>
      <c r="P752" s="49" t="n">
        <v>45290</v>
      </c>
      <c r="Q752" s="47" t="n">
        <v>2516</v>
      </c>
      <c r="R752" s="47" t="inlineStr">
        <is>
          <t>No Video ID yet</t>
        </is>
      </c>
      <c r="S752" s="49" t="n"/>
      <c r="T752" s="49" t="n"/>
      <c r="U752" s="47" t="inlineStr">
        <is>
          <t>Join J and Ben as they embark on their newest endeavor: rereading the Harry Potter series in this chapter by chapter recap podcast! We hope you enjoy all the Harry Potter goodness that this podcast will bring. Come along as we go Through the Griffin Door. 00:00:00 Introduction 00:11:10 Chapter 13: Nicolas Flamel 01:10:36 Chapter 14: Norbert the Norwegian Ridgeback 02:06:38 Chapter 15 The Forbidden Forest #supercarlinbrothers #HarryPotter #ThroughTheGriffinDoor</t>
        </is>
      </c>
      <c r="V752" s="47">
        <f>IF(AND(P752&gt;=Calendar!$K$2,P752&lt;EDATE(Calendar!$K$2,1),OR(Calendar!$K$4="*",N752=Calendar!$K$4)),P752*100+COUNTIFS($P$6:$P$3267,P752,$Q$6:$Q$3267,"&lt;="&amp;Q752,$N$6:$N$3267,Calendar!$K$4),"")</f>
        <v/>
      </c>
      <c r="W752" s="47">
        <f>IF(AND(B752=Queue!$C$4,OR(Queue!$K$4="*",N752=Queue!$K$4)),Q752,"")</f>
        <v/>
      </c>
    </row>
    <row r="753">
      <c r="A753" s="38">
        <f>IF(M753="","",HYPERLINK("https://www.youtube.com/watch?v="&amp;M753,"▶"))</f>
        <v/>
      </c>
      <c r="B753" s="39">
        <f>IF(C753&lt;&gt;"",C753,IF(P753&lt;=IFERROR(INDEX(tblChannels[Watched Through],MATCH(N753,tblChannels[Channel ID],0)),0),"Watched","Unwatched"))</f>
        <v/>
      </c>
      <c r="C753" s="40" t="n"/>
      <c r="D753" s="41" t="n"/>
      <c r="E753" s="42" t="n">
        <v>45289.625</v>
      </c>
      <c r="F753" s="52" t="inlineStr">
        <is>
          <t>Super Carlin Gaming</t>
        </is>
      </c>
      <c r="G753" t="inlineStr">
        <is>
          <t>No One In Last?? | Carlin Brothers Box Breakers S8E8</t>
        </is>
      </c>
      <c r="H753" s="44" t="n">
        <v>0.02503472222222222</v>
      </c>
      <c r="I753" s="45" t="n">
        <v>1334</v>
      </c>
      <c r="J753" s="45" t="n">
        <v>87</v>
      </c>
      <c r="K753" s="45" t="n">
        <v>5</v>
      </c>
      <c r="L753" s="46" t="n"/>
      <c r="M753" s="47" t="n"/>
      <c r="N753" s="47" t="inlineStr">
        <is>
          <t>UCor_9jRnNNZVzTuQ92PKsaQ</t>
        </is>
      </c>
      <c r="O753" s="48" t="n">
        <v>45289.83333333334</v>
      </c>
      <c r="P753" s="49" t="n">
        <v>45289</v>
      </c>
      <c r="Q753" s="47" t="n">
        <v>2515</v>
      </c>
      <c r="R753" s="47" t="inlineStr">
        <is>
          <t>No Video ID yet</t>
        </is>
      </c>
      <c r="S753" s="49" t="n"/>
      <c r="T753" s="49" t="n"/>
      <c r="U753" s="47" t="n"/>
      <c r="V753" s="47">
        <f>IF(AND(P753&gt;=Calendar!$K$2,P753&lt;EDATE(Calendar!$K$2,1),OR(Calendar!$K$4="*",N753=Calendar!$K$4)),P753*100+COUNTIFS($P$6:$P$3267,P753,$Q$6:$Q$3267,"&lt;="&amp;Q753,$N$6:$N$3267,Calendar!$K$4),"")</f>
        <v/>
      </c>
      <c r="W753" s="47">
        <f>IF(AND(B753=Queue!$C$4,OR(Queue!$K$4="*",N753=Queue!$K$4)),Q753,"")</f>
        <v/>
      </c>
    </row>
    <row r="754">
      <c r="A754" s="38">
        <f>IF(M754="","",HYPERLINK("https://www.youtube.com/watch?v="&amp;M754,"▶"))</f>
        <v/>
      </c>
      <c r="B754" s="39">
        <f>IF(C754&lt;&gt;"",C754,IF(P754&lt;=IFERROR(INDEX(tblChannels[Watched Through],MATCH(N754,tblChannels[Channel ID],0)),0),"Watched","Unwatched"))</f>
        <v/>
      </c>
      <c r="C754" s="40" t="n"/>
      <c r="D754" s="41" t="n"/>
      <c r="E754" s="42" t="n">
        <v>45289.41666666666</v>
      </c>
      <c r="F754" s="43" t="inlineStr">
        <is>
          <t>Popcorn Culture</t>
        </is>
      </c>
      <c r="G754" t="inlineStr">
        <is>
          <t>Pringle Poisoning  | Popcorn Culture</t>
        </is>
      </c>
      <c r="H754" s="44" t="n">
        <v>0.04869212962962963</v>
      </c>
      <c r="I754" s="45" t="n">
        <v>4738</v>
      </c>
      <c r="J754" s="45" t="n">
        <v>240</v>
      </c>
      <c r="K754" s="45" t="n">
        <v>34</v>
      </c>
      <c r="L754" s="46" t="n"/>
      <c r="M754" s="47" t="n"/>
      <c r="N754" s="47" t="inlineStr">
        <is>
          <t>UCHfIbq9thHPC8yrKjAdJgDA</t>
        </is>
      </c>
      <c r="O754" s="48" t="n">
        <v>45289.625</v>
      </c>
      <c r="P754" s="49" t="n">
        <v>45289</v>
      </c>
      <c r="Q754" s="47" t="n">
        <v>2514</v>
      </c>
      <c r="R754" s="47" t="inlineStr">
        <is>
          <t>No Video ID yet</t>
        </is>
      </c>
      <c r="S754" s="49" t="n"/>
      <c r="T754" s="49" t="n"/>
      <c r="U754" s="47" t="inlineStr">
        <is>
          <t>In the 212th episode of the Pop, Ben and J discuss stuffication, the Pixar Theory Song, if they met their 2023 new year's resolutions and more for this year, update on the Sled Situation, the Pringles Challenge, catching food in your mouth, pirates and treasure hunts. The Pixar Theory Song - National Treasure - Our Flag Means Death - Blackbeard (the actual person) - Stede Bonnet (the actual person) - One Piece - Olivier Levasseur - My Pants Pile Cheese Quackers Get Your Breath Off the Declaration of Independence Schrodinger’s Treasure 00:00 - Intro, Revisiting Stuffication 11:05 - The Pixar Theory Song 19:36 - Resolution Recaps 27:27 - Sled Update 42:58 - Treasure!</t>
        </is>
      </c>
      <c r="V754" s="47">
        <f>IF(AND(P754&gt;=Calendar!$K$2,P754&lt;EDATE(Calendar!$K$2,1),OR(Calendar!$K$4="*",N754=Calendar!$K$4)),P754*100+COUNTIFS($P$6:$P$3267,P754,$Q$6:$Q$3267,"&lt;="&amp;Q754,$N$6:$N$3267,Calendar!$K$4),"")</f>
        <v/>
      </c>
      <c r="W754" s="47">
        <f>IF(AND(B754=Queue!$C$4,OR(Queue!$K$4="*",N754=Queue!$K$4)),Q754,"")</f>
        <v/>
      </c>
    </row>
    <row r="755">
      <c r="A755" s="38">
        <f>IF(M755="","",HYPERLINK("https://www.youtube.com/watch?v="&amp;M755,"▶"))</f>
        <v/>
      </c>
      <c r="B755" s="39">
        <f>IF(C755&lt;&gt;"",C755,IF(P755&lt;=IFERROR(INDEX(tblChannels[Watched Through],MATCH(N755,tblChannels[Channel ID],0)),0),"Watched","Unwatched"))</f>
        <v/>
      </c>
      <c r="C755" s="40" t="n"/>
      <c r="D755" s="41" t="n"/>
      <c r="E755" s="42" t="n">
        <v>45285.5</v>
      </c>
      <c r="F755" s="50" t="inlineStr">
        <is>
          <t>Super Carlin Brothers</t>
        </is>
      </c>
      <c r="G755" t="inlineStr">
        <is>
          <t>J vs Ben: FULL YEAR SHOWDOWN - Who is the Ultimate Champion of 2023?</t>
        </is>
      </c>
      <c r="H755" s="44" t="n">
        <v>0.4996412037037037</v>
      </c>
      <c r="I755" s="45" t="n">
        <v>282679</v>
      </c>
      <c r="J755" s="45" t="n">
        <v>4863</v>
      </c>
      <c r="K755" s="45" t="n">
        <v>816</v>
      </c>
      <c r="L755" s="46" t="n"/>
      <c r="M755" s="47" t="n"/>
      <c r="N755" s="47" t="inlineStr">
        <is>
          <t>UCKZo4N0lVPccBkSiuyVh4yg</t>
        </is>
      </c>
      <c r="O755" s="48" t="n">
        <v>45285.70833333334</v>
      </c>
      <c r="P755" s="49" t="n">
        <v>45285</v>
      </c>
      <c r="Q755" s="47" t="n">
        <v>2513</v>
      </c>
      <c r="R755" s="47" t="inlineStr">
        <is>
          <t>No Video ID yet</t>
        </is>
      </c>
      <c r="S755" s="49" t="n"/>
      <c r="T755" s="49" t="n"/>
      <c r="U755" s="47" t="inlineStr">
        <is>
          <t>Thanks so much for watching Super Carlin Brothers this year and playing along with all of our J vs Bens! To end the year we decided to edit together EVERY J vs Ben from 2023, drop all the ads and focus on the trivia to find out who the FULL YEAR Champion was! Huge shout out to all of our Quiz Masters as well for you constant support and amazing questions - You guys always blow it out of the water and deliver the BEST questions! Oh and here's that coffee 😂 Wanna play along? J vs Ben: ULTIMATE Half-Blood Prince Harry Potter TRIVIA Quiz: J vs Ben: ULTIMATE Deathly Hallows Harry Potter TRIVIA Quiz: J vs Ben: ULTIMATE Weasley Burrow Harry Potter TRIVIA Quiz: J vs Ben: ULTIMATE Toy Story TRIVIA Quiz feat. Seamus Gorman: J vs Ben: ULTIMATE Encanto Trivia Quiz [VERY HARD]: J vs Ben: We FAILED Even More Harry Potter Trivia - REDEMPTION Quiz: J vs Ben: HAPPIEST Harry Potter TRIVIA Quiz Ever: J vs Ben ULTIMATE Department of Mysteries Harry Potter TRIVIA Quiz: J vs Ben: ULTIMATE Harry Potter Magical Transportation TRIVIA Quiz: J vs Ben: ULTIMATE Harry Potter Prank Trivia Quiz | WHEEL OF PUNISHMENT: J vs Ben: HARDEST Harry Potter Families Trivia Quiz EVER: J vs Ben: Which WEASLEY Said What - HA</t>
        </is>
      </c>
      <c r="V755" s="47">
        <f>IF(AND(P755&gt;=Calendar!$K$2,P755&lt;EDATE(Calendar!$K$2,1),OR(Calendar!$K$4="*",N755=Calendar!$K$4)),P755*100+COUNTIFS($P$6:$P$3267,P755,$Q$6:$Q$3267,"&lt;="&amp;Q755,$N$6:$N$3267,Calendar!$K$4),"")</f>
        <v/>
      </c>
      <c r="W755" s="47">
        <f>IF(AND(B755=Queue!$C$4,OR(Queue!$K$4="*",N755=Queue!$K$4)),Q755,"")</f>
        <v/>
      </c>
    </row>
    <row r="756">
      <c r="A756" s="38">
        <f>IF(M756="","",HYPERLINK("https://www.youtube.com/watch?v="&amp;M756,"▶"))</f>
        <v/>
      </c>
      <c r="B756" s="39">
        <f>IF(C756&lt;&gt;"",C756,IF(P756&lt;=IFERROR(INDEX(tblChannels[Watched Through],MATCH(N756,tblChannels[Channel ID],0)),0),"Watched","Unwatched"))</f>
        <v/>
      </c>
      <c r="C756" s="40" t="n"/>
      <c r="D756" s="41" t="n"/>
      <c r="E756" s="42" t="n">
        <v>45284.41666666666</v>
      </c>
      <c r="F756" s="51" t="inlineStr">
        <is>
          <t>Through The Griffin Door</t>
        </is>
      </c>
      <c r="G756" t="inlineStr">
        <is>
          <t>Chapter 15: The Forbidden Forest | Philosopher's Stone</t>
        </is>
      </c>
      <c r="H756" s="44" t="n">
        <v>0.05164351851851852</v>
      </c>
      <c r="I756" s="45" t="n">
        <v>74383</v>
      </c>
      <c r="J756" s="45" t="n">
        <v>2529</v>
      </c>
      <c r="K756" s="45" t="n">
        <v>359</v>
      </c>
      <c r="L756" s="46" t="n"/>
      <c r="M756" s="47" t="n"/>
      <c r="N756" s="47" t="inlineStr">
        <is>
          <t>UCEscP6ETYXWSSvsNrDHekMQ</t>
        </is>
      </c>
      <c r="O756" s="48" t="n">
        <v>45284.625</v>
      </c>
      <c r="P756" s="49" t="n">
        <v>45284</v>
      </c>
      <c r="Q756" s="47" t="n">
        <v>2512</v>
      </c>
      <c r="R756" s="47" t="inlineStr">
        <is>
          <t>No Video ID yet</t>
        </is>
      </c>
      <c r="S756" s="49" t="n"/>
      <c r="T756" s="49" t="n"/>
      <c r="U756" s="47" t="inlineStr">
        <is>
          <t>Join J and Ben as they dive into Chapter 15 of the Philosopher’s Stone and discuss the ridiculousness of serving detention at night for being caught AT NIGHT, Neville’s impact, Filch’s weird obsession with torture, unicorn blood, werewolves, foretelling in the stars, and Peeves and the Bloody Baron. The Good Place - 08:14 - Chapter Breakdown 1:04:39 - Closing Thoughts and Review</t>
        </is>
      </c>
      <c r="V756" s="47">
        <f>IF(AND(P756&gt;=Calendar!$K$2,P756&lt;EDATE(Calendar!$K$2,1),OR(Calendar!$K$4="*",N756=Calendar!$K$4)),P756*100+COUNTIFS($P$6:$P$3267,P756,$Q$6:$Q$3267,"&lt;="&amp;Q756,$N$6:$N$3267,Calendar!$K$4),"")</f>
        <v/>
      </c>
      <c r="W756" s="47">
        <f>IF(AND(B756=Queue!$C$4,OR(Queue!$K$4="*",N756=Queue!$K$4)),Q756,"")</f>
        <v/>
      </c>
    </row>
    <row r="757">
      <c r="A757" s="38">
        <f>IF(M757="","",HYPERLINK("https://www.youtube.com/watch?v="&amp;M757,"▶"))</f>
        <v/>
      </c>
      <c r="B757" s="39">
        <f>IF(C757&lt;&gt;"",C757,IF(P757&lt;=IFERROR(INDEX(tblChannels[Watched Through],MATCH(N757,tblChannels[Channel ID],0)),0),"Watched","Unwatched"))</f>
        <v/>
      </c>
      <c r="C757" s="40" t="n"/>
      <c r="D757" s="41" t="n"/>
      <c r="E757" s="42" t="n">
        <v>45282.77083333334</v>
      </c>
      <c r="F757" s="52" t="inlineStr">
        <is>
          <t>Super Carlin Gaming</t>
        </is>
      </c>
      <c r="G757" t="inlineStr">
        <is>
          <t>It's Moving Day! | Carlin Brothers Box Breakers S8E7</t>
        </is>
      </c>
      <c r="H757" s="44" t="n">
        <v>0.02709490740740741</v>
      </c>
      <c r="I757" s="45" t="n">
        <v>1413</v>
      </c>
      <c r="J757" s="45" t="n">
        <v>85</v>
      </c>
      <c r="K757" s="45" t="n">
        <v>10</v>
      </c>
      <c r="L757" s="46" t="n"/>
      <c r="M757" s="47" t="n"/>
      <c r="N757" s="47" t="inlineStr">
        <is>
          <t>UCor_9jRnNNZVzTuQ92PKsaQ</t>
        </is>
      </c>
      <c r="O757" s="48" t="n">
        <v>45282.97916666666</v>
      </c>
      <c r="P757" s="49" t="n">
        <v>45282</v>
      </c>
      <c r="Q757" s="47" t="n">
        <v>2511</v>
      </c>
      <c r="R757" s="47" t="inlineStr">
        <is>
          <t>No Video ID yet</t>
        </is>
      </c>
      <c r="S757" s="49" t="n"/>
      <c r="T757" s="49" t="n"/>
      <c r="U757" s="47" t="n"/>
      <c r="V757" s="47">
        <f>IF(AND(P757&gt;=Calendar!$K$2,P757&lt;EDATE(Calendar!$K$2,1),OR(Calendar!$K$4="*",N757=Calendar!$K$4)),P757*100+COUNTIFS($P$6:$P$3267,P757,$Q$6:$Q$3267,"&lt;="&amp;Q757,$N$6:$N$3267,Calendar!$K$4),"")</f>
        <v/>
      </c>
      <c r="W757" s="47">
        <f>IF(AND(B757=Queue!$C$4,OR(Queue!$K$4="*",N757=Queue!$K$4)),Q757,"")</f>
        <v/>
      </c>
    </row>
    <row r="758">
      <c r="A758" s="38">
        <f>IF(M758="","",HYPERLINK("https://www.youtube.com/watch?v="&amp;M758,"▶"))</f>
        <v/>
      </c>
      <c r="B758" s="39">
        <f>IF(C758&lt;&gt;"",C758,IF(P758&lt;=IFERROR(INDEX(tblChannels[Watched Through],MATCH(N758,tblChannels[Channel ID],0)),0),"Watched","Unwatched"))</f>
        <v/>
      </c>
      <c r="C758" s="40" t="n"/>
      <c r="D758" s="41" t="n"/>
      <c r="E758" s="42" t="n">
        <v>45282.58125</v>
      </c>
      <c r="F758" s="50" t="inlineStr">
        <is>
          <t>Super Carlin Brothers</t>
        </is>
      </c>
      <c r="G758" t="inlineStr">
        <is>
          <t>Kristoff’s SECRET Magic Power Revealed | Frozen Disney Film Theory</t>
        </is>
      </c>
      <c r="H758" s="44" t="n">
        <v>0.00798611111111111</v>
      </c>
      <c r="I758" s="45" t="n">
        <v>50060</v>
      </c>
      <c r="J758" s="45" t="n">
        <v>2945</v>
      </c>
      <c r="K758" s="45" t="n">
        <v>156</v>
      </c>
      <c r="L758" s="46" t="n"/>
      <c r="M758" s="47" t="n"/>
      <c r="N758" s="47" t="inlineStr">
        <is>
          <t>UCKZo4N0lVPccBkSiuyVh4yg</t>
        </is>
      </c>
      <c r="O758" s="48" t="n">
        <v>45282.78958333333</v>
      </c>
      <c r="P758" s="49" t="n">
        <v>45282</v>
      </c>
      <c r="Q758" s="47" t="n">
        <v>2510</v>
      </c>
      <c r="R758" s="47" t="inlineStr">
        <is>
          <t>No Video ID yet</t>
        </is>
      </c>
      <c r="S758" s="49" t="n"/>
      <c r="T758" s="49" t="n"/>
      <c r="U758" s="47" t="inlineStr">
        <is>
          <t>We all know Kristoff likes to speak for the reindeer… but what if there is more to it than just being good friends? Does he have a real magic power? #supercarlinbrothers #Frozen #disney</t>
        </is>
      </c>
      <c r="V758" s="47">
        <f>IF(AND(P758&gt;=Calendar!$K$2,P758&lt;EDATE(Calendar!$K$2,1),OR(Calendar!$K$4="*",N758=Calendar!$K$4)),P758*100+COUNTIFS($P$6:$P$3267,P758,$Q$6:$Q$3267,"&lt;="&amp;Q758,$N$6:$N$3267,Calendar!$K$4),"")</f>
        <v/>
      </c>
      <c r="W758" s="47">
        <f>IF(AND(B758=Queue!$C$4,OR(Queue!$K$4="*",N758=Queue!$K$4)),Q758,"")</f>
        <v/>
      </c>
    </row>
    <row r="759">
      <c r="A759" s="38">
        <f>IF(M759="","",HYPERLINK("https://www.youtube.com/watch?v="&amp;M759,"▶"))</f>
        <v/>
      </c>
      <c r="B759" s="39">
        <f>IF(C759&lt;&gt;"",C759,IF(P759&lt;=IFERROR(INDEX(tblChannels[Watched Through],MATCH(N759,tblChannels[Channel ID],0)),0),"Watched","Unwatched"))</f>
        <v/>
      </c>
      <c r="C759" s="40" t="n"/>
      <c r="D759" s="41" t="n"/>
      <c r="E759" s="42" t="n">
        <v>45282.41666666666</v>
      </c>
      <c r="F759" s="43" t="inlineStr">
        <is>
          <t>Popcorn Culture</t>
        </is>
      </c>
      <c r="G759" t="inlineStr">
        <is>
          <t>Huck A Kid | Popcorn Culture</t>
        </is>
      </c>
      <c r="H759" s="44" t="n">
        <v>0.04890046296296297</v>
      </c>
      <c r="I759" s="45" t="n">
        <v>4869</v>
      </c>
      <c r="J759" s="45" t="n">
        <v>234</v>
      </c>
      <c r="K759" s="45" t="n">
        <v>25</v>
      </c>
      <c r="L759" s="46" t="n"/>
      <c r="M759" s="47" t="n"/>
      <c r="N759" s="47" t="inlineStr">
        <is>
          <t>UCHfIbq9thHPC8yrKjAdJgDA</t>
        </is>
      </c>
      <c r="O759" s="48" t="n">
        <v>45282.625</v>
      </c>
      <c r="P759" s="49" t="n">
        <v>45282</v>
      </c>
      <c r="Q759" s="47" t="n">
        <v>2509</v>
      </c>
      <c r="R759" s="47" t="inlineStr">
        <is>
          <t>No Video ID yet</t>
        </is>
      </c>
      <c r="S759" s="49" t="n"/>
      <c r="T759" s="49" t="n"/>
      <c r="U759" s="47" t="inlineStr">
        <is>
          <t>In the 211th episode of the Pop, Ben and J discuss funny faces, emojis, an early Christmas gift (that could die), bread, ideal White Elephant gift exchange items, treasure, and a new game at J’s house. Jim Carrey: Popcorn Bucket Emoji K Clickbait My Brother The Jim Carrey of Bread Faces The Lost Treasure of Roanoke 00:00 - Intro, Funny Faces 19:28 - Early Christmas Gift 32:18 - White Elephant 54:23 - Gears</t>
        </is>
      </c>
      <c r="V759" s="47">
        <f>IF(AND(P759&gt;=Calendar!$K$2,P759&lt;EDATE(Calendar!$K$2,1),OR(Calendar!$K$4="*",N759=Calendar!$K$4)),P759*100+COUNTIFS($P$6:$P$3267,P759,$Q$6:$Q$3267,"&lt;="&amp;Q759,$N$6:$N$3267,Calendar!$K$4),"")</f>
        <v/>
      </c>
      <c r="W759" s="47">
        <f>IF(AND(B759=Queue!$C$4,OR(Queue!$K$4="*",N759=Queue!$K$4)),Q759,"")</f>
        <v/>
      </c>
    </row>
    <row r="760">
      <c r="A760" s="38">
        <f>IF(M760="","",HYPERLINK("https://www.youtube.com/watch?v="&amp;M760,"▶"))</f>
        <v/>
      </c>
      <c r="B760" s="39">
        <f>IF(C760&lt;&gt;"",C760,IF(P760&lt;=IFERROR(INDEX(tblChannels[Watched Through],MATCH(N760,tblChannels[Channel ID],0)),0),"Watched","Unwatched"))</f>
        <v/>
      </c>
      <c r="C760" s="40" t="n"/>
      <c r="D760" s="41" t="n"/>
      <c r="E760" s="42" t="n">
        <v>45280.70972222222</v>
      </c>
      <c r="F760" s="50" t="inlineStr">
        <is>
          <t>Super Carlin Brothers</t>
        </is>
      </c>
      <c r="G760" t="inlineStr">
        <is>
          <t>J vs Ben: HARDEST Harry Potter Christmas Break Trivia Quiz EVER</t>
        </is>
      </c>
      <c r="H760" s="44" t="n">
        <v>0.02417824074074074</v>
      </c>
      <c r="I760" s="45" t="n">
        <v>137603</v>
      </c>
      <c r="J760" s="45" t="n">
        <v>5405</v>
      </c>
      <c r="K760" s="45" t="n">
        <v>523</v>
      </c>
      <c r="L760" s="46" t="n"/>
      <c r="M760" s="47" t="n"/>
      <c r="N760" s="47" t="inlineStr">
        <is>
          <t>UCKZo4N0lVPccBkSiuyVh4yg</t>
        </is>
      </c>
      <c r="O760" s="48" t="n">
        <v>45280.91805555556</v>
      </c>
      <c r="P760" s="49" t="n">
        <v>45280</v>
      </c>
      <c r="Q760" s="47" t="n">
        <v>2508</v>
      </c>
      <c r="R760" s="47" t="inlineStr">
        <is>
          <t>No Video ID yet</t>
        </is>
      </c>
      <c r="S760" s="49" t="n"/>
      <c r="T760" s="49" t="n"/>
      <c r="U760" s="47" t="inlineStr">
        <is>
          <t>Go to to try 5 pairs of glasses at home for free. Go to to cancel your unwanted subscriptions with Rocket Money. Today J and Ben face off once more to find out who knows more about the Wizarding World of Harry Potter during CHRISTMAS BREAK.</t>
        </is>
      </c>
      <c r="V760" s="47">
        <f>IF(AND(P760&gt;=Calendar!$K$2,P760&lt;EDATE(Calendar!$K$2,1),OR(Calendar!$K$4="*",N760=Calendar!$K$4)),P760*100+COUNTIFS($P$6:$P$3267,P760,$Q$6:$Q$3267,"&lt;="&amp;Q760,$N$6:$N$3267,Calendar!$K$4),"")</f>
        <v/>
      </c>
      <c r="W760" s="47">
        <f>IF(AND(B760=Queue!$C$4,OR(Queue!$K$4="*",N760=Queue!$K$4)),Q760,"")</f>
        <v/>
      </c>
    </row>
    <row r="761">
      <c r="A761" s="38">
        <f>IF(M761="","",HYPERLINK("https://www.youtube.com/watch?v="&amp;M761,"▶"))</f>
        <v/>
      </c>
      <c r="B761" s="39">
        <f>IF(C761&lt;&gt;"",C761,IF(P761&lt;=IFERROR(INDEX(tblChannels[Watched Through],MATCH(N761,tblChannels[Channel ID],0)),0),"Watched","Unwatched"))</f>
        <v/>
      </c>
      <c r="C761" s="40" t="n"/>
      <c r="D761" s="41" t="n"/>
      <c r="E761" s="42" t="n">
        <v>45278.54166666666</v>
      </c>
      <c r="F761" s="52" t="inlineStr">
        <is>
          <t>Super Carlin Gaming</t>
        </is>
      </c>
      <c r="G761" t="inlineStr">
        <is>
          <t>ALL GOLD EVERYTHING | Carlin Brothers Box Breakers S8E6</t>
        </is>
      </c>
      <c r="H761" s="44" t="n">
        <v>0.02831018518518518</v>
      </c>
      <c r="I761" s="45" t="n">
        <v>1341</v>
      </c>
      <c r="J761" s="45" t="n">
        <v>91</v>
      </c>
      <c r="K761" s="45" t="n">
        <v>6</v>
      </c>
      <c r="L761" s="46" t="n"/>
      <c r="M761" s="47" t="n"/>
      <c r="N761" s="47" t="inlineStr">
        <is>
          <t>UCor_9jRnNNZVzTuQ92PKsaQ</t>
        </is>
      </c>
      <c r="O761" s="48" t="n">
        <v>45278.75</v>
      </c>
      <c r="P761" s="49" t="n">
        <v>45278</v>
      </c>
      <c r="Q761" s="47" t="n">
        <v>2507</v>
      </c>
      <c r="R761" s="47" t="inlineStr">
        <is>
          <t>No Video ID yet</t>
        </is>
      </c>
      <c r="S761" s="49" t="n"/>
      <c r="T761" s="49" t="n"/>
      <c r="U761" s="47" t="n"/>
      <c r="V761" s="47">
        <f>IF(AND(P761&gt;=Calendar!$K$2,P761&lt;EDATE(Calendar!$K$2,1),OR(Calendar!$K$4="*",N761=Calendar!$K$4)),P761*100+COUNTIFS($P$6:$P$3267,P761,$Q$6:$Q$3267,"&lt;="&amp;Q761,$N$6:$N$3267,Calendar!$K$4),"")</f>
        <v/>
      </c>
      <c r="W761" s="47">
        <f>IF(AND(B761=Queue!$C$4,OR(Queue!$K$4="*",N761=Queue!$K$4)),Q761,"")</f>
        <v/>
      </c>
    </row>
    <row r="762">
      <c r="A762" s="38">
        <f>IF(M762="","",HYPERLINK("https://www.youtube.com/watch?v="&amp;M762,"▶"))</f>
        <v/>
      </c>
      <c r="B762" s="39">
        <f>IF(C762&lt;&gt;"",C762,IF(P762&lt;=IFERROR(INDEX(tblChannels[Watched Through],MATCH(N762,tblChannels[Channel ID],0)),0),"Watched","Unwatched"))</f>
        <v/>
      </c>
      <c r="C762" s="40" t="n"/>
      <c r="D762" s="41" t="n"/>
      <c r="E762" s="42" t="n">
        <v>45277.41666666666</v>
      </c>
      <c r="F762" s="51" t="inlineStr">
        <is>
          <t>Through The Griffin Door</t>
        </is>
      </c>
      <c r="G762" t="inlineStr">
        <is>
          <t>Chapter 14: Norbert the Norwegian Ridgeback | Philosopher's Stone</t>
        </is>
      </c>
      <c r="H762" s="44" t="n">
        <v>0.03891203703703704</v>
      </c>
      <c r="I762" s="45" t="n">
        <v>66334</v>
      </c>
      <c r="J762" s="45" t="n">
        <v>2187</v>
      </c>
      <c r="K762" s="45" t="n">
        <v>331</v>
      </c>
      <c r="L762" s="46" t="n"/>
      <c r="M762" s="47" t="n"/>
      <c r="N762" s="47" t="inlineStr">
        <is>
          <t>UCEscP6ETYXWSSvsNrDHekMQ</t>
        </is>
      </c>
      <c r="O762" s="48" t="n">
        <v>45277.625</v>
      </c>
      <c r="P762" s="49" t="n">
        <v>45277</v>
      </c>
      <c r="Q762" s="47" t="n">
        <v>2506</v>
      </c>
      <c r="R762" s="47" t="inlineStr">
        <is>
          <t>No Video ID yet</t>
        </is>
      </c>
      <c r="S762" s="49" t="n"/>
      <c r="T762" s="49" t="n"/>
      <c r="U762" s="47" t="inlineStr">
        <is>
          <t>Join J and Ben as they dive into Chapter 14 of the Philosopher’s Stone and discuss the absolute absurdity of this whole chapter, the 12 uses of dragon blood, beasts needing alcohol, Charlie Weasley, Madam Pomfrey and more ways that Malfoy is way too interested in Harry. Have a question you’d like answered for a future episode? Submit it here: 03:01 - Chapter Breakdown 49:48 - Closing Thoughts</t>
        </is>
      </c>
      <c r="V762" s="47">
        <f>IF(AND(P762&gt;=Calendar!$K$2,P762&lt;EDATE(Calendar!$K$2,1),OR(Calendar!$K$4="*",N762=Calendar!$K$4)),P762*100+COUNTIFS($P$6:$P$3267,P762,$Q$6:$Q$3267,"&lt;="&amp;Q762,$N$6:$N$3267,Calendar!$K$4),"")</f>
        <v/>
      </c>
      <c r="W762" s="47">
        <f>IF(AND(B762=Queue!$C$4,OR(Queue!$K$4="*",N762=Queue!$K$4)),Q762,"")</f>
        <v/>
      </c>
    </row>
    <row r="763">
      <c r="A763" s="38">
        <f>IF(M763="","",HYPERLINK("https://www.youtube.com/watch?v="&amp;M763,"▶"))</f>
        <v/>
      </c>
      <c r="B763" s="39">
        <f>IF(C763&lt;&gt;"",C763,IF(P763&lt;=IFERROR(INDEX(tblChannels[Watched Through],MATCH(N763,tblChannels[Channel ID],0)),0),"Watched","Unwatched"))</f>
        <v/>
      </c>
      <c r="C763" s="40" t="n"/>
      <c r="D763" s="41" t="n"/>
      <c r="E763" s="42" t="n">
        <v>45276.41666666666</v>
      </c>
      <c r="F763" s="50" t="inlineStr">
        <is>
          <t>Super Carlin Brothers</t>
        </is>
      </c>
      <c r="G763" t="inlineStr">
        <is>
          <t>Through the Griffin Door Supercut: Chapters 10-12 | Philosopher’s Stone</t>
        </is>
      </c>
      <c r="H763" s="44" t="n">
        <v>0.148599537037037</v>
      </c>
      <c r="I763" s="45" t="n">
        <v>139594</v>
      </c>
      <c r="J763" s="45" t="n">
        <v>1213</v>
      </c>
      <c r="K763" s="45" t="n">
        <v>211</v>
      </c>
      <c r="L763" s="46" t="n"/>
      <c r="M763" s="47" t="n"/>
      <c r="N763" s="47" t="inlineStr">
        <is>
          <t>UCKZo4N0lVPccBkSiuyVh4yg</t>
        </is>
      </c>
      <c r="O763" s="48" t="n">
        <v>45276.625</v>
      </c>
      <c r="P763" s="49" t="n">
        <v>45276</v>
      </c>
      <c r="Q763" s="47" t="n">
        <v>2505</v>
      </c>
      <c r="R763" s="47" t="inlineStr">
        <is>
          <t>No Video ID yet</t>
        </is>
      </c>
      <c r="S763" s="49" t="n"/>
      <c r="T763" s="49" t="n"/>
      <c r="U763" s="47" t="inlineStr">
        <is>
          <t>Join J and Ben as they embark on their newest endeavor: rereading the Harry Potter series in this chapter by chapter recap podcast! We hope you enjoy all the Harry Potter goodness that this podcast will bring. Come along as we go Through the Griffin Door. 00:00:00 Introduction 00:00:37 Chapter 10: Halloween 01:05:31 Chapter 11: Quidditch 02:07:44 Chapter 12: The Mirror of Erised #supercarlinbrothers #HarryPotter #ThroughTheGriffinDoor</t>
        </is>
      </c>
      <c r="V763" s="47">
        <f>IF(AND(P763&gt;=Calendar!$K$2,P763&lt;EDATE(Calendar!$K$2,1),OR(Calendar!$K$4="*",N763=Calendar!$K$4)),P763*100+COUNTIFS($P$6:$P$3267,P763,$Q$6:$Q$3267,"&lt;="&amp;Q763,$N$6:$N$3267,Calendar!$K$4),"")</f>
        <v/>
      </c>
      <c r="W763" s="47">
        <f>IF(AND(B763=Queue!$C$4,OR(Queue!$K$4="*",N763=Queue!$K$4)),Q763,"")</f>
        <v/>
      </c>
    </row>
    <row r="764">
      <c r="A764" s="38">
        <f>IF(M764="","",HYPERLINK("https://www.youtube.com/watch?v="&amp;M764,"▶"))</f>
        <v/>
      </c>
      <c r="B764" s="39">
        <f>IF(C764&lt;&gt;"",C764,IF(P764&lt;=IFERROR(INDEX(tblChannels[Watched Through],MATCH(N764,tblChannels[Channel ID],0)),0),"Watched","Unwatched"))</f>
        <v/>
      </c>
      <c r="C764" s="40" t="n"/>
      <c r="D764" s="41" t="n"/>
      <c r="E764" s="42" t="n">
        <v>45275.7125</v>
      </c>
      <c r="F764" s="50" t="inlineStr">
        <is>
          <t>Super Carlin Brothers</t>
        </is>
      </c>
      <c r="G764" t="inlineStr">
        <is>
          <t>In Defense of HAGRID | Harry Potter Film Theory</t>
        </is>
      </c>
      <c r="H764" s="44" t="n">
        <v>0.0112037037037037</v>
      </c>
      <c r="I764" s="45" t="n">
        <v>142729</v>
      </c>
      <c r="J764" s="45" t="n">
        <v>6625</v>
      </c>
      <c r="K764" s="45" t="n">
        <v>616</v>
      </c>
      <c r="L764" s="46" t="n"/>
      <c r="M764" s="47" t="n"/>
      <c r="N764" s="47" t="inlineStr">
        <is>
          <t>UCKZo4N0lVPccBkSiuyVh4yg</t>
        </is>
      </c>
      <c r="O764" s="48" t="n">
        <v>45275.92083333333</v>
      </c>
      <c r="P764" s="49" t="n">
        <v>45275</v>
      </c>
      <c r="Q764" s="47" t="n">
        <v>2504</v>
      </c>
      <c r="R764" s="47" t="inlineStr">
        <is>
          <t>No Video ID yet</t>
        </is>
      </c>
      <c r="S764" s="49" t="n"/>
      <c r="T764" s="49" t="n"/>
      <c r="U764" s="47" t="inlineStr">
        <is>
          <t>Go to to get 20% off your first order and free shipping. Today Ben dives into the Wizarding World of Harry Potter to defend noneother than Rubeus Hagrid, Keeper of Keys and Grounds at Hogwarts. Is he naively optimistic, or just constantly and avoidably endangering the students? Edited by : Edghill</t>
        </is>
      </c>
      <c r="V764" s="47">
        <f>IF(AND(P764&gt;=Calendar!$K$2,P764&lt;EDATE(Calendar!$K$2,1),OR(Calendar!$K$4="*",N764=Calendar!$K$4)),P764*100+COUNTIFS($P$6:$P$3267,P764,$Q$6:$Q$3267,"&lt;="&amp;Q764,$N$6:$N$3267,Calendar!$K$4),"")</f>
        <v/>
      </c>
      <c r="W764" s="47">
        <f>IF(AND(B764=Queue!$C$4,OR(Queue!$K$4="*",N764=Queue!$K$4)),Q764,"")</f>
        <v/>
      </c>
    </row>
    <row r="765">
      <c r="A765" s="38">
        <f>IF(M765="","",HYPERLINK("https://www.youtube.com/watch?v="&amp;M765,"▶"))</f>
        <v/>
      </c>
      <c r="B765" s="39">
        <f>IF(C765&lt;&gt;"",C765,IF(P765&lt;=IFERROR(INDEX(tblChannels[Watched Through],MATCH(N765,tblChannels[Channel ID],0)),0),"Watched","Unwatched"))</f>
        <v/>
      </c>
      <c r="C765" s="40" t="n"/>
      <c r="D765" s="41" t="n"/>
      <c r="E765" s="42" t="n">
        <v>45275.41666666666</v>
      </c>
      <c r="F765" s="43" t="inlineStr">
        <is>
          <t>Popcorn Culture</t>
        </is>
      </c>
      <c r="G765" t="inlineStr">
        <is>
          <t>These Lights Need Subtitles | Popcorn Culture</t>
        </is>
      </c>
      <c r="H765" s="44" t="n">
        <v>0.05146990740740741</v>
      </c>
      <c r="I765" s="45" t="n">
        <v>4787</v>
      </c>
      <c r="J765" s="45" t="n">
        <v>228</v>
      </c>
      <c r="K765" s="45" t="n">
        <v>37</v>
      </c>
      <c r="L765" s="46" t="n"/>
      <c r="M765" s="47" t="n"/>
      <c r="N765" s="47" t="inlineStr">
        <is>
          <t>UCHfIbq9thHPC8yrKjAdJgDA</t>
        </is>
      </c>
      <c r="O765" s="48" t="n">
        <v>45275.625</v>
      </c>
      <c r="P765" s="49" t="n">
        <v>45275</v>
      </c>
      <c r="Q765" s="47" t="n">
        <v>2503</v>
      </c>
      <c r="R765" s="47" t="inlineStr">
        <is>
          <t>No Video ID yet</t>
        </is>
      </c>
      <c r="S765" s="49" t="n"/>
      <c r="T765" s="49" t="n"/>
      <c r="U765" s="47" t="inlineStr">
        <is>
          <t>In the 210th episode of the Pop, Ben and J discuss Ethan the Editor’s beautiful wedding, DJs and dancing, learning how to tie a bowtie, small problems, and Ben’s Black Mirror dream. Click - Impeccable Guest Math Small Problems are the Big Problems Livin’ That Sled Life Skipping Stones 00:00 - Intro, Ethan’s Wedding 17:26 - Learning to Tie a Bowtie 22:18 - Fixing the Small Problems 50:21 - Ben’s Weird Dream</t>
        </is>
      </c>
      <c r="V765" s="47">
        <f>IF(AND(P765&gt;=Calendar!$K$2,P765&lt;EDATE(Calendar!$K$2,1),OR(Calendar!$K$4="*",N765=Calendar!$K$4)),P765*100+COUNTIFS($P$6:$P$3267,P765,$Q$6:$Q$3267,"&lt;="&amp;Q765,$N$6:$N$3267,Calendar!$K$4),"")</f>
        <v/>
      </c>
      <c r="W765" s="47">
        <f>IF(AND(B765=Queue!$C$4,OR(Queue!$K$4="*",N765=Queue!$K$4)),Q765,"")</f>
        <v/>
      </c>
    </row>
    <row r="766">
      <c r="A766" s="38">
        <f>IF(M766="","",HYPERLINK("https://www.youtube.com/watch?v="&amp;M766,"▶"))</f>
        <v/>
      </c>
      <c r="B766" s="39">
        <f>IF(C766&lt;&gt;"",C766,IF(P766&lt;=IFERROR(INDEX(tblChannels[Watched Through],MATCH(N766,tblChannels[Channel ID],0)),0),"Watched","Unwatched"))</f>
        <v/>
      </c>
      <c r="C766" s="40" t="n"/>
      <c r="D766" s="41" t="n"/>
      <c r="E766" s="42" t="n">
        <v>45273.75277777778</v>
      </c>
      <c r="F766" s="50" t="inlineStr">
        <is>
          <t>Super Carlin Brothers</t>
        </is>
      </c>
      <c r="G766" t="inlineStr">
        <is>
          <t>How The Centaurs Predicted Harry’s Death | Harry Potter Film Theory</t>
        </is>
      </c>
      <c r="H766" s="44" t="n">
        <v>0.01165509259259259</v>
      </c>
      <c r="I766" s="45" t="n">
        <v>157831</v>
      </c>
      <c r="J766" s="45" t="n">
        <v>7239</v>
      </c>
      <c r="K766" s="45" t="n">
        <v>400</v>
      </c>
      <c r="L766" s="46" t="n"/>
      <c r="M766" s="47" t="n"/>
      <c r="N766" s="47" t="inlineStr">
        <is>
          <t>UCKZo4N0lVPccBkSiuyVh4yg</t>
        </is>
      </c>
      <c r="O766" s="48" t="n">
        <v>45273.96111111111</v>
      </c>
      <c r="P766" s="49" t="n">
        <v>45273</v>
      </c>
      <c r="Q766" s="47" t="n">
        <v>2502</v>
      </c>
      <c r="R766" s="47" t="inlineStr">
        <is>
          <t>No Video ID yet</t>
        </is>
      </c>
      <c r="S766" s="49" t="n"/>
      <c r="T766" s="49" t="n"/>
      <c r="U766" s="47" t="inlineStr">
        <is>
          <t>Go to and use code super50 to get 50% off. Today J dives into the Wizarding World of Harry Potter to reveal some CRAZY foreshadowing by the centaurs in Philosopher’s Stone about how Harry will die in Deathly Hallows AND discuss why wizards study astronomy at all.</t>
        </is>
      </c>
      <c r="V766" s="47">
        <f>IF(AND(P766&gt;=Calendar!$K$2,P766&lt;EDATE(Calendar!$K$2,1),OR(Calendar!$K$4="*",N766=Calendar!$K$4)),P766*100+COUNTIFS($P$6:$P$3267,P766,$Q$6:$Q$3267,"&lt;="&amp;Q766,$N$6:$N$3267,Calendar!$K$4),"")</f>
        <v/>
      </c>
      <c r="W766" s="47">
        <f>IF(AND(B766=Queue!$C$4,OR(Queue!$K$4="*",N766=Queue!$K$4)),Q766,"")</f>
        <v/>
      </c>
    </row>
    <row r="767">
      <c r="A767" s="38">
        <f>IF(M767="","",HYPERLINK("https://www.youtube.com/watch?v="&amp;M767,"▶"))</f>
        <v/>
      </c>
      <c r="B767" s="39">
        <f>IF(C767&lt;&gt;"",C767,IF(P767&lt;=IFERROR(INDEX(tblChannels[Watched Through],MATCH(N767,tblChannels[Channel ID],0)),0),"Watched","Unwatched"))</f>
        <v/>
      </c>
      <c r="C767" s="40" t="n"/>
      <c r="D767" s="41" t="n"/>
      <c r="E767" s="42" t="n">
        <v>45270.41666666666</v>
      </c>
      <c r="F767" s="51" t="inlineStr">
        <is>
          <t>Through The Griffin Door</t>
        </is>
      </c>
      <c r="G767" t="inlineStr">
        <is>
          <t>Chapter 13: Nicholas Flamel | Philosopher's Stone</t>
        </is>
      </c>
      <c r="H767" s="44" t="n">
        <v>0.04903935185185185</v>
      </c>
      <c r="I767" s="45" t="n">
        <v>76765</v>
      </c>
      <c r="J767" s="45" t="n">
        <v>2894</v>
      </c>
      <c r="K767" s="45" t="n">
        <v>377</v>
      </c>
      <c r="L767" s="46" t="n"/>
      <c r="M767" s="47" t="n"/>
      <c r="N767" s="47" t="inlineStr">
        <is>
          <t>UCEscP6ETYXWSSvsNrDHekMQ</t>
        </is>
      </c>
      <c r="O767" s="48" t="n">
        <v>45270.625</v>
      </c>
      <c r="P767" s="49" t="n">
        <v>45270</v>
      </c>
      <c r="Q767" s="47" t="n">
        <v>2501</v>
      </c>
      <c r="R767" s="47" t="inlineStr">
        <is>
          <t>No Video ID yet</t>
        </is>
      </c>
      <c r="S767" s="49" t="n"/>
      <c r="T767" s="49" t="n"/>
      <c r="U767" s="47" t="inlineStr">
        <is>
          <t>Join J and Ben as they dive into Chapter 13 of the Philosopher’s Stone and discuss small details, the Quidditch match NOT from Harry’s point of view, random foreshadowing, Ron’s good friendship moments, Nicholas Flamel (the character and the real person), Slytherin being in the Quidditch lead for SEVEN YEARS, imposter syndrome, and the unbelievability of the end of the chapter. Have a question you’d like answered for a future episode? Submit it here: 11:10 - Chapter Breakdown 1:05:01 - Closing Thoughts and Chapter Art</t>
        </is>
      </c>
      <c r="V767" s="47">
        <f>IF(AND(P767&gt;=Calendar!$K$2,P767&lt;EDATE(Calendar!$K$2,1),OR(Calendar!$K$4="*",N767=Calendar!$K$4)),P767*100+COUNTIFS($P$6:$P$3267,P767,$Q$6:$Q$3267,"&lt;="&amp;Q767,$N$6:$N$3267,Calendar!$K$4),"")</f>
        <v/>
      </c>
      <c r="W767" s="47">
        <f>IF(AND(B767=Queue!$C$4,OR(Queue!$K$4="*",N767=Queue!$K$4)),Q767,"")</f>
        <v/>
      </c>
    </row>
    <row r="768">
      <c r="A768" s="38">
        <f>IF(M768="","",HYPERLINK("https://www.youtube.com/watch?v="&amp;M768,"▶"))</f>
        <v/>
      </c>
      <c r="B768" s="39">
        <f>IF(C768&lt;&gt;"",C768,IF(P768&lt;=IFERROR(INDEX(tblChannels[Watched Through],MATCH(N768,tblChannels[Channel ID],0)),0),"Watched","Unwatched"))</f>
        <v/>
      </c>
      <c r="C768" s="40" t="n"/>
      <c r="D768" s="41" t="n"/>
      <c r="E768" s="42" t="n">
        <v>45268.69166666667</v>
      </c>
      <c r="F768" s="50" t="inlineStr">
        <is>
          <t>Super Carlin Brothers</t>
        </is>
      </c>
      <c r="G768" t="inlineStr">
        <is>
          <t>What’s The Point of Harry Potter | Harry Potter Film Theory</t>
        </is>
      </c>
      <c r="H768" s="44" t="n">
        <v>0.01032407407407407</v>
      </c>
      <c r="I768" s="45" t="n">
        <v>129990</v>
      </c>
      <c r="J768" s="45" t="n">
        <v>6112</v>
      </c>
      <c r="K768" s="45" t="n">
        <v>421</v>
      </c>
      <c r="L768" s="46" t="n"/>
      <c r="M768" s="47" t="n"/>
      <c r="N768" s="47" t="inlineStr">
        <is>
          <t>UCKZo4N0lVPccBkSiuyVh4yg</t>
        </is>
      </c>
      <c r="O768" s="48" t="n">
        <v>45268.9</v>
      </c>
      <c r="P768" s="49" t="n">
        <v>45268</v>
      </c>
      <c r="Q768" s="47" t="n">
        <v>2500</v>
      </c>
      <c r="R768" s="47" t="inlineStr">
        <is>
          <t>No Video ID yet</t>
        </is>
      </c>
      <c r="S768" s="49" t="n"/>
      <c r="T768" s="49" t="n"/>
      <c r="U768" s="47" t="inlineStr">
        <is>
          <t>Go to to get 15% off your next gift! Today Ben dives into the Wizarding World of Harry Potter to ask the big question: What even is the POINT of Harry Potter? Love? Death? Acceptance?</t>
        </is>
      </c>
      <c r="V768" s="47">
        <f>IF(AND(P768&gt;=Calendar!$K$2,P768&lt;EDATE(Calendar!$K$2,1),OR(Calendar!$K$4="*",N768=Calendar!$K$4)),P768*100+COUNTIFS($P$6:$P$3267,P768,$Q$6:$Q$3267,"&lt;="&amp;Q768,$N$6:$N$3267,Calendar!$K$4),"")</f>
        <v/>
      </c>
      <c r="W768" s="47">
        <f>IF(AND(B768=Queue!$C$4,OR(Queue!$K$4="*",N768=Queue!$K$4)),Q768,"")</f>
        <v/>
      </c>
    </row>
    <row r="769">
      <c r="A769" s="38">
        <f>IF(M769="","",HYPERLINK("https://www.youtube.com/watch?v="&amp;M769,"▶"))</f>
        <v/>
      </c>
      <c r="B769" s="39">
        <f>IF(C769&lt;&gt;"",C769,IF(P769&lt;=IFERROR(INDEX(tblChannels[Watched Through],MATCH(N769,tblChannels[Channel ID],0)),0),"Watched","Unwatched"))</f>
        <v/>
      </c>
      <c r="C769" s="40" t="n"/>
      <c r="D769" s="41" t="n"/>
      <c r="E769" s="42" t="n">
        <v>45268.625</v>
      </c>
      <c r="F769" s="52" t="inlineStr">
        <is>
          <t>Super Carlin Gaming</t>
        </is>
      </c>
      <c r="G769" t="inlineStr">
        <is>
          <t>Big Changes Across The Board | Carlin Brothers Box Breakers S8E5</t>
        </is>
      </c>
      <c r="H769" s="44" t="n">
        <v>0.02864583333333333</v>
      </c>
      <c r="I769" s="45" t="n">
        <v>1562</v>
      </c>
      <c r="J769" s="45" t="n">
        <v>89</v>
      </c>
      <c r="K769" s="45" t="n">
        <v>17</v>
      </c>
      <c r="L769" s="46" t="n"/>
      <c r="M769" s="47" t="n"/>
      <c r="N769" s="47" t="inlineStr">
        <is>
          <t>UCor_9jRnNNZVzTuQ92PKsaQ</t>
        </is>
      </c>
      <c r="O769" s="48" t="n">
        <v>45268.83333333334</v>
      </c>
      <c r="P769" s="49" t="n">
        <v>45268</v>
      </c>
      <c r="Q769" s="47" t="n">
        <v>2499</v>
      </c>
      <c r="R769" s="47" t="inlineStr">
        <is>
          <t>No Video ID yet</t>
        </is>
      </c>
      <c r="S769" s="49" t="n"/>
      <c r="T769" s="49" t="n"/>
      <c r="U769" s="47" t="n"/>
      <c r="V769" s="47">
        <f>IF(AND(P769&gt;=Calendar!$K$2,P769&lt;EDATE(Calendar!$K$2,1),OR(Calendar!$K$4="*",N769=Calendar!$K$4)),P769*100+COUNTIFS($P$6:$P$3267,P769,$Q$6:$Q$3267,"&lt;="&amp;Q769,$N$6:$N$3267,Calendar!$K$4),"")</f>
        <v/>
      </c>
      <c r="W769" s="47">
        <f>IF(AND(B769=Queue!$C$4,OR(Queue!$K$4="*",N769=Queue!$K$4)),Q769,"")</f>
        <v/>
      </c>
    </row>
    <row r="770">
      <c r="A770" s="38">
        <f>IF(M770="","",HYPERLINK("https://www.youtube.com/watch?v="&amp;M770,"▶"))</f>
        <v/>
      </c>
      <c r="B770" s="39">
        <f>IF(C770&lt;&gt;"",C770,IF(P770&lt;=IFERROR(INDEX(tblChannels[Watched Through],MATCH(N770,tblChannels[Channel ID],0)),0),"Watched","Unwatched"))</f>
        <v/>
      </c>
      <c r="C770" s="40" t="n"/>
      <c r="D770" s="41" t="n"/>
      <c r="E770" s="42" t="n">
        <v>45268.41666666666</v>
      </c>
      <c r="F770" s="43" t="inlineStr">
        <is>
          <t>Popcorn Culture</t>
        </is>
      </c>
      <c r="G770" t="inlineStr">
        <is>
          <t>1,000 Tootsie Rolls | Popcorn Culture</t>
        </is>
      </c>
      <c r="H770" s="44" t="n">
        <v>0.05356481481481482</v>
      </c>
      <c r="I770" s="45" t="n">
        <v>4429</v>
      </c>
      <c r="J770" s="45" t="n">
        <v>207</v>
      </c>
      <c r="K770" s="45" t="n">
        <v>17</v>
      </c>
      <c r="L770" s="46" t="n"/>
      <c r="M770" s="47" t="n"/>
      <c r="N770" s="47" t="inlineStr">
        <is>
          <t>UCHfIbq9thHPC8yrKjAdJgDA</t>
        </is>
      </c>
      <c r="O770" s="48" t="n">
        <v>45268.625</v>
      </c>
      <c r="P770" s="49" t="n">
        <v>45268</v>
      </c>
      <c r="Q770" s="47" t="n">
        <v>2498</v>
      </c>
      <c r="R770" s="47" t="inlineStr">
        <is>
          <t>No Video ID yet</t>
        </is>
      </c>
      <c r="S770" s="49" t="n"/>
      <c r="T770" s="49" t="n"/>
      <c r="U770" s="47" t="inlineStr">
        <is>
          <t>Ben and J discuss: Hokie football, celebrating Luke’s 6th birthday, arcades, sneaking out, junk food, tungsten, money catcher machine strategy, explaining sleight of hand to a 6 year old and fireworks. New Orleans Pelicans - Tungsten Cubes - Big Ink Secretly Good at Skeeball Real Magic is Just Lying 00:00 - Cold Open 00:38 - Intro, Ben’s Mental Health Improvement 18:20 - Chuck E. Cheese (and Other Tangents)</t>
        </is>
      </c>
      <c r="V770" s="47">
        <f>IF(AND(P770&gt;=Calendar!$K$2,P770&lt;EDATE(Calendar!$K$2,1),OR(Calendar!$K$4="*",N770=Calendar!$K$4)),P770*100+COUNTIFS($P$6:$P$3267,P770,$Q$6:$Q$3267,"&lt;="&amp;Q770,$N$6:$N$3267,Calendar!$K$4),"")</f>
        <v/>
      </c>
      <c r="W770" s="47">
        <f>IF(AND(B770=Queue!$C$4,OR(Queue!$K$4="*",N770=Queue!$K$4)),Q770,"")</f>
        <v/>
      </c>
    </row>
    <row r="771">
      <c r="A771" s="38">
        <f>IF(M771="","",HYPERLINK("https://www.youtube.com/watch?v="&amp;M771,"▶"))</f>
        <v/>
      </c>
      <c r="B771" s="39">
        <f>IF(C771&lt;&gt;"",C771,IF(P771&lt;=IFERROR(INDEX(tblChannels[Watched Through],MATCH(N771,tblChannels[Channel ID],0)),0),"Watched","Unwatched"))</f>
        <v/>
      </c>
      <c r="C771" s="40" t="n"/>
      <c r="D771" s="41" t="n"/>
      <c r="E771" s="42" t="n">
        <v>45266.68958333333</v>
      </c>
      <c r="F771" s="50" t="inlineStr">
        <is>
          <t>Super Carlin Brothers</t>
        </is>
      </c>
      <c r="G771" t="inlineStr">
        <is>
          <t>J vs Ben: ULTIMATE 100 Years of Disney TRIVIA Quiz</t>
        </is>
      </c>
      <c r="H771" s="44" t="n">
        <v>0.02586805555555555</v>
      </c>
      <c r="I771" s="45" t="n">
        <v>92157</v>
      </c>
      <c r="J771" s="45" t="n">
        <v>3733</v>
      </c>
      <c r="K771" s="45" t="n">
        <v>476</v>
      </c>
      <c r="L771" s="46" t="n"/>
      <c r="M771" s="47" t="n"/>
      <c r="N771" s="47" t="inlineStr">
        <is>
          <t>UCKZo4N0lVPccBkSiuyVh4yg</t>
        </is>
      </c>
      <c r="O771" s="48" t="n">
        <v>45266.89791666667</v>
      </c>
      <c r="P771" s="49" t="n">
        <v>45266</v>
      </c>
      <c r="Q771" s="47" t="n">
        <v>2497</v>
      </c>
      <c r="R771" s="47" t="inlineStr">
        <is>
          <t>No Video ID yet</t>
        </is>
      </c>
      <c r="S771" s="49" t="n"/>
      <c r="T771" s="49" t="n"/>
      <c r="U771" s="47" t="inlineStr">
        <is>
          <t>Use our link to get up to 30% off through December 20th and enter free for a chance to win a Ridge bundle worth $4,000. Video Sponsored by Ridge Go to to get 20% off your first order and free shipping. Today J and Ben face off once more to find out who knows more Disney Trivia from the last 100 years! This quiz covers movies, parks AND some general Disney history so buckle up for the ULTIMATE Disney Quiz! #supercarlinbrothers #Disney100 #JvsBen 02:47 - Q1: What was Mickey’s original name? 05:21 - Q2: What song do the Dwarfs sing? 06:48 - Q3: Which Disney princess has dimples? 08:31 - Q4: What does the Fairy Godmother turn into a carriage? 09:26 - Q5: What’s the first movie of the Disney Renaissance? 10:58 - Q6: What does EPCOT stand for? 14:22 - Q7: What wing of Beast’s castle is the rose in? 15:08 - Q8: What does Scar promise the Hyenas? 16:19 - Q9: Who is the youngest Disney villain? 22:11 - Q10: Why did Kuzco fire Yzma? 23:30 - Q11: What makes Mother Gothel return to the tower? 25:45 - Q12: Who has voiced the most Disney characters? 28:01 - Q13: Which troll “adopts” Kristoff and Sven? 29:39 - Q14: Which Disney animated film most recently won an Academy Award? 32:45 - Q15: What w</t>
        </is>
      </c>
      <c r="V771" s="47">
        <f>IF(AND(P771&gt;=Calendar!$K$2,P771&lt;EDATE(Calendar!$K$2,1),OR(Calendar!$K$4="*",N771=Calendar!$K$4)),P771*100+COUNTIFS($P$6:$P$3267,P771,$Q$6:$Q$3267,"&lt;="&amp;Q771,$N$6:$N$3267,Calendar!$K$4),"")</f>
        <v/>
      </c>
      <c r="W771" s="47">
        <f>IF(AND(B771=Queue!$C$4,OR(Queue!$K$4="*",N771=Queue!$K$4)),Q771,"")</f>
        <v/>
      </c>
    </row>
    <row r="772">
      <c r="A772" s="38">
        <f>IF(M772="","",HYPERLINK("https://www.youtube.com/watch?v="&amp;M772,"▶"))</f>
        <v/>
      </c>
      <c r="B772" s="39">
        <f>IF(C772&lt;&gt;"",C772,IF(P772&lt;=IFERROR(INDEX(tblChannels[Watched Through],MATCH(N772,tblChannels[Channel ID],0)),0),"Watched","Unwatched"))</f>
        <v/>
      </c>
      <c r="C772" s="40" t="n"/>
      <c r="D772" s="41" t="n"/>
      <c r="E772" s="42" t="n">
        <v>45263.41666666666</v>
      </c>
      <c r="F772" s="51" t="inlineStr">
        <is>
          <t>Through The Griffin Door</t>
        </is>
      </c>
      <c r="G772" t="inlineStr">
        <is>
          <t>Chapter 12: The Mirror of Erised | Philosopher's Stone</t>
        </is>
      </c>
      <c r="H772" s="44" t="n">
        <v>0.05988425925925926</v>
      </c>
      <c r="I772" s="45" t="n">
        <v>89147</v>
      </c>
      <c r="J772" s="45" t="n">
        <v>2505</v>
      </c>
      <c r="K772" s="45" t="n">
        <v>494</v>
      </c>
      <c r="L772" s="46" t="n"/>
      <c r="M772" s="47" t="n"/>
      <c r="N772" s="47" t="inlineStr">
        <is>
          <t>UCEscP6ETYXWSSvsNrDHekMQ</t>
        </is>
      </c>
      <c r="O772" s="48" t="n">
        <v>45263.625</v>
      </c>
      <c r="P772" s="49" t="n">
        <v>45263</v>
      </c>
      <c r="Q772" s="47" t="n">
        <v>2496</v>
      </c>
      <c r="R772" s="47" t="inlineStr">
        <is>
          <t>No Video ID yet</t>
        </is>
      </c>
      <c r="S772" s="49" t="n"/>
      <c r="T772" s="49" t="n"/>
      <c r="U772" s="47" t="inlineStr">
        <is>
          <t>Join J and Ben as they dive into Chapter 12 of the Philosopher’s Stone and discuss the snowballs hitting Voldemort, Malfoy’s taunting tactics, Hagrid dragging in the trees, points system, Christmas decorations, wizards’ chess, Harry’s gifts, the Christmas feast, the mirror, Peverell brothers theories, what Ron sees, and Dumbledore in the room. Potter Puppet Pals - Have a question you’d like answered for a future episode? Submit it here: 04:35 - Chapter Breakdown 1:20:19- Closing Thoughts and Chapter Art</t>
        </is>
      </c>
      <c r="V772" s="47">
        <f>IF(AND(P772&gt;=Calendar!$K$2,P772&lt;EDATE(Calendar!$K$2,1),OR(Calendar!$K$4="*",N772=Calendar!$K$4)),P772*100+COUNTIFS($P$6:$P$3267,P772,$Q$6:$Q$3267,"&lt;="&amp;Q772,$N$6:$N$3267,Calendar!$K$4),"")</f>
        <v/>
      </c>
      <c r="W772" s="47">
        <f>IF(AND(B772=Queue!$C$4,OR(Queue!$K$4="*",N772=Queue!$K$4)),Q772,"")</f>
        <v/>
      </c>
    </row>
    <row r="773">
      <c r="A773" s="38">
        <f>IF(M773="","",HYPERLINK("https://www.youtube.com/watch?v="&amp;M773,"▶"))</f>
        <v/>
      </c>
      <c r="B773" s="39">
        <f>IF(C773&lt;&gt;"",C773,IF(P773&lt;=IFERROR(INDEX(tblChannels[Watched Through],MATCH(N773,tblChannels[Channel ID],0)),0),"Watched","Unwatched"))</f>
        <v/>
      </c>
      <c r="C773" s="40" t="n"/>
      <c r="D773" s="41" t="n"/>
      <c r="E773" s="42" t="n">
        <v>45261.71666666667</v>
      </c>
      <c r="F773" s="50" t="inlineStr">
        <is>
          <t>Super Carlin Brothers</t>
        </is>
      </c>
      <c r="G773" t="inlineStr">
        <is>
          <t>Why Does Dumbledore GOOGLE AUTOFILL | Harry Potter Film Theory</t>
        </is>
      </c>
      <c r="H773" s="44" t="n">
        <v>0.01423611111111111</v>
      </c>
      <c r="I773" s="45" t="n">
        <v>201449</v>
      </c>
      <c r="J773" s="45" t="n">
        <v>8387</v>
      </c>
      <c r="K773" s="45" t="n">
        <v>689</v>
      </c>
      <c r="L773" s="46" t="n"/>
      <c r="M773" s="47" t="n"/>
      <c r="N773" s="47" t="inlineStr">
        <is>
          <t>UCKZo4N0lVPccBkSiuyVh4yg</t>
        </is>
      </c>
      <c r="O773" s="48" t="n">
        <v>45261.925</v>
      </c>
      <c r="P773" s="49" t="n">
        <v>45261</v>
      </c>
      <c r="Q773" s="47" t="n">
        <v>2495</v>
      </c>
      <c r="R773" s="47" t="inlineStr">
        <is>
          <t>No Video ID yet</t>
        </is>
      </c>
      <c r="S773" s="49" t="n"/>
      <c r="T773" s="49" t="n"/>
      <c r="U773" s="47" t="inlineStr">
        <is>
          <t>Today J dives into the Wizarding World of Harry Potter to answer Googles most asked questions about Hogwarts most famous headmaster: Albus Dumbledore. Why does Dumbledore Trust Hagrid? Why Does Dumbledore Ignore Harry? Why Does Dumbledore ask Snape to Kill him?! #supercarlinbrothers #HarryPotter #GoogleAutofill</t>
        </is>
      </c>
      <c r="V773" s="47">
        <f>IF(AND(P773&gt;=Calendar!$K$2,P773&lt;EDATE(Calendar!$K$2,1),OR(Calendar!$K$4="*",N773=Calendar!$K$4)),P773*100+COUNTIFS($P$6:$P$3267,P773,$Q$6:$Q$3267,"&lt;="&amp;Q773,$N$6:$N$3267,Calendar!$K$4),"")</f>
        <v/>
      </c>
      <c r="W773" s="47">
        <f>IF(AND(B773=Queue!$C$4,OR(Queue!$K$4="*",N773=Queue!$K$4)),Q773,"")</f>
        <v/>
      </c>
    </row>
    <row r="774">
      <c r="A774" s="38">
        <f>IF(M774="","",HYPERLINK("https://www.youtube.com/watch?v="&amp;M774,"▶"))</f>
        <v/>
      </c>
      <c r="B774" s="39">
        <f>IF(C774&lt;&gt;"",C774,IF(P774&lt;=IFERROR(INDEX(tblChannels[Watched Through],MATCH(N774,tblChannels[Channel ID],0)),0),"Watched","Unwatched"))</f>
        <v/>
      </c>
      <c r="C774" s="40" t="n"/>
      <c r="D774" s="41" t="n"/>
      <c r="E774" s="42" t="n">
        <v>45261.41666666666</v>
      </c>
      <c r="F774" s="43" t="inlineStr">
        <is>
          <t>Popcorn Culture</t>
        </is>
      </c>
      <c r="G774" t="inlineStr">
        <is>
          <t>DEATH CAT | Popcorn Culture</t>
        </is>
      </c>
      <c r="H774" s="44" t="n">
        <v>0.04423611111111111</v>
      </c>
      <c r="I774" s="45" t="n">
        <v>4202</v>
      </c>
      <c r="J774" s="45" t="n">
        <v>215</v>
      </c>
      <c r="K774" s="45" t="n">
        <v>35</v>
      </c>
      <c r="L774" s="46" t="n"/>
      <c r="M774" s="47" t="n"/>
      <c r="N774" s="47" t="inlineStr">
        <is>
          <t>UCHfIbq9thHPC8yrKjAdJgDA</t>
        </is>
      </c>
      <c r="O774" s="48" t="n">
        <v>45261.625</v>
      </c>
      <c r="P774" s="49" t="n">
        <v>45261</v>
      </c>
      <c r="Q774" s="47" t="n">
        <v>2494</v>
      </c>
      <c r="R774" s="47" t="inlineStr">
        <is>
          <t>No Video ID yet</t>
        </is>
      </c>
      <c r="S774" s="49" t="n"/>
      <c r="T774" s="49" t="n"/>
      <c r="U774" s="47" t="inlineStr">
        <is>
          <t>In the 208th episode of the Pop, Ben and J discuss the nuance of routine vs the discoverability of the impromptu, saying “interesting” as a filler, party interactions and shared interests, loving things UNapologetically, and a crazy dream J had. Inside Out - Interviewer of Friends UNapologetically Loving Things Block Buster 00:00 - Cold Open: Routine vs. Impromptu 9:06 - Intro: The Interesting Paradox 53:04 - Death Cat</t>
        </is>
      </c>
      <c r="V774" s="47">
        <f>IF(AND(P774&gt;=Calendar!$K$2,P774&lt;EDATE(Calendar!$K$2,1),OR(Calendar!$K$4="*",N774=Calendar!$K$4)),P774*100+COUNTIFS($P$6:$P$3267,P774,$Q$6:$Q$3267,"&lt;="&amp;Q774,$N$6:$N$3267,Calendar!$K$4),"")</f>
        <v/>
      </c>
      <c r="W774" s="47">
        <f>IF(AND(B774=Queue!$C$4,OR(Queue!$K$4="*",N774=Queue!$K$4)),Q774,"")</f>
        <v/>
      </c>
    </row>
    <row r="775">
      <c r="A775" s="38">
        <f>IF(M775="","",HYPERLINK("https://www.youtube.com/watch?v="&amp;M775,"▶"))</f>
        <v/>
      </c>
      <c r="B775" s="39">
        <f>IF(C775&lt;&gt;"",C775,IF(P775&lt;=IFERROR(INDEX(tblChannels[Watched Through],MATCH(N775,tblChannels[Channel ID],0)),0),"Watched","Unwatched"))</f>
        <v/>
      </c>
      <c r="C775" s="40" t="n"/>
      <c r="D775" s="41" t="n"/>
      <c r="E775" s="42" t="n">
        <v>45260.77083333334</v>
      </c>
      <c r="F775" s="52" t="inlineStr">
        <is>
          <t>Super Carlin Gaming</t>
        </is>
      </c>
      <c r="G775" t="inlineStr">
        <is>
          <t>It's Time To Get Raucuous | Carlin Brothers Box Breakers S8E4</t>
        </is>
      </c>
      <c r="H775" s="44" t="n">
        <v>0.02519675925925926</v>
      </c>
      <c r="I775" s="45" t="n">
        <v>1400</v>
      </c>
      <c r="J775" s="45" t="n">
        <v>74</v>
      </c>
      <c r="K775" s="45" t="n">
        <v>10</v>
      </c>
      <c r="L775" s="46" t="n"/>
      <c r="M775" s="47" t="n"/>
      <c r="N775" s="47" t="inlineStr">
        <is>
          <t>UCor_9jRnNNZVzTuQ92PKsaQ</t>
        </is>
      </c>
      <c r="O775" s="48" t="n">
        <v>45260.97916666666</v>
      </c>
      <c r="P775" s="49" t="n">
        <v>45260</v>
      </c>
      <c r="Q775" s="47" t="n">
        <v>2493</v>
      </c>
      <c r="R775" s="47" t="inlineStr">
        <is>
          <t>No Video ID yet</t>
        </is>
      </c>
      <c r="S775" s="49" t="n"/>
      <c r="T775" s="49" t="n"/>
      <c r="U775" s="47" t="n"/>
      <c r="V775" s="47">
        <f>IF(AND(P775&gt;=Calendar!$K$2,P775&lt;EDATE(Calendar!$K$2,1),OR(Calendar!$K$4="*",N775=Calendar!$K$4)),P775*100+COUNTIFS($P$6:$P$3267,P775,$Q$6:$Q$3267,"&lt;="&amp;Q775,$N$6:$N$3267,Calendar!$K$4),"")</f>
        <v/>
      </c>
      <c r="W775" s="47">
        <f>IF(AND(B775=Queue!$C$4,OR(Queue!$K$4="*",N775=Queue!$K$4)),Q775,"")</f>
        <v/>
      </c>
    </row>
    <row r="776">
      <c r="A776" s="38">
        <f>IF(M776="","",HYPERLINK("https://www.youtube.com/watch?v="&amp;M776,"▶"))</f>
        <v/>
      </c>
      <c r="B776" s="39">
        <f>IF(C776&lt;&gt;"",C776,IF(P776&lt;=IFERROR(INDEX(tblChannels[Watched Through],MATCH(N776,tblChannels[Channel ID],0)),0),"Watched","Unwatched"))</f>
        <v/>
      </c>
      <c r="C776" s="40" t="n"/>
      <c r="D776" s="41" t="n"/>
      <c r="E776" s="42" t="n">
        <v>45259.71527777778</v>
      </c>
      <c r="F776" s="50" t="inlineStr">
        <is>
          <t>Super Carlin Brothers</t>
        </is>
      </c>
      <c r="G776" t="inlineStr">
        <is>
          <t>Olaf Is Always Right?! | Frozen Disney Film Theory</t>
        </is>
      </c>
      <c r="H776" s="44" t="n">
        <v>0.01275462962962963</v>
      </c>
      <c r="I776" s="45" t="n">
        <v>71830</v>
      </c>
      <c r="J776" s="45" t="n">
        <v>4068</v>
      </c>
      <c r="K776" s="45" t="n">
        <v>265</v>
      </c>
      <c r="L776" s="46" t="n"/>
      <c r="M776" s="47" t="n"/>
      <c r="N776" s="47" t="inlineStr">
        <is>
          <t>UCKZo4N0lVPccBkSiuyVh4yg</t>
        </is>
      </c>
      <c r="O776" s="48" t="n">
        <v>45259.92361111111</v>
      </c>
      <c r="P776" s="49" t="n">
        <v>45259</v>
      </c>
      <c r="Q776" s="47" t="n">
        <v>2492</v>
      </c>
      <c r="R776" s="47" t="inlineStr">
        <is>
          <t>No Video ID yet</t>
        </is>
      </c>
      <c r="S776" s="49" t="n"/>
      <c r="T776" s="49" t="n"/>
      <c r="U776" s="47" t="inlineStr">
        <is>
          <t>Head on over to to sign up for a $1-per-month trial period. Today Ben dives into the freezing world of Frozen to find out if you can actually survive a dive into the freezing world of 20 feet of fresh powder! Plus we fact check all of Olaf’s odd bits of trivia in frozen 2. #supercarlinbrothers #Frozen</t>
        </is>
      </c>
      <c r="V776" s="47">
        <f>IF(AND(P776&gt;=Calendar!$K$2,P776&lt;EDATE(Calendar!$K$2,1),OR(Calendar!$K$4="*",N776=Calendar!$K$4)),P776*100+COUNTIFS($P$6:$P$3267,P776,$Q$6:$Q$3267,"&lt;="&amp;Q776,$N$6:$N$3267,Calendar!$K$4),"")</f>
        <v/>
      </c>
      <c r="W776" s="47">
        <f>IF(AND(B776=Queue!$C$4,OR(Queue!$K$4="*",N776=Queue!$K$4)),Q776,"")</f>
        <v/>
      </c>
    </row>
    <row r="777">
      <c r="A777" s="38">
        <f>IF(M777="","",HYPERLINK("https://www.youtube.com/watch?v="&amp;M777,"▶"))</f>
        <v/>
      </c>
      <c r="B777" s="39">
        <f>IF(C777&lt;&gt;"",C777,IF(P777&lt;=IFERROR(INDEX(tblChannels[Watched Through],MATCH(N777,tblChannels[Channel ID],0)),0),"Watched","Unwatched"))</f>
        <v/>
      </c>
      <c r="C777" s="40" t="n"/>
      <c r="D777" s="41" t="n"/>
      <c r="E777" s="42" t="n">
        <v>45256.41666666666</v>
      </c>
      <c r="F777" s="51" t="inlineStr">
        <is>
          <t>Through The Griffin Door</t>
        </is>
      </c>
      <c r="G777" t="inlineStr">
        <is>
          <t>Chapter 11: Quidditch | Philosopher's Stone</t>
        </is>
      </c>
      <c r="H777" s="44" t="n">
        <v>0.04322916666666667</v>
      </c>
      <c r="I777" s="45" t="n">
        <v>75553</v>
      </c>
      <c r="J777" s="45" t="n">
        <v>2322</v>
      </c>
      <c r="K777" s="45" t="n">
        <v>410</v>
      </c>
      <c r="L777" s="46" t="n"/>
      <c r="M777" s="47" t="n"/>
      <c r="N777" s="47" t="inlineStr">
        <is>
          <t>UCEscP6ETYXWSSvsNrDHekMQ</t>
        </is>
      </c>
      <c r="O777" s="48" t="n">
        <v>45256.625</v>
      </c>
      <c r="P777" s="49" t="n">
        <v>45256</v>
      </c>
      <c r="Q777" s="47" t="n">
        <v>2491</v>
      </c>
      <c r="R777" s="47" t="inlineStr">
        <is>
          <t>No Video ID yet</t>
        </is>
      </c>
      <c r="S777" s="49" t="n"/>
      <c r="T777" s="49" t="n"/>
      <c r="U777" s="47" t="inlineStr">
        <is>
          <t>Join J and Ben as they dive into Chapter 11 of the Philosopher’s Stone and discuss broomsticks, the connection between Quidditch and the House Cup, Hogwarts textbooks, the teachers lounge, Fluffy’s bite, Oliver’s speech, Lee’s commentary and other details of Harry’s first Quidditch match, and Hagrid’s slip up. Do Broomsticks Have Magical Cores? - Have a question you’d like answered for a future episode? Submit it here: 02:43 - Chapter Breakdown 52:33 - Closing Thoughts and Chapter Art</t>
        </is>
      </c>
      <c r="V777" s="47">
        <f>IF(AND(P777&gt;=Calendar!$K$2,P777&lt;EDATE(Calendar!$K$2,1),OR(Calendar!$K$4="*",N777=Calendar!$K$4)),P777*100+COUNTIFS($P$6:$P$3267,P777,$Q$6:$Q$3267,"&lt;="&amp;Q777,$N$6:$N$3267,Calendar!$K$4),"")</f>
        <v/>
      </c>
      <c r="W777" s="47">
        <f>IF(AND(B777=Queue!$C$4,OR(Queue!$K$4="*",N777=Queue!$K$4)),Q777,"")</f>
        <v/>
      </c>
    </row>
    <row r="778">
      <c r="A778" s="38">
        <f>IF(M778="","",HYPERLINK("https://www.youtube.com/watch?v="&amp;M778,"▶"))</f>
        <v/>
      </c>
      <c r="B778" s="39">
        <f>IF(C778&lt;&gt;"",C778,IF(P778&lt;=IFERROR(INDEX(tblChannels[Watched Through],MATCH(N778,tblChannels[Channel ID],0)),0),"Watched","Unwatched"))</f>
        <v/>
      </c>
      <c r="C778" s="40" t="n"/>
      <c r="D778" s="41" t="n"/>
      <c r="E778" s="42" t="n">
        <v>45254.625</v>
      </c>
      <c r="F778" s="52" t="inlineStr">
        <is>
          <t>Super Carlin Gaming</t>
        </is>
      </c>
      <c r="G778" t="inlineStr">
        <is>
          <t>FROM FIRST TO LAST |  Carlin Brothers Box Breakers S8E3</t>
        </is>
      </c>
      <c r="H778" s="44" t="n">
        <v>0.02700231481481482</v>
      </c>
      <c r="I778" s="45" t="n">
        <v>1848</v>
      </c>
      <c r="J778" s="45" t="n">
        <v>87</v>
      </c>
      <c r="K778" s="45" t="n">
        <v>6</v>
      </c>
      <c r="L778" s="46" t="n"/>
      <c r="M778" s="47" t="n"/>
      <c r="N778" s="47" t="inlineStr">
        <is>
          <t>UCor_9jRnNNZVzTuQ92PKsaQ</t>
        </is>
      </c>
      <c r="O778" s="48" t="n">
        <v>45254.83333333334</v>
      </c>
      <c r="P778" s="49" t="n">
        <v>45254</v>
      </c>
      <c r="Q778" s="47" t="n">
        <v>2490</v>
      </c>
      <c r="R778" s="47" t="inlineStr">
        <is>
          <t>No Video ID yet</t>
        </is>
      </c>
      <c r="S778" s="49" t="n"/>
      <c r="T778" s="49" t="n"/>
      <c r="U778" s="47" t="n"/>
      <c r="V778" s="47">
        <f>IF(AND(P778&gt;=Calendar!$K$2,P778&lt;EDATE(Calendar!$K$2,1),OR(Calendar!$K$4="*",N778=Calendar!$K$4)),P778*100+COUNTIFS($P$6:$P$3267,P778,$Q$6:$Q$3267,"&lt;="&amp;Q778,$N$6:$N$3267,Calendar!$K$4),"")</f>
        <v/>
      </c>
      <c r="W778" s="47">
        <f>IF(AND(B778=Queue!$C$4,OR(Queue!$K$4="*",N778=Queue!$K$4)),Q778,"")</f>
        <v/>
      </c>
    </row>
    <row r="779">
      <c r="A779" s="38">
        <f>IF(M779="","",HYPERLINK("https://www.youtube.com/watch?v="&amp;M779,"▶"))</f>
        <v/>
      </c>
      <c r="B779" s="39">
        <f>IF(C779&lt;&gt;"",C779,IF(P779&lt;=IFERROR(INDEX(tblChannels[Watched Through],MATCH(N779,tblChannels[Channel ID],0)),0),"Watched","Unwatched"))</f>
        <v/>
      </c>
      <c r="C779" s="40" t="n"/>
      <c r="D779" s="41" t="n"/>
      <c r="E779" s="42" t="n">
        <v>45254.41666666666</v>
      </c>
      <c r="F779" s="43" t="inlineStr">
        <is>
          <t>Popcorn Culture</t>
        </is>
      </c>
      <c r="G779" t="inlineStr">
        <is>
          <t>The Never Before Popped Special! | Popcorn Culture</t>
        </is>
      </c>
      <c r="H779" s="44" t="n">
        <v>0.05863425925925926</v>
      </c>
      <c r="I779" s="45" t="n">
        <v>4876</v>
      </c>
      <c r="J779" s="45" t="n">
        <v>226</v>
      </c>
      <c r="K779" s="45" t="n">
        <v>14</v>
      </c>
      <c r="L779" s="46" t="n"/>
      <c r="M779" s="47" t="n"/>
      <c r="N779" s="47" t="inlineStr">
        <is>
          <t>UCHfIbq9thHPC8yrKjAdJgDA</t>
        </is>
      </c>
      <c r="O779" s="48" t="n">
        <v>45254.625</v>
      </c>
      <c r="P779" s="49" t="n">
        <v>45254</v>
      </c>
      <c r="Q779" s="47" t="n">
        <v>2489</v>
      </c>
      <c r="R779" s="47" t="inlineStr">
        <is>
          <t>No Video ID yet</t>
        </is>
      </c>
      <c r="S779" s="49" t="n"/>
      <c r="T779" s="49" t="n"/>
      <c r="U779" s="47" t="inlineStr">
        <is>
          <t>This week we wanted to give everyone a little preview of what it’s like over on ye ol’ patreon with a few of the After the Final Pop episodes. If these pique your interest and you are not yet a member of our Patreon community you can sign up right here: In the 207th episode of the Pop (sort of) Ben and J discuss bubble gum, shock pens, 1,000 paper crane wishes, “favorite song” questions, Mt. Kilimanjaro/Machu Picchu/ the Great Barrier Reef, Midjourney’s confusion, potatoes, and carnival games. Blink182 - Last Mango in Paris - Come With Me Now - Imagine Dragons - 02:48 - AtFP part 1: Bubble Gum 29:39 - AtFP part 2: Wishing 57:33 - AtFP part 3: Random Proper Nouns</t>
        </is>
      </c>
      <c r="V779" s="47">
        <f>IF(AND(P779&gt;=Calendar!$K$2,P779&lt;EDATE(Calendar!$K$2,1),OR(Calendar!$K$4="*",N779=Calendar!$K$4)),P779*100+COUNTIFS($P$6:$P$3267,P779,$Q$6:$Q$3267,"&lt;="&amp;Q779,$N$6:$N$3267,Calendar!$K$4),"")</f>
        <v/>
      </c>
      <c r="W779" s="47">
        <f>IF(AND(B779=Queue!$C$4,OR(Queue!$K$4="*",N779=Queue!$K$4)),Q779,"")</f>
        <v/>
      </c>
    </row>
    <row r="780">
      <c r="A780" s="38">
        <f>IF(M780="","",HYPERLINK("https://www.youtube.com/watch?v="&amp;M780,"▶"))</f>
        <v/>
      </c>
      <c r="B780" s="39">
        <f>IF(C780&lt;&gt;"",C780,IF(P780&lt;=IFERROR(INDEX(tblChannels[Watched Through],MATCH(N780,tblChannels[Channel ID],0)),0),"Watched","Unwatched"))</f>
        <v/>
      </c>
      <c r="C780" s="40" t="n"/>
      <c r="D780" s="41" t="n"/>
      <c r="E780" s="42" t="n">
        <v>45253.625</v>
      </c>
      <c r="F780" s="50" t="inlineStr">
        <is>
          <t>Super Carlin Brothers</t>
        </is>
      </c>
      <c r="G780" t="inlineStr">
        <is>
          <t>J vs Ben: HOTTEST Goblet of Fire Harry Potter Trivia Quiz EVER</t>
        </is>
      </c>
      <c r="H780" s="44" t="n">
        <v>0.03104166666666667</v>
      </c>
      <c r="I780" s="45" t="n">
        <v>208257</v>
      </c>
      <c r="J780" s="45" t="n">
        <v>7393</v>
      </c>
      <c r="K780" s="45" t="n">
        <v>685</v>
      </c>
      <c r="L780" s="46" t="n"/>
      <c r="M780" s="47" t="n"/>
      <c r="N780" s="47" t="inlineStr">
        <is>
          <t>UCKZo4N0lVPccBkSiuyVh4yg</t>
        </is>
      </c>
      <c r="O780" s="48" t="n">
        <v>45253.83333333334</v>
      </c>
      <c r="P780" s="49" t="n">
        <v>45253</v>
      </c>
      <c r="Q780" s="47" t="n">
        <v>2488</v>
      </c>
      <c r="R780" s="47" t="inlineStr">
        <is>
          <t>No Video ID yet</t>
        </is>
      </c>
      <c r="S780" s="49" t="n"/>
      <c r="T780" s="49" t="n"/>
      <c r="U780" s="47" t="inlineStr">
        <is>
          <t xml:space="preserve">Go to to get 25% off your first order and free shipping. Use my link to get up to 30% off through December 20th and enter free for a chance to win a Ridge bundle worth $4,000. Video Sponsored by Ridge. Happy Thanksgiving! As is the tradition around here Ben and J are taking on another Goblet of Fire Quiz and punishing themselves with Hot Wings for wrong answers. This Years Sauce (enjoy at your own risk) Taco Vibes Only :: 02:40 - Q1: What happened when Voldemort and Harry's spells connected? 03:47 - Q2: What is the date of the second task? 06:58 - Q3: What is Rita Skeeter's handbag made of? 08:08 - Q4: What does Ron suggest Hermione change SPEW to? 09:40 - Q5: What plant does the class have to extract pus from? 11:26 - Q6: What prize did Ron win because of the Niffler? 12:55 - Q7: What was the headline for Harry's Witch Weekly article? 16:20 - Q8: What did the twins fake wands turn into? 19:16 - Q9: Who did Arthur borrow the tent from? 27:02 - Q10: Who asked Angelina to the Yule Ball? 28:33 - Q11: What color does the potion turn after Wormtail adds Harry's blood? 32:09 - Q12: When did the other two schools come to Hogwarts? 36:13 - Q13: What sustained Voldemort while at the Riddle </t>
        </is>
      </c>
      <c r="V780" s="47">
        <f>IF(AND(P780&gt;=Calendar!$K$2,P780&lt;EDATE(Calendar!$K$2,1),OR(Calendar!$K$4="*",N780=Calendar!$K$4)),P780*100+COUNTIFS($P$6:$P$3267,P780,$Q$6:$Q$3267,"&lt;="&amp;Q780,$N$6:$N$3267,Calendar!$K$4),"")</f>
        <v/>
      </c>
      <c r="W780" s="47">
        <f>IF(AND(B780=Queue!$C$4,OR(Queue!$K$4="*",N780=Queue!$K$4)),Q780,"")</f>
        <v/>
      </c>
    </row>
    <row r="781">
      <c r="A781" s="38">
        <f>IF(M781="","",HYPERLINK("https://www.youtube.com/watch?v="&amp;M781,"▶"))</f>
        <v/>
      </c>
      <c r="B781" s="39">
        <f>IF(C781&lt;&gt;"",C781,IF(P781&lt;=IFERROR(INDEX(tblChannels[Watched Through],MATCH(N781,tblChannels[Channel ID],0)),0),"Watched","Unwatched"))</f>
        <v/>
      </c>
      <c r="C781" s="40" t="n"/>
      <c r="D781" s="41" t="n"/>
      <c r="E781" s="42" t="n">
        <v>45252.74513888889</v>
      </c>
      <c r="F781" s="50" t="inlineStr">
        <is>
          <t>Super Carlin Brothers</t>
        </is>
      </c>
      <c r="G781" t="inlineStr">
        <is>
          <t>What If Fudge Had BELIEVED Harry? | Harry Potter Film Theory</t>
        </is>
      </c>
      <c r="H781" s="44" t="n">
        <v>0.01386574074074074</v>
      </c>
      <c r="I781" s="45" t="n">
        <v>397507</v>
      </c>
      <c r="J781" s="45" t="n">
        <v>11933</v>
      </c>
      <c r="K781" s="45" t="n">
        <v>891</v>
      </c>
      <c r="L781" s="46" t="n"/>
      <c r="M781" s="47" t="n"/>
      <c r="N781" s="47" t="inlineStr">
        <is>
          <t>UCKZo4N0lVPccBkSiuyVh4yg</t>
        </is>
      </c>
      <c r="O781" s="48" t="n">
        <v>45252.95347222222</v>
      </c>
      <c r="P781" s="49" t="n">
        <v>45252</v>
      </c>
      <c r="Q781" s="47" t="n">
        <v>2487</v>
      </c>
      <c r="R781" s="47" t="inlineStr">
        <is>
          <t>No Video ID yet</t>
        </is>
      </c>
      <c r="S781" s="49" t="n"/>
      <c r="T781" s="49" t="n"/>
      <c r="U781" s="47" t="inlineStr">
        <is>
          <t>Head on over to to get 15% off! Today J dives into the Wizarding World of Harry Potter to discover what WOULD have happened if Cornelius Fudge had just believed Harry at the end of Goblet of Fire that Voldemort was back?!</t>
        </is>
      </c>
      <c r="V781" s="47">
        <f>IF(AND(P781&gt;=Calendar!$K$2,P781&lt;EDATE(Calendar!$K$2,1),OR(Calendar!$K$4="*",N781=Calendar!$K$4)),P781*100+COUNTIFS($P$6:$P$3267,P781,$Q$6:$Q$3267,"&lt;="&amp;Q781,$N$6:$N$3267,Calendar!$K$4),"")</f>
        <v/>
      </c>
      <c r="W781" s="47">
        <f>IF(AND(B781=Queue!$C$4,OR(Queue!$K$4="*",N781=Queue!$K$4)),Q781,"")</f>
        <v/>
      </c>
    </row>
    <row r="782">
      <c r="A782" s="38">
        <f>IF(M782="","",HYPERLINK("https://www.youtube.com/watch?v="&amp;M782,"▶"))</f>
        <v/>
      </c>
      <c r="B782" s="39">
        <f>IF(C782&lt;&gt;"",C782,IF(P782&lt;=IFERROR(INDEX(tblChannels[Watched Through],MATCH(N782,tblChannels[Channel ID],0)),0),"Watched","Unwatched"))</f>
        <v/>
      </c>
      <c r="C782" s="40" t="n"/>
      <c r="D782" s="41" t="n"/>
      <c r="E782" s="42" t="n">
        <v>45249.41666666666</v>
      </c>
      <c r="F782" s="51" t="inlineStr">
        <is>
          <t>Through The Griffin Door</t>
        </is>
      </c>
      <c r="G782" t="inlineStr">
        <is>
          <t>Chapter 10: Halloween | Philosopher's Stone</t>
        </is>
      </c>
      <c r="H782" s="44" t="n">
        <v>0.04549768518518518</v>
      </c>
      <c r="I782" s="45" t="n">
        <v>81905</v>
      </c>
      <c r="J782" s="45" t="n">
        <v>2423</v>
      </c>
      <c r="K782" s="45" t="n">
        <v>493</v>
      </c>
      <c r="L782" s="46" t="n"/>
      <c r="M782" s="47" t="n"/>
      <c r="N782" s="47" t="inlineStr">
        <is>
          <t>UCEscP6ETYXWSSvsNrDHekMQ</t>
        </is>
      </c>
      <c r="O782" s="48" t="n">
        <v>45249.625</v>
      </c>
      <c r="P782" s="49" t="n">
        <v>45249</v>
      </c>
      <c r="Q782" s="47" t="n">
        <v>2486</v>
      </c>
      <c r="R782" s="47" t="inlineStr">
        <is>
          <t>No Video ID yet</t>
        </is>
      </c>
      <c r="S782" s="49" t="n"/>
      <c r="T782" s="49" t="n"/>
      <c r="U782" s="47" t="inlineStr">
        <is>
          <t>Join J and Ben as they dive into Chapter 10 of the Philosopher’s Stone and discuss end of the midnight duel, the Nimbus 2000, wizard’s shocking lack of knowledge on muggle sports, the mechanics of Quidditch, professional Quidditch, Baruffio the Wizard, social life development, Quirrell and the troll, fighting the troll, convoluted points system and the golden trio being formed. Have a question you’d like answered for a future episode? Submit it here:</t>
        </is>
      </c>
      <c r="V782" s="47">
        <f>IF(AND(P782&gt;=Calendar!$K$2,P782&lt;EDATE(Calendar!$K$2,1),OR(Calendar!$K$4="*",N782=Calendar!$K$4)),P782*100+COUNTIFS($P$6:$P$3267,P782,$Q$6:$Q$3267,"&lt;="&amp;Q782,$N$6:$N$3267,Calendar!$K$4),"")</f>
        <v/>
      </c>
      <c r="W782" s="47">
        <f>IF(AND(B782=Queue!$C$4,OR(Queue!$K$4="*",N782=Queue!$K$4)),Q782,"")</f>
        <v/>
      </c>
    </row>
    <row r="783">
      <c r="A783" s="38">
        <f>IF(M783="","",HYPERLINK("https://www.youtube.com/watch?v="&amp;M783,"▶"))</f>
        <v/>
      </c>
      <c r="B783" s="39">
        <f>IF(C783&lt;&gt;"",C783,IF(P783&lt;=IFERROR(INDEX(tblChannels[Watched Through],MATCH(N783,tblChannels[Channel ID],0)),0),"Watched","Unwatched"))</f>
        <v/>
      </c>
      <c r="C783" s="40" t="n"/>
      <c r="D783" s="41" t="n"/>
      <c r="E783" s="42" t="n">
        <v>45249.29166666666</v>
      </c>
      <c r="F783" s="50" t="inlineStr">
        <is>
          <t>Super Carlin Brothers</t>
        </is>
      </c>
      <c r="G783" t="inlineStr">
        <is>
          <t>Through the Griffin Door Supercut: Chapter 7-9 | Philosopher’s Stone</t>
        </is>
      </c>
      <c r="H783" s="44" t="n">
        <v>0.1408680555555556</v>
      </c>
      <c r="I783" s="45" t="n">
        <v>142237</v>
      </c>
      <c r="J783" s="45" t="n">
        <v>1434</v>
      </c>
      <c r="K783" s="45" t="n">
        <v>287</v>
      </c>
      <c r="L783" s="46" t="n"/>
      <c r="M783" s="47" t="n"/>
      <c r="N783" s="47" t="inlineStr">
        <is>
          <t>UCKZo4N0lVPccBkSiuyVh4yg</t>
        </is>
      </c>
      <c r="O783" s="48" t="n">
        <v>45249.5</v>
      </c>
      <c r="P783" s="49" t="n">
        <v>45249</v>
      </c>
      <c r="Q783" s="47" t="n">
        <v>2485</v>
      </c>
      <c r="R783" s="47" t="inlineStr">
        <is>
          <t>No Video ID yet</t>
        </is>
      </c>
      <c r="S783" s="49" t="n"/>
      <c r="T783" s="49" t="n"/>
      <c r="U783" s="47" t="inlineStr">
        <is>
          <t>Join J and Ben as they embark on their newest endeavor: rereading the Harry Potter series in this chapter by chapter recap podcast! We hope you enjoy all the Harry Potter goodness that this podcast will bring. Come along as we go Through the Griffin Door. 00:00:00 Introduction 00:00:44 Chapter 7: The Sorting Hat 01:09:39 Chapter 8: The Potions Master 02:08:05 Chapter 9: The Midnight Duel #supercarlinbrothers #HarryPotter #ThroughTheGriffinDoor</t>
        </is>
      </c>
      <c r="V783" s="47">
        <f>IF(AND(P783&gt;=Calendar!$K$2,P783&lt;EDATE(Calendar!$K$2,1),OR(Calendar!$K$4="*",N783=Calendar!$K$4)),P783*100+COUNTIFS($P$6:$P$3267,P783,$Q$6:$Q$3267,"&lt;="&amp;Q783,$N$6:$N$3267,Calendar!$K$4),"")</f>
        <v/>
      </c>
      <c r="W783" s="47">
        <f>IF(AND(B783=Queue!$C$4,OR(Queue!$K$4="*",N783=Queue!$K$4)),Q783,"")</f>
        <v/>
      </c>
    </row>
    <row r="784">
      <c r="A784" s="38">
        <f>IF(M784="","",HYPERLINK("https://www.youtube.com/watch?v="&amp;M784,"▶"))</f>
        <v/>
      </c>
      <c r="B784" s="39">
        <f>IF(C784&lt;&gt;"",C784,IF(P784&lt;=IFERROR(INDEX(tblChannels[Watched Through],MATCH(N784,tblChannels[Channel ID],0)),0),"Watched","Unwatched"))</f>
        <v/>
      </c>
      <c r="C784" s="40" t="n"/>
      <c r="D784" s="41" t="n"/>
      <c r="E784" s="42" t="n">
        <v>45248.625</v>
      </c>
      <c r="F784" s="50" t="inlineStr">
        <is>
          <t>Super Carlin Brothers</t>
        </is>
      </c>
      <c r="G784" t="inlineStr">
        <is>
          <t>The Ballad Of Songbirds and Snakes REVIEW | Hunger Games</t>
        </is>
      </c>
      <c r="H784" s="44" t="n">
        <v>0.04175925925925926</v>
      </c>
      <c r="I784" s="45" t="n">
        <v>158908</v>
      </c>
      <c r="J784" s="45" t="n">
        <v>4554</v>
      </c>
      <c r="K784" s="45" t="n">
        <v>528</v>
      </c>
      <c r="L784" s="46" t="n"/>
      <c r="M784" s="47" t="n"/>
      <c r="N784" s="47" t="inlineStr">
        <is>
          <t>UCKZo4N0lVPccBkSiuyVh4yg</t>
        </is>
      </c>
      <c r="O784" s="48" t="n">
        <v>45248.83333333334</v>
      </c>
      <c r="P784" s="49" t="n">
        <v>45248</v>
      </c>
      <c r="Q784" s="47" t="n">
        <v>2484</v>
      </c>
      <c r="R784" s="47" t="inlineStr">
        <is>
          <t>No Video ID yet</t>
        </is>
      </c>
      <c r="S784" s="49" t="n"/>
      <c r="T784" s="49" t="n"/>
      <c r="U784" s="47" t="inlineStr">
        <is>
          <t>Today J and Ben dive into the world of Panem to give their full spoiler review of the newest Hunger Games movie: The Ballad of Songbirds and Snakes.</t>
        </is>
      </c>
      <c r="V784" s="47">
        <f>IF(AND(P784&gt;=Calendar!$K$2,P784&lt;EDATE(Calendar!$K$2,1),OR(Calendar!$K$4="*",N784=Calendar!$K$4)),P784*100+COUNTIFS($P$6:$P$3267,P784,$Q$6:$Q$3267,"&lt;="&amp;Q784,$N$6:$N$3267,Calendar!$K$4),"")</f>
        <v/>
      </c>
      <c r="W784" s="47">
        <f>IF(AND(B784=Queue!$C$4,OR(Queue!$K$4="*",N784=Queue!$K$4)),Q784,"")</f>
        <v/>
      </c>
    </row>
    <row r="785">
      <c r="A785" s="38">
        <f>IF(M785="","",HYPERLINK("https://www.youtube.com/watch?v="&amp;M785,"▶"))</f>
        <v/>
      </c>
      <c r="B785" s="39">
        <f>IF(C785&lt;&gt;"",C785,IF(P785&lt;=IFERROR(INDEX(tblChannels[Watched Through],MATCH(N785,tblChannels[Channel ID],0)),0),"Watched","Unwatched"))</f>
        <v/>
      </c>
      <c r="C785" s="40" t="n"/>
      <c r="D785" s="41" t="n"/>
      <c r="E785" s="42" t="n">
        <v>45247.84583333333</v>
      </c>
      <c r="F785" s="50" t="inlineStr">
        <is>
          <t>Super Carlin Brothers</t>
        </is>
      </c>
      <c r="G785" t="inlineStr">
        <is>
          <t>ALL FANDOM TRIVIA! 11/17/2023</t>
        </is>
      </c>
      <c r="H785" s="44" t="n">
        <v>0.0915162037037037</v>
      </c>
      <c r="I785" s="45" t="n">
        <v>23488</v>
      </c>
      <c r="J785" s="45" t="n">
        <v>712</v>
      </c>
      <c r="K785" s="45" t="n">
        <v>42</v>
      </c>
      <c r="L785" s="46" t="n"/>
      <c r="M785" s="47" t="n"/>
      <c r="N785" s="47" t="inlineStr">
        <is>
          <t>UCKZo4N0lVPccBkSiuyVh4yg</t>
        </is>
      </c>
      <c r="O785" s="48" t="n">
        <v>45248.05416666667</v>
      </c>
      <c r="P785" s="49" t="n">
        <v>45247</v>
      </c>
      <c r="Q785" s="47" t="n">
        <v>2483</v>
      </c>
      <c r="R785" s="47" t="inlineStr">
        <is>
          <t>No Video ID yet</t>
        </is>
      </c>
      <c r="S785" s="49" t="n"/>
      <c r="T785" s="49" t="n"/>
      <c r="U785" s="47" t="inlineStr">
        <is>
          <t>SUPER MUGS AVAILABLE NOW WHILE SUPPLIES LAST:</t>
        </is>
      </c>
      <c r="V785" s="47">
        <f>IF(AND(P785&gt;=Calendar!$K$2,P785&lt;EDATE(Calendar!$K$2,1),OR(Calendar!$K$4="*",N785=Calendar!$K$4)),P785*100+COUNTIFS($P$6:$P$3267,P785,$Q$6:$Q$3267,"&lt;="&amp;Q785,$N$6:$N$3267,Calendar!$K$4),"")</f>
        <v/>
      </c>
      <c r="W785" s="47">
        <f>IF(AND(B785=Queue!$C$4,OR(Queue!$K$4="*",N785=Queue!$K$4)),Q785,"")</f>
        <v/>
      </c>
    </row>
    <row r="786">
      <c r="A786" s="38">
        <f>IF(M786="","",HYPERLINK("https://www.youtube.com/watch?v="&amp;M786,"▶"))</f>
        <v/>
      </c>
      <c r="B786" s="39">
        <f>IF(C786&lt;&gt;"",C786,IF(P786&lt;=IFERROR(INDEX(tblChannels[Watched Through],MATCH(N786,tblChannels[Channel ID],0)),0),"Watched","Unwatched"))</f>
        <v/>
      </c>
      <c r="C786" s="40" t="n"/>
      <c r="D786" s="41" t="n"/>
      <c r="E786" s="42" t="n">
        <v>45247.8125</v>
      </c>
      <c r="F786" s="52" t="inlineStr">
        <is>
          <t>Super Carlin Gaming</t>
        </is>
      </c>
      <c r="G786" t="inlineStr">
        <is>
          <t>Critical Hits Galore! | Carlin Brothers Box Breakers S8E2</t>
        </is>
      </c>
      <c r="H786" s="44" t="n">
        <v>0.02615740740740741</v>
      </c>
      <c r="I786" s="45" t="n">
        <v>1578</v>
      </c>
      <c r="J786" s="45" t="n">
        <v>84</v>
      </c>
      <c r="K786" s="45" t="n">
        <v>7</v>
      </c>
      <c r="L786" s="46" t="n"/>
      <c r="M786" s="47" t="n"/>
      <c r="N786" s="47" t="inlineStr">
        <is>
          <t>UCor_9jRnNNZVzTuQ92PKsaQ</t>
        </is>
      </c>
      <c r="O786" s="48" t="n">
        <v>45248.02083333334</v>
      </c>
      <c r="P786" s="49" t="n">
        <v>45247</v>
      </c>
      <c r="Q786" s="47" t="n">
        <v>2482</v>
      </c>
      <c r="R786" s="47" t="inlineStr">
        <is>
          <t>No Video ID yet</t>
        </is>
      </c>
      <c r="S786" s="49" t="n"/>
      <c r="T786" s="49" t="n"/>
      <c r="U786" s="47" t="inlineStr">
        <is>
          <t>In this episode Paradox Rift continues to deliver the legendary goods</t>
        </is>
      </c>
      <c r="V786" s="47">
        <f>IF(AND(P786&gt;=Calendar!$K$2,P786&lt;EDATE(Calendar!$K$2,1),OR(Calendar!$K$4="*",N786=Calendar!$K$4)),P786*100+COUNTIFS($P$6:$P$3267,P786,$Q$6:$Q$3267,"&lt;="&amp;Q786,$N$6:$N$3267,Calendar!$K$4),"")</f>
        <v/>
      </c>
      <c r="W786" s="47">
        <f>IF(AND(B786=Queue!$C$4,OR(Queue!$K$4="*",N786=Queue!$K$4)),Q786,"")</f>
        <v/>
      </c>
    </row>
    <row r="787">
      <c r="A787" s="38">
        <f>IF(M787="","",HYPERLINK("https://www.youtube.com/watch?v="&amp;M787,"▶"))</f>
        <v/>
      </c>
      <c r="B787" s="39">
        <f>IF(C787&lt;&gt;"",C787,IF(P787&lt;=IFERROR(INDEX(tblChannels[Watched Through],MATCH(N787,tblChannels[Channel ID],0)),0),"Watched","Unwatched"))</f>
        <v/>
      </c>
      <c r="C787" s="40" t="n"/>
      <c r="D787" s="41" t="n"/>
      <c r="E787" s="42" t="n">
        <v>45247.71458333333</v>
      </c>
      <c r="F787" s="50" t="inlineStr">
        <is>
          <t>Super Carlin Brothers</t>
        </is>
      </c>
      <c r="G787" t="inlineStr">
        <is>
          <t>Riley's SECRET 10th Emotion | Inside Out Pixar Film Theory</t>
        </is>
      </c>
      <c r="H787" s="44" t="n">
        <v>0.01189814814814815</v>
      </c>
      <c r="I787" s="45" t="n">
        <v>128510</v>
      </c>
      <c r="J787" s="45" t="n">
        <v>5689</v>
      </c>
      <c r="K787" s="45" t="n">
        <v>523</v>
      </c>
      <c r="L787" s="46" t="n"/>
      <c r="M787" s="47" t="n"/>
      <c r="N787" s="47" t="inlineStr">
        <is>
          <t>UCKZo4N0lVPccBkSiuyVh4yg</t>
        </is>
      </c>
      <c r="O787" s="48" t="n">
        <v>45247.92291666667</v>
      </c>
      <c r="P787" s="49" t="n">
        <v>45247</v>
      </c>
      <c r="Q787" s="47" t="n">
        <v>2481</v>
      </c>
      <c r="R787" s="47" t="inlineStr">
        <is>
          <t>No Video ID yet</t>
        </is>
      </c>
      <c r="S787" s="49" t="n"/>
      <c r="T787" s="49" t="n"/>
      <c r="U787" s="47" t="inlineStr">
        <is>
          <t>Go to to get 20% off your first monthly box. Today Ben dives into the world of Pixar's Inside Out to try and uncover if Riley will have a secret 10th emotion missing from the first Inside Out 2 teaser trailer! Who could it be? Trust? Pride? Love? Hope?</t>
        </is>
      </c>
      <c r="V787" s="47">
        <f>IF(AND(P787&gt;=Calendar!$K$2,P787&lt;EDATE(Calendar!$K$2,1),OR(Calendar!$K$4="*",N787=Calendar!$K$4)),P787*100+COUNTIFS($P$6:$P$3267,P787,$Q$6:$Q$3267,"&lt;="&amp;Q787,$N$6:$N$3267,Calendar!$K$4),"")</f>
        <v/>
      </c>
      <c r="W787" s="47">
        <f>IF(AND(B787=Queue!$C$4,OR(Queue!$K$4="*",N787=Queue!$K$4)),Q787,"")</f>
        <v/>
      </c>
    </row>
    <row r="788">
      <c r="A788" s="38">
        <f>IF(M788="","",HYPERLINK("https://www.youtube.com/watch?v="&amp;M788,"▶"))</f>
        <v/>
      </c>
      <c r="B788" s="39">
        <f>IF(C788&lt;&gt;"",C788,IF(P788&lt;=IFERROR(INDEX(tblChannels[Watched Through],MATCH(N788,tblChannels[Channel ID],0)),0),"Watched","Unwatched"))</f>
        <v/>
      </c>
      <c r="C788" s="40" t="n"/>
      <c r="D788" s="41" t="n"/>
      <c r="E788" s="42" t="n">
        <v>45247.41666666666</v>
      </c>
      <c r="F788" s="43" t="inlineStr">
        <is>
          <t>Popcorn Culture</t>
        </is>
      </c>
      <c r="G788" t="inlineStr">
        <is>
          <t>Dopamine Detox | Popcorn Culture</t>
        </is>
      </c>
      <c r="H788" s="44" t="n">
        <v>0.0458912037037037</v>
      </c>
      <c r="I788" s="45" t="n">
        <v>4283</v>
      </c>
      <c r="J788" s="45" t="n">
        <v>232</v>
      </c>
      <c r="K788" s="45" t="n">
        <v>11</v>
      </c>
      <c r="L788" s="46" t="n"/>
      <c r="M788" s="47" t="n"/>
      <c r="N788" s="47" t="inlineStr">
        <is>
          <t>UCHfIbq9thHPC8yrKjAdJgDA</t>
        </is>
      </c>
      <c r="O788" s="48" t="n">
        <v>45247.625</v>
      </c>
      <c r="P788" s="49" t="n">
        <v>45247</v>
      </c>
      <c r="Q788" s="47" t="n">
        <v>2480</v>
      </c>
      <c r="R788" s="47" t="inlineStr">
        <is>
          <t>No Video ID yet</t>
        </is>
      </c>
      <c r="S788" s="49" t="n"/>
      <c r="T788" s="49" t="n"/>
      <c r="U788" s="47" t="inlineStr">
        <is>
          <t>In the 206th episode of the Pop, Ben and J discuss downhill mountain biking, breaking the dopamine habit, the SAG-AFTRA strike, Instagram Ads, and notification checklists. Dopamine Nation - The Dark Knight - The Lego Batman Movie - Downhill Biking We’re Doing Our Best 00:00 - Intro, Mountain Biking 17:35 - Dopamine</t>
        </is>
      </c>
      <c r="V788" s="47">
        <f>IF(AND(P788&gt;=Calendar!$K$2,P788&lt;EDATE(Calendar!$K$2,1),OR(Calendar!$K$4="*",N788=Calendar!$K$4)),P788*100+COUNTIFS($P$6:$P$3267,P788,$Q$6:$Q$3267,"&lt;="&amp;Q788,$N$6:$N$3267,Calendar!$K$4),"")</f>
        <v/>
      </c>
      <c r="W788" s="47">
        <f>IF(AND(B788=Queue!$C$4,OR(Queue!$K$4="*",N788=Queue!$K$4)),Q788,"")</f>
        <v/>
      </c>
    </row>
    <row r="789">
      <c r="A789" s="38">
        <f>IF(M789="","",HYPERLINK("https://www.youtube.com/watch?v="&amp;M789,"▶"))</f>
        <v/>
      </c>
      <c r="B789" s="39">
        <f>IF(C789&lt;&gt;"",C789,IF(P789&lt;=IFERROR(INDEX(tblChannels[Watched Through],MATCH(N789,tblChannels[Channel ID],0)),0),"Watched","Unwatched"))</f>
        <v/>
      </c>
      <c r="C789" s="40" t="n"/>
      <c r="D789" s="41" t="n"/>
      <c r="E789" s="42" t="n">
        <v>45246.67986111111</v>
      </c>
      <c r="F789" s="50" t="inlineStr">
        <is>
          <t>Super Carlin Brothers</t>
        </is>
      </c>
      <c r="G789" t="inlineStr">
        <is>
          <t>TOP 4 Songbirds &amp; Snakes Theories | Hunger Games Film Theory</t>
        </is>
      </c>
      <c r="H789" s="44" t="n">
        <v>0.07217592592592592</v>
      </c>
      <c r="I789" s="45" t="n">
        <v>367424</v>
      </c>
      <c r="J789" s="45" t="n">
        <v>7606</v>
      </c>
      <c r="K789" s="45" t="n">
        <v>637</v>
      </c>
      <c r="L789" s="46" t="n"/>
      <c r="M789" s="47" t="n"/>
      <c r="N789" s="47" t="inlineStr">
        <is>
          <t>UCKZo4N0lVPccBkSiuyVh4yg</t>
        </is>
      </c>
      <c r="O789" s="48" t="n">
        <v>45246.88819444444</v>
      </c>
      <c r="P789" s="49" t="n">
        <v>45246</v>
      </c>
      <c r="Q789" s="47" t="n">
        <v>2479</v>
      </c>
      <c r="R789" s="47" t="inlineStr">
        <is>
          <t>No Video ID yet</t>
        </is>
      </c>
      <c r="S789" s="49" t="n"/>
      <c r="T789" s="49" t="n"/>
      <c r="U789" s="47" t="inlineStr">
        <is>
          <t>In celebration of the Ballad of Songbirds and Snakes hitting theaters we put together a Super Cut of all our TOP Hunger Games theories for your viewing pleasure! Is Coin Pulling the strings on everything? Is Lucy Gray related to Katniss? Is Lucy Grey COIN herself? 00:00:00 Introduction 00:00:14 Is Katniss Related to Lucy Gray? 00:17:33 Why Did Tigris Betray Snow? 00:33:48 Is Coin Lucy Gray? 00:52:58 Coin's Big Plan!</t>
        </is>
      </c>
      <c r="V789" s="47">
        <f>IF(AND(P789&gt;=Calendar!$K$2,P789&lt;EDATE(Calendar!$K$2,1),OR(Calendar!$K$4="*",N789=Calendar!$K$4)),P789*100+COUNTIFS($P$6:$P$3267,P789,$Q$6:$Q$3267,"&lt;="&amp;Q789,$N$6:$N$3267,Calendar!$K$4),"")</f>
        <v/>
      </c>
      <c r="W789" s="47">
        <f>IF(AND(B789=Queue!$C$4,OR(Queue!$K$4="*",N789=Queue!$K$4)),Q789,"")</f>
        <v/>
      </c>
    </row>
    <row r="790">
      <c r="A790" s="38">
        <f>IF(M790="","",HYPERLINK("https://www.youtube.com/watch?v="&amp;M790,"▶"))</f>
        <v/>
      </c>
      <c r="B790" s="39">
        <f>IF(C790&lt;&gt;"",C790,IF(P790&lt;=IFERROR(INDEX(tblChannels[Watched Through],MATCH(N790,tblChannels[Channel ID],0)),0),"Watched","Unwatched"))</f>
        <v/>
      </c>
      <c r="C790" s="40" t="n"/>
      <c r="D790" s="41" t="n"/>
      <c r="E790" s="42" t="n">
        <v>45245.73611111111</v>
      </c>
      <c r="F790" s="50" t="inlineStr">
        <is>
          <t>Super Carlin Brothers</t>
        </is>
      </c>
      <c r="G790" t="inlineStr">
        <is>
          <t>Why Don’t Riley’s Parents Have ANXIETY?! | Inside Out Pixar Film Theory</t>
        </is>
      </c>
      <c r="H790" s="44" t="n">
        <v>0.009328703703703704</v>
      </c>
      <c r="I790" s="45" t="n">
        <v>218050</v>
      </c>
      <c r="J790" s="45" t="n">
        <v>8908</v>
      </c>
      <c r="K790" s="45" t="n">
        <v>701</v>
      </c>
      <c r="L790" s="46" t="n"/>
      <c r="M790" s="47" t="n"/>
      <c r="N790" s="47" t="inlineStr">
        <is>
          <t>UCKZo4N0lVPccBkSiuyVh4yg</t>
        </is>
      </c>
      <c r="O790" s="48" t="n">
        <v>45245.94444444445</v>
      </c>
      <c r="P790" s="49" t="n">
        <v>45245</v>
      </c>
      <c r="Q790" s="47" t="n">
        <v>2478</v>
      </c>
      <c r="R790" s="47" t="inlineStr">
        <is>
          <t>No Video ID yet</t>
        </is>
      </c>
      <c r="S790" s="49" t="n"/>
      <c r="T790" s="49" t="n"/>
      <c r="U790" s="47" t="inlineStr">
        <is>
          <t>Head on over to and use code super50 to get 50% off. This episode is sponsored by BetterHelp - go to to get started today! Today J dives into the expansive world of Pixar’s Inside Out to answer the question: Why don't Riley’s parents have Anxiety?! Or any of the other new emotions revealed in the new Inside Out 2 Teaser Trailer?! Ennui? Jealousy? Embarrassment?! #supercarlinbrothers #Pixar #InsideOut2</t>
        </is>
      </c>
      <c r="V790" s="47">
        <f>IF(AND(P790&gt;=Calendar!$K$2,P790&lt;EDATE(Calendar!$K$2,1),OR(Calendar!$K$4="*",N790=Calendar!$K$4)),P790*100+COUNTIFS($P$6:$P$3267,P790,$Q$6:$Q$3267,"&lt;="&amp;Q790,$N$6:$N$3267,Calendar!$K$4),"")</f>
        <v/>
      </c>
      <c r="W790" s="47">
        <f>IF(AND(B790=Queue!$C$4,OR(Queue!$K$4="*",N790=Queue!$K$4)),Q790,"")</f>
        <v/>
      </c>
    </row>
    <row r="791">
      <c r="A791" s="38">
        <f>IF(M791="","",HYPERLINK("https://www.youtube.com/watch?v="&amp;M791,"▶"))</f>
        <v/>
      </c>
      <c r="B791" s="39">
        <f>IF(C791&lt;&gt;"",C791,IF(P791&lt;=IFERROR(INDEX(tblChannels[Watched Through],MATCH(N791,tblChannels[Channel ID],0)),0),"Watched","Unwatched"))</f>
        <v/>
      </c>
      <c r="C791" s="40" t="n"/>
      <c r="D791" s="41" t="n"/>
      <c r="E791" s="42" t="n">
        <v>45242.41666666666</v>
      </c>
      <c r="F791" s="51" t="inlineStr">
        <is>
          <t>Through The Griffin Door</t>
        </is>
      </c>
      <c r="G791" t="inlineStr">
        <is>
          <t>Chapter 9: The Midnight Duel | Philosopher's Stone</t>
        </is>
      </c>
      <c r="H791" s="44" t="n">
        <v>0.05215277777777778</v>
      </c>
      <c r="I791" s="45" t="n">
        <v>90265</v>
      </c>
      <c r="J791" s="45" t="n">
        <v>2675</v>
      </c>
      <c r="K791" s="45" t="n">
        <v>641</v>
      </c>
      <c r="L791" s="46" t="n"/>
      <c r="M791" s="47" t="n"/>
      <c r="N791" s="47" t="inlineStr">
        <is>
          <t>UCEscP6ETYXWSSvsNrDHekMQ</t>
        </is>
      </c>
      <c r="O791" s="48" t="n">
        <v>45242.625</v>
      </c>
      <c r="P791" s="49" t="n">
        <v>45242</v>
      </c>
      <c r="Q791" s="47" t="n">
        <v>2477</v>
      </c>
      <c r="R791" s="47" t="inlineStr">
        <is>
          <t>No Video ID yet</t>
        </is>
      </c>
      <c r="S791" s="49" t="n"/>
      <c r="T791" s="49" t="n"/>
      <c r="U791" s="47" t="inlineStr">
        <is>
          <t>Join J and Ben as they dive into Chapter 9 of the Philosopher’s Stone and discuss the threat of expulsion, soccer, student math, Madam Hooch, Harry’s first time on a broom, Wood, Quirrell’s iguana, Quidditch, duels, past and present character parallels, the Bat Bogey Hex, Hermione’s classic line and Squibs interaction with magical things. The Youngest Quidditch Player - What If Sirius Took Harry As A Baby? - Have a question you’d like answered for a future episode? Submit it here: 2:03 - Chapter Breakdown 1:00:45 - Closing Thoughts and Chapter Art</t>
        </is>
      </c>
      <c r="V791" s="47">
        <f>IF(AND(P791&gt;=Calendar!$K$2,P791&lt;EDATE(Calendar!$K$2,1),OR(Calendar!$K$4="*",N791=Calendar!$K$4)),P791*100+COUNTIFS($P$6:$P$3267,P791,$Q$6:$Q$3267,"&lt;="&amp;Q791,$N$6:$N$3267,Calendar!$K$4),"")</f>
        <v/>
      </c>
      <c r="W791" s="47">
        <f>IF(AND(B791=Queue!$C$4,OR(Queue!$K$4="*",N791=Queue!$K$4)),Q791,"")</f>
        <v/>
      </c>
    </row>
    <row r="792">
      <c r="A792" s="38">
        <f>IF(M792="","",HYPERLINK("https://www.youtube.com/watch?v="&amp;M792,"▶"))</f>
        <v/>
      </c>
      <c r="B792" s="39">
        <f>IF(C792&lt;&gt;"",C792,IF(P792&lt;=IFERROR(INDEX(tblChannels[Watched Through],MATCH(N792,tblChannels[Channel ID],0)),0),"Watched","Unwatched"))</f>
        <v/>
      </c>
      <c r="C792" s="40" t="n"/>
      <c r="D792" s="41" t="n"/>
      <c r="E792" s="42" t="n">
        <v>45240.77083333334</v>
      </c>
      <c r="F792" s="52" t="inlineStr">
        <is>
          <t>Super Carlin Gaming</t>
        </is>
      </c>
      <c r="G792" t="inlineStr">
        <is>
          <t>Paradox Rift Is Here | Carlin Brothers Box Breakers S8E1</t>
        </is>
      </c>
      <c r="H792" s="44" t="n">
        <v>0.03335648148148148</v>
      </c>
      <c r="I792" s="45" t="n">
        <v>2143</v>
      </c>
      <c r="J792" s="45" t="n">
        <v>109</v>
      </c>
      <c r="K792" s="45" t="n">
        <v>14</v>
      </c>
      <c r="L792" s="46" t="n"/>
      <c r="M792" s="47" t="n"/>
      <c r="N792" s="47" t="inlineStr">
        <is>
          <t>UCor_9jRnNNZVzTuQ92PKsaQ</t>
        </is>
      </c>
      <c r="O792" s="48" t="n">
        <v>45240.97916666666</v>
      </c>
      <c r="P792" s="49" t="n">
        <v>45240</v>
      </c>
      <c r="Q792" s="47" t="n">
        <v>2476</v>
      </c>
      <c r="R792" s="47" t="inlineStr">
        <is>
          <t>No Video ID yet</t>
        </is>
      </c>
      <c r="S792" s="49" t="n"/>
      <c r="T792" s="49" t="n"/>
      <c r="U792" s="47" t="inlineStr">
        <is>
          <t>This week we open and unbox our first Paradox Rift Booster Box</t>
        </is>
      </c>
      <c r="V792" s="47">
        <f>IF(AND(P792&gt;=Calendar!$K$2,P792&lt;EDATE(Calendar!$K$2,1),OR(Calendar!$K$4="*",N792=Calendar!$K$4)),P792*100+COUNTIFS($P$6:$P$3267,P792,$Q$6:$Q$3267,"&lt;="&amp;Q792,$N$6:$N$3267,Calendar!$K$4),"")</f>
        <v/>
      </c>
      <c r="W792" s="47">
        <f>IF(AND(B792=Queue!$C$4,OR(Queue!$K$4="*",N792=Queue!$K$4)),Q792,"")</f>
        <v/>
      </c>
    </row>
    <row r="793">
      <c r="A793" s="38">
        <f>IF(M793="","",HYPERLINK("https://www.youtube.com/watch?v="&amp;M793,"▶"))</f>
        <v/>
      </c>
      <c r="B793" s="39">
        <f>IF(C793&lt;&gt;"",C793,IF(P793&lt;=IFERROR(INDEX(tblChannels[Watched Through],MATCH(N793,tblChannels[Channel ID],0)),0),"Watched","Unwatched"))</f>
        <v/>
      </c>
      <c r="C793" s="40" t="n"/>
      <c r="D793" s="41" t="n"/>
      <c r="E793" s="42" t="n">
        <v>45240.72986111111</v>
      </c>
      <c r="F793" s="50" t="inlineStr">
        <is>
          <t>Super Carlin Brothers</t>
        </is>
      </c>
      <c r="G793" t="inlineStr">
        <is>
          <t>In Defense of James Potter | Harry Potter Film Theory</t>
        </is>
      </c>
      <c r="H793" s="44" t="n">
        <v>0.01138888888888889</v>
      </c>
      <c r="I793" s="45" t="n">
        <v>197744</v>
      </c>
      <c r="J793" s="45" t="n">
        <v>8854</v>
      </c>
      <c r="K793" s="45" t="n">
        <v>1277</v>
      </c>
      <c r="L793" s="46" t="n"/>
      <c r="M793" s="47" t="n"/>
      <c r="N793" s="47" t="inlineStr">
        <is>
          <t>UCKZo4N0lVPccBkSiuyVh4yg</t>
        </is>
      </c>
      <c r="O793" s="48" t="n">
        <v>45240.93819444445</v>
      </c>
      <c r="P793" s="49" t="n">
        <v>45240</v>
      </c>
      <c r="Q793" s="47" t="n">
        <v>2475</v>
      </c>
      <c r="R793" s="47" t="inlineStr">
        <is>
          <t>No Video ID yet</t>
        </is>
      </c>
      <c r="S793" s="49" t="n"/>
      <c r="T793" s="49" t="n"/>
      <c r="U793" s="47" t="inlineStr">
        <is>
          <t>This episode is sponsored by/brought to you by BetterHelp. Give online therapy a try at betterhelp.com/SUPER and get on your way to being your best self Today Ben dives into the Wizarding World of Harry Potter to defend Harry’s father: James Potter. Did Snape have a point? Or was he truly a great man? Play Along with us ::</t>
        </is>
      </c>
      <c r="V793" s="47">
        <f>IF(AND(P793&gt;=Calendar!$K$2,P793&lt;EDATE(Calendar!$K$2,1),OR(Calendar!$K$4="*",N793=Calendar!$K$4)),P793*100+COUNTIFS($P$6:$P$3267,P793,$Q$6:$Q$3267,"&lt;="&amp;Q793,$N$6:$N$3267,Calendar!$K$4),"")</f>
        <v/>
      </c>
      <c r="W793" s="47">
        <f>IF(AND(B793=Queue!$C$4,OR(Queue!$K$4="*",N793=Queue!$K$4)),Q793,"")</f>
        <v/>
      </c>
    </row>
    <row r="794">
      <c r="A794" s="38">
        <f>IF(M794="","",HYPERLINK("https://www.youtube.com/watch?v="&amp;M794,"▶"))</f>
        <v/>
      </c>
      <c r="B794" s="39">
        <f>IF(C794&lt;&gt;"",C794,IF(P794&lt;=IFERROR(INDEX(tblChannels[Watched Through],MATCH(N794,tblChannels[Channel ID],0)),0),"Watched","Unwatched"))</f>
        <v/>
      </c>
      <c r="C794" s="40" t="n"/>
      <c r="D794" s="41" t="n"/>
      <c r="E794" s="42" t="n">
        <v>45240.41666666666</v>
      </c>
      <c r="F794" s="43" t="inlineStr">
        <is>
          <t>Popcorn Culture</t>
        </is>
      </c>
      <c r="G794" t="inlineStr">
        <is>
          <t>Popcuterie Board | Popcorn Culture</t>
        </is>
      </c>
      <c r="H794" s="44" t="n">
        <v>0.04553240740740741</v>
      </c>
      <c r="I794" s="45" t="n">
        <v>4449</v>
      </c>
      <c r="J794" s="45" t="n">
        <v>233</v>
      </c>
      <c r="K794" s="45" t="n">
        <v>26</v>
      </c>
      <c r="L794" s="46" t="n"/>
      <c r="M794" s="47" t="n"/>
      <c r="N794" s="47" t="inlineStr">
        <is>
          <t>UCHfIbq9thHPC8yrKjAdJgDA</t>
        </is>
      </c>
      <c r="O794" s="48" t="n">
        <v>45240.625</v>
      </c>
      <c r="P794" s="49" t="n">
        <v>45240</v>
      </c>
      <c r="Q794" s="47" t="n">
        <v>2474</v>
      </c>
      <c r="R794" s="47" t="inlineStr">
        <is>
          <t>No Video ID yet</t>
        </is>
      </c>
      <c r="S794" s="49" t="n"/>
      <c r="T794" s="49" t="n"/>
      <c r="U794" s="47" t="inlineStr">
        <is>
          <t>In the 205th episode of the pop, Ben and J discuss movie theater charcuteries, generational differences, Ben’s fears, military time, lightbulbs, and this year’s Halloween. Frozen - Cragley Shape Surprise Military Time 00:00 - Intro, Movie Theater Snacks 08:46 - More About the New Editor 30:28 - Military Time 46:16 - Halloween</t>
        </is>
      </c>
      <c r="V794" s="47">
        <f>IF(AND(P794&gt;=Calendar!$K$2,P794&lt;EDATE(Calendar!$K$2,1),OR(Calendar!$K$4="*",N794=Calendar!$K$4)),P794*100+COUNTIFS($P$6:$P$3267,P794,$Q$6:$Q$3267,"&lt;="&amp;Q794,$N$6:$N$3267,Calendar!$K$4),"")</f>
        <v/>
      </c>
      <c r="W794" s="47">
        <f>IF(AND(B794=Queue!$C$4,OR(Queue!$K$4="*",N794=Queue!$K$4)),Q794,"")</f>
        <v/>
      </c>
    </row>
    <row r="795">
      <c r="A795" s="38">
        <f>IF(M795="","",HYPERLINK("https://www.youtube.com/watch?v="&amp;M795,"▶"))</f>
        <v/>
      </c>
      <c r="B795" s="39">
        <f>IF(C795&lt;&gt;"",C795,IF(P795&lt;=IFERROR(INDEX(tblChannels[Watched Through],MATCH(N795,tblChannels[Channel ID],0)),0),"Watched","Unwatched"))</f>
        <v/>
      </c>
      <c r="C795" s="40" t="n"/>
      <c r="D795" s="41" t="n"/>
      <c r="E795" s="42" t="n">
        <v>45238.68888888889</v>
      </c>
      <c r="F795" s="50" t="inlineStr">
        <is>
          <t>Super Carlin Brothers</t>
        </is>
      </c>
      <c r="G795" t="inlineStr">
        <is>
          <t>J vs Ben: HARDEST Hogwarts Grounds Harry Potter TRIVIA Quiz</t>
        </is>
      </c>
      <c r="H795" s="44" t="n">
        <v>0.02226851851851852</v>
      </c>
      <c r="I795" s="45" t="n">
        <v>192004</v>
      </c>
      <c r="J795" s="45" t="n">
        <v>6301</v>
      </c>
      <c r="K795" s="45" t="n">
        <v>669</v>
      </c>
      <c r="L795" s="46" t="n"/>
      <c r="M795" s="47" t="n"/>
      <c r="N795" s="47" t="inlineStr">
        <is>
          <t>UCKZo4N0lVPccBkSiuyVh4yg</t>
        </is>
      </c>
      <c r="O795" s="48" t="n">
        <v>45238.89722222222</v>
      </c>
      <c r="P795" s="49" t="n">
        <v>45238</v>
      </c>
      <c r="Q795" s="47" t="n">
        <v>2473</v>
      </c>
      <c r="R795" s="47" t="inlineStr">
        <is>
          <t>No Video ID yet</t>
        </is>
      </c>
      <c r="S795" s="49" t="n"/>
      <c r="T795" s="49" t="n"/>
      <c r="U795" s="47" t="inlineStr">
        <is>
          <t>Go to and use code jvsb50 to get 50% off. Go to to get 20-50% off site-wide. Today J and Ben face off once again to find out who knows more about Harry Potter, the Wizarding World and all the crazy things that happen around the Hogwarts Grounds! Play along at home: 01:40 - Q1: What is the village near Hogwarts? 02:19 - Q2: What do muggles see instead of Hogwarts? 04:43 - Q3: What creatures flank the entrance to Hogwarts? 06:24 - Q4: Who did James hold upside down? 07:06 - Q5: Where is Hagrid's hut? 07:48 - Q6: How many secret passages are there? 08:59 - Q7: What creature did the twins and Lee tickle? 10:17 - Q8: Who was killed on the edge of the Forbidden Forest? 16:24 - Q9: Where is Dumbledore's tomb? 18:28 - Q10: Where was the Whomping Willow planted? 20:06 - Q11: Why was the Whomping Willow planted? 21:29 - Q12: What statue are Harry and Ron near when Hagrid says he's a half giant? 23:27 - Q13: What did Harry not see in the lake? 24:45 - Q14: What did Ron belch up on the Quidditch pitch? 26:21 - Q15: Who almost lost an eye from the Whomping Willow?</t>
        </is>
      </c>
      <c r="V795" s="47">
        <f>IF(AND(P795&gt;=Calendar!$K$2,P795&lt;EDATE(Calendar!$K$2,1),OR(Calendar!$K$4="*",N795=Calendar!$K$4)),P795*100+COUNTIFS($P$6:$P$3267,P795,$Q$6:$Q$3267,"&lt;="&amp;Q795,$N$6:$N$3267,Calendar!$K$4),"")</f>
        <v/>
      </c>
      <c r="W795" s="47">
        <f>IF(AND(B795=Queue!$C$4,OR(Queue!$K$4="*",N795=Queue!$K$4)),Q795,"")</f>
        <v/>
      </c>
    </row>
    <row r="796">
      <c r="A796" s="38">
        <f>IF(M796="","",HYPERLINK("https://www.youtube.com/watch?v="&amp;M796,"▶"))</f>
        <v/>
      </c>
      <c r="B796" s="39">
        <f>IF(C796&lt;&gt;"",C796,IF(P796&lt;=IFERROR(INDEX(tblChannels[Watched Through],MATCH(N796,tblChannels[Channel ID],0)),0),"Watched","Unwatched"))</f>
        <v/>
      </c>
      <c r="C796" s="40" t="n"/>
      <c r="D796" s="41" t="n"/>
      <c r="E796" s="42" t="n">
        <v>45235.41666666666</v>
      </c>
      <c r="F796" s="51" t="inlineStr">
        <is>
          <t>Through The Griffin Door</t>
        </is>
      </c>
      <c r="G796" t="inlineStr">
        <is>
          <t>Chapter 8: The Potions Master | Philosopher's Stone</t>
        </is>
      </c>
      <c r="H796" s="44" t="n">
        <v>0.0403587962962963</v>
      </c>
      <c r="I796" s="45" t="n">
        <v>82864</v>
      </c>
      <c r="J796" s="45" t="n">
        <v>2706</v>
      </c>
      <c r="K796" s="45" t="n">
        <v>556</v>
      </c>
      <c r="L796" s="46" t="n"/>
      <c r="M796" s="47" t="n"/>
      <c r="N796" s="47" t="inlineStr">
        <is>
          <t>UCEscP6ETYXWSSvsNrDHekMQ</t>
        </is>
      </c>
      <c r="O796" s="48" t="n">
        <v>45235.625</v>
      </c>
      <c r="P796" s="49" t="n">
        <v>45235</v>
      </c>
      <c r="Q796" s="47" t="n">
        <v>2472</v>
      </c>
      <c r="R796" s="47" t="inlineStr">
        <is>
          <t>No Video ID yet</t>
        </is>
      </c>
      <c r="S796" s="49" t="n"/>
      <c r="T796" s="49" t="n"/>
      <c r="U796" s="47" t="inlineStr">
        <is>
          <t>Join J and Ben as they dive into Chapter 8 of the Philosopher’s Stone and discuss the staircases and other details of the castle, Peeves vs. Filch, soft magic systems, Harry’s classes, Quirrell’s turban, porridge, Snape being a bad teacher, the points system, and Mrs. Norris. The TRUTH About Hogwarts Origins - Most Recent Video about the Elder Wand - Have a question you’d like answered for a future episode? Submit it here: Chapters 02:27 - Chapter Breakdown 52:22 - Closing Thoughts and Chapter Art</t>
        </is>
      </c>
      <c r="V796" s="47">
        <f>IF(AND(P796&gt;=Calendar!$K$2,P796&lt;EDATE(Calendar!$K$2,1),OR(Calendar!$K$4="*",N796=Calendar!$K$4)),P796*100+COUNTIFS($P$6:$P$3267,P796,$Q$6:$Q$3267,"&lt;="&amp;Q796,$N$6:$N$3267,Calendar!$K$4),"")</f>
        <v/>
      </c>
      <c r="W796" s="47">
        <f>IF(AND(B796=Queue!$C$4,OR(Queue!$K$4="*",N796=Queue!$K$4)),Q796,"")</f>
        <v/>
      </c>
    </row>
    <row r="797">
      <c r="A797" s="38">
        <f>IF(M797="","",HYPERLINK("https://www.youtube.com/watch?v="&amp;M797,"▶"))</f>
        <v/>
      </c>
      <c r="B797" s="39">
        <f>IF(C797&lt;&gt;"",C797,IF(P797&lt;=IFERROR(INDEX(tblChannels[Watched Through],MATCH(N797,tblChannels[Channel ID],0)),0),"Watched","Unwatched"))</f>
        <v/>
      </c>
      <c r="C797" s="40" t="n"/>
      <c r="D797" s="41" t="n"/>
      <c r="E797" s="42" t="n">
        <v>45233.70486111111</v>
      </c>
      <c r="F797" s="50" t="inlineStr">
        <is>
          <t>Super Carlin Brothers</t>
        </is>
      </c>
      <c r="G797" t="inlineStr">
        <is>
          <t>Can Dumbledore REALLY Be Trusted? | Harry Potter Film Theory</t>
        </is>
      </c>
      <c r="H797" s="44" t="n">
        <v>0.01353009259259259</v>
      </c>
      <c r="I797" s="45" t="n">
        <v>280658</v>
      </c>
      <c r="J797" s="45" t="n">
        <v>10062</v>
      </c>
      <c r="K797" s="45" t="n">
        <v>757</v>
      </c>
      <c r="L797" s="46" t="n"/>
      <c r="M797" s="47" t="n"/>
      <c r="N797" s="47" t="inlineStr">
        <is>
          <t>UCKZo4N0lVPccBkSiuyVh4yg</t>
        </is>
      </c>
      <c r="O797" s="48" t="n">
        <v>45233.87152777778</v>
      </c>
      <c r="P797" s="49" t="n">
        <v>45233</v>
      </c>
      <c r="Q797" s="47" t="n">
        <v>2471</v>
      </c>
      <c r="R797" s="47" t="inlineStr">
        <is>
          <t>No Video ID yet</t>
        </is>
      </c>
      <c r="S797" s="49" t="n"/>
      <c r="T797" s="49" t="n"/>
      <c r="U797" s="47" t="inlineStr">
        <is>
          <t>Go to to get 25% off your first order and free shipping. Today Ben Dives into the Wizarding World of Harry Potter to examine Albus Dumbledore’s complicated relationship with the greater good, the trolley problem, prophecies and blood magic.</t>
        </is>
      </c>
      <c r="V797" s="47">
        <f>IF(AND(P797&gt;=Calendar!$K$2,P797&lt;EDATE(Calendar!$K$2,1),OR(Calendar!$K$4="*",N797=Calendar!$K$4)),P797*100+COUNTIFS($P$6:$P$3267,P797,$Q$6:$Q$3267,"&lt;="&amp;Q797,$N$6:$N$3267,Calendar!$K$4),"")</f>
        <v/>
      </c>
      <c r="W797" s="47">
        <f>IF(AND(B797=Queue!$C$4,OR(Queue!$K$4="*",N797=Queue!$K$4)),Q797,"")</f>
        <v/>
      </c>
    </row>
    <row r="798">
      <c r="A798" s="38">
        <f>IF(M798="","",HYPERLINK("https://www.youtube.com/watch?v="&amp;M798,"▶"))</f>
        <v/>
      </c>
      <c r="B798" s="39">
        <f>IF(C798&lt;&gt;"",C798,IF(P798&lt;=IFERROR(INDEX(tblChannels[Watched Through],MATCH(N798,tblChannels[Channel ID],0)),0),"Watched","Unwatched"))</f>
        <v/>
      </c>
      <c r="C798" s="40" t="n"/>
      <c r="D798" s="41" t="n"/>
      <c r="E798" s="42" t="n">
        <v>45233.41666666666</v>
      </c>
      <c r="F798" s="43" t="inlineStr">
        <is>
          <t>Popcorn Culture</t>
        </is>
      </c>
      <c r="G798" t="inlineStr">
        <is>
          <t>POG-Corn Culture| Popcorn Culture</t>
        </is>
      </c>
      <c r="H798" s="44" t="n">
        <v>0.05549768518518518</v>
      </c>
      <c r="I798" s="45" t="n">
        <v>4827</v>
      </c>
      <c r="J798" s="45" t="n">
        <v>249</v>
      </c>
      <c r="K798" s="45" t="n">
        <v>48</v>
      </c>
      <c r="L798" s="46" t="n"/>
      <c r="M798" s="47" t="n"/>
      <c r="N798" s="47" t="inlineStr">
        <is>
          <t>UCHfIbq9thHPC8yrKjAdJgDA</t>
        </is>
      </c>
      <c r="O798" s="48" t="n">
        <v>45233.58333333334</v>
      </c>
      <c r="P798" s="49" t="n">
        <v>45233</v>
      </c>
      <c r="Q798" s="47" t="n">
        <v>2470</v>
      </c>
      <c r="R798" s="47" t="inlineStr">
        <is>
          <t>No Video ID yet</t>
        </is>
      </c>
      <c r="S798" s="49" t="n"/>
      <c r="T798" s="49" t="n"/>
      <c r="U798" s="47" t="inlineStr">
        <is>
          <t>In the 204th episode of the pop, Ben and J discuss our new editor: Isybelle, getting good news by yourself, going to Pixar, another context for how SCB started, more on Luke’s love of Slytherin, teaching your kids life lessons, deserted island follow up, textures of foods, hearing things you touch, and POGS. The Good Dinosaur - POGs - The Magical iPad Hearing Feels All's Fair in Love and War 00:00 - Intro, New Editor!! 02:50 - Solitary Good News 25:44 - Life Lessons for Kids 34:00 - The Magical iPad 50:08 - Crunch Foods 1:03:29 - ELEMENT OF SURPRISE</t>
        </is>
      </c>
      <c r="V798" s="47">
        <f>IF(AND(P798&gt;=Calendar!$K$2,P798&lt;EDATE(Calendar!$K$2,1),OR(Calendar!$K$4="*",N798=Calendar!$K$4)),P798*100+COUNTIFS($P$6:$P$3267,P798,$Q$6:$Q$3267,"&lt;="&amp;Q798,$N$6:$N$3267,Calendar!$K$4),"")</f>
        <v/>
      </c>
      <c r="W798" s="47">
        <f>IF(AND(B798=Queue!$C$4,OR(Queue!$K$4="*",N798=Queue!$K$4)),Q798,"")</f>
        <v/>
      </c>
    </row>
    <row r="799">
      <c r="A799" s="38">
        <f>IF(M799="","",HYPERLINK("https://www.youtube.com/watch?v="&amp;M799,"▶"))</f>
        <v/>
      </c>
      <c r="B799" s="39">
        <f>IF(C799&lt;&gt;"",C799,IF(P799&lt;=IFERROR(INDEX(tblChannels[Watched Through],MATCH(N799,tblChannels[Channel ID],0)),0),"Watched","Unwatched"))</f>
        <v/>
      </c>
      <c r="C799" s="40" t="n"/>
      <c r="D799" s="41" t="n"/>
      <c r="E799" s="42" t="n">
        <v>45231.67430555556</v>
      </c>
      <c r="F799" s="50" t="inlineStr">
        <is>
          <t>Super Carlin Brothers</t>
        </is>
      </c>
      <c r="G799" t="inlineStr">
        <is>
          <t>How Fred and George Solved The Marauders Map | Harry Potter Film Theory</t>
        </is>
      </c>
      <c r="H799" s="44" t="n">
        <v>0.01045138888888889</v>
      </c>
      <c r="I799" s="45" t="n">
        <v>375948</v>
      </c>
      <c r="J799" s="45" t="n">
        <v>12354</v>
      </c>
      <c r="K799" s="45" t="n">
        <v>949</v>
      </c>
      <c r="L799" s="46" t="n"/>
      <c r="M799" s="47" t="n"/>
      <c r="N799" s="47" t="inlineStr">
        <is>
          <t>UCKZo4N0lVPccBkSiuyVh4yg</t>
        </is>
      </c>
      <c r="O799" s="48" t="n">
        <v>45231.84097222222</v>
      </c>
      <c r="P799" s="49" t="n">
        <v>45231</v>
      </c>
      <c r="Q799" s="47" t="n">
        <v>2469</v>
      </c>
      <c r="R799" s="47" t="inlineStr">
        <is>
          <t>No Video ID yet</t>
        </is>
      </c>
      <c r="S799" s="49" t="n"/>
      <c r="T799" s="49" t="n"/>
      <c r="U799" s="47" t="inlineStr">
        <is>
          <t>Head on over to to get 15% off! Today J dives into the Wizarding World of Harry Potter to discover how Fred and George Weasley figured out how to use the Marauders Map! Did they just guess, “I Solomnley Swear I am up to no good? Did the map test them? And How did the marauders lose the map to begin with?</t>
        </is>
      </c>
      <c r="V799" s="47">
        <f>IF(AND(P799&gt;=Calendar!$K$2,P799&lt;EDATE(Calendar!$K$2,1),OR(Calendar!$K$4="*",N799=Calendar!$K$4)),P799*100+COUNTIFS($P$6:$P$3267,P799,$Q$6:$Q$3267,"&lt;="&amp;Q799,$N$6:$N$3267,Calendar!$K$4),"")</f>
        <v/>
      </c>
      <c r="W799" s="47">
        <f>IF(AND(B799=Queue!$C$4,OR(Queue!$K$4="*",N799=Queue!$K$4)),Q799,"")</f>
        <v/>
      </c>
    </row>
    <row r="800">
      <c r="A800" s="38">
        <f>IF(M800="","",HYPERLINK("https://www.youtube.com/watch?v="&amp;M800,"▶"))</f>
        <v/>
      </c>
      <c r="B800" s="39">
        <f>IF(C800&lt;&gt;"",C800,IF(P800&lt;=IFERROR(INDEX(tblChannels[Watched Through],MATCH(N800,tblChannels[Channel ID],0)),0),"Watched","Unwatched"))</f>
        <v/>
      </c>
      <c r="C800" s="40" t="n"/>
      <c r="D800" s="41" t="n"/>
      <c r="E800" s="42" t="n">
        <v>45228.41666666666</v>
      </c>
      <c r="F800" s="51" t="inlineStr">
        <is>
          <t>Through The Griffin Door</t>
        </is>
      </c>
      <c r="G800" t="inlineStr">
        <is>
          <t>Chapter 7: The Sorting Hat | Philosopher's Stone</t>
        </is>
      </c>
      <c r="H800" s="44" t="n">
        <v>0.04836805555555555</v>
      </c>
      <c r="I800" s="45" t="n">
        <v>97549</v>
      </c>
      <c r="J800" s="45" t="n">
        <v>2863</v>
      </c>
      <c r="K800" s="45" t="n">
        <v>565</v>
      </c>
      <c r="L800" s="46" t="n"/>
      <c r="M800" s="47" t="n"/>
      <c r="N800" s="47" t="inlineStr">
        <is>
          <t>UCEscP6ETYXWSSvsNrDHekMQ</t>
        </is>
      </c>
      <c r="O800" s="48" t="n">
        <v>45228.58333333334</v>
      </c>
      <c r="P800" s="49" t="n">
        <v>45228</v>
      </c>
      <c r="Q800" s="47" t="n">
        <v>2468</v>
      </c>
      <c r="R800" s="47" t="inlineStr">
        <is>
          <t>No Video ID yet</t>
        </is>
      </c>
      <c r="S800" s="49" t="n"/>
      <c r="T800" s="49" t="n"/>
      <c r="U800" s="47" t="inlineStr">
        <is>
          <t>Join J and Ben as they dive into Chapter 7 of the Philosopher’s Stone and discuss the First Years’ lack of knowledge about the Sorting Hat, Dumbledore's nonsense words, the Founders, the Hat’s song, the random students, food at the feast, ghosts, family backgrounds, Filch, Geomancy, whether or not Hogwarts used to be a dragon and Harry’s dream. Nitwit Blubber Oddment Tweak Explained - Filch is Actually a Poltergeist - Geomantic Figures - The TRUTH About Hogwarts Origins (yes we did end up making the theory into a video) - Have a question you’d like answered for a future episode? Submit it here: 00:00 - Intro, Chapter Art 04:24 - Chapter Breakdown 1:08:21 - Closing Thoughts and Review</t>
        </is>
      </c>
      <c r="V800" s="47">
        <f>IF(AND(P800&gt;=Calendar!$K$2,P800&lt;EDATE(Calendar!$K$2,1),OR(Calendar!$K$4="*",N800=Calendar!$K$4)),P800*100+COUNTIFS($P$6:$P$3267,P800,$Q$6:$Q$3267,"&lt;="&amp;Q800,$N$6:$N$3267,Calendar!$K$4),"")</f>
        <v/>
      </c>
      <c r="W800" s="47">
        <f>IF(AND(B800=Queue!$C$4,OR(Queue!$K$4="*",N800=Queue!$K$4)),Q800,"")</f>
        <v/>
      </c>
    </row>
    <row r="801">
      <c r="A801" s="38">
        <f>IF(M801="","",HYPERLINK("https://www.youtube.com/watch?v="&amp;M801,"▶"))</f>
        <v/>
      </c>
      <c r="B801" s="39">
        <f>IF(C801&lt;&gt;"",C801,IF(P801&lt;=IFERROR(INDEX(tblChannels[Watched Through],MATCH(N801,tblChannels[Channel ID],0)),0),"Watched","Unwatched"))</f>
        <v/>
      </c>
      <c r="C801" s="40" t="n"/>
      <c r="D801" s="41" t="n"/>
      <c r="E801" s="42" t="n">
        <v>45227.41666666666</v>
      </c>
      <c r="F801" s="50" t="inlineStr">
        <is>
          <t>Super Carlin Brothers</t>
        </is>
      </c>
      <c r="G801" t="inlineStr">
        <is>
          <t>Through the Griffin Door Supercut: Chapters 4-6 | Philosopher’s Stone</t>
        </is>
      </c>
      <c r="H801" s="44" t="n">
        <v>0.1409027777777778</v>
      </c>
      <c r="I801" s="45" t="n">
        <v>289367</v>
      </c>
      <c r="J801" s="45" t="n">
        <v>2408</v>
      </c>
      <c r="K801" s="45" t="n">
        <v>562</v>
      </c>
      <c r="L801" s="46" t="n"/>
      <c r="M801" s="47" t="n"/>
      <c r="N801" s="47" t="inlineStr">
        <is>
          <t>UCKZo4N0lVPccBkSiuyVh4yg</t>
        </is>
      </c>
      <c r="O801" s="48" t="n">
        <v>45227.58333333334</v>
      </c>
      <c r="P801" s="49" t="n">
        <v>45227</v>
      </c>
      <c r="Q801" s="47" t="n">
        <v>2467</v>
      </c>
      <c r="R801" s="47" t="inlineStr">
        <is>
          <t>No Video ID yet</t>
        </is>
      </c>
      <c r="S801" s="49" t="n"/>
      <c r="T801" s="49" t="n"/>
      <c r="U801" s="47" t="inlineStr">
        <is>
          <t>Join J and Ben as they continue their journey Through the Griffin Door! We hope you enjoy the next few chapters of this recap podcast and all the Harry Potter goodness that it will bring. Have a question you’d like answered for a future episode? Submit it here: 00:00 - Chapter 4 48:59 - Chapter 5 2:02:05 - Chapter 6</t>
        </is>
      </c>
      <c r="V801" s="47">
        <f>IF(AND(P801&gt;=Calendar!$K$2,P801&lt;EDATE(Calendar!$K$2,1),OR(Calendar!$K$4="*",N801=Calendar!$K$4)),P801*100+COUNTIFS($P$6:$P$3267,P801,$Q$6:$Q$3267,"&lt;="&amp;Q801,$N$6:$N$3267,Calendar!$K$4),"")</f>
        <v/>
      </c>
      <c r="W801" s="47">
        <f>IF(AND(B801=Queue!$C$4,OR(Queue!$K$4="*",N801=Queue!$K$4)),Q801,"")</f>
        <v/>
      </c>
    </row>
    <row r="802">
      <c r="A802" s="38">
        <f>IF(M802="","",HYPERLINK("https://www.youtube.com/watch?v="&amp;M802,"▶"))</f>
        <v/>
      </c>
      <c r="B802" s="39">
        <f>IF(C802&lt;&gt;"",C802,IF(P802&lt;=IFERROR(INDEX(tblChannels[Watched Through],MATCH(N802,tblChannels[Channel ID],0)),0),"Watched","Unwatched"))</f>
        <v/>
      </c>
      <c r="C802" s="40" t="n"/>
      <c r="D802" s="41" t="n"/>
      <c r="E802" s="42" t="n">
        <v>45226.77083333334</v>
      </c>
      <c r="F802" s="52" t="inlineStr">
        <is>
          <t>Super Carlin Gaming</t>
        </is>
      </c>
      <c r="G802" t="inlineStr">
        <is>
          <t>WHAT A FINALE | Carlin Brothers Box Breakers S7E4</t>
        </is>
      </c>
      <c r="H802" s="44" t="n">
        <v>0.02960648148148148</v>
      </c>
      <c r="I802" s="45" t="n">
        <v>1771</v>
      </c>
      <c r="J802" s="45" t="n">
        <v>105</v>
      </c>
      <c r="K802" s="45" t="n">
        <v>10</v>
      </c>
      <c r="L802" s="46" t="n"/>
      <c r="M802" s="47" t="n"/>
      <c r="N802" s="47" t="inlineStr">
        <is>
          <t>UCor_9jRnNNZVzTuQ92PKsaQ</t>
        </is>
      </c>
      <c r="O802" s="48" t="n">
        <v>45226.9375</v>
      </c>
      <c r="P802" s="49" t="n">
        <v>45226</v>
      </c>
      <c r="Q802" s="47" t="n">
        <v>2466</v>
      </c>
      <c r="R802" s="47" t="inlineStr">
        <is>
          <t>No Video ID yet</t>
        </is>
      </c>
      <c r="S802" s="49" t="n"/>
      <c r="T802" s="49" t="n"/>
      <c r="U802" s="47" t="n"/>
      <c r="V802" s="47">
        <f>IF(AND(P802&gt;=Calendar!$K$2,P802&lt;EDATE(Calendar!$K$2,1),OR(Calendar!$K$4="*",N802=Calendar!$K$4)),P802*100+COUNTIFS($P$6:$P$3267,P802,$Q$6:$Q$3267,"&lt;="&amp;Q802,$N$6:$N$3267,Calendar!$K$4),"")</f>
        <v/>
      </c>
      <c r="W802" s="47">
        <f>IF(AND(B802=Queue!$C$4,OR(Queue!$K$4="*",N802=Queue!$K$4)),Q802,"")</f>
        <v/>
      </c>
    </row>
    <row r="803">
      <c r="A803" s="38">
        <f>IF(M803="","",HYPERLINK("https://www.youtube.com/watch?v="&amp;M803,"▶"))</f>
        <v/>
      </c>
      <c r="B803" s="39">
        <f>IF(C803&lt;&gt;"",C803,IF(P803&lt;=IFERROR(INDEX(tblChannels[Watched Through],MATCH(N803,tblChannels[Channel ID],0)),0),"Watched","Unwatched"))</f>
        <v/>
      </c>
      <c r="C803" s="40" t="n"/>
      <c r="D803" s="41" t="n"/>
      <c r="E803" s="42" t="n">
        <v>45226.68055555555</v>
      </c>
      <c r="F803" s="50" t="inlineStr">
        <is>
          <t>Super Carlin Brothers</t>
        </is>
      </c>
      <c r="G803" t="inlineStr">
        <is>
          <t>What If Sirius Took Harry As A Baby? | Harry Potter Film Theory</t>
        </is>
      </c>
      <c r="H803" s="44" t="n">
        <v>0.01471064814814815</v>
      </c>
      <c r="I803" s="45" t="n">
        <v>433286</v>
      </c>
      <c r="J803" s="45" t="n">
        <v>13332</v>
      </c>
      <c r="K803" s="45" t="n">
        <v>1433</v>
      </c>
      <c r="L803" s="46" t="n"/>
      <c r="M803" s="47" t="n"/>
      <c r="N803" s="47" t="inlineStr">
        <is>
          <t>UCKZo4N0lVPccBkSiuyVh4yg</t>
        </is>
      </c>
      <c r="O803" s="48" t="n">
        <v>45226.84722222222</v>
      </c>
      <c r="P803" s="49" t="n">
        <v>45226</v>
      </c>
      <c r="Q803" s="47" t="n">
        <v>2465</v>
      </c>
      <c r="R803" s="47" t="inlineStr">
        <is>
          <t>No Video ID yet</t>
        </is>
      </c>
      <c r="S803" s="49" t="n"/>
      <c r="T803" s="49" t="n"/>
      <c r="U803" s="47" t="inlineStr">
        <is>
          <t>Today J dives into the Wizarding World of Harry Potter to find out what would have happened if Lily and James’ wishes came true and Sirius had raised Harry in the wake of their death? Does Peter escape? Does Voldemort come back sooner? And what about Lupin?</t>
        </is>
      </c>
      <c r="V803" s="47">
        <f>IF(AND(P803&gt;=Calendar!$K$2,P803&lt;EDATE(Calendar!$K$2,1),OR(Calendar!$K$4="*",N803=Calendar!$K$4)),P803*100+COUNTIFS($P$6:$P$3267,P803,$Q$6:$Q$3267,"&lt;="&amp;Q803,$N$6:$N$3267,Calendar!$K$4),"")</f>
        <v/>
      </c>
      <c r="W803" s="47">
        <f>IF(AND(B803=Queue!$C$4,OR(Queue!$K$4="*",N803=Queue!$K$4)),Q803,"")</f>
        <v/>
      </c>
    </row>
    <row r="804">
      <c r="A804" s="38">
        <f>IF(M804="","",HYPERLINK("https://www.youtube.com/watch?v="&amp;M804,"▶"))</f>
        <v/>
      </c>
      <c r="B804" s="39">
        <f>IF(C804&lt;&gt;"",C804,IF(P804&lt;=IFERROR(INDEX(tblChannels[Watched Through],MATCH(N804,tblChannels[Channel ID],0)),0),"Watched","Unwatched"))</f>
        <v/>
      </c>
      <c r="C804" s="40" t="n"/>
      <c r="D804" s="41" t="n"/>
      <c r="E804" s="42" t="n">
        <v>45226.41666666666</v>
      </c>
      <c r="F804" s="43" t="inlineStr">
        <is>
          <t>Popcorn Culture</t>
        </is>
      </c>
      <c r="G804" t="inlineStr">
        <is>
          <t>Slytherin Wins the House Cup | Popcorn Culture</t>
        </is>
      </c>
      <c r="H804" s="44" t="n">
        <v>0.04733796296296296</v>
      </c>
      <c r="I804" s="45" t="n">
        <v>5268</v>
      </c>
      <c r="J804" s="45" t="n">
        <v>261</v>
      </c>
      <c r="K804" s="45" t="n">
        <v>31</v>
      </c>
      <c r="L804" s="46" t="n"/>
      <c r="M804" s="47" t="n"/>
      <c r="N804" s="47" t="inlineStr">
        <is>
          <t>UCHfIbq9thHPC8yrKjAdJgDA</t>
        </is>
      </c>
      <c r="O804" s="48" t="n">
        <v>45226.58333333334</v>
      </c>
      <c r="P804" s="49" t="n">
        <v>45226</v>
      </c>
      <c r="Q804" s="47" t="n">
        <v>2464</v>
      </c>
      <c r="R804" s="47" t="inlineStr">
        <is>
          <t>No Video ID yet</t>
        </is>
      </c>
      <c r="S804" s="49" t="n"/>
      <c r="T804" s="49" t="n"/>
      <c r="U804" s="47" t="inlineStr">
        <is>
          <t>In the 203rd episode of the Pop Ben and J discuss upcoming DND merch, Blink 182, deserted island items dilemma, Luke’s first HP read through, sorting the HP books, middle of the night YT discoveries, and stealing Wheezy’s bit (but not really). Blink 182 - 20th Edition HP Books - Buckin’ Billy Ray Smith - Wheezy Waiter - Vlogbrothers - Welcome to Wrexham - Jazzy J Chaos October was Nutter Butters Luke’s First HP Read I’m No Buckin’ Billy Ray 00:00 - Intro, DND 03:20 - October Craziness 10:26 - Ice Breakers 24:27 - Reading HP to Luke 48:28 - Ben’s Trip to Vegas</t>
        </is>
      </c>
      <c r="V804" s="47">
        <f>IF(AND(P804&gt;=Calendar!$K$2,P804&lt;EDATE(Calendar!$K$2,1),OR(Calendar!$K$4="*",N804=Calendar!$K$4)),P804*100+COUNTIFS($P$6:$P$3267,P804,$Q$6:$Q$3267,"&lt;="&amp;Q804,$N$6:$N$3267,Calendar!$K$4),"")</f>
        <v/>
      </c>
      <c r="W804" s="47">
        <f>IF(AND(B804=Queue!$C$4,OR(Queue!$K$4="*",N804=Queue!$K$4)),Q804,"")</f>
        <v/>
      </c>
    </row>
    <row r="805">
      <c r="A805" s="38">
        <f>IF(M805="","",HYPERLINK("https://www.youtube.com/watch?v="&amp;M805,"▶"))</f>
        <v/>
      </c>
      <c r="B805" s="39">
        <f>IF(C805&lt;&gt;"",C805,IF(P805&lt;=IFERROR(INDEX(tblChannels[Watched Through],MATCH(N805,tblChannels[Channel ID],0)),0),"Watched","Unwatched"))</f>
        <v/>
      </c>
      <c r="C805" s="40" t="n"/>
      <c r="D805" s="41" t="n"/>
      <c r="E805" s="42" t="n">
        <v>45224.70555555556</v>
      </c>
      <c r="F805" s="50" t="inlineStr">
        <is>
          <t>Super Carlin Brothers</t>
        </is>
      </c>
      <c r="G805" t="inlineStr">
        <is>
          <t>J vs Ben: ULTIMATE Harry Potter TRICKS Trivia Quiz | WHEEL OF PUNISHMENT</t>
        </is>
      </c>
      <c r="H805" s="44" t="n">
        <v>0.03636574074074074</v>
      </c>
      <c r="I805" s="45" t="n">
        <v>249278</v>
      </c>
      <c r="J805" s="45" t="n">
        <v>6719</v>
      </c>
      <c r="K805" s="45" t="n">
        <v>608</v>
      </c>
      <c r="L805" s="46" t="n"/>
      <c r="M805" s="47" t="n"/>
      <c r="N805" s="47" t="inlineStr">
        <is>
          <t>UCKZo4N0lVPccBkSiuyVh4yg</t>
        </is>
      </c>
      <c r="O805" s="48" t="n">
        <v>45224.87222222222</v>
      </c>
      <c r="P805" s="49" t="n">
        <v>45224</v>
      </c>
      <c r="Q805" s="47" t="n">
        <v>2463</v>
      </c>
      <c r="R805" s="47" t="inlineStr">
        <is>
          <t>No Video ID yet</t>
        </is>
      </c>
      <c r="S805" s="49" t="n"/>
      <c r="T805" s="49" t="n"/>
      <c r="U805" s="47" t="inlineStr">
        <is>
          <t xml:space="preserve">Get lifetime access to Mondly's Language learning app for just $79.99 Head on over to to try 5 pairs of glasses at home for FREE. Today J and Ben face off once more in the spirit of Halloween to find out who knows more about sweet treats in the Wizarding World of Harry Potter! The catch is.. If you get the question wrong.. You have to spin the wheel and do whatever it says.. TRICK OR TREAT! Chapters 02:27 - Q1: Who owns the ice cream parlor? 03:18 - Q2: What did Molly send Harry for his second Christmas? 05:46 - Q3: How much does Harry pay for "the lot"? 10:22 - Q4: What flavor cakes knocked out Crabbe and Goyle? 12:56 - Q5: Which treats make you breathe fire? 16:16 - Q6: What is Ron holding when Harry comes to Honeydukes? 19:45 - Q7: What wrapper did Neville's mom give him? 20:30 - Q8: What was the first bean Ron ate? 24:15 - Q9: What sweets have been Dumbledore's passwords? 34:34 - Q10: What's the blood flavored candy? 35:48 - Q11: What was Nick's deathday cake shaped like? 38:23 - Q12: What was the topper for Fleur and Bill's wedding cake? 42:45 - Q13: What did Harry NOT put on his plate at the first feast? 44:28 - Q14: What chocolate frog cards did Harry open? 47:41 - Q15: Who </t>
        </is>
      </c>
      <c r="V805" s="47">
        <f>IF(AND(P805&gt;=Calendar!$K$2,P805&lt;EDATE(Calendar!$K$2,1),OR(Calendar!$K$4="*",N805=Calendar!$K$4)),P805*100+COUNTIFS($P$6:$P$3267,P805,$Q$6:$Q$3267,"&lt;="&amp;Q805,$N$6:$N$3267,Calendar!$K$4),"")</f>
        <v/>
      </c>
      <c r="W805" s="47">
        <f>IF(AND(B805=Queue!$C$4,OR(Queue!$K$4="*",N805=Queue!$K$4)),Q805,"")</f>
        <v/>
      </c>
    </row>
    <row r="806">
      <c r="A806" s="38">
        <f>IF(M806="","",HYPERLINK("https://www.youtube.com/watch?v="&amp;M806,"▶"))</f>
        <v/>
      </c>
      <c r="B806" s="39">
        <f>IF(C806&lt;&gt;"",C806,IF(P806&lt;=IFERROR(INDEX(tblChannels[Watched Through],MATCH(N806,tblChannels[Channel ID],0)),0),"Watched","Unwatched"))</f>
        <v/>
      </c>
      <c r="C806" s="40" t="n"/>
      <c r="D806" s="41" t="n"/>
      <c r="E806" s="42" t="n">
        <v>45221.41666666666</v>
      </c>
      <c r="F806" s="51" t="inlineStr">
        <is>
          <t>Through The Griffin Door</t>
        </is>
      </c>
      <c r="G806" t="inlineStr">
        <is>
          <t>Chapter 6: The Journey From Platform Nine and Three-Quarters | Philosopher's Stone</t>
        </is>
      </c>
      <c r="H806" s="44" t="n">
        <v>0.05611111111111111</v>
      </c>
      <c r="I806" s="45" t="n">
        <v>101847</v>
      </c>
      <c r="J806" s="45" t="n">
        <v>2858</v>
      </c>
      <c r="K806" s="45" t="n">
        <v>794</v>
      </c>
      <c r="L806" s="46" t="n"/>
      <c r="M806" s="47" t="n"/>
      <c r="N806" s="47" t="inlineStr">
        <is>
          <t>UCEscP6ETYXWSSvsNrDHekMQ</t>
        </is>
      </c>
      <c r="O806" s="48" t="n">
        <v>45221.58333333334</v>
      </c>
      <c r="P806" s="49" t="n">
        <v>45221</v>
      </c>
      <c r="Q806" s="47" t="n">
        <v>2462</v>
      </c>
      <c r="R806" s="47" t="inlineStr">
        <is>
          <t>No Video ID yet</t>
        </is>
      </c>
      <c r="S806" s="49" t="n"/>
      <c r="T806" s="49" t="n"/>
      <c r="U806" s="47" t="inlineStr">
        <is>
          <t>Join J and Ben as they dive into Chapter 6 of the Philosopher’s Stone and discuss King’s Cross Station, Fred and George’s continuity, Trevor the toad, pronunciation, the beginning of Harry and Ron’s friendship, chocolate frog cards, Hermione’s intro, and Scabbers Aladdin and the King of Thieves - Pirates of the Caribbean - Why Ron is So Bad at Magic - Mars Bars - Have a question you’d like answered for a future episode? Submit it here: Chapters 03:48 - Chapter Breakdown 1:15:30 - Closing Thoughts and Chapter Art</t>
        </is>
      </c>
      <c r="V806" s="47">
        <f>IF(AND(P806&gt;=Calendar!$K$2,P806&lt;EDATE(Calendar!$K$2,1),OR(Calendar!$K$4="*",N806=Calendar!$K$4)),P806*100+COUNTIFS($P$6:$P$3267,P806,$Q$6:$Q$3267,"&lt;="&amp;Q806,$N$6:$N$3267,Calendar!$K$4),"")</f>
        <v/>
      </c>
      <c r="W806" s="47">
        <f>IF(AND(B806=Queue!$C$4,OR(Queue!$K$4="*",N806=Queue!$K$4)),Q806,"")</f>
        <v/>
      </c>
    </row>
    <row r="807">
      <c r="A807" s="38">
        <f>IF(M807="","",HYPERLINK("https://www.youtube.com/watch?v="&amp;M807,"▶"))</f>
        <v/>
      </c>
      <c r="B807" s="39">
        <f>IF(C807&lt;&gt;"",C807,IF(P807&lt;=IFERROR(INDEX(tblChannels[Watched Through],MATCH(N807,tblChannels[Channel ID],0)),0),"Watched","Unwatched"))</f>
        <v/>
      </c>
      <c r="C807" s="40" t="n"/>
      <c r="D807" s="41" t="n"/>
      <c r="E807" s="42" t="n">
        <v>45219.64583333334</v>
      </c>
      <c r="F807" s="52" t="inlineStr">
        <is>
          <t>Super Carlin Gaming</t>
        </is>
      </c>
      <c r="G807" t="inlineStr">
        <is>
          <t>A Mew-tiful Episode | Carlin Brothers Box Breakers S7E3</t>
        </is>
      </c>
      <c r="H807" s="44" t="n">
        <v>0.02873842592592592</v>
      </c>
      <c r="I807" s="45" t="n">
        <v>1693</v>
      </c>
      <c r="J807" s="45" t="n">
        <v>90</v>
      </c>
      <c r="K807" s="45" t="n">
        <v>11</v>
      </c>
      <c r="L807" s="46" t="n"/>
      <c r="M807" s="47" t="n"/>
      <c r="N807" s="47" t="inlineStr">
        <is>
          <t>UCor_9jRnNNZVzTuQ92PKsaQ</t>
        </is>
      </c>
      <c r="O807" s="48" t="n">
        <v>45219.8125</v>
      </c>
      <c r="P807" s="49" t="n">
        <v>45219</v>
      </c>
      <c r="Q807" s="47" t="n">
        <v>2461</v>
      </c>
      <c r="R807" s="47" t="inlineStr">
        <is>
          <t>No Video ID yet</t>
        </is>
      </c>
      <c r="S807" s="49" t="n"/>
      <c r="T807" s="49" t="n"/>
      <c r="U807" s="47" t="inlineStr">
        <is>
          <t>This Episode is A-Mew-zing</t>
        </is>
      </c>
      <c r="V807" s="47">
        <f>IF(AND(P807&gt;=Calendar!$K$2,P807&lt;EDATE(Calendar!$K$2,1),OR(Calendar!$K$4="*",N807=Calendar!$K$4)),P807*100+COUNTIFS($P$6:$P$3267,P807,$Q$6:$Q$3267,"&lt;="&amp;Q807,$N$6:$N$3267,Calendar!$K$4),"")</f>
        <v/>
      </c>
      <c r="W807" s="47">
        <f>IF(AND(B807=Queue!$C$4,OR(Queue!$K$4="*",N807=Queue!$K$4)),Q807,"")</f>
        <v/>
      </c>
    </row>
    <row r="808">
      <c r="A808" s="38">
        <f>IF(M808="","",HYPERLINK("https://www.youtube.com/watch?v="&amp;M808,"▶"))</f>
        <v/>
      </c>
      <c r="B808" s="39">
        <f>IF(C808&lt;&gt;"",C808,IF(P808&lt;=IFERROR(INDEX(tblChannels[Watched Through],MATCH(N808,tblChannels[Channel ID],0)),0),"Watched","Unwatched"))</f>
        <v/>
      </c>
      <c r="C808" s="40" t="n"/>
      <c r="D808" s="41" t="n"/>
      <c r="E808" s="42" t="n">
        <v>45219.625</v>
      </c>
      <c r="F808" s="50" t="inlineStr">
        <is>
          <t>Super Carlin Brothers</t>
        </is>
      </c>
      <c r="G808" t="inlineStr">
        <is>
          <t>Grindelwald Was NEVER Master of the Elder Wand | Harry Potter Film Theory</t>
        </is>
      </c>
      <c r="H808" s="44" t="n">
        <v>0.01020833333333333</v>
      </c>
      <c r="I808" s="45" t="n">
        <v>157677</v>
      </c>
      <c r="J808" s="45" t="n">
        <v>6988</v>
      </c>
      <c r="K808" s="45" t="n">
        <v>549</v>
      </c>
      <c r="L808" s="46" t="n"/>
      <c r="M808" s="47" t="n"/>
      <c r="N808" s="47" t="inlineStr">
        <is>
          <t>UCKZo4N0lVPccBkSiuyVh4yg</t>
        </is>
      </c>
      <c r="O808" s="48" t="n">
        <v>45219.79166666666</v>
      </c>
      <c r="P808" s="49" t="n">
        <v>45219</v>
      </c>
      <c r="Q808" s="47" t="n">
        <v>2460</v>
      </c>
      <c r="R808" s="47" t="inlineStr">
        <is>
          <t>No Video ID yet</t>
        </is>
      </c>
      <c r="S808" s="49" t="n"/>
      <c r="T808" s="49" t="n"/>
      <c r="U808" s="47" t="inlineStr">
        <is>
          <t>Today J dives into the Wizarding World of Harry Potter to discuss the path of The Elder Wand.. or perhaps lack there of - to prove that Grindelwald was never a master and WHY Dumbledore and Harry were!</t>
        </is>
      </c>
      <c r="V808" s="47">
        <f>IF(AND(P808&gt;=Calendar!$K$2,P808&lt;EDATE(Calendar!$K$2,1),OR(Calendar!$K$4="*",N808=Calendar!$K$4)),P808*100+COUNTIFS($P$6:$P$3267,P808,$Q$6:$Q$3267,"&lt;="&amp;Q808,$N$6:$N$3267,Calendar!$K$4),"")</f>
        <v/>
      </c>
      <c r="W808" s="47">
        <f>IF(AND(B808=Queue!$C$4,OR(Queue!$K$4="*",N808=Queue!$K$4)),Q808,"")</f>
        <v/>
      </c>
    </row>
    <row r="809">
      <c r="A809" s="38">
        <f>IF(M809="","",HYPERLINK("https://www.youtube.com/watch?v="&amp;M809,"▶"))</f>
        <v/>
      </c>
      <c r="B809" s="39">
        <f>IF(C809&lt;&gt;"",C809,IF(P809&lt;=IFERROR(INDEX(tblChannels[Watched Through],MATCH(N809,tblChannels[Channel ID],0)),0),"Watched","Unwatched"))</f>
        <v/>
      </c>
      <c r="C809" s="40" t="n"/>
      <c r="D809" s="41" t="n"/>
      <c r="E809" s="42" t="n">
        <v>45219.41666666666</v>
      </c>
      <c r="F809" s="43" t="inlineStr">
        <is>
          <t>Popcorn Culture</t>
        </is>
      </c>
      <c r="G809" t="inlineStr">
        <is>
          <t>LIVE POP 2023 | Popcorn Culture</t>
        </is>
      </c>
      <c r="H809" s="44" t="n">
        <v>0.04149305555555555</v>
      </c>
      <c r="I809" s="45" t="n">
        <v>4052</v>
      </c>
      <c r="J809" s="45" t="n">
        <v>251</v>
      </c>
      <c r="K809" s="45" t="n">
        <v>18</v>
      </c>
      <c r="L809" s="46" t="n"/>
      <c r="M809" s="47" t="n"/>
      <c r="N809" s="47" t="inlineStr">
        <is>
          <t>UCHfIbq9thHPC8yrKjAdJgDA</t>
        </is>
      </c>
      <c r="O809" s="48" t="n">
        <v>45219.58333333334</v>
      </c>
      <c r="P809" s="49" t="n">
        <v>45219</v>
      </c>
      <c r="Q809" s="47" t="n">
        <v>2459</v>
      </c>
      <c r="R809" s="47" t="inlineStr">
        <is>
          <t>No Video ID yet</t>
        </is>
      </c>
      <c r="S809" s="49" t="n"/>
      <c r="T809" s="49" t="n"/>
      <c r="U809" s="47" t="inlineStr">
        <is>
          <t>In the LIVE 202nd episode of the Pop, Ben and J discuss: homesteading and dependence, taking personality tests for each other, pumpernickel, demigods, Jushi, favorite HP theories, travel destinations, Renaissance Era of Disney, tattoos, godly parents, and (do I even need to say it?) Name of the Wind. Personality Quiz - Lego Disney Princess - Percy Jackson - What If Harry Was In Slytherin - Luna is a Wolf - 00:00 - Intro and Checking Off Bingo Items 04:31 - Homesteading 12:53 - Personality Tests 26:44 - One Word Topics 43:27 - Q&amp;A</t>
        </is>
      </c>
      <c r="V809" s="47">
        <f>IF(AND(P809&gt;=Calendar!$K$2,P809&lt;EDATE(Calendar!$K$2,1),OR(Calendar!$K$4="*",N809=Calendar!$K$4)),P809*100+COUNTIFS($P$6:$P$3267,P809,$Q$6:$Q$3267,"&lt;="&amp;Q809,$N$6:$N$3267,Calendar!$K$4),"")</f>
        <v/>
      </c>
      <c r="W809" s="47">
        <f>IF(AND(B809=Queue!$C$4,OR(Queue!$K$4="*",N809=Queue!$K$4)),Q809,"")</f>
        <v/>
      </c>
    </row>
    <row r="810">
      <c r="A810" s="38">
        <f>IF(M810="","",HYPERLINK("https://www.youtube.com/watch?v="&amp;M810,"▶"))</f>
        <v/>
      </c>
      <c r="B810" s="39">
        <f>IF(C810&lt;&gt;"",C810,IF(P810&lt;=IFERROR(INDEX(tblChannels[Watched Through],MATCH(N810,tblChannels[Channel ID],0)),0),"Watched","Unwatched"))</f>
        <v/>
      </c>
      <c r="C810" s="40" t="n"/>
      <c r="D810" s="41" t="n"/>
      <c r="E810" s="42" t="n">
        <v>45217.71736111111</v>
      </c>
      <c r="F810" s="50" t="inlineStr">
        <is>
          <t>Super Carlin Brothers</t>
        </is>
      </c>
      <c r="G810" t="inlineStr">
        <is>
          <t>The TRUTH About Hogwarts Origins | Harry Potter Film Theory</t>
        </is>
      </c>
      <c r="H810" s="44" t="n">
        <v>0.01346064814814815</v>
      </c>
      <c r="I810" s="45" t="n">
        <v>230443</v>
      </c>
      <c r="J810" s="45" t="n">
        <v>10148</v>
      </c>
      <c r="K810" s="45" t="n">
        <v>811</v>
      </c>
      <c r="L810" s="46" t="n"/>
      <c r="M810" s="47" t="n"/>
      <c r="N810" s="47" t="inlineStr">
        <is>
          <t>UCKZo4N0lVPccBkSiuyVh4yg</t>
        </is>
      </c>
      <c r="O810" s="48" t="n">
        <v>45217.88402777778</v>
      </c>
      <c r="P810" s="49" t="n">
        <v>45217</v>
      </c>
      <c r="Q810" s="47" t="n">
        <v>2458</v>
      </c>
      <c r="R810" s="47" t="inlineStr">
        <is>
          <t>No Video ID yet</t>
        </is>
      </c>
      <c r="S810" s="49" t="n"/>
      <c r="T810" s="49" t="n"/>
      <c r="U810" s="47" t="inlineStr">
        <is>
          <t>Go to to get 20% off your first monthly box. The origins of Hogwarts castle remain a mystery to this day - as does the origin of the schools motto: Draco Dormiens Nunquam Titillandus - Never Tickle a Sleeping Dragon.. Uh ok. Today Ben gets to the bottom of it</t>
        </is>
      </c>
      <c r="V810" s="47">
        <f>IF(AND(P810&gt;=Calendar!$K$2,P810&lt;EDATE(Calendar!$K$2,1),OR(Calendar!$K$4="*",N810=Calendar!$K$4)),P810*100+COUNTIFS($P$6:$P$3267,P810,$Q$6:$Q$3267,"&lt;="&amp;Q810,$N$6:$N$3267,Calendar!$K$4),"")</f>
        <v/>
      </c>
      <c r="W810" s="47">
        <f>IF(AND(B810=Queue!$C$4,OR(Queue!$K$4="*",N810=Queue!$K$4)),Q810,"")</f>
        <v/>
      </c>
    </row>
    <row r="811">
      <c r="A811" s="38">
        <f>IF(M811="","",HYPERLINK("https://www.youtube.com/watch?v="&amp;M811,"▶"))</f>
        <v/>
      </c>
      <c r="B811" s="39">
        <f>IF(C811&lt;&gt;"",C811,IF(P811&lt;=IFERROR(INDEX(tblChannels[Watched Through],MATCH(N811,tblChannels[Channel ID],0)),0),"Watched","Unwatched"))</f>
        <v/>
      </c>
      <c r="C811" s="40" t="n"/>
      <c r="D811" s="41" t="n"/>
      <c r="E811" s="42" t="n">
        <v>45214.41666666666</v>
      </c>
      <c r="F811" s="51" t="inlineStr">
        <is>
          <t>Through The Griffin Door</t>
        </is>
      </c>
      <c r="G811" t="inlineStr">
        <is>
          <t>Chapter 5: Diagon Alley | Philosopher's Stone</t>
        </is>
      </c>
      <c r="H811" s="44" t="n">
        <v>0.05077546296296296</v>
      </c>
      <c r="I811" s="45" t="n">
        <v>106653</v>
      </c>
      <c r="J811" s="45" t="n">
        <v>3233</v>
      </c>
      <c r="K811" s="45" t="n">
        <v>818</v>
      </c>
      <c r="L811" s="46" t="n"/>
      <c r="M811" s="47" t="n"/>
      <c r="N811" s="47" t="inlineStr">
        <is>
          <t>UCEscP6ETYXWSSvsNrDHekMQ</t>
        </is>
      </c>
      <c r="O811" s="48" t="n">
        <v>45214.58333333334</v>
      </c>
      <c r="P811" s="49" t="n">
        <v>45214</v>
      </c>
      <c r="Q811" s="47" t="n">
        <v>2457</v>
      </c>
      <c r="R811" s="47" t="inlineStr">
        <is>
          <t>No Video ID yet</t>
        </is>
      </c>
      <c r="S811" s="49" t="n"/>
      <c r="T811" s="49" t="n"/>
      <c r="U811" s="47" t="inlineStr">
        <is>
          <t>Join J and Ben as they dive into Chapter 5 of the Philosopher’s Stone and discuss wizarding currency, Hagrid’s method of travel, Gringotts underground, people recognizing Harry, Quirrell’s innocuous intro, meeting Malfoy, wand details, hamburgers, and the Invisibility Cloak. Have a question you’d like answered for a future episode? Submit it here: 01:53 - Chapter Breakdown 1:07:58 - Closing Thoughts and Chapter Art</t>
        </is>
      </c>
      <c r="V811" s="47">
        <f>IF(AND(P811&gt;=Calendar!$K$2,P811&lt;EDATE(Calendar!$K$2,1),OR(Calendar!$K$4="*",N811=Calendar!$K$4)),P811*100+COUNTIFS($P$6:$P$3267,P811,$Q$6:$Q$3267,"&lt;="&amp;Q811,$N$6:$N$3267,Calendar!$K$4),"")</f>
        <v/>
      </c>
      <c r="W811" s="47">
        <f>IF(AND(B811=Queue!$C$4,OR(Queue!$K$4="*",N811=Queue!$K$4)),Q811,"")</f>
        <v/>
      </c>
    </row>
    <row r="812">
      <c r="A812" s="38">
        <f>IF(M812="","",HYPERLINK("https://www.youtube.com/watch?v="&amp;M812,"▶"))</f>
        <v/>
      </c>
      <c r="B812" s="39">
        <f>IF(C812&lt;&gt;"",C812,IF(P812&lt;=IFERROR(INDEX(tblChannels[Watched Through],MATCH(N812,tblChannels[Channel ID],0)),0),"Watched","Unwatched"))</f>
        <v/>
      </c>
      <c r="C812" s="40" t="n"/>
      <c r="D812" s="41" t="n"/>
      <c r="E812" s="42" t="n">
        <v>45212.64583333334</v>
      </c>
      <c r="F812" s="52" t="inlineStr">
        <is>
          <t>Super Carlin Gaming</t>
        </is>
      </c>
      <c r="G812" t="inlineStr">
        <is>
          <t>Pokemon 151 Delivers The Heat | Carlin Brothers Box Breakers S7E2</t>
        </is>
      </c>
      <c r="H812" s="44" t="n">
        <v>0.02740740740740741</v>
      </c>
      <c r="I812" s="45" t="n">
        <v>1935</v>
      </c>
      <c r="J812" s="45" t="n">
        <v>105</v>
      </c>
      <c r="K812" s="45" t="n">
        <v>7</v>
      </c>
      <c r="L812" s="46" t="n"/>
      <c r="M812" s="47" t="n"/>
      <c r="N812" s="47" t="inlineStr">
        <is>
          <t>UCor_9jRnNNZVzTuQ92PKsaQ</t>
        </is>
      </c>
      <c r="O812" s="48" t="n">
        <v>45212.8125</v>
      </c>
      <c r="P812" s="49" t="n">
        <v>45212</v>
      </c>
      <c r="Q812" s="47" t="n">
        <v>2456</v>
      </c>
      <c r="R812" s="47" t="inlineStr">
        <is>
          <t>No Video ID yet</t>
        </is>
      </c>
      <c r="S812" s="49" t="n"/>
      <c r="T812" s="49" t="n"/>
      <c r="U812" s="47" t="n"/>
      <c r="V812" s="47">
        <f>IF(AND(P812&gt;=Calendar!$K$2,P812&lt;EDATE(Calendar!$K$2,1),OR(Calendar!$K$4="*",N812=Calendar!$K$4)),P812*100+COUNTIFS($P$6:$P$3267,P812,$Q$6:$Q$3267,"&lt;="&amp;Q812,$N$6:$N$3267,Calendar!$K$4),"")</f>
        <v/>
      </c>
      <c r="W812" s="47">
        <f>IF(AND(B812=Queue!$C$4,OR(Queue!$K$4="*",N812=Queue!$K$4)),Q812,"")</f>
        <v/>
      </c>
    </row>
    <row r="813">
      <c r="A813" s="38">
        <f>IF(M813="","",HYPERLINK("https://www.youtube.com/watch?v="&amp;M813,"▶"))</f>
        <v/>
      </c>
      <c r="B813" s="39">
        <f>IF(C813&lt;&gt;"",C813,IF(P813&lt;=IFERROR(INDEX(tblChannels[Watched Through],MATCH(N813,tblChannels[Channel ID],0)),0),"Watched","Unwatched"))</f>
        <v/>
      </c>
      <c r="C813" s="40" t="n"/>
      <c r="D813" s="41" t="n"/>
      <c r="E813" s="42" t="n">
        <v>45212.56666666667</v>
      </c>
      <c r="F813" s="50" t="inlineStr">
        <is>
          <t>Super Carlin Brothers</t>
        </is>
      </c>
      <c r="G813" t="inlineStr">
        <is>
          <t>The TRUTH About Alcohol in Butter Beer | Harry Potter Film Theory</t>
        </is>
      </c>
      <c r="H813" s="44" t="n">
        <v>0.009131944444444444</v>
      </c>
      <c r="I813" s="45" t="n">
        <v>202996</v>
      </c>
      <c r="J813" s="45" t="n">
        <v>8970</v>
      </c>
      <c r="K813" s="45" t="n">
        <v>1004</v>
      </c>
      <c r="L813" s="46" t="n"/>
      <c r="M813" s="47" t="n"/>
      <c r="N813" s="47" t="inlineStr">
        <is>
          <t>UCKZo4N0lVPccBkSiuyVh4yg</t>
        </is>
      </c>
      <c r="O813" s="48" t="n">
        <v>45212.73333333333</v>
      </c>
      <c r="P813" s="49" t="n">
        <v>45212</v>
      </c>
      <c r="Q813" s="47" t="n">
        <v>2455</v>
      </c>
      <c r="R813" s="47" t="inlineStr">
        <is>
          <t>No Video ID yet</t>
        </is>
      </c>
      <c r="S813" s="49" t="n"/>
      <c r="T813" s="49" t="n"/>
      <c r="U813" s="47" t="inlineStr">
        <is>
          <t>Go to and use code super50 to get 50% off. Is Butter Beer Alcoholic? Today J gets to the bottom the alcoholic content of butter beer and examines the wizarding world’s relationship with alcohol as a whole.</t>
        </is>
      </c>
      <c r="V813" s="47">
        <f>IF(AND(P813&gt;=Calendar!$K$2,P813&lt;EDATE(Calendar!$K$2,1),OR(Calendar!$K$4="*",N813=Calendar!$K$4)),P813*100+COUNTIFS($P$6:$P$3267,P813,$Q$6:$Q$3267,"&lt;="&amp;Q813,$N$6:$N$3267,Calendar!$K$4),"")</f>
        <v/>
      </c>
      <c r="W813" s="47">
        <f>IF(AND(B813=Queue!$C$4,OR(Queue!$K$4="*",N813=Queue!$K$4)),Q813,"")</f>
        <v/>
      </c>
    </row>
    <row r="814">
      <c r="A814" s="38">
        <f>IF(M814="","",HYPERLINK("https://www.youtube.com/watch?v="&amp;M814,"▶"))</f>
        <v/>
      </c>
      <c r="B814" s="39">
        <f>IF(C814&lt;&gt;"",C814,IF(P814&lt;=IFERROR(INDEX(tblChannels[Watched Through],MATCH(N814,tblChannels[Channel ID],0)),0),"Watched","Unwatched"))</f>
        <v/>
      </c>
      <c r="C814" s="40" t="n"/>
      <c r="D814" s="41" t="n"/>
      <c r="E814" s="42" t="n">
        <v>45212.41666666666</v>
      </c>
      <c r="F814" s="43" t="inlineStr">
        <is>
          <t>Popcorn Culture</t>
        </is>
      </c>
      <c r="G814" t="inlineStr">
        <is>
          <t>Sidewalk Climbing  | Popcorn Culture</t>
        </is>
      </c>
      <c r="H814" s="44" t="n">
        <v>0.05290509259259259</v>
      </c>
      <c r="I814" s="45" t="n">
        <v>4577</v>
      </c>
      <c r="J814" s="45" t="n">
        <v>209</v>
      </c>
      <c r="K814" s="45" t="n">
        <v>58</v>
      </c>
      <c r="L814" s="46" t="n"/>
      <c r="M814" s="47" t="n"/>
      <c r="N814" s="47" t="inlineStr">
        <is>
          <t>UCHfIbq9thHPC8yrKjAdJgDA</t>
        </is>
      </c>
      <c r="O814" s="48" t="n">
        <v>45212.58333333334</v>
      </c>
      <c r="P814" s="49" t="n">
        <v>45212</v>
      </c>
      <c r="Q814" s="47" t="n">
        <v>2454</v>
      </c>
      <c r="R814" s="47" t="inlineStr">
        <is>
          <t>No Video ID yet</t>
        </is>
      </c>
      <c r="S814" s="49" t="n"/>
      <c r="T814" s="49" t="n"/>
      <c r="U814" s="47" t="inlineStr">
        <is>
          <t>In the 201st episode of the Pop, Ben and J discuss three hole punch Jim, personality tests, Boy Scout camp, funny skits, whistling, no hands bike riding, TikToking, DNF-ing a book, and Name of the Wind (per usual). Join us at Go Fest! - Get your tickets for the SCB Trivia Night! - Listen to Through the Griffin Door: Ben’s (old) Wick of the Peek: Project Hail Mary - Personality Quiz - The Good Place- Get your CBM Candle here! - An Absolutely Remarkable Thing - Divergent - Twilight - Encompassed by Spiders I’ve Got a Trick!! The Name of No Handlebar Biking A Good Craftsman Blames His Tools 00:00 - Cold Open: Halloween Costumes 05:17 - Intro, Camp Powhatan 46:16 - TikTok and DNF-ing books</t>
        </is>
      </c>
      <c r="V814" s="47">
        <f>IF(AND(P814&gt;=Calendar!$K$2,P814&lt;EDATE(Calendar!$K$2,1),OR(Calendar!$K$4="*",N814=Calendar!$K$4)),P814*100+COUNTIFS($P$6:$P$3267,P814,$Q$6:$Q$3267,"&lt;="&amp;Q814,$N$6:$N$3267,Calendar!$K$4),"")</f>
        <v/>
      </c>
      <c r="W814" s="47">
        <f>IF(AND(B814=Queue!$C$4,OR(Queue!$K$4="*",N814=Queue!$K$4)),Q814,"")</f>
        <v/>
      </c>
    </row>
    <row r="815">
      <c r="A815" s="38">
        <f>IF(M815="","",HYPERLINK("https://www.youtube.com/watch?v="&amp;M815,"▶"))</f>
        <v/>
      </c>
      <c r="B815" s="39">
        <f>IF(C815&lt;&gt;"",C815,IF(P815&lt;=IFERROR(INDEX(tblChannels[Watched Through],MATCH(N815,tblChannels[Channel ID],0)),0),"Watched","Unwatched"))</f>
        <v/>
      </c>
      <c r="C815" s="40" t="n"/>
      <c r="D815" s="41" t="n"/>
      <c r="E815" s="42" t="n">
        <v>45210.70555555556</v>
      </c>
      <c r="F815" s="50" t="inlineStr">
        <is>
          <t>Super Carlin Brothers</t>
        </is>
      </c>
      <c r="G815" t="inlineStr">
        <is>
          <t>J vs Ben: ULTIMATE COZIEST Harry Potter Trivia Quiz</t>
        </is>
      </c>
      <c r="H815" s="44" t="n">
        <v>0.02402777777777778</v>
      </c>
      <c r="I815" s="45" t="n">
        <v>160806</v>
      </c>
      <c r="J815" s="45" t="n">
        <v>5345</v>
      </c>
      <c r="K815" s="45" t="n">
        <v>565</v>
      </c>
      <c r="L815" s="46" t="n"/>
      <c r="M815" s="47" t="n"/>
      <c r="N815" s="47" t="inlineStr">
        <is>
          <t>UCKZo4N0lVPccBkSiuyVh4yg</t>
        </is>
      </c>
      <c r="O815" s="48" t="n">
        <v>45210.87222222222</v>
      </c>
      <c r="P815" s="49" t="n">
        <v>45210</v>
      </c>
      <c r="Q815" s="47" t="n">
        <v>2453</v>
      </c>
      <c r="R815" s="47" t="inlineStr">
        <is>
          <t>No Video ID yet</t>
        </is>
      </c>
      <c r="S815" s="49" t="n"/>
      <c r="T815" s="49" t="n"/>
      <c r="U815" s="47" t="inlineStr">
        <is>
          <t>Go to for lifetime access for only $89.99! Satisfy your cozy cravings at Get your live show tickets today - This week J and Ben face off once more to find out who know’s more about the COZIEST aspects of the Wizarding World! From Dobby’s Socks to Dumbledore’s Earmuffs we’ve got it all!</t>
        </is>
      </c>
      <c r="V815" s="47">
        <f>IF(AND(P815&gt;=Calendar!$K$2,P815&lt;EDATE(Calendar!$K$2,1),OR(Calendar!$K$4="*",N815=Calendar!$K$4)),P815*100+COUNTIFS($P$6:$P$3267,P815,$Q$6:$Q$3267,"&lt;="&amp;Q815,$N$6:$N$3267,Calendar!$K$4),"")</f>
        <v/>
      </c>
      <c r="W815" s="47">
        <f>IF(AND(B815=Queue!$C$4,OR(Queue!$K$4="*",N815=Queue!$K$4)),Q815,"")</f>
        <v/>
      </c>
    </row>
    <row r="816">
      <c r="A816" s="38">
        <f>IF(M816="","",HYPERLINK("https://www.youtube.com/watch?v="&amp;M816,"▶"))</f>
        <v/>
      </c>
      <c r="B816" s="39">
        <f>IF(C816&lt;&gt;"",C816,IF(P816&lt;=IFERROR(INDEX(tblChannels[Watched Through],MATCH(N816,tblChannels[Channel ID],0)),0),"Watched","Unwatched"))</f>
        <v/>
      </c>
      <c r="C816" s="40" t="n"/>
      <c r="D816" s="41" t="n"/>
      <c r="E816" s="42" t="n">
        <v>45207.41666666666</v>
      </c>
      <c r="F816" s="51" t="inlineStr">
        <is>
          <t>Through The Griffin Door</t>
        </is>
      </c>
      <c r="G816" t="inlineStr">
        <is>
          <t>Chapter 4: The Keeper of the Keys | Philosopher's Stone</t>
        </is>
      </c>
      <c r="H816" s="44" t="n">
        <v>0.03402777777777777</v>
      </c>
      <c r="I816" s="45" t="n">
        <v>91229</v>
      </c>
      <c r="J816" s="45" t="n">
        <v>2976</v>
      </c>
      <c r="K816" s="45" t="n">
        <v>426</v>
      </c>
      <c r="L816" s="46" t="n"/>
      <c r="M816" s="47" t="n"/>
      <c r="N816" s="47" t="inlineStr">
        <is>
          <t>UCEscP6ETYXWSSvsNrDHekMQ</t>
        </is>
      </c>
      <c r="O816" s="48" t="n">
        <v>45207.58333333334</v>
      </c>
      <c r="P816" s="49" t="n">
        <v>45207</v>
      </c>
      <c r="Q816" s="47" t="n">
        <v>2452</v>
      </c>
      <c r="R816" s="47" t="inlineStr">
        <is>
          <t>No Video ID yet</t>
        </is>
      </c>
      <c r="S816" s="49" t="n"/>
      <c r="T816" s="49" t="n"/>
      <c r="U816" s="47" t="inlineStr">
        <is>
          <t>Join J and Ben as they dive into Chapter 4 of the Philosopher’s Stone and discuss Hagrid’s entrance, his umbrella/wand, the use of “squashy” throughout the series, Lily doing magic at home, the original Order, and Hagrid’s coat. Name of the Wind - Hogwarts Exact Location Video - Have a question you’d like answered for a future episode? Submit it here: 01:20 - Chapter Breakdown 43:11 - Closing Thoughts and Chapter Art</t>
        </is>
      </c>
      <c r="V816" s="47">
        <f>IF(AND(P816&gt;=Calendar!$K$2,P816&lt;EDATE(Calendar!$K$2,1),OR(Calendar!$K$4="*",N816=Calendar!$K$4)),P816*100+COUNTIFS($P$6:$P$3267,P816,$Q$6:$Q$3267,"&lt;="&amp;Q816,$N$6:$N$3267,Calendar!$K$4),"")</f>
        <v/>
      </c>
      <c r="W816" s="47">
        <f>IF(AND(B816=Queue!$C$4,OR(Queue!$K$4="*",N816=Queue!$K$4)),Q816,"")</f>
        <v/>
      </c>
    </row>
    <row r="817">
      <c r="A817" s="38">
        <f>IF(M817="","",HYPERLINK("https://www.youtube.com/watch?v="&amp;M817,"▶"))</f>
        <v/>
      </c>
      <c r="B817" s="39">
        <f>IF(C817&lt;&gt;"",C817,IF(P817&lt;=IFERROR(INDEX(tblChannels[Watched Through],MATCH(N817,tblChannels[Channel ID],0)),0),"Watched","Unwatched"))</f>
        <v/>
      </c>
      <c r="C817" s="40" t="n"/>
      <c r="D817" s="41" t="n"/>
      <c r="E817" s="42" t="n">
        <v>45205.77083333334</v>
      </c>
      <c r="F817" s="52" t="inlineStr">
        <is>
          <t>Super Carlin Gaming</t>
        </is>
      </c>
      <c r="G817" t="inlineStr">
        <is>
          <t>POKEMON 151 IS HERE | Carlin Brothers Box Breakers S7E1</t>
        </is>
      </c>
      <c r="H817" s="44" t="n">
        <v>0.035</v>
      </c>
      <c r="I817" s="45" t="n">
        <v>2624</v>
      </c>
      <c r="J817" s="45" t="n">
        <v>120</v>
      </c>
      <c r="K817" s="45" t="n">
        <v>10</v>
      </c>
      <c r="L817" s="46" t="n"/>
      <c r="M817" s="47" t="n"/>
      <c r="N817" s="47" t="inlineStr">
        <is>
          <t>UCor_9jRnNNZVzTuQ92PKsaQ</t>
        </is>
      </c>
      <c r="O817" s="48" t="n">
        <v>45205.9375</v>
      </c>
      <c r="P817" s="49" t="n">
        <v>45205</v>
      </c>
      <c r="Q817" s="47" t="n">
        <v>2451</v>
      </c>
      <c r="R817" s="47" t="inlineStr">
        <is>
          <t>No Video ID yet</t>
        </is>
      </c>
      <c r="S817" s="49" t="n"/>
      <c r="T817" s="49" t="n"/>
      <c r="U817" s="47" t="n"/>
      <c r="V817" s="47">
        <f>IF(AND(P817&gt;=Calendar!$K$2,P817&lt;EDATE(Calendar!$K$2,1),OR(Calendar!$K$4="*",N817=Calendar!$K$4)),P817*100+COUNTIFS($P$6:$P$3267,P817,$Q$6:$Q$3267,"&lt;="&amp;Q817,$N$6:$N$3267,Calendar!$K$4),"")</f>
        <v/>
      </c>
      <c r="W817" s="47">
        <f>IF(AND(B817=Queue!$C$4,OR(Queue!$K$4="*",N817=Queue!$K$4)),Q817,"")</f>
        <v/>
      </c>
    </row>
    <row r="818">
      <c r="A818" s="38">
        <f>IF(M818="","",HYPERLINK("https://www.youtube.com/watch?v="&amp;M818,"▶"))</f>
        <v/>
      </c>
      <c r="B818" s="39">
        <f>IF(C818&lt;&gt;"",C818,IF(P818&lt;=IFERROR(INDEX(tblChannels[Watched Through],MATCH(N818,tblChannels[Channel ID],0)),0),"Watched","Unwatched"))</f>
        <v/>
      </c>
      <c r="C818" s="40" t="n"/>
      <c r="D818" s="41" t="n"/>
      <c r="E818" s="42" t="n">
        <v>45205.5875</v>
      </c>
      <c r="F818" s="50" t="inlineStr">
        <is>
          <t>Super Carlin Brothers</t>
        </is>
      </c>
      <c r="G818" t="inlineStr">
        <is>
          <t>SHOULD Harry Have Been In Slytherin? | Harry Potter Film Theory</t>
        </is>
      </c>
      <c r="H818" s="44" t="n">
        <v>0.01162037037037037</v>
      </c>
      <c r="I818" s="45" t="n">
        <v>139041</v>
      </c>
      <c r="J818" s="45" t="n">
        <v>6325</v>
      </c>
      <c r="K818" s="45" t="n">
        <v>480</v>
      </c>
      <c r="L818" s="46" t="n"/>
      <c r="M818" s="47" t="n"/>
      <c r="N818" s="47" t="inlineStr">
        <is>
          <t>UCKZo4N0lVPccBkSiuyVh4yg</t>
        </is>
      </c>
      <c r="O818" s="48" t="n">
        <v>45205.75416666667</v>
      </c>
      <c r="P818" s="49" t="n">
        <v>45205</v>
      </c>
      <c r="Q818" s="47" t="n">
        <v>2450</v>
      </c>
      <c r="R818" s="47" t="inlineStr">
        <is>
          <t>No Video ID yet</t>
        </is>
      </c>
      <c r="S818" s="49" t="n"/>
      <c r="T818" s="49" t="n"/>
      <c r="U818" s="47" t="inlineStr">
        <is>
          <t>Check out SpinMaster's 4D Puzzles below! Amazon: Target: This week Ben dives into the Wizarding World of Harry Potter to question Harry’s sorting. SHOULD he have been in Slytherin after all? Was it all just circumstantial that he knew to ask not to be?</t>
        </is>
      </c>
      <c r="V818" s="47">
        <f>IF(AND(P818&gt;=Calendar!$K$2,P818&lt;EDATE(Calendar!$K$2,1),OR(Calendar!$K$4="*",N818=Calendar!$K$4)),P818*100+COUNTIFS($P$6:$P$3267,P818,$Q$6:$Q$3267,"&lt;="&amp;Q818,$N$6:$N$3267,Calendar!$K$4),"")</f>
        <v/>
      </c>
      <c r="W818" s="47">
        <f>IF(AND(B818=Queue!$C$4,OR(Queue!$K$4="*",N818=Queue!$K$4)),Q818,"")</f>
        <v/>
      </c>
    </row>
    <row r="819">
      <c r="A819" s="38">
        <f>IF(M819="","",HYPERLINK("https://www.youtube.com/watch?v="&amp;M819,"▶"))</f>
        <v/>
      </c>
      <c r="B819" s="39">
        <f>IF(C819&lt;&gt;"",C819,IF(P819&lt;=IFERROR(INDEX(tblChannels[Watched Through],MATCH(N819,tblChannels[Channel ID],0)),0),"Watched","Unwatched"))</f>
        <v/>
      </c>
      <c r="C819" s="40" t="n"/>
      <c r="D819" s="41" t="n"/>
      <c r="E819" s="42" t="n">
        <v>45205.41666666666</v>
      </c>
      <c r="F819" s="43" t="inlineStr">
        <is>
          <t>Popcorn Culture</t>
        </is>
      </c>
      <c r="G819" t="inlineStr">
        <is>
          <t>TWO HUNDRED!!  | Popcorn Culture</t>
        </is>
      </c>
      <c r="H819" s="44" t="n">
        <v>0.04818287037037037</v>
      </c>
      <c r="I819" s="45" t="n">
        <v>4815</v>
      </c>
      <c r="J819" s="45" t="n">
        <v>265</v>
      </c>
      <c r="K819" s="45" t="n">
        <v>66</v>
      </c>
      <c r="L819" s="46" t="n"/>
      <c r="M819" s="47" t="n"/>
      <c r="N819" s="47" t="inlineStr">
        <is>
          <t>UCHfIbq9thHPC8yrKjAdJgDA</t>
        </is>
      </c>
      <c r="O819" s="48" t="n">
        <v>45205.58333333334</v>
      </c>
      <c r="P819" s="49" t="n">
        <v>45205</v>
      </c>
      <c r="Q819" s="47" t="n">
        <v>2449</v>
      </c>
      <c r="R819" s="47" t="inlineStr">
        <is>
          <t>No Video ID yet</t>
        </is>
      </c>
      <c r="S819" s="49" t="n"/>
      <c r="T819" s="49" t="n"/>
      <c r="U819" s="47" t="inlineStr">
        <is>
          <t>In the 200th (!!!!!!!!!) episode of the Pop, Ben and J discuss accents, the Land Before Time, movies/shows they haven’t seen, wicks of the peek, Facebook games back in the day, early days of texting, TikTok, the Sunday Scaries, Chucks, and Prom. Join us at Go Fest! - Get your tickets for the SCB Trivia Night! - J’s Wick of the Peek - One Piece (live action): Listen to Through the Griffin Door: Derry Girls - The Land Before Time - Dinosaur - Treasure Planet - Game of Thrones - Straw Hat Goofy - One Piece (anime) - Mandarin Goby - I, Robot - Holy Freaking Mothballs Pirates vs Ninjas The 180 of Farmville 00:00 - Cold Open: Ben’s Random Accent 03:46 - Intro, EPISODE TWO HUNDRED!!! 05:50 - Dinosaurs 22:27 - Wicks of the Peek 47:20 - The Grand TikTok Experiment</t>
        </is>
      </c>
      <c r="V819" s="47">
        <f>IF(AND(P819&gt;=Calendar!$K$2,P819&lt;EDATE(Calendar!$K$2,1),OR(Calendar!$K$4="*",N819=Calendar!$K$4)),P819*100+COUNTIFS($P$6:$P$3267,P819,$Q$6:$Q$3267,"&lt;="&amp;Q819,$N$6:$N$3267,Calendar!$K$4),"")</f>
        <v/>
      </c>
      <c r="W819" s="47">
        <f>IF(AND(B819=Queue!$C$4,OR(Queue!$K$4="*",N819=Queue!$K$4)),Q819,"")</f>
        <v/>
      </c>
    </row>
    <row r="820">
      <c r="A820" s="38">
        <f>IF(M820="","",HYPERLINK("https://www.youtube.com/watch?v="&amp;M820,"▶"))</f>
        <v/>
      </c>
      <c r="B820" s="39">
        <f>IF(C820&lt;&gt;"",C820,IF(P820&lt;=IFERROR(INDEX(tblChannels[Watched Through],MATCH(N820,tblChannels[Channel ID],0)),0),"Watched","Unwatched"))</f>
        <v/>
      </c>
      <c r="C820" s="40" t="n"/>
      <c r="D820" s="41" t="n"/>
      <c r="E820" s="42" t="n">
        <v>45203.67430555556</v>
      </c>
      <c r="F820" s="50" t="inlineStr">
        <is>
          <t>Super Carlin Brothers</t>
        </is>
      </c>
      <c r="G820" t="inlineStr">
        <is>
          <t>Harry’s WORST FEAR Explained | Harry Potter Film Theory</t>
        </is>
      </c>
      <c r="H820" s="44" t="n">
        <v>0.01059027777777778</v>
      </c>
      <c r="I820" s="45" t="n">
        <v>167714</v>
      </c>
      <c r="J820" s="45" t="n">
        <v>7282</v>
      </c>
      <c r="K820" s="45" t="n">
        <v>475</v>
      </c>
      <c r="L820" s="46" t="n"/>
      <c r="M820" s="47" t="n"/>
      <c r="N820" s="47" t="inlineStr">
        <is>
          <t>UCKZo4N0lVPccBkSiuyVh4yg</t>
        </is>
      </c>
      <c r="O820" s="48" t="n">
        <v>45203.84097222222</v>
      </c>
      <c r="P820" s="49" t="n">
        <v>45203</v>
      </c>
      <c r="Q820" s="47" t="n">
        <v>2448</v>
      </c>
      <c r="R820" s="47" t="inlineStr">
        <is>
          <t>No Video ID yet</t>
        </is>
      </c>
      <c r="S820" s="49" t="n"/>
      <c r="T820" s="49" t="n"/>
      <c r="U820" s="47" t="inlineStr">
        <is>
          <t>Go to to get 25% off your first order and free shipping. This week J dives into the Wizarding World of Harry Potter to discuss Harry’s worst fear: FEAR ITSELF. Lupin claims this is a very wise fear but it’s not exactly clear what he means by that. Dont worry, we got you covered! The (Only) 5 Fears We All Share #supercarlinbrothers #HarryPotter #WandsUp</t>
        </is>
      </c>
      <c r="V820" s="47">
        <f>IF(AND(P820&gt;=Calendar!$K$2,P820&lt;EDATE(Calendar!$K$2,1),OR(Calendar!$K$4="*",N820=Calendar!$K$4)),P820*100+COUNTIFS($P$6:$P$3267,P820,$Q$6:$Q$3267,"&lt;="&amp;Q820,$N$6:$N$3267,Calendar!$K$4),"")</f>
        <v/>
      </c>
      <c r="W820" s="47">
        <f>IF(AND(B820=Queue!$C$4,OR(Queue!$K$4="*",N820=Queue!$K$4)),Q820,"")</f>
        <v/>
      </c>
    </row>
    <row r="821">
      <c r="A821" s="38">
        <f>IF(M821="","",HYPERLINK("https://www.youtube.com/watch?v="&amp;M821,"▶"))</f>
        <v/>
      </c>
      <c r="B821" s="39">
        <f>IF(C821&lt;&gt;"",C821,IF(P821&lt;=IFERROR(INDEX(tblChannels[Watched Through],MATCH(N821,tblChannels[Channel ID],0)),0),"Watched","Unwatched"))</f>
        <v/>
      </c>
      <c r="C821" s="40" t="n"/>
      <c r="D821" s="41" t="n"/>
      <c r="E821" s="42" t="n">
        <v>45200.42708333334</v>
      </c>
      <c r="F821" s="51" t="inlineStr">
        <is>
          <t>Through The Griffin Door</t>
        </is>
      </c>
      <c r="G821" t="inlineStr">
        <is>
          <t>Chapter 2: The Vanishing Glass | Philosopher's Stone</t>
        </is>
      </c>
      <c r="H821" s="44" t="n">
        <v>0.04112268518518519</v>
      </c>
      <c r="I821" s="45" t="n">
        <v>73897</v>
      </c>
      <c r="J821" s="45" t="n">
        <v>1975</v>
      </c>
      <c r="K821" s="45" t="n">
        <v>263</v>
      </c>
      <c r="L821" s="46" t="n"/>
      <c r="M821" s="47" t="n"/>
      <c r="N821" s="47" t="inlineStr">
        <is>
          <t>UCEscP6ETYXWSSvsNrDHekMQ</t>
        </is>
      </c>
      <c r="O821" s="48" t="n">
        <v>45200.59375</v>
      </c>
      <c r="P821" s="49" t="n">
        <v>45200</v>
      </c>
      <c r="Q821" s="47" t="n">
        <v>2447</v>
      </c>
      <c r="R821" s="47" t="inlineStr">
        <is>
          <t>No Video ID yet</t>
        </is>
      </c>
      <c r="S821" s="49" t="n"/>
      <c r="T821" s="49" t="n"/>
      <c r="U821" s="47" t="inlineStr">
        <is>
          <t>Join J and Ben as they dive into Chapter 2 of the Philosopher’s Stone and discuss the use of “Philosopher” vs. “Sorcerer’s” Stone, cover art, Petunia’s relationship with Lily, Piers Polkis, Dudley and Harry’s appearance descriptions, Mrs. Fig’s broken leg, vacation home in Majorca, the snake, apparition and the extent of Harry’s abuse. Seamus Gorman YouTube - Rating the Philosopher’s Stone Covers - Peter Pettigrew Rap - Have a question you’d like answered for a future episode? Submit it here: 08:09 - Chapter Breakdown 50:37 - Closing Thoughts and Chapter Art</t>
        </is>
      </c>
      <c r="V821" s="47">
        <f>IF(AND(P821&gt;=Calendar!$K$2,P821&lt;EDATE(Calendar!$K$2,1),OR(Calendar!$K$4="*",N821=Calendar!$K$4)),P821*100+COUNTIFS($P$6:$P$3267,P821,$Q$6:$Q$3267,"&lt;="&amp;Q821,$N$6:$N$3267,Calendar!$K$4),"")</f>
        <v/>
      </c>
      <c r="W821" s="47">
        <f>IF(AND(B821=Queue!$C$4,OR(Queue!$K$4="*",N821=Queue!$K$4)),Q821,"")</f>
        <v/>
      </c>
    </row>
    <row r="822">
      <c r="A822" s="38">
        <f>IF(M822="","",HYPERLINK("https://www.youtube.com/watch?v="&amp;M822,"▶"))</f>
        <v/>
      </c>
      <c r="B822" s="39">
        <f>IF(C822&lt;&gt;"",C822,IF(P822&lt;=IFERROR(INDEX(tblChannels[Watched Through],MATCH(N822,tblChannels[Channel ID],0)),0),"Watched","Unwatched"))</f>
        <v/>
      </c>
      <c r="C822" s="40" t="n"/>
      <c r="D822" s="41" t="n"/>
      <c r="E822" s="42" t="n">
        <v>45200.41666666666</v>
      </c>
      <c r="F822" s="50" t="inlineStr">
        <is>
          <t>Super Carlin Brothers</t>
        </is>
      </c>
      <c r="G822" t="inlineStr">
        <is>
          <t>Through the Griffin Door Supercut: Chapter 1-3 | Philosopher’s Stone</t>
        </is>
      </c>
      <c r="H822" s="44" t="n">
        <v>0.1184259259259259</v>
      </c>
      <c r="I822" s="45" t="n">
        <v>444963</v>
      </c>
      <c r="J822" s="45" t="n">
        <v>7955</v>
      </c>
      <c r="K822" s="45" t="n">
        <v>1436</v>
      </c>
      <c r="L822" s="46" t="n"/>
      <c r="M822" s="47" t="n"/>
      <c r="N822" s="47" t="inlineStr">
        <is>
          <t>UCKZo4N0lVPccBkSiuyVh4yg</t>
        </is>
      </c>
      <c r="O822" s="48" t="n">
        <v>45200.58333333334</v>
      </c>
      <c r="P822" s="49" t="n">
        <v>45200</v>
      </c>
      <c r="Q822" s="47" t="n">
        <v>2446</v>
      </c>
      <c r="R822" s="47" t="inlineStr">
        <is>
          <t>No Video ID yet</t>
        </is>
      </c>
      <c r="S822" s="49" t="n"/>
      <c r="T822" s="49" t="n"/>
      <c r="U822" s="47" t="inlineStr">
        <is>
          <t>Want more? Subscribe!! Join J and Ben as they embark on their newest endeavor: rereading the Harry Potter series in this chapter by chapter recap podcast! We hope you enjoy all the Harry Potter goodness that this podcast will bring. Come along as we go Through the Griffin Door. Watch on Youtube: Chapters Intro - 00:00 06:52 - Chapter 1 01:05:00 - Chapter 2 02:04:31 - Chapter 3 Edited by :: Ethan Edghill and Riley Murtagh</t>
        </is>
      </c>
      <c r="V822" s="47">
        <f>IF(AND(P822&gt;=Calendar!$K$2,P822&lt;EDATE(Calendar!$K$2,1),OR(Calendar!$K$4="*",N822=Calendar!$K$4)),P822*100+COUNTIFS($P$6:$P$3267,P822,$Q$6:$Q$3267,"&lt;="&amp;Q822,$N$6:$N$3267,Calendar!$K$4),"")</f>
        <v/>
      </c>
      <c r="W822" s="47">
        <f>IF(AND(B822=Queue!$C$4,OR(Queue!$K$4="*",N822=Queue!$K$4)),Q822,"")</f>
        <v/>
      </c>
    </row>
    <row r="823">
      <c r="A823" s="38">
        <f>IF(M823="","",HYPERLINK("https://www.youtube.com/watch?v="&amp;M823,"▶"))</f>
        <v/>
      </c>
      <c r="B823" s="39">
        <f>IF(C823&lt;&gt;"",C823,IF(P823&lt;=IFERROR(INDEX(tblChannels[Watched Through],MATCH(N823,tblChannels[Channel ID],0)),0),"Watched","Unwatched"))</f>
        <v/>
      </c>
      <c r="C823" s="40" t="n"/>
      <c r="D823" s="41" t="n"/>
      <c r="E823" s="42" t="n">
        <v>45200.41666666666</v>
      </c>
      <c r="F823" s="51" t="inlineStr">
        <is>
          <t>Through The Griffin Door</t>
        </is>
      </c>
      <c r="G823" t="inlineStr">
        <is>
          <t>Chapter 1: The Boy Who Lived | Philosopher's Stone</t>
        </is>
      </c>
      <c r="H823" s="44" t="n">
        <v>0.0459375</v>
      </c>
      <c r="I823" s="45" t="n">
        <v>118376</v>
      </c>
      <c r="J823" s="45" t="n">
        <v>3396</v>
      </c>
      <c r="K823" s="45" t="n">
        <v>435</v>
      </c>
      <c r="L823" s="46" t="n"/>
      <c r="M823" s="47" t="n"/>
      <c r="N823" s="47" t="inlineStr">
        <is>
          <t>UCEscP6ETYXWSSvsNrDHekMQ</t>
        </is>
      </c>
      <c r="O823" s="48" t="n">
        <v>45200.58333333334</v>
      </c>
      <c r="P823" s="49" t="n">
        <v>45200</v>
      </c>
      <c r="Q823" s="47" t="n">
        <v>2445</v>
      </c>
      <c r="R823" s="47" t="inlineStr">
        <is>
          <t>No Video ID yet</t>
        </is>
      </c>
      <c r="S823" s="49" t="n"/>
      <c r="T823" s="49" t="n"/>
      <c r="U823" s="47" t="inlineStr">
        <is>
          <t>Join J and Ben as they dive into Chapter 1 of the Philosopher’s Stone and discuss starting this podcast, the point of view development, character intros, general inconsistencies because of Pilot Episode-itis, the Ripley Scroll, the original Order of the Phoenix, their desire for a Founders series and the emotional impact of the chapter. Bonfire Night - The Ripley Scroll - What If Neville Was the Chosen One - Have a question you’d like answered for a future episode? Submit it here: 06:52 - Chapter Breakdown 52:34 - Closing Thoughts and Chapter Art</t>
        </is>
      </c>
      <c r="V823" s="47">
        <f>IF(AND(P823&gt;=Calendar!$K$2,P823&lt;EDATE(Calendar!$K$2,1),OR(Calendar!$K$4="*",N823=Calendar!$K$4)),P823*100+COUNTIFS($P$6:$P$3267,P823,$Q$6:$Q$3267,"&lt;="&amp;Q823,$N$6:$N$3267,Calendar!$K$4),"")</f>
        <v/>
      </c>
      <c r="W823" s="47">
        <f>IF(AND(B823=Queue!$C$4,OR(Queue!$K$4="*",N823=Queue!$K$4)),Q823,"")</f>
        <v/>
      </c>
    </row>
    <row r="824">
      <c r="A824" s="38">
        <f>IF(M824="","",HYPERLINK("https://www.youtube.com/watch?v="&amp;M824,"▶"))</f>
        <v/>
      </c>
      <c r="B824" s="39">
        <f>IF(C824&lt;&gt;"",C824,IF(P824&lt;=IFERROR(INDEX(tblChannels[Watched Through],MATCH(N824,tblChannels[Channel ID],0)),0),"Watched","Unwatched"))</f>
        <v/>
      </c>
      <c r="C824" s="40" t="n"/>
      <c r="D824" s="41" t="n"/>
      <c r="E824" s="42" t="n">
        <v>45199.4375</v>
      </c>
      <c r="F824" s="51" t="inlineStr">
        <is>
          <t>Through The Griffin Door</t>
        </is>
      </c>
      <c r="G824" t="inlineStr">
        <is>
          <t>Chapter 3: Letters From No One | Philosopher's Stone</t>
        </is>
      </c>
      <c r="H824" s="44" t="n">
        <v>0.03111111111111111</v>
      </c>
      <c r="I824" s="45" t="n">
        <v>62980</v>
      </c>
      <c r="J824" s="45" t="n">
        <v>1802</v>
      </c>
      <c r="K824" s="45" t="n">
        <v>255</v>
      </c>
      <c r="L824" s="46" t="n"/>
      <c r="M824" s="47" t="n"/>
      <c r="N824" s="47" t="inlineStr">
        <is>
          <t>UCEscP6ETYXWSSvsNrDHekMQ</t>
        </is>
      </c>
      <c r="O824" s="48" t="n">
        <v>45199.60416666666</v>
      </c>
      <c r="P824" s="49" t="n">
        <v>45199</v>
      </c>
      <c r="Q824" s="47" t="n">
        <v>2444</v>
      </c>
      <c r="R824" s="47" t="inlineStr">
        <is>
          <t>No Video ID yet</t>
        </is>
      </c>
      <c r="S824" s="49" t="n"/>
      <c r="T824" s="49" t="n"/>
      <c r="U824" s="47" t="inlineStr">
        <is>
          <t>Join J and Ben as they dive into Chapter 3 of the Philosopher’s Stone and discuss Dumbledore’s passive aggression, Harry’s zingers, Smeltings colors, welks, the Dursley’s weird logic, socks, and cliffhangers. Have a question you’d like answered for a future episode? Submit it here: 03:09 - Chapter Breakdown 38:57 - Closing Thoughts and Chapter Art</t>
        </is>
      </c>
      <c r="V824" s="47">
        <f>IF(AND(P824&gt;=Calendar!$K$2,P824&lt;EDATE(Calendar!$K$2,1),OR(Calendar!$K$4="*",N824=Calendar!$K$4)),P824*100+COUNTIFS($P$6:$P$3267,P824,$Q$6:$Q$3267,"&lt;="&amp;Q824,$N$6:$N$3267,Calendar!$K$4),"")</f>
        <v/>
      </c>
      <c r="W824" s="47">
        <f>IF(AND(B824=Queue!$C$4,OR(Queue!$K$4="*",N824=Queue!$K$4)),Q824,"")</f>
        <v/>
      </c>
    </row>
    <row r="825">
      <c r="A825" s="38">
        <f>IF(M825="","",HYPERLINK("https://www.youtube.com/watch?v="&amp;M825,"▶"))</f>
        <v/>
      </c>
      <c r="B825" s="39">
        <f>IF(C825&lt;&gt;"",C825,IF(P825&lt;=IFERROR(INDEX(tblChannels[Watched Through],MATCH(N825,tblChannels[Channel ID],0)),0),"Watched","Unwatched"))</f>
        <v/>
      </c>
      <c r="C825" s="40" t="n"/>
      <c r="D825" s="41" t="n"/>
      <c r="E825" s="42" t="n">
        <v>45198.67291666667</v>
      </c>
      <c r="F825" s="50" t="inlineStr">
        <is>
          <t>Super Carlin Brothers</t>
        </is>
      </c>
      <c r="G825" t="inlineStr">
        <is>
          <t>Albus Dumbledore's COMPLETE Life Story | Harry Potter Film Theory</t>
        </is>
      </c>
      <c r="H825" s="44" t="n">
        <v>0.01993055555555556</v>
      </c>
      <c r="I825" s="45" t="n">
        <v>310537</v>
      </c>
      <c r="J825" s="45" t="n">
        <v>9771</v>
      </c>
      <c r="K825" s="45" t="n">
        <v>563</v>
      </c>
      <c r="L825" s="46" t="n"/>
      <c r="M825" s="47" t="n"/>
      <c r="N825" s="47" t="inlineStr">
        <is>
          <t>UCKZo4N0lVPccBkSiuyVh4yg</t>
        </is>
      </c>
      <c r="O825" s="48" t="n">
        <v>45198.83958333333</v>
      </c>
      <c r="P825" s="49" t="n">
        <v>45198</v>
      </c>
      <c r="Q825" s="47" t="n">
        <v>2443</v>
      </c>
      <c r="R825" s="47" t="inlineStr">
        <is>
          <t>No Video ID yet</t>
        </is>
      </c>
      <c r="S825" s="49" t="n"/>
      <c r="T825" s="49" t="n"/>
      <c r="U825" s="47" t="inlineStr">
        <is>
          <t>In honor of the passing of Michael Gambon who breathed such life into the on-screen persona of Albus Dumbledore, today we are giving an account of the FULL LIFE of Albus Dumbledore. Through The Griffin Door Chapters 1-3 Launches this Sunday! #supercarlinbrothers #HarryPotter #WandsUp</t>
        </is>
      </c>
      <c r="V825" s="47">
        <f>IF(AND(P825&gt;=Calendar!$K$2,P825&lt;EDATE(Calendar!$K$2,1),OR(Calendar!$K$4="*",N825=Calendar!$K$4)),P825*100+COUNTIFS($P$6:$P$3267,P825,$Q$6:$Q$3267,"&lt;="&amp;Q825,$N$6:$N$3267,Calendar!$K$4),"")</f>
        <v/>
      </c>
      <c r="W825" s="47">
        <f>IF(AND(B825=Queue!$C$4,OR(Queue!$K$4="*",N825=Queue!$K$4)),Q825,"")</f>
        <v/>
      </c>
    </row>
    <row r="826">
      <c r="A826" s="38">
        <f>IF(M826="","",HYPERLINK("https://www.youtube.com/watch?v="&amp;M826,"▶"))</f>
        <v/>
      </c>
      <c r="B826" s="39">
        <f>IF(C826&lt;&gt;"",C826,IF(P826&lt;=IFERROR(INDEX(tblChannels[Watched Through],MATCH(N826,tblChannels[Channel ID],0)),0),"Watched","Unwatched"))</f>
        <v/>
      </c>
      <c r="C826" s="40" t="n"/>
      <c r="D826" s="41" t="n"/>
      <c r="E826" s="42" t="n">
        <v>45198.41666666666</v>
      </c>
      <c r="F826" s="43" t="inlineStr">
        <is>
          <t>Popcorn Culture</t>
        </is>
      </c>
      <c r="G826" t="inlineStr">
        <is>
          <t>The Mysterious Thumping Noise | Popcorn Culture</t>
        </is>
      </c>
      <c r="H826" s="44" t="n">
        <v>0.05356481481481482</v>
      </c>
      <c r="I826" s="45" t="n">
        <v>4162</v>
      </c>
      <c r="J826" s="45" t="n">
        <v>232</v>
      </c>
      <c r="K826" s="45" t="n">
        <v>22</v>
      </c>
      <c r="L826" s="46" t="n"/>
      <c r="M826" s="47" t="n"/>
      <c r="N826" s="47" t="inlineStr">
        <is>
          <t>UCHfIbq9thHPC8yrKjAdJgDA</t>
        </is>
      </c>
      <c r="O826" s="48" t="n">
        <v>45198.58333333334</v>
      </c>
      <c r="P826" s="49" t="n">
        <v>45198</v>
      </c>
      <c r="Q826" s="47" t="n">
        <v>2442</v>
      </c>
      <c r="R826" s="47" t="inlineStr">
        <is>
          <t>No Video ID yet</t>
        </is>
      </c>
      <c r="S826" s="49" t="n"/>
      <c r="T826" s="49" t="n"/>
      <c r="U826" s="47" t="inlineStr">
        <is>
          <t>In the 199th episode of the Pop, Ben and J discuss their NEW PODCAST!!! J’s relationship with anniversaries, corn’s ROI, weird numbers, Crystal the horse, Ben’s house/dog dilemma, splitting logs, TMNT, and a mysterious thumping noise. Join us at Go Fest! - Get your tickets for the SCB Trivia Night! - Through the Griffin Door Links: Listen on Apple Podcasts - Listen on Spotify - Listen Amazon - Listen on Google - Watch on YouTube - Tallest Building in the World - The Cleveland Balloon Debacle - Teenage Mutant Ninja Turtles - National Council of Popcorn Wimbly Wombly Numbers Anything Bagel Crystal the Horse The Blame Chain 00:00 - Cold Open: New Podcast!!! 01:43 - Actual Intro, Anniversaries and Corn 09:15 - Weirdness of Numbers 19:38 - The Crystal Horse Saga 34:55 - Homeowner’s Struggle 47:07 - Chopping Wood 58:56 - Ninja Turtles and Losing Sleep</t>
        </is>
      </c>
      <c r="V826" s="47">
        <f>IF(AND(P826&gt;=Calendar!$K$2,P826&lt;EDATE(Calendar!$K$2,1),OR(Calendar!$K$4="*",N826=Calendar!$K$4)),P826*100+COUNTIFS($P$6:$P$3267,P826,$Q$6:$Q$3267,"&lt;="&amp;Q826,$N$6:$N$3267,Calendar!$K$4),"")</f>
        <v/>
      </c>
      <c r="W826" s="47">
        <f>IF(AND(B826=Queue!$C$4,OR(Queue!$K$4="*",N826=Queue!$K$4)),Q826,"")</f>
        <v/>
      </c>
    </row>
    <row r="827">
      <c r="A827" s="38">
        <f>IF(M827="","",HYPERLINK("https://www.youtube.com/watch?v="&amp;M827,"▶"))</f>
        <v/>
      </c>
      <c r="B827" s="39">
        <f>IF(C827&lt;&gt;"",C827,IF(P827&lt;=IFERROR(INDEX(tblChannels[Watched Through],MATCH(N827,tblChannels[Channel ID],0)),0),"Watched","Unwatched"))</f>
        <v/>
      </c>
      <c r="C827" s="40" t="n"/>
      <c r="D827" s="41" t="n"/>
      <c r="E827" s="42" t="n">
        <v>45197.65694444445</v>
      </c>
      <c r="F827" s="51" t="inlineStr">
        <is>
          <t>Through The Griffin Door</t>
        </is>
      </c>
      <c r="G827" t="inlineStr">
        <is>
          <t>Episode 0 - Through The Griffin Door</t>
        </is>
      </c>
      <c r="H827" s="44" t="n">
        <v>0.01141203703703704</v>
      </c>
      <c r="I827" s="45" t="n">
        <v>29039</v>
      </c>
      <c r="J827" s="45" t="n">
        <v>1533</v>
      </c>
      <c r="K827" s="45" t="n">
        <v>139</v>
      </c>
      <c r="L827" s="46" t="n"/>
      <c r="M827" s="47" t="n"/>
      <c r="N827" s="47" t="inlineStr">
        <is>
          <t>UCEscP6ETYXWSSvsNrDHekMQ</t>
        </is>
      </c>
      <c r="O827" s="48" t="n">
        <v>45197.82361111111</v>
      </c>
      <c r="P827" s="49" t="n">
        <v>45197</v>
      </c>
      <c r="Q827" s="47" t="n">
        <v>2441</v>
      </c>
      <c r="R827" s="47" t="inlineStr">
        <is>
          <t>No Video ID yet</t>
        </is>
      </c>
      <c r="S827" s="49" t="n"/>
      <c r="T827" s="49" t="n"/>
      <c r="U827" s="47" t="inlineStr">
        <is>
          <t>Welcome to the newest podcast from the Super Carlin Brothers: Through the Griffin Door! Join J and Ben as they dive into the Harry Potter series chapter by chapter. As self-proclaimed experts, they are so excited to review the books from a whole new perspective. Have a question you’d like answered for a future episode? Submit it here: Want more Harry Potter content? Check these out: Harry Potter Theories: Dumbledore’s Big Plan: What If Harry Was in Slytherin:</t>
        </is>
      </c>
      <c r="V827" s="47">
        <f>IF(AND(P827&gt;=Calendar!$K$2,P827&lt;EDATE(Calendar!$K$2,1),OR(Calendar!$K$4="*",N827=Calendar!$K$4)),P827*100+COUNTIFS($P$6:$P$3267,P827,$Q$6:$Q$3267,"&lt;="&amp;Q827,$N$6:$N$3267,Calendar!$K$4),"")</f>
        <v/>
      </c>
      <c r="W827" s="47">
        <f>IF(AND(B827=Queue!$C$4,OR(Queue!$K$4="*",N827=Queue!$K$4)),Q827,"")</f>
        <v/>
      </c>
    </row>
    <row r="828">
      <c r="A828" s="38">
        <f>IF(M828="","",HYPERLINK("https://www.youtube.com/watch?v="&amp;M828,"▶"))</f>
        <v/>
      </c>
      <c r="B828" s="39">
        <f>IF(C828&lt;&gt;"",C828,IF(P828&lt;=IFERROR(INDEX(tblChannels[Watched Through],MATCH(N828,tblChannels[Channel ID],0)),0),"Watched","Unwatched"))</f>
        <v/>
      </c>
      <c r="C828" s="40" t="n"/>
      <c r="D828" s="41" t="n"/>
      <c r="E828" s="42" t="n">
        <v>45196.66180555556</v>
      </c>
      <c r="F828" s="50" t="inlineStr">
        <is>
          <t>Super Carlin Brothers</t>
        </is>
      </c>
      <c r="G828" t="inlineStr">
        <is>
          <t>J vs Ben: ULTIMATE Boy Who LIED Harry Potter Trivia Quiz</t>
        </is>
      </c>
      <c r="H828" s="44" t="n">
        <v>0.02407407407407407</v>
      </c>
      <c r="I828" s="45" t="n">
        <v>206959</v>
      </c>
      <c r="J828" s="45" t="n">
        <v>6229</v>
      </c>
      <c r="K828" s="45" t="n">
        <v>546</v>
      </c>
      <c r="L828" s="46" t="n"/>
      <c r="M828" s="47" t="n"/>
      <c r="N828" s="47" t="inlineStr">
        <is>
          <t>UCKZo4N0lVPccBkSiuyVh4yg</t>
        </is>
      </c>
      <c r="O828" s="48" t="n">
        <v>45196.82847222222</v>
      </c>
      <c r="P828" s="49" t="n">
        <v>45196</v>
      </c>
      <c r="Q828" s="47" t="n">
        <v>2440</v>
      </c>
      <c r="R828" s="47" t="inlineStr">
        <is>
          <t>No Video ID yet</t>
        </is>
      </c>
      <c r="S828" s="49" t="n"/>
      <c r="T828" s="49" t="n"/>
      <c r="U828" s="47" t="inlineStr">
        <is>
          <t>Download the DoorDash app and enter code JVSB to get 50% off your first order (up to a $20 value) and zero delivery fees. Go to to try 5 pairs of glasses at home for free. Get your tickets for our LIVE TRIVIA event in Roanoke :: Today J and Ben face off once more to find out who knows more about the Wizarding World of Harry Potter and the boy who LIED! Chapters 02:21 - Q1: Who refused to believe Voldemort was back? 03:08 - Q2: Which Weasley believed the Harry love triangle story? 04:04 - Q3: What made Hermione think she believed the love triangle story? 04:57 - Q4: Which MoM official did believe Harry? 06:01 - Q5: What was Percy's ministry role? 07:15 - Q6: Which professor gives Harry a box of sugar mice? 08:45 - Q7: Who called Harry "mad"? 10:36 - Q8: Which Ravenclaw student believed Harry? 16:21 - Q9: Who is the first to tell Harry they believe he didn't put his name in the GoF? 17:59 - Q10: Which Hufflepuff announced he believed Harry 100%? 20:04 - Q11: Which Gryffindor told Hermione they thought Harry was lying? 22:46 - Q12: Which families cancelled their Daily Prophet subscriptions? 23:50 - Q13: Who joined the DA wanting proof that Voldemort was back? 26:56 - Q14: Who gave Har</t>
        </is>
      </c>
      <c r="V828" s="47">
        <f>IF(AND(P828&gt;=Calendar!$K$2,P828&lt;EDATE(Calendar!$K$2,1),OR(Calendar!$K$4="*",N828=Calendar!$K$4)),P828*100+COUNTIFS($P$6:$P$3267,P828,$Q$6:$Q$3267,"&lt;="&amp;Q828,$N$6:$N$3267,Calendar!$K$4),"")</f>
        <v/>
      </c>
      <c r="W828" s="47">
        <f>IF(AND(B828=Queue!$C$4,OR(Queue!$K$4="*",N828=Queue!$K$4)),Q828,"")</f>
        <v/>
      </c>
    </row>
    <row r="829">
      <c r="A829" s="38">
        <f>IF(M829="","",HYPERLINK("https://www.youtube.com/watch?v="&amp;M829,"▶"))</f>
        <v/>
      </c>
      <c r="B829" s="39">
        <f>IF(C829&lt;&gt;"",C829,IF(P829&lt;=IFERROR(INDEX(tblChannels[Watched Through],MATCH(N829,tblChannels[Channel ID],0)),0),"Watched","Unwatched"))</f>
        <v/>
      </c>
      <c r="C829" s="40" t="n"/>
      <c r="D829" s="41" t="n"/>
      <c r="E829" s="42" t="n">
        <v>45191.77083333334</v>
      </c>
      <c r="F829" s="52" t="inlineStr">
        <is>
          <t>Super Carlin Gaming</t>
        </is>
      </c>
      <c r="G829" t="inlineStr">
        <is>
          <t>Paldea Evolved is FINISHED | Carlin Brothers Box Breakers S6E12</t>
        </is>
      </c>
      <c r="H829" s="44" t="n">
        <v>0.02972222222222222</v>
      </c>
      <c r="I829" s="45" t="n">
        <v>1609</v>
      </c>
      <c r="J829" s="45" t="n">
        <v>94</v>
      </c>
      <c r="K829" s="45" t="n">
        <v>5</v>
      </c>
      <c r="L829" s="46" t="n"/>
      <c r="M829" s="47" t="n"/>
      <c r="N829" s="47" t="inlineStr">
        <is>
          <t>UCor_9jRnNNZVzTuQ92PKsaQ</t>
        </is>
      </c>
      <c r="O829" s="48" t="n">
        <v>45191.9375</v>
      </c>
      <c r="P829" s="49" t="n">
        <v>45191</v>
      </c>
      <c r="Q829" s="47" t="n">
        <v>2439</v>
      </c>
      <c r="R829" s="47" t="inlineStr">
        <is>
          <t>No Video ID yet</t>
        </is>
      </c>
      <c r="S829" s="49" t="n"/>
      <c r="T829" s="49" t="n"/>
      <c r="U829" s="47" t="inlineStr">
        <is>
          <t>THIS WEEK PALDEA EVOLVED ENDS</t>
        </is>
      </c>
      <c r="V829" s="47">
        <f>IF(AND(P829&gt;=Calendar!$K$2,P829&lt;EDATE(Calendar!$K$2,1),OR(Calendar!$K$4="*",N829=Calendar!$K$4)),P829*100+COUNTIFS($P$6:$P$3267,P829,$Q$6:$Q$3267,"&lt;="&amp;Q829,$N$6:$N$3267,Calendar!$K$4),"")</f>
        <v/>
      </c>
      <c r="W829" s="47">
        <f>IF(AND(B829=Queue!$C$4,OR(Queue!$K$4="*",N829=Queue!$K$4)),Q829,"")</f>
        <v/>
      </c>
    </row>
    <row r="830">
      <c r="A830" s="38">
        <f>IF(M830="","",HYPERLINK("https://www.youtube.com/watch?v="&amp;M830,"▶"))</f>
        <v/>
      </c>
      <c r="B830" s="39">
        <f>IF(C830&lt;&gt;"",C830,IF(P830&lt;=IFERROR(INDEX(tblChannels[Watched Through],MATCH(N830,tblChannels[Channel ID],0)),0),"Watched","Unwatched"))</f>
        <v/>
      </c>
      <c r="C830" s="40" t="n"/>
      <c r="D830" s="41" t="n"/>
      <c r="E830" s="42" t="n">
        <v>45191.58472222222</v>
      </c>
      <c r="F830" s="50" t="inlineStr">
        <is>
          <t>Super Carlin Brothers</t>
        </is>
      </c>
      <c r="G830" t="inlineStr">
        <is>
          <t>What If The Weasley’s NEVER Won The Lottery? | Harry Potter Film Theory</t>
        </is>
      </c>
      <c r="H830" s="44" t="n">
        <v>0.01081018518518518</v>
      </c>
      <c r="I830" s="45" t="n">
        <v>254207</v>
      </c>
      <c r="J830" s="45" t="n">
        <v>8409</v>
      </c>
      <c r="K830" s="45" t="n">
        <v>712</v>
      </c>
      <c r="L830" s="46" t="n"/>
      <c r="M830" s="47" t="n"/>
      <c r="N830" s="47" t="inlineStr">
        <is>
          <t>UCKZo4N0lVPccBkSiuyVh4yg</t>
        </is>
      </c>
      <c r="O830" s="48" t="n">
        <v>45191.75138888889</v>
      </c>
      <c r="P830" s="49" t="n">
        <v>45191</v>
      </c>
      <c r="Q830" s="47" t="n">
        <v>2438</v>
      </c>
      <c r="R830" s="47" t="inlineStr">
        <is>
          <t>No Video ID yet</t>
        </is>
      </c>
      <c r="S830" s="49" t="n"/>
      <c r="T830" s="49" t="n"/>
      <c r="U830" s="47" t="inlineStr">
        <is>
          <t>Go to to get 25% off your first order and free standard shipping. Get your tickets for our LIVE TRIVIA event in Roanoke :: Today J dives into the Wizarding World of Harry Potter to determine what would have happened if the Weasley’s NEVER won the Lottery and visited Egypt? Would Sirius still escape? Would Voldemort return? Would Harry be expelled?</t>
        </is>
      </c>
      <c r="V830" s="47">
        <f>IF(AND(P830&gt;=Calendar!$K$2,P830&lt;EDATE(Calendar!$K$2,1),OR(Calendar!$K$4="*",N830=Calendar!$K$4)),P830*100+COUNTIFS($P$6:$P$3267,P830,$Q$6:$Q$3267,"&lt;="&amp;Q830,$N$6:$N$3267,Calendar!$K$4),"")</f>
        <v/>
      </c>
      <c r="W830" s="47">
        <f>IF(AND(B830=Queue!$C$4,OR(Queue!$K$4="*",N830=Queue!$K$4)),Q830,"")</f>
        <v/>
      </c>
    </row>
    <row r="831">
      <c r="A831" s="38">
        <f>IF(M831="","",HYPERLINK("https://www.youtube.com/watch?v="&amp;M831,"▶"))</f>
        <v/>
      </c>
      <c r="B831" s="39">
        <f>IF(C831&lt;&gt;"",C831,IF(P831&lt;=IFERROR(INDEX(tblChannels[Watched Through],MATCH(N831,tblChannels[Channel ID],0)),0),"Watched","Unwatched"))</f>
        <v/>
      </c>
      <c r="C831" s="40" t="n"/>
      <c r="D831" s="41" t="n"/>
      <c r="E831" s="42" t="n">
        <v>45191.41666666666</v>
      </c>
      <c r="F831" s="43" t="inlineStr">
        <is>
          <t>Popcorn Culture</t>
        </is>
      </c>
      <c r="G831" t="inlineStr">
        <is>
          <t>The Chocolate Explosion | Popcorn Culture</t>
        </is>
      </c>
      <c r="H831" s="44" t="n">
        <v>0.05028935185185185</v>
      </c>
      <c r="I831" s="45" t="n">
        <v>4743</v>
      </c>
      <c r="J831" s="45" t="n">
        <v>221</v>
      </c>
      <c r="K831" s="45" t="n">
        <v>33</v>
      </c>
      <c r="L831" s="46" t="n"/>
      <c r="M831" s="47" t="n"/>
      <c r="N831" s="47" t="inlineStr">
        <is>
          <t>UCHfIbq9thHPC8yrKjAdJgDA</t>
        </is>
      </c>
      <c r="O831" s="48" t="n">
        <v>45191.58333333334</v>
      </c>
      <c r="P831" s="49" t="n">
        <v>45191</v>
      </c>
      <c r="Q831" s="47" t="n">
        <v>2437</v>
      </c>
      <c r="R831" s="47" t="inlineStr">
        <is>
          <t>No Video ID yet</t>
        </is>
      </c>
      <c r="S831" s="49" t="n"/>
      <c r="T831" s="49" t="n"/>
      <c r="U831" s="47" t="inlineStr">
        <is>
          <t>In the 198th episode of the Pop, Ben and J discuss blood making Ben queasy, horror movie trailers, communication and the internet, spoilers for Project Hail Mary from 20:31 to 21:53, an explosion of chocolate, arriving at school first, and the Pop sort of serving as therapy. Join us at Go Fest! - Get your tickets for the SCB Trivia Night! - Project Hail Mary - I Never Bleed Palpatine’s Bouncy Castle SO MANY NEEDLES First Arrival Power Play 00:00 - Intro, Blood 12:56 - Horror Movies and Communication 30:07 - The Chocolate Explosion 41:31 - Being First at School 57:00 - Podcast Therapy</t>
        </is>
      </c>
      <c r="V831" s="47">
        <f>IF(AND(P831&gt;=Calendar!$K$2,P831&lt;EDATE(Calendar!$K$2,1),OR(Calendar!$K$4="*",N831=Calendar!$K$4)),P831*100+COUNTIFS($P$6:$P$3267,P831,$Q$6:$Q$3267,"&lt;="&amp;Q831,$N$6:$N$3267,Calendar!$K$4),"")</f>
        <v/>
      </c>
      <c r="W831" s="47">
        <f>IF(AND(B831=Queue!$C$4,OR(Queue!$K$4="*",N831=Queue!$K$4)),Q831,"")</f>
        <v/>
      </c>
    </row>
    <row r="832">
      <c r="A832" s="38">
        <f>IF(M832="","",HYPERLINK("https://www.youtube.com/watch?v="&amp;M832,"▶"))</f>
        <v/>
      </c>
      <c r="B832" s="39">
        <f>IF(C832&lt;&gt;"",C832,IF(P832&lt;=IFERROR(INDEX(tblChannels[Watched Through],MATCH(N832,tblChannels[Channel ID],0)),0),"Watched","Unwatched"))</f>
        <v/>
      </c>
      <c r="C832" s="40" t="n"/>
      <c r="D832" s="41" t="n"/>
      <c r="E832" s="42" t="n">
        <v>45189.69375</v>
      </c>
      <c r="F832" s="50" t="inlineStr">
        <is>
          <t>Super Carlin Brothers</t>
        </is>
      </c>
      <c r="G832" t="inlineStr">
        <is>
          <t>How Much Would a Big Mac Cost In The Wizarding World | Harry Potter Film Theory</t>
        </is>
      </c>
      <c r="H832" s="44" t="n">
        <v>0.01252314814814815</v>
      </c>
      <c r="I832" s="45" t="n">
        <v>112355</v>
      </c>
      <c r="J832" s="45" t="n">
        <v>5366</v>
      </c>
      <c r="K832" s="45" t="n">
        <v>605</v>
      </c>
      <c r="L832" s="46" t="n"/>
      <c r="M832" s="47" t="n"/>
      <c r="N832" s="47" t="inlineStr">
        <is>
          <t>UCKZo4N0lVPccBkSiuyVh4yg</t>
        </is>
      </c>
      <c r="O832" s="48" t="n">
        <v>45189.86041666667</v>
      </c>
      <c r="P832" s="49" t="n">
        <v>45189</v>
      </c>
      <c r="Q832" s="47" t="n">
        <v>2436</v>
      </c>
      <c r="R832" s="47" t="inlineStr">
        <is>
          <t>No Video ID yet</t>
        </is>
      </c>
      <c r="S832" s="49" t="n"/>
      <c r="T832" s="49" t="n"/>
      <c r="U832" s="47" t="inlineStr">
        <is>
          <t>Get 20% off your first monthly box when you sign up at Get your tickets for our LIVE TRIVIA event in Roanoke :: Today Ben dives into the Wizarding World of Harry Potter economics once more to discuss what a Big Mac would cost us muggles inside of the Wizarding World using Purchase Power Parity and the Big Mac Index! (Spoilers… a lot!)</t>
        </is>
      </c>
      <c r="V832" s="47">
        <f>IF(AND(P832&gt;=Calendar!$K$2,P832&lt;EDATE(Calendar!$K$2,1),OR(Calendar!$K$4="*",N832=Calendar!$K$4)),P832*100+COUNTIFS($P$6:$P$3267,P832,$Q$6:$Q$3267,"&lt;="&amp;Q832,$N$6:$N$3267,Calendar!$K$4),"")</f>
        <v/>
      </c>
      <c r="W832" s="47">
        <f>IF(AND(B832=Queue!$C$4,OR(Queue!$K$4="*",N832=Queue!$K$4)),Q832,"")</f>
        <v/>
      </c>
    </row>
    <row r="833">
      <c r="A833" s="38">
        <f>IF(M833="","",HYPERLINK("https://www.youtube.com/watch?v="&amp;M833,"▶"))</f>
        <v/>
      </c>
      <c r="B833" s="39">
        <f>IF(C833&lt;&gt;"",C833,IF(P833&lt;=IFERROR(INDEX(tblChannels[Watched Through],MATCH(N833,tblChannels[Channel ID],0)),0),"Watched","Unwatched"))</f>
        <v/>
      </c>
      <c r="C833" s="40" t="n"/>
      <c r="D833" s="41" t="n"/>
      <c r="E833" s="42" t="n">
        <v>45184.77083333334</v>
      </c>
      <c r="F833" s="52" t="inlineStr">
        <is>
          <t>Super Carlin Gaming</t>
        </is>
      </c>
      <c r="G833" t="inlineStr">
        <is>
          <t>DOWN TO THE WIRE | Carlin Brothers Box Breakers S6E11</t>
        </is>
      </c>
      <c r="H833" s="44" t="n">
        <v>0.02931712962962963</v>
      </c>
      <c r="I833" s="45" t="n">
        <v>1452</v>
      </c>
      <c r="J833" s="45" t="n">
        <v>85</v>
      </c>
      <c r="K833" s="45" t="n">
        <v>7</v>
      </c>
      <c r="L833" s="46" t="n"/>
      <c r="M833" s="47" t="n"/>
      <c r="N833" s="47" t="inlineStr">
        <is>
          <t>UCor_9jRnNNZVzTuQ92PKsaQ</t>
        </is>
      </c>
      <c r="O833" s="48" t="n">
        <v>45184.9375</v>
      </c>
      <c r="P833" s="49" t="n">
        <v>45184</v>
      </c>
      <c r="Q833" s="47" t="n">
        <v>2435</v>
      </c>
      <c r="R833" s="47" t="inlineStr">
        <is>
          <t>No Video ID yet</t>
        </is>
      </c>
      <c r="S833" s="49" t="n"/>
      <c r="T833" s="49" t="n"/>
      <c r="U833" s="47" t="n"/>
      <c r="V833" s="47">
        <f>IF(AND(P833&gt;=Calendar!$K$2,P833&lt;EDATE(Calendar!$K$2,1),OR(Calendar!$K$4="*",N833=Calendar!$K$4)),P833*100+COUNTIFS($P$6:$P$3267,P833,$Q$6:$Q$3267,"&lt;="&amp;Q833,$N$6:$N$3267,Calendar!$K$4),"")</f>
        <v/>
      </c>
      <c r="W833" s="47">
        <f>IF(AND(B833=Queue!$C$4,OR(Queue!$K$4="*",N833=Queue!$K$4)),Q833,"")</f>
        <v/>
      </c>
    </row>
    <row r="834">
      <c r="A834" s="38">
        <f>IF(M834="","",HYPERLINK("https://www.youtube.com/watch?v="&amp;M834,"▶"))</f>
        <v/>
      </c>
      <c r="B834" s="39">
        <f>IF(C834&lt;&gt;"",C834,IF(P834&lt;=IFERROR(INDEX(tblChannels[Watched Through],MATCH(N834,tblChannels[Channel ID],0)),0),"Watched","Unwatched"))</f>
        <v/>
      </c>
      <c r="C834" s="40" t="n"/>
      <c r="D834" s="41" t="n"/>
      <c r="E834" s="42" t="n">
        <v>45184.62708333333</v>
      </c>
      <c r="F834" s="50" t="inlineStr">
        <is>
          <t>Super Carlin Brothers</t>
        </is>
      </c>
      <c r="G834" t="inlineStr">
        <is>
          <t>J vs Ben: ULTIMATE Marauder's Quotes Harry Potter TRIVIA Quiz</t>
        </is>
      </c>
      <c r="H834" s="44" t="n">
        <v>0.02248842592592593</v>
      </c>
      <c r="I834" s="45" t="n">
        <v>181395</v>
      </c>
      <c r="J834" s="45" t="n">
        <v>6189</v>
      </c>
      <c r="K834" s="45" t="n">
        <v>536</v>
      </c>
      <c r="L834" s="46" t="n"/>
      <c r="M834" s="47" t="n"/>
      <c r="N834" s="47" t="inlineStr">
        <is>
          <t>UCKZo4N0lVPccBkSiuyVh4yg</t>
        </is>
      </c>
      <c r="O834" s="48" t="n">
        <v>45184.79375</v>
      </c>
      <c r="P834" s="49" t="n">
        <v>45184</v>
      </c>
      <c r="Q834" s="47" t="n">
        <v>2434</v>
      </c>
      <c r="R834" s="47" t="inlineStr">
        <is>
          <t>No Video ID yet</t>
        </is>
      </c>
      <c r="S834" s="49" t="n"/>
      <c r="T834" s="49" t="n"/>
      <c r="U834" s="47" t="inlineStr">
        <is>
          <t>Go to and use code jvsb50 to get 50% off. Grab your Poison Apple Candle at :: Get your tickets for our LIVE TRIVIA event in Roanoke :: Today J and Ben face off once more to discover who knows the Wizarding World of Harry Potter better which Marauders said what? You’d think it’d be easy since there are only 4 answers… Sirius Black, Remus Lupin, James Potter or Peter Pettigrew… but… 02:28 - Q1: I haven’t poisoned that chocolate, you know 04:00 - Q2: You run round with a werewolf once a month 05:31 - Q3: The world isn’t split into good people and death eaters 07:34 - Q4: But the Ministry never knew... 08:54 - Q5: You are - truly your father’s son, Harry 12:24 - Q6: It’s more the fact that he exists... 13:35 - Q7: ...bids Professor Snape a good day, and advises him to wash his hair, the slimeball 15:57 - Q8: When did I ever sneak around people... 20:13 - Q9: I was happier than I had ever been in my life... 20:43 - Q10: I am a faithful servant 21:21 - Q11: That suggests that what you fear most of all is - fear... 22:10 - Q12: Voldemort doesn't march up to people's houses and bang on their front doors 24:04 - Q13: If you want to know what a man’s like... 25:36 - Q14: Until the very end 2</t>
        </is>
      </c>
      <c r="V834" s="47">
        <f>IF(AND(P834&gt;=Calendar!$K$2,P834&lt;EDATE(Calendar!$K$2,1),OR(Calendar!$K$4="*",N834=Calendar!$K$4)),P834*100+COUNTIFS($P$6:$P$3267,P834,$Q$6:$Q$3267,"&lt;="&amp;Q834,$N$6:$N$3267,Calendar!$K$4),"")</f>
        <v/>
      </c>
      <c r="W834" s="47">
        <f>IF(AND(B834=Queue!$C$4,OR(Queue!$K$4="*",N834=Queue!$K$4)),Q834,"")</f>
        <v/>
      </c>
    </row>
    <row r="835">
      <c r="A835" s="38">
        <f>IF(M835="","",HYPERLINK("https://www.youtube.com/watch?v="&amp;M835,"▶"))</f>
        <v/>
      </c>
      <c r="B835" s="39">
        <f>IF(C835&lt;&gt;"",C835,IF(P835&lt;=IFERROR(INDEX(tblChannels[Watched Through],MATCH(N835,tblChannels[Channel ID],0)),0),"Watched","Unwatched"))</f>
        <v/>
      </c>
      <c r="C835" s="40" t="n"/>
      <c r="D835" s="41" t="n"/>
      <c r="E835" s="42" t="n">
        <v>45184.41666666666</v>
      </c>
      <c r="F835" s="43" t="inlineStr">
        <is>
          <t>Popcorn Culture</t>
        </is>
      </c>
      <c r="G835" t="inlineStr">
        <is>
          <t>Dripping Dragon | Popcorn Culture</t>
        </is>
      </c>
      <c r="H835" s="44" t="n">
        <v>0.04803240740740741</v>
      </c>
      <c r="I835" s="45" t="n">
        <v>3979</v>
      </c>
      <c r="J835" s="45" t="n">
        <v>204</v>
      </c>
      <c r="K835" s="45" t="n">
        <v>19</v>
      </c>
      <c r="L835" s="46" t="n"/>
      <c r="M835" s="47" t="n"/>
      <c r="N835" s="47" t="inlineStr">
        <is>
          <t>UCHfIbq9thHPC8yrKjAdJgDA</t>
        </is>
      </c>
      <c r="O835" s="48" t="n">
        <v>45184.58333333334</v>
      </c>
      <c r="P835" s="49" t="n">
        <v>45184</v>
      </c>
      <c r="Q835" s="47" t="n">
        <v>2433</v>
      </c>
      <c r="R835" s="47" t="inlineStr">
        <is>
          <t>No Video ID yet</t>
        </is>
      </c>
      <c r="S835" s="49" t="n"/>
      <c r="T835" s="49" t="n"/>
      <c r="U835" s="47" t="inlineStr">
        <is>
          <t>In the 197th episode of the pop, Ben and J discuss J’s experience at the Pittsburg Pokémon competition, being assertive, things breaking, plumbing, picking Eeveelutions for your kids, Moana, weird noises in Ben’s house, Join us at Go Fest! - Get your tickets for the SCB Trivia Night! - Eeveelutions - Moana - Episode of Criminal - Discovery of the Thump 00:00 - Intro, Meet Up Coming Up! 02:37 - Pittsburgh Pokemon Competition 09:46 - Inviting People to Things 37:14 - Shower Saga Part… like 57 42:02 - Eeveelotion Children 56:07 - Addie’s New Favorite Movie</t>
        </is>
      </c>
      <c r="V835" s="47">
        <f>IF(AND(P835&gt;=Calendar!$K$2,P835&lt;EDATE(Calendar!$K$2,1),OR(Calendar!$K$4="*",N835=Calendar!$K$4)),P835*100+COUNTIFS($P$6:$P$3267,P835,$Q$6:$Q$3267,"&lt;="&amp;Q835,$N$6:$N$3267,Calendar!$K$4),"")</f>
        <v/>
      </c>
      <c r="W835" s="47">
        <f>IF(AND(B835=Queue!$C$4,OR(Queue!$K$4="*",N835=Queue!$K$4)),Q835,"")</f>
        <v/>
      </c>
    </row>
    <row r="836">
      <c r="A836" s="38">
        <f>IF(M836="","",HYPERLINK("https://www.youtube.com/watch?v="&amp;M836,"▶"))</f>
        <v/>
      </c>
      <c r="B836" s="39">
        <f>IF(C836&lt;&gt;"",C836,IF(P836&lt;=IFERROR(INDEX(tblChannels[Watched Through],MATCH(N836,tblChannels[Channel ID],0)),0),"Watched","Unwatched"))</f>
        <v/>
      </c>
      <c r="C836" s="40" t="n"/>
      <c r="D836" s="41" t="n"/>
      <c r="E836" s="42" t="n">
        <v>45182.62569444445</v>
      </c>
      <c r="F836" s="50" t="inlineStr">
        <is>
          <t>Super Carlin Brothers</t>
        </is>
      </c>
      <c r="G836" t="inlineStr">
        <is>
          <t>Voldemort’s MASTER PLAN Revealed! | Harry Potter Film Theory</t>
        </is>
      </c>
      <c r="H836" s="44" t="n">
        <v>0.008923611111111111</v>
      </c>
      <c r="I836" s="45" t="n">
        <v>380505</v>
      </c>
      <c r="J836" s="45" t="n">
        <v>12916</v>
      </c>
      <c r="K836" s="45" t="n">
        <v>837</v>
      </c>
      <c r="L836" s="46" t="n"/>
      <c r="M836" s="47" t="n"/>
      <c r="N836" s="47" t="inlineStr">
        <is>
          <t>UCKZo4N0lVPccBkSiuyVh4yg</t>
        </is>
      </c>
      <c r="O836" s="48" t="n">
        <v>45182.79236111111</v>
      </c>
      <c r="P836" s="49" t="n">
        <v>45182</v>
      </c>
      <c r="Q836" s="47" t="n">
        <v>2432</v>
      </c>
      <c r="R836" s="47" t="inlineStr">
        <is>
          <t>No Video ID yet</t>
        </is>
      </c>
      <c r="S836" s="49" t="n"/>
      <c r="T836" s="49" t="n"/>
      <c r="U836" s="47" t="inlineStr">
        <is>
          <t>Get your tickets for our LIVE TRIVIA event in Roanoke :: Today J dives into the Wizarding World of Harry Potter to explain Voldemorts FULL plan for Goblet of Fire and how he planned to win control of the Wizarding World in ONE NIGHT!</t>
        </is>
      </c>
      <c r="V836" s="47">
        <f>IF(AND(P836&gt;=Calendar!$K$2,P836&lt;EDATE(Calendar!$K$2,1),OR(Calendar!$K$4="*",N836=Calendar!$K$4)),P836*100+COUNTIFS($P$6:$P$3267,P836,$Q$6:$Q$3267,"&lt;="&amp;Q836,$N$6:$N$3267,Calendar!$K$4),"")</f>
        <v/>
      </c>
      <c r="W836" s="47">
        <f>IF(AND(B836=Queue!$C$4,OR(Queue!$K$4="*",N836=Queue!$K$4)),Q836,"")</f>
        <v/>
      </c>
    </row>
    <row r="837">
      <c r="A837" s="38">
        <f>IF(M837="","",HYPERLINK("https://www.youtube.com/watch?v="&amp;M837,"▶"))</f>
        <v/>
      </c>
      <c r="B837" s="39">
        <f>IF(C837&lt;&gt;"",C837,IF(P837&lt;=IFERROR(INDEX(tblChannels[Watched Through],MATCH(N837,tblChannels[Channel ID],0)),0),"Watched","Unwatched"))</f>
        <v/>
      </c>
      <c r="C837" s="40" t="n"/>
      <c r="D837" s="41" t="n"/>
      <c r="E837" s="42" t="n">
        <v>45181.75</v>
      </c>
      <c r="F837" s="53" t="inlineStr">
        <is>
          <t>Jonathan Carlin</t>
        </is>
      </c>
      <c r="G837" t="inlineStr">
        <is>
          <t>Tennis Isn't Ready for These Kids</t>
        </is>
      </c>
      <c r="H837" s="44" t="n">
        <v>0.01395833333333333</v>
      </c>
      <c r="I837" s="45" t="n">
        <v>9229</v>
      </c>
      <c r="J837" s="45" t="n">
        <v>543</v>
      </c>
      <c r="K837" s="45" t="n">
        <v>40</v>
      </c>
      <c r="L837" s="46" t="n"/>
      <c r="M837" s="47" t="n"/>
      <c r="N837" s="47" t="inlineStr">
        <is>
          <t>UCYPKFe86e6nm4TVUYKLsFUQ</t>
        </is>
      </c>
      <c r="O837" s="48" t="n">
        <v>45181.91666666666</v>
      </c>
      <c r="P837" s="49" t="n">
        <v>45181</v>
      </c>
      <c r="Q837" s="47" t="n">
        <v>2431</v>
      </c>
      <c r="R837" s="47" t="inlineStr">
        <is>
          <t>No Video ID yet</t>
        </is>
      </c>
      <c r="S837" s="49" t="n"/>
      <c r="T837" s="49" t="n"/>
      <c r="U837" s="47" t="inlineStr">
        <is>
          <t>This week J struggles to sleep, the boys pick a TON of tomatoes and dip their toes into the world of tennis. Pancake Recipe: 1 ½ cups all-purpose flour 3 ½ teaspoons baking powder 1 tablespoon white sugar ¼ teaspoon salt, or more to taste 1 ¼ cups milk 3 tablespoons butter, melted 1 egg Edited by Ethan Edghill</t>
        </is>
      </c>
      <c r="V837" s="47">
        <f>IF(AND(P837&gt;=Calendar!$K$2,P837&lt;EDATE(Calendar!$K$2,1),OR(Calendar!$K$4="*",N837=Calendar!$K$4)),P837*100+COUNTIFS($P$6:$P$3267,P837,$Q$6:$Q$3267,"&lt;="&amp;Q837,$N$6:$N$3267,Calendar!$K$4),"")</f>
        <v/>
      </c>
      <c r="W837" s="47">
        <f>IF(AND(B837=Queue!$C$4,OR(Queue!$K$4="*",N837=Queue!$K$4)),Q837,"")</f>
        <v/>
      </c>
    </row>
    <row r="838">
      <c r="A838" s="38">
        <f>IF(M838="","",HYPERLINK("https://www.youtube.com/watch?v="&amp;M838,"▶"))</f>
        <v/>
      </c>
      <c r="B838" s="39">
        <f>IF(C838&lt;&gt;"",C838,IF(P838&lt;=IFERROR(INDEX(tblChannels[Watched Through],MATCH(N838,tblChannels[Channel ID],0)),0),"Watched","Unwatched"))</f>
        <v/>
      </c>
      <c r="C838" s="40" t="n"/>
      <c r="D838" s="41" t="n"/>
      <c r="E838" s="42" t="n">
        <v>45177.77083333334</v>
      </c>
      <c r="F838" s="52" t="inlineStr">
        <is>
          <t>Super Carlin Gaming</t>
        </is>
      </c>
      <c r="G838" t="inlineStr">
        <is>
          <t>QUADRUPLE MULTIPLIER !! | Carlin Brothers Box Breakers S6E10</t>
        </is>
      </c>
      <c r="H838" s="44" t="n">
        <v>0.02947916666666667</v>
      </c>
      <c r="I838" s="45" t="n">
        <v>1724</v>
      </c>
      <c r="J838" s="45" t="n">
        <v>101</v>
      </c>
      <c r="K838" s="45" t="n">
        <v>6</v>
      </c>
      <c r="L838" s="46" t="n"/>
      <c r="M838" s="47" t="n"/>
      <c r="N838" s="47" t="inlineStr">
        <is>
          <t>UCor_9jRnNNZVzTuQ92PKsaQ</t>
        </is>
      </c>
      <c r="O838" s="48" t="n">
        <v>45177.9375</v>
      </c>
      <c r="P838" s="49" t="n">
        <v>45177</v>
      </c>
      <c r="Q838" s="47" t="n">
        <v>2430</v>
      </c>
      <c r="R838" s="47" t="inlineStr">
        <is>
          <t>No Video ID yet</t>
        </is>
      </c>
      <c r="S838" s="49" t="n"/>
      <c r="T838" s="49" t="n"/>
      <c r="U838" s="47" t="n"/>
      <c r="V838" s="47">
        <f>IF(AND(P838&gt;=Calendar!$K$2,P838&lt;EDATE(Calendar!$K$2,1),OR(Calendar!$K$4="*",N838=Calendar!$K$4)),P838*100+COUNTIFS($P$6:$P$3267,P838,$Q$6:$Q$3267,"&lt;="&amp;Q838,$N$6:$N$3267,Calendar!$K$4),"")</f>
        <v/>
      </c>
      <c r="W838" s="47">
        <f>IF(AND(B838=Queue!$C$4,OR(Queue!$K$4="*",N838=Queue!$K$4)),Q838,"")</f>
        <v/>
      </c>
    </row>
    <row r="839">
      <c r="A839" s="38">
        <f>IF(M839="","",HYPERLINK("https://www.youtube.com/watch?v="&amp;M839,"▶"))</f>
        <v/>
      </c>
      <c r="B839" s="39">
        <f>IF(C839&lt;&gt;"",C839,IF(P839&lt;=IFERROR(INDEX(tblChannels[Watched Through],MATCH(N839,tblChannels[Channel ID],0)),0),"Watched","Unwatched"))</f>
        <v/>
      </c>
      <c r="C839" s="40" t="n"/>
      <c r="D839" s="41" t="n"/>
      <c r="E839" s="42" t="n">
        <v>45177.67777777778</v>
      </c>
      <c r="F839" s="50" t="inlineStr">
        <is>
          <t>Super Carlin Brothers</t>
        </is>
      </c>
      <c r="G839" t="inlineStr">
        <is>
          <t>The TRUE Value of Wizard Gold REVEALED | Harry Potter Film Theory</t>
        </is>
      </c>
      <c r="H839" s="44" t="n">
        <v>0.0130787037037037</v>
      </c>
      <c r="I839" s="45" t="n">
        <v>250418</v>
      </c>
      <c r="J839" s="45" t="n">
        <v>9827</v>
      </c>
      <c r="K839" s="45" t="n">
        <v>1644</v>
      </c>
      <c r="L839" s="46" t="n"/>
      <c r="M839" s="47" t="n"/>
      <c r="N839" s="47" t="inlineStr">
        <is>
          <t>UCKZo4N0lVPccBkSiuyVh4yg</t>
        </is>
      </c>
      <c r="O839" s="48" t="n">
        <v>45177.84444444445</v>
      </c>
      <c r="P839" s="49" t="n">
        <v>45177</v>
      </c>
      <c r="Q839" s="47" t="n">
        <v>2429</v>
      </c>
      <c r="R839" s="47" t="inlineStr">
        <is>
          <t>No Video ID yet</t>
        </is>
      </c>
      <c r="S839" s="49" t="n"/>
      <c r="T839" s="49" t="n"/>
      <c r="U839" s="47" t="inlineStr">
        <is>
          <t>Check out SpinMaster's 4D Puzzles below! Amazon: Target: Grab a bag of Liquid Luck: Get your tickets for our LIVE TRIVIA event in Roanoke :: Today Ben dives into the Wizarding World of Harry Potter to reveal the TRUTH about how much a Gold Galleon is worth and just how rich Harry really is… and Sirius for that matter.</t>
        </is>
      </c>
      <c r="V839" s="47">
        <f>IF(AND(P839&gt;=Calendar!$K$2,P839&lt;EDATE(Calendar!$K$2,1),OR(Calendar!$K$4="*",N839=Calendar!$K$4)),P839*100+COUNTIFS($P$6:$P$3267,P839,$Q$6:$Q$3267,"&lt;="&amp;Q839,$N$6:$N$3267,Calendar!$K$4),"")</f>
        <v/>
      </c>
      <c r="W839" s="47">
        <f>IF(AND(B839=Queue!$C$4,OR(Queue!$K$4="*",N839=Queue!$K$4)),Q839,"")</f>
        <v/>
      </c>
    </row>
    <row r="840">
      <c r="A840" s="38">
        <f>IF(M840="","",HYPERLINK("https://www.youtube.com/watch?v="&amp;M840,"▶"))</f>
        <v/>
      </c>
      <c r="B840" s="39">
        <f>IF(C840&lt;&gt;"",C840,IF(P840&lt;=IFERROR(INDEX(tblChannels[Watched Through],MATCH(N840,tblChannels[Channel ID],0)),0),"Watched","Unwatched"))</f>
        <v/>
      </c>
      <c r="C840" s="40" t="n"/>
      <c r="D840" s="41" t="n"/>
      <c r="E840" s="42" t="n">
        <v>45177.41666666666</v>
      </c>
      <c r="F840" s="43" t="inlineStr">
        <is>
          <t>Popcorn Culture</t>
        </is>
      </c>
      <c r="G840" t="inlineStr">
        <is>
          <t>The Name of ReWind | Popcorn Culture</t>
        </is>
      </c>
      <c r="H840" s="44" t="n">
        <v>0.04212962962962963</v>
      </c>
      <c r="I840" s="45" t="n">
        <v>3975</v>
      </c>
      <c r="J840" s="45" t="n">
        <v>207</v>
      </c>
      <c r="K840" s="45" t="n">
        <v>16</v>
      </c>
      <c r="L840" s="46" t="n"/>
      <c r="M840" s="47" t="n"/>
      <c r="N840" s="47" t="inlineStr">
        <is>
          <t>UCHfIbq9thHPC8yrKjAdJgDA</t>
        </is>
      </c>
      <c r="O840" s="48" t="n">
        <v>45177.58333333334</v>
      </c>
      <c r="P840" s="49" t="n">
        <v>45177</v>
      </c>
      <c r="Q840" s="47" t="n">
        <v>2428</v>
      </c>
      <c r="R840" s="47" t="inlineStr">
        <is>
          <t>No Video ID yet</t>
        </is>
      </c>
      <c r="S840" s="49" t="n"/>
      <c r="T840" s="49" t="n"/>
      <c r="U840" s="47" t="inlineStr">
        <is>
          <t>In the 196th episode of the Pop, Ben and J discuss sentiments towards pop music, Jimmy Buffett, Ben’s one time perfect impressions, the yips, learned opinions, thought policing, pickleball, and Popcorn Re-Cultured. Join us at Go Fest! - Get your tickets for the SCB Trivia Night! - Nickelback - Imagine Dragons - Miley Cyrus - Jimmy Buffett - The Incredibles scene - Luna’s Always Right - I’ve Heard of Music Back a Track to Nickelback Miley Cyrus as Han Solo That’s How I’m Fashioning Taking a Dimeback Pickleball is the New Block Party 00:00 - Intro, Pop Music 14:07 - Jimmy Buffett :( and the Yips 22:46 - Internet Culture 38:42 - Pickleball</t>
        </is>
      </c>
      <c r="V840" s="47">
        <f>IF(AND(P840&gt;=Calendar!$K$2,P840&lt;EDATE(Calendar!$K$2,1),OR(Calendar!$K$4="*",N840=Calendar!$K$4)),P840*100+COUNTIFS($P$6:$P$3267,P840,$Q$6:$Q$3267,"&lt;="&amp;Q840,$N$6:$N$3267,Calendar!$K$4),"")</f>
        <v/>
      </c>
      <c r="W840" s="47">
        <f>IF(AND(B840=Queue!$C$4,OR(Queue!$K$4="*",N840=Queue!$K$4)),Q840,"")</f>
        <v/>
      </c>
    </row>
    <row r="841">
      <c r="A841" s="38">
        <f>IF(M841="","",HYPERLINK("https://www.youtube.com/watch?v="&amp;M841,"▶"))</f>
        <v/>
      </c>
      <c r="B841" s="39">
        <f>IF(C841&lt;&gt;"",C841,IF(P841&lt;=IFERROR(INDEX(tblChannels[Watched Through],MATCH(N841,tblChannels[Channel ID],0)),0),"Watched","Unwatched"))</f>
        <v/>
      </c>
      <c r="C841" s="40" t="n"/>
      <c r="D841" s="41" t="n"/>
      <c r="E841" s="42" t="n">
        <v>45175.68402777778</v>
      </c>
      <c r="F841" s="50" t="inlineStr">
        <is>
          <t>Super Carlin Brothers</t>
        </is>
      </c>
      <c r="G841" t="inlineStr">
        <is>
          <t>Reacting to 45 MORE Sorcerer's Stone Covers | Harry Potter Film Theory</t>
        </is>
      </c>
      <c r="H841" s="44" t="n">
        <v>0.03225694444444444</v>
      </c>
      <c r="I841" s="45" t="n">
        <v>89745</v>
      </c>
      <c r="J841" s="45" t="n">
        <v>3389</v>
      </c>
      <c r="K841" s="45" t="n">
        <v>718</v>
      </c>
      <c r="L841" s="46" t="n"/>
      <c r="M841" s="47" t="n"/>
      <c r="N841" s="47" t="inlineStr">
        <is>
          <t>UCKZo4N0lVPccBkSiuyVh4yg</t>
        </is>
      </c>
      <c r="O841" s="48" t="n">
        <v>45175.85069444445</v>
      </c>
      <c r="P841" s="49" t="n">
        <v>45175</v>
      </c>
      <c r="Q841" s="47" t="n">
        <v>2427</v>
      </c>
      <c r="R841" s="47" t="inlineStr">
        <is>
          <t>No Video ID yet</t>
        </is>
      </c>
      <c r="S841" s="49" t="n"/>
      <c r="T841" s="49" t="n"/>
      <c r="U841" s="47" t="inlineStr">
        <is>
          <t>Go to and use code SUPER to save 40% off ALL bidets and bundles. Get your tickets for our LIVE TRIVIA event in Roanoke :: Well, turns out there were at LEAST 45 more Sorcerer's Stone covers out there, so today, we are jumping back in and reacting to them all! Seriously though… the Peter Pan one?</t>
        </is>
      </c>
      <c r="V841" s="47">
        <f>IF(AND(P841&gt;=Calendar!$K$2,P841&lt;EDATE(Calendar!$K$2,1),OR(Calendar!$K$4="*",N841=Calendar!$K$4)),P841*100+COUNTIFS($P$6:$P$3267,P841,$Q$6:$Q$3267,"&lt;="&amp;Q841,$N$6:$N$3267,Calendar!$K$4),"")</f>
        <v/>
      </c>
      <c r="W841" s="47">
        <f>IF(AND(B841=Queue!$C$4,OR(Queue!$K$4="*",N841=Queue!$K$4)),Q841,"")</f>
        <v/>
      </c>
    </row>
    <row r="842">
      <c r="A842" s="38">
        <f>IF(M842="","",HYPERLINK("https://www.youtube.com/watch?v="&amp;M842,"▶"))</f>
        <v/>
      </c>
      <c r="B842" s="39">
        <f>IF(C842&lt;&gt;"",C842,IF(P842&lt;=IFERROR(INDEX(tblChannels[Watched Through],MATCH(N842,tblChannels[Channel ID],0)),0),"Watched","Unwatched"))</f>
        <v/>
      </c>
      <c r="C842" s="40" t="n"/>
      <c r="D842" s="41" t="n"/>
      <c r="E842" s="42" t="n">
        <v>45174.4375</v>
      </c>
      <c r="F842" s="53" t="inlineStr">
        <is>
          <t>Jonathan Carlin</t>
        </is>
      </c>
      <c r="G842" t="inlineStr">
        <is>
          <t>THE TREASURE HUNT BEGINS!</t>
        </is>
      </c>
      <c r="H842" s="44" t="n">
        <v>0.01209490740740741</v>
      </c>
      <c r="I842" s="45" t="n">
        <v>9767</v>
      </c>
      <c r="J842" s="45" t="n">
        <v>633</v>
      </c>
      <c r="K842" s="45" t="n">
        <v>36</v>
      </c>
      <c r="L842" s="46" t="n"/>
      <c r="M842" s="47" t="n"/>
      <c r="N842" s="47" t="inlineStr">
        <is>
          <t>UCYPKFe86e6nm4TVUYKLsFUQ</t>
        </is>
      </c>
      <c r="O842" s="48" t="n">
        <v>45174.60416666666</v>
      </c>
      <c r="P842" s="49" t="n">
        <v>45174</v>
      </c>
      <c r="Q842" s="47" t="n">
        <v>2426</v>
      </c>
      <c r="R842" s="47" t="inlineStr">
        <is>
          <t>No Video ID yet</t>
        </is>
      </c>
      <c r="S842" s="49" t="n"/>
      <c r="T842" s="49" t="n"/>
      <c r="U842" s="47" t="inlineStr">
        <is>
          <t>This J and the boys pick TONS of Tomatoes, Nick &amp; Nate do some puzzling, SCB films a promo for their LIVE show and DISNEY sent us a treasure map! Get your tickets for our LIVE TRIVIA event in Roanoke :: Disney TREASURE Live Stream :: Edited by Riley Murtagh</t>
        </is>
      </c>
      <c r="V842" s="47">
        <f>IF(AND(P842&gt;=Calendar!$K$2,P842&lt;EDATE(Calendar!$K$2,1),OR(Calendar!$K$4="*",N842=Calendar!$K$4)),P842*100+COUNTIFS($P$6:$P$3267,P842,$Q$6:$Q$3267,"&lt;="&amp;Q842,$N$6:$N$3267,Calendar!$K$4),"")</f>
        <v/>
      </c>
      <c r="W842" s="47">
        <f>IF(AND(B842=Queue!$C$4,OR(Queue!$K$4="*",N842=Queue!$K$4)),Q842,"")</f>
        <v/>
      </c>
    </row>
    <row r="843">
      <c r="A843" s="38">
        <f>IF(M843="","",HYPERLINK("https://www.youtube.com/watch?v="&amp;M843,"▶"))</f>
        <v/>
      </c>
      <c r="B843" s="39">
        <f>IF(C843&lt;&gt;"",C843,IF(P843&lt;=IFERROR(INDEX(tblChannels[Watched Through],MATCH(N843,tblChannels[Channel ID],0)),0),"Watched","Unwatched"))</f>
        <v/>
      </c>
      <c r="C843" s="40" t="n"/>
      <c r="D843" s="41" t="n"/>
      <c r="E843" s="42" t="n">
        <v>45170.77083333334</v>
      </c>
      <c r="F843" s="52" t="inlineStr">
        <is>
          <t>Super Carlin Gaming</t>
        </is>
      </c>
      <c r="G843" t="inlineStr">
        <is>
          <t>The Fight For 8th Continues | Carlin Brothers Box Breakers S6E9</t>
        </is>
      </c>
      <c r="H843" s="44" t="n">
        <v>0.03369212962962963</v>
      </c>
      <c r="I843" s="45" t="n">
        <v>1814</v>
      </c>
      <c r="J843" s="45" t="n">
        <v>93</v>
      </c>
      <c r="K843" s="45" t="n">
        <v>9</v>
      </c>
      <c r="L843" s="46" t="n"/>
      <c r="M843" s="47" t="n"/>
      <c r="N843" s="47" t="inlineStr">
        <is>
          <t>UCor_9jRnNNZVzTuQ92PKsaQ</t>
        </is>
      </c>
      <c r="O843" s="48" t="n">
        <v>45170.9375</v>
      </c>
      <c r="P843" s="49" t="n">
        <v>45170</v>
      </c>
      <c r="Q843" s="47" t="n">
        <v>2425</v>
      </c>
      <c r="R843" s="47" t="inlineStr">
        <is>
          <t>No Video ID yet</t>
        </is>
      </c>
      <c r="S843" s="49" t="n"/>
      <c r="T843" s="49" t="n"/>
      <c r="U843" s="47" t="n"/>
      <c r="V843" s="47">
        <f>IF(AND(P843&gt;=Calendar!$K$2,P843&lt;EDATE(Calendar!$K$2,1),OR(Calendar!$K$4="*",N843=Calendar!$K$4)),P843*100+COUNTIFS($P$6:$P$3267,P843,$Q$6:$Q$3267,"&lt;="&amp;Q843,$N$6:$N$3267,Calendar!$K$4),"")</f>
        <v/>
      </c>
      <c r="W843" s="47">
        <f>IF(AND(B843=Queue!$C$4,OR(Queue!$K$4="*",N843=Queue!$K$4)),Q843,"")</f>
        <v/>
      </c>
    </row>
    <row r="844">
      <c r="A844" s="38">
        <f>IF(M844="","",HYPERLINK("https://www.youtube.com/watch?v="&amp;M844,"▶"))</f>
        <v/>
      </c>
      <c r="B844" s="39">
        <f>IF(C844&lt;&gt;"",C844,IF(P844&lt;=IFERROR(INDEX(tblChannels[Watched Through],MATCH(N844,tblChannels[Channel ID],0)),0),"Watched","Unwatched"))</f>
        <v/>
      </c>
      <c r="C844" s="40" t="n"/>
      <c r="D844" s="41" t="n"/>
      <c r="E844" s="42" t="n">
        <v>45170.67569444444</v>
      </c>
      <c r="F844" s="50" t="inlineStr">
        <is>
          <t>Super Carlin Brothers</t>
        </is>
      </c>
      <c r="G844" t="inlineStr">
        <is>
          <t>Luna Lovegood’s ALWAYS Right | Harry Potter Film Theory</t>
        </is>
      </c>
      <c r="H844" s="44" t="n">
        <v>0.01326388888888889</v>
      </c>
      <c r="I844" s="45" t="n">
        <v>360784</v>
      </c>
      <c r="J844" s="45" t="n">
        <v>13905</v>
      </c>
      <c r="K844" s="45" t="n">
        <v>1037</v>
      </c>
      <c r="L844" s="46" t="n"/>
      <c r="M844" s="47" t="n"/>
      <c r="N844" s="47" t="inlineStr">
        <is>
          <t>UCKZo4N0lVPccBkSiuyVh4yg</t>
        </is>
      </c>
      <c r="O844" s="48" t="n">
        <v>45170.84236111111</v>
      </c>
      <c r="P844" s="49" t="n">
        <v>45170</v>
      </c>
      <c r="Q844" s="47" t="n">
        <v>2424</v>
      </c>
      <c r="R844" s="47" t="inlineStr">
        <is>
          <t>No Video ID yet</t>
        </is>
      </c>
      <c r="S844" s="49" t="n"/>
      <c r="T844" s="49" t="n"/>
      <c r="U844" s="47" t="inlineStr">
        <is>
          <t>Go to and use code super50 to get 50% off. Get your tickets for our LIVE TRIVIA event in Roanoke :: Today J dives into the Wizarding World of Harry Potter to reveal how Luna Lovegood is (almost) ALWAYS RIGHT! Does the Crumple Horned Snorkak exist? The Blibbering Humdinger? Wrackspurts? NARGLES?</t>
        </is>
      </c>
      <c r="V844" s="47">
        <f>IF(AND(P844&gt;=Calendar!$K$2,P844&lt;EDATE(Calendar!$K$2,1),OR(Calendar!$K$4="*",N844=Calendar!$K$4)),P844*100+COUNTIFS($P$6:$P$3267,P844,$Q$6:$Q$3267,"&lt;="&amp;Q844,$N$6:$N$3267,Calendar!$K$4),"")</f>
        <v/>
      </c>
      <c r="W844" s="47">
        <f>IF(AND(B844=Queue!$C$4,OR(Queue!$K$4="*",N844=Queue!$K$4)),Q844,"")</f>
        <v/>
      </c>
    </row>
    <row r="845">
      <c r="A845" s="38">
        <f>IF(M845="","",HYPERLINK("https://www.youtube.com/watch?v="&amp;M845,"▶"))</f>
        <v/>
      </c>
      <c r="B845" s="39">
        <f>IF(C845&lt;&gt;"",C845,IF(P845&lt;=IFERROR(INDEX(tblChannels[Watched Through],MATCH(N845,tblChannels[Channel ID],0)),0),"Watched","Unwatched"))</f>
        <v/>
      </c>
      <c r="C845" s="40" t="n"/>
      <c r="D845" s="41" t="n"/>
      <c r="E845" s="42" t="n">
        <v>45170.41666666666</v>
      </c>
      <c r="F845" s="43" t="inlineStr">
        <is>
          <t>Popcorn Culture</t>
        </is>
      </c>
      <c r="G845" t="inlineStr">
        <is>
          <t>Aladdin is Harry Potter: Confirmed | Popcorn Culture</t>
        </is>
      </c>
      <c r="H845" s="44" t="n">
        <v>0.04298611111111111</v>
      </c>
      <c r="I845" s="45" t="n">
        <v>4999</v>
      </c>
      <c r="J845" s="45" t="n">
        <v>283</v>
      </c>
      <c r="K845" s="45" t="n">
        <v>27</v>
      </c>
      <c r="L845" s="46" t="n"/>
      <c r="M845" s="47" t="n"/>
      <c r="N845" s="47" t="inlineStr">
        <is>
          <t>UCHfIbq9thHPC8yrKjAdJgDA</t>
        </is>
      </c>
      <c r="O845" s="48" t="n">
        <v>45170.58333333334</v>
      </c>
      <c r="P845" s="49" t="n">
        <v>45170</v>
      </c>
      <c r="Q845" s="47" t="n">
        <v>2423</v>
      </c>
      <c r="R845" s="47" t="inlineStr">
        <is>
          <t>No Video ID yet</t>
        </is>
      </c>
      <c r="S845" s="49" t="n"/>
      <c r="T845" s="49" t="n"/>
      <c r="U845" s="47" t="inlineStr">
        <is>
          <t>In the 195th episode of the Pop, Ben and J discuss Aladdin plot holes, vampires, an old HP theory, Fantasy Football leagues, that new house feeling, fleeting parenthood phases, and a Disney Cruise. Join us at Go Fest! - Get your tickets for the SCB Trivia Night! - Aladdin - Harry Is the Philosopher’s Stone video - Earholes Are We Going On the Boat? 00:00 - Intro, Some Free Theories 18:31 - Fantasy Football 40:00 - Phases of Parenthood 52:47 - A Disney Surprise</t>
        </is>
      </c>
      <c r="V845" s="47">
        <f>IF(AND(P845&gt;=Calendar!$K$2,P845&lt;EDATE(Calendar!$K$2,1),OR(Calendar!$K$4="*",N845=Calendar!$K$4)),P845*100+COUNTIFS($P$6:$P$3267,P845,$Q$6:$Q$3267,"&lt;="&amp;Q845,$N$6:$N$3267,Calendar!$K$4),"")</f>
        <v/>
      </c>
      <c r="W845" s="47">
        <f>IF(AND(B845=Queue!$C$4,OR(Queue!$K$4="*",N845=Queue!$K$4)),Q845,"")</f>
        <v/>
      </c>
    </row>
    <row r="846">
      <c r="A846" s="38">
        <f>IF(M846="","",HYPERLINK("https://www.youtube.com/watch?v="&amp;M846,"▶"))</f>
        <v/>
      </c>
      <c r="B846" s="39">
        <f>IF(C846&lt;&gt;"",C846,IF(P846&lt;=IFERROR(INDEX(tblChannels[Watched Through],MATCH(N846,tblChannels[Channel ID],0)),0),"Watched","Unwatched"))</f>
        <v/>
      </c>
      <c r="C846" s="40" t="n"/>
      <c r="D846" s="41" t="n"/>
      <c r="E846" s="42" t="n">
        <v>45168.64722222222</v>
      </c>
      <c r="F846" s="50" t="inlineStr">
        <is>
          <t>Super Carlin Brothers</t>
        </is>
      </c>
      <c r="G846" t="inlineStr">
        <is>
          <t>J vs Ben: HARDEST Harry Potter MONSTER Trivia Quiz (feat. Jake the Viking)</t>
        </is>
      </c>
      <c r="H846" s="44" t="n">
        <v>0.03081018518518518</v>
      </c>
      <c r="I846" s="45" t="n">
        <v>196991</v>
      </c>
      <c r="J846" s="45" t="n">
        <v>6795</v>
      </c>
      <c r="K846" s="45" t="n">
        <v>703</v>
      </c>
      <c r="L846" s="46" t="n"/>
      <c r="M846" s="47" t="n"/>
      <c r="N846" s="47" t="inlineStr">
        <is>
          <t>UCKZo4N0lVPccBkSiuyVh4yg</t>
        </is>
      </c>
      <c r="O846" s="48" t="n">
        <v>45168.81388888889</v>
      </c>
      <c r="P846" s="49" t="n">
        <v>45168</v>
      </c>
      <c r="Q846" s="47" t="n">
        <v>2422</v>
      </c>
      <c r="R846" s="47" t="inlineStr">
        <is>
          <t>No Video ID yet</t>
        </is>
      </c>
      <c r="S846" s="49" t="n"/>
      <c r="T846" s="49" t="n"/>
      <c r="U846" s="47" t="inlineStr">
        <is>
          <t>Go to to get 25% off your first order and free standard shipping. Get your tickets for our LIVE, IN-PERSON TRIVIA here: Today J and Ben face off with JAKE THE VIKING to find out who knows the most about the various giant monsters in the wizarding world of Harry Potter! Jake the Viking :: Play Along With Us: 02:54 - Q1: Whats the three headed dog's name? 03:59 - Q2: How are Basilisk's bred? 06:58 - Q3: How do you subdue the Monster Book of Monsters? 08:24 - Q4: Where was the fight with the troll? 09:02 - Q5: Who went with Hagrid to find the giants? 11:54 - Q6: What sound is fatal to a Basilisk? 13:47 - Q7: What creature is Malfoy afraid of in the Forbidden Forest? 16:27 - Q8: What are the water demons in the Black Lake called? 22:31 - Q9: Which creature bit Crabbe? 25:37 - Q10: Who did the Giant Squid rescue? 26:25 - Q11: Which beast has a human head, lion body and scorpion tail? 29:32 - Q12: What is the name of the Merchieftainess? 32:12 - Q13: What does Rita call the "Blast-Ended Skrewts"? 33:36 - Q14: What size dog does Hagrid compare young Aragog to? 37:31 - Q15: What is the most dangerous beast?</t>
        </is>
      </c>
      <c r="V846" s="47">
        <f>IF(AND(P846&gt;=Calendar!$K$2,P846&lt;EDATE(Calendar!$K$2,1),OR(Calendar!$K$4="*",N846=Calendar!$K$4)),P846*100+COUNTIFS($P$6:$P$3267,P846,$Q$6:$Q$3267,"&lt;="&amp;Q846,$N$6:$N$3267,Calendar!$K$4),"")</f>
        <v/>
      </c>
      <c r="W846" s="47">
        <f>IF(AND(B846=Queue!$C$4,OR(Queue!$K$4="*",N846=Queue!$K$4)),Q846,"")</f>
        <v/>
      </c>
    </row>
    <row r="847">
      <c r="A847" s="38">
        <f>IF(M847="","",HYPERLINK("https://www.youtube.com/watch?v="&amp;M847,"▶"))</f>
        <v/>
      </c>
      <c r="B847" s="39">
        <f>IF(C847&lt;&gt;"",C847,IF(P847&lt;=IFERROR(INDEX(tblChannels[Watched Through],MATCH(N847,tblChannels[Channel ID],0)),0),"Watched","Unwatched"))</f>
        <v/>
      </c>
      <c r="C847" s="40" t="n"/>
      <c r="D847" s="41" t="n"/>
      <c r="E847" s="42" t="n">
        <v>45166.625</v>
      </c>
      <c r="F847" s="53" t="inlineStr">
        <is>
          <t>Jonathan Carlin</t>
        </is>
      </c>
      <c r="G847" t="inlineStr">
        <is>
          <t>LORCANA IS FINALLY HERE!</t>
        </is>
      </c>
      <c r="H847" s="44" t="n">
        <v>0.009513888888888889</v>
      </c>
      <c r="I847" s="45" t="n">
        <v>7481</v>
      </c>
      <c r="J847" s="45" t="n">
        <v>479</v>
      </c>
      <c r="K847" s="45" t="n">
        <v>44</v>
      </c>
      <c r="L847" s="46" t="n"/>
      <c r="M847" s="47" t="n"/>
      <c r="N847" s="47" t="inlineStr">
        <is>
          <t>UCYPKFe86e6nm4TVUYKLsFUQ</t>
        </is>
      </c>
      <c r="O847" s="48" t="n">
        <v>45166.79166666666</v>
      </c>
      <c r="P847" s="49" t="n">
        <v>45166</v>
      </c>
      <c r="Q847" s="47" t="n">
        <v>2421</v>
      </c>
      <c r="R847" s="47" t="inlineStr">
        <is>
          <t>No Video ID yet</t>
        </is>
      </c>
      <c r="S847" s="49" t="n"/>
      <c r="T847" s="49" t="n"/>
      <c r="U847" s="47" t="inlineStr">
        <is>
          <t>GET TICKETS FOR SCB LIVE! This week J and the boys reap an EXCELLENT harvest from the garden, J revels in the launch of Lorcana and he and Beth find a new favorite restaurant! Edited by Riley Murtagh</t>
        </is>
      </c>
      <c r="V847" s="47">
        <f>IF(AND(P847&gt;=Calendar!$K$2,P847&lt;EDATE(Calendar!$K$2,1),OR(Calendar!$K$4="*",N847=Calendar!$K$4)),P847*100+COUNTIFS($P$6:$P$3267,P847,$Q$6:$Q$3267,"&lt;="&amp;Q847,$N$6:$N$3267,Calendar!$K$4),"")</f>
        <v/>
      </c>
      <c r="W847" s="47">
        <f>IF(AND(B847=Queue!$C$4,OR(Queue!$K$4="*",N847=Queue!$K$4)),Q847,"")</f>
        <v/>
      </c>
    </row>
    <row r="848">
      <c r="A848" s="38">
        <f>IF(M848="","",HYPERLINK("https://www.youtube.com/watch?v="&amp;M848,"▶"))</f>
        <v/>
      </c>
      <c r="B848" s="39">
        <f>IF(C848&lt;&gt;"",C848,IF(P848&lt;=IFERROR(INDEX(tblChannels[Watched Through],MATCH(N848,tblChannels[Channel ID],0)),0),"Watched","Unwatched"))</f>
        <v/>
      </c>
      <c r="C848" s="40" t="n"/>
      <c r="D848" s="41" t="n"/>
      <c r="E848" s="42" t="n">
        <v>45163.575</v>
      </c>
      <c r="F848" s="50" t="inlineStr">
        <is>
          <t>Super Carlin Brothers</t>
        </is>
      </c>
      <c r="G848" t="inlineStr">
        <is>
          <t>Could The Veil KILL Voldemort | Harry Potter Film Theory</t>
        </is>
      </c>
      <c r="H848" s="44" t="n">
        <v>0.01125</v>
      </c>
      <c r="I848" s="45" t="n">
        <v>227714</v>
      </c>
      <c r="J848" s="45" t="n">
        <v>8651</v>
      </c>
      <c r="K848" s="45" t="n">
        <v>719</v>
      </c>
      <c r="L848" s="46" t="n"/>
      <c r="M848" s="47" t="n"/>
      <c r="N848" s="47" t="inlineStr">
        <is>
          <t>UCKZo4N0lVPccBkSiuyVh4yg</t>
        </is>
      </c>
      <c r="O848" s="48" t="n">
        <v>45163.74166666667</v>
      </c>
      <c r="P848" s="49" t="n">
        <v>45163</v>
      </c>
      <c r="Q848" s="47" t="n">
        <v>2420</v>
      </c>
      <c r="R848" s="47" t="inlineStr">
        <is>
          <t>No Video ID yet</t>
        </is>
      </c>
      <c r="S848" s="49" t="n"/>
      <c r="T848" s="49" t="n"/>
      <c r="U848" s="47" t="inlineStr">
        <is>
          <t>Go to to get 25% off your first order and free standard shipping. Get your tickets for our LIVE TRIVIA event in Roanoke :: Today Ben dives into the Wizarding World of Harry Potter to try and determine if the ominous Veil in the Department of Mysteries could have successfully killed Voldemort! #supercarlinbrothers #HarryPotter #FilmTheory</t>
        </is>
      </c>
      <c r="V848" s="47">
        <f>IF(AND(P848&gt;=Calendar!$K$2,P848&lt;EDATE(Calendar!$K$2,1),OR(Calendar!$K$4="*",N848=Calendar!$K$4)),P848*100+COUNTIFS($P$6:$P$3267,P848,$Q$6:$Q$3267,"&lt;="&amp;Q848,$N$6:$N$3267,Calendar!$K$4),"")</f>
        <v/>
      </c>
      <c r="W848" s="47">
        <f>IF(AND(B848=Queue!$C$4,OR(Queue!$K$4="*",N848=Queue!$K$4)),Q848,"")</f>
        <v/>
      </c>
    </row>
    <row r="849">
      <c r="A849" s="38">
        <f>IF(M849="","",HYPERLINK("https://www.youtube.com/watch?v="&amp;M849,"▶"))</f>
        <v/>
      </c>
      <c r="B849" s="39">
        <f>IF(C849&lt;&gt;"",C849,IF(P849&lt;=IFERROR(INDEX(tblChannels[Watched Through],MATCH(N849,tblChannels[Channel ID],0)),0),"Watched","Unwatched"))</f>
        <v/>
      </c>
      <c r="C849" s="40" t="n"/>
      <c r="D849" s="41" t="n"/>
      <c r="E849" s="42" t="n">
        <v>45163.41666666666</v>
      </c>
      <c r="F849" s="43" t="inlineStr">
        <is>
          <t>Popcorn Culture</t>
        </is>
      </c>
      <c r="G849" t="inlineStr">
        <is>
          <t>Cucumber Mania! | Popcorn Culture</t>
        </is>
      </c>
      <c r="H849" s="44" t="n">
        <v>0.04571759259259259</v>
      </c>
      <c r="I849" s="45" t="n">
        <v>4276</v>
      </c>
      <c r="J849" s="45" t="n">
        <v>217</v>
      </c>
      <c r="K849" s="45" t="n">
        <v>16</v>
      </c>
      <c r="L849" s="46" t="n"/>
      <c r="M849" s="47" t="n"/>
      <c r="N849" s="47" t="inlineStr">
        <is>
          <t>UCHfIbq9thHPC8yrKjAdJgDA</t>
        </is>
      </c>
      <c r="O849" s="48" t="n">
        <v>45163.58333333334</v>
      </c>
      <c r="P849" s="49" t="n">
        <v>45163</v>
      </c>
      <c r="Q849" s="47" t="n">
        <v>2419</v>
      </c>
      <c r="R849" s="47" t="inlineStr">
        <is>
          <t>No Video ID yet</t>
        </is>
      </c>
      <c r="S849" s="49" t="n"/>
      <c r="T849" s="49" t="n"/>
      <c r="U849" s="47" t="inlineStr">
        <is>
          <t>In the 194th episode of the Pop Ben and J discuss tough travels, perfect attendance, big changes as a kid, improving things, Chipotle and Moes, telephone (the game), J’s Farm, and hydroponics. Join us at Go Fest! - Get your tickets for the SCB Trivia Night! - The Parent Trap - How to Improve Anything Video - J’s Vlog is back! - Calamity of Errors 10 Minute Stories Chipotle Vs. Moes Butt Cushion 00:00 - Intro, Ben’s Vermont Trip 13:18 - Lukester 22:33 - Ford Analogy 37:36 - Chipotle vs. Moes 54:49 - J’s Farm</t>
        </is>
      </c>
      <c r="V849" s="47">
        <f>IF(AND(P849&gt;=Calendar!$K$2,P849&lt;EDATE(Calendar!$K$2,1),OR(Calendar!$K$4="*",N849=Calendar!$K$4)),P849*100+COUNTIFS($P$6:$P$3267,P849,$Q$6:$Q$3267,"&lt;="&amp;Q849,$N$6:$N$3267,Calendar!$K$4),"")</f>
        <v/>
      </c>
      <c r="W849" s="47">
        <f>IF(AND(B849=Queue!$C$4,OR(Queue!$K$4="*",N849=Queue!$K$4)),Q849,"")</f>
        <v/>
      </c>
    </row>
    <row r="850">
      <c r="A850" s="38">
        <f>IF(M850="","",HYPERLINK("https://www.youtube.com/watch?v="&amp;M850,"▶"))</f>
        <v/>
      </c>
      <c r="B850" s="39">
        <f>IF(C850&lt;&gt;"",C850,IF(P850&lt;=IFERROR(INDEX(tblChannels[Watched Through],MATCH(N850,tblChannels[Channel ID],0)),0),"Watched","Unwatched"))</f>
        <v/>
      </c>
      <c r="C850" s="40" t="n"/>
      <c r="D850" s="41" t="n"/>
      <c r="E850" s="42" t="n">
        <v>45162.77083333334</v>
      </c>
      <c r="F850" s="52" t="inlineStr">
        <is>
          <t>Super Carlin Gaming</t>
        </is>
      </c>
      <c r="G850" t="inlineStr">
        <is>
          <t>TONS of Critical Hits | Carlin Brothers Box Breakers S6E8</t>
        </is>
      </c>
      <c r="H850" s="44" t="n">
        <v>0.02827546296296296</v>
      </c>
      <c r="I850" s="45" t="n">
        <v>1768</v>
      </c>
      <c r="J850" s="45" t="n">
        <v>96</v>
      </c>
      <c r="K850" s="45" t="n">
        <v>19</v>
      </c>
      <c r="L850" s="46" t="n"/>
      <c r="M850" s="47" t="n"/>
      <c r="N850" s="47" t="inlineStr">
        <is>
          <t>UCor_9jRnNNZVzTuQ92PKsaQ</t>
        </is>
      </c>
      <c r="O850" s="48" t="n">
        <v>45162.9375</v>
      </c>
      <c r="P850" s="49" t="n">
        <v>45162</v>
      </c>
      <c r="Q850" s="47" t="n">
        <v>2418</v>
      </c>
      <c r="R850" s="47" t="inlineStr">
        <is>
          <t>No Video ID yet</t>
        </is>
      </c>
      <c r="S850" s="49" t="n"/>
      <c r="T850" s="49" t="n"/>
      <c r="U850" s="47" t="n"/>
      <c r="V850" s="47">
        <f>IF(AND(P850&gt;=Calendar!$K$2,P850&lt;EDATE(Calendar!$K$2,1),OR(Calendar!$K$4="*",N850=Calendar!$K$4)),P850*100+COUNTIFS($P$6:$P$3267,P850,$Q$6:$Q$3267,"&lt;="&amp;Q850,$N$6:$N$3267,Calendar!$K$4),"")</f>
        <v/>
      </c>
      <c r="W850" s="47">
        <f>IF(AND(B850=Queue!$C$4,OR(Queue!$K$4="*",N850=Queue!$K$4)),Q850,"")</f>
        <v/>
      </c>
    </row>
    <row r="851">
      <c r="A851" s="38">
        <f>IF(M851="","",HYPERLINK("https://www.youtube.com/watch?v="&amp;M851,"▶"))</f>
        <v/>
      </c>
      <c r="B851" s="39">
        <f>IF(C851&lt;&gt;"",C851,IF(P851&lt;=IFERROR(INDEX(tblChannels[Watched Through],MATCH(N851,tblChannels[Channel ID],0)),0),"Watched","Unwatched"))</f>
        <v/>
      </c>
      <c r="C851" s="40" t="n"/>
      <c r="D851" s="41" t="n"/>
      <c r="E851" s="42" t="n">
        <v>45161.63055555556</v>
      </c>
      <c r="F851" s="50" t="inlineStr">
        <is>
          <t>Super Carlin Brothers</t>
        </is>
      </c>
      <c r="G851" t="inlineStr">
        <is>
          <t>Reacting to EVERY Harry Potter Book Cover | Sorcerer’s Stone</t>
        </is>
      </c>
      <c r="H851" s="44" t="n">
        <v>0.0255787037037037</v>
      </c>
      <c r="I851" s="45" t="n">
        <v>156679</v>
      </c>
      <c r="J851" s="45" t="n">
        <v>6686</v>
      </c>
      <c r="K851" s="45" t="n">
        <v>1228</v>
      </c>
      <c r="L851" s="46" t="n"/>
      <c r="M851" s="47" t="n"/>
      <c r="N851" s="47" t="inlineStr">
        <is>
          <t>UCKZo4N0lVPccBkSiuyVh4yg</t>
        </is>
      </c>
      <c r="O851" s="48" t="n">
        <v>45161.79722222222</v>
      </c>
      <c r="P851" s="49" t="n">
        <v>45161</v>
      </c>
      <c r="Q851" s="47" t="n">
        <v>2417</v>
      </c>
      <c r="R851" s="47" t="inlineStr">
        <is>
          <t>No Video ID yet</t>
        </is>
      </c>
      <c r="S851" s="49" t="n"/>
      <c r="T851" s="49" t="n"/>
      <c r="U851" s="47" t="inlineStr">
        <is>
          <t>Today J dives into the Wizarding World of Harry Potter to review FIFTY different Sorcerer Stone cover arts! Harry Potter is sold in over 200 countries around the world in over 80 languages, and the various covers that have been created throughout the years range from awe-inspiring to absolutely ridiculous! Check out all the covers here ::</t>
        </is>
      </c>
      <c r="V851" s="47">
        <f>IF(AND(P851&gt;=Calendar!$K$2,P851&lt;EDATE(Calendar!$K$2,1),OR(Calendar!$K$4="*",N851=Calendar!$K$4)),P851*100+COUNTIFS($P$6:$P$3267,P851,$Q$6:$Q$3267,"&lt;="&amp;Q851,$N$6:$N$3267,Calendar!$K$4),"")</f>
        <v/>
      </c>
      <c r="W851" s="47">
        <f>IF(AND(B851=Queue!$C$4,OR(Queue!$K$4="*",N851=Queue!$K$4)),Q851,"")</f>
        <v/>
      </c>
    </row>
    <row r="852">
      <c r="A852" s="38">
        <f>IF(M852="","",HYPERLINK("https://www.youtube.com/watch?v="&amp;M852,"▶"))</f>
        <v/>
      </c>
      <c r="B852" s="39">
        <f>IF(C852&lt;&gt;"",C852,IF(P852&lt;=IFERROR(INDEX(tblChannels[Watched Through],MATCH(N852,tblChannels[Channel ID],0)),0),"Watched","Unwatched"))</f>
        <v/>
      </c>
      <c r="C852" s="40" t="n"/>
      <c r="D852" s="41" t="n"/>
      <c r="E852" s="42" t="n">
        <v>45159.625</v>
      </c>
      <c r="F852" s="53" t="inlineStr">
        <is>
          <t>Jonathan Carlin</t>
        </is>
      </c>
      <c r="G852" t="inlineStr">
        <is>
          <t>Luke's FIRST Day of Kindergarten!</t>
        </is>
      </c>
      <c r="H852" s="44" t="n">
        <v>0.01078703703703704</v>
      </c>
      <c r="I852" s="45" t="n">
        <v>12278</v>
      </c>
      <c r="J852" s="45" t="n">
        <v>860</v>
      </c>
      <c r="K852" s="45" t="n">
        <v>105</v>
      </c>
      <c r="L852" s="46" t="n"/>
      <c r="M852" s="47" t="n"/>
      <c r="N852" s="47" t="inlineStr">
        <is>
          <t>UCYPKFe86e6nm4TVUYKLsFUQ</t>
        </is>
      </c>
      <c r="O852" s="48" t="n">
        <v>45159.79166666666</v>
      </c>
      <c r="P852" s="49" t="n">
        <v>45159</v>
      </c>
      <c r="Q852" s="47" t="n">
        <v>2416</v>
      </c>
      <c r="R852" s="47" t="inlineStr">
        <is>
          <t>No Video ID yet</t>
        </is>
      </c>
      <c r="S852" s="49" t="n"/>
      <c r="T852" s="49" t="n"/>
      <c r="U852" s="47" t="inlineStr">
        <is>
          <t>This week J and the fam send Luke off to Kindergarten. J injures himself, and the SCB office is visited by special guest: Jake the Viking Check out Jake :: Short Story Candles :: Edited by Riley Murtagh</t>
        </is>
      </c>
      <c r="V852" s="47">
        <f>IF(AND(P852&gt;=Calendar!$K$2,P852&lt;EDATE(Calendar!$K$2,1),OR(Calendar!$K$4="*",N852=Calendar!$K$4)),P852*100+COUNTIFS($P$6:$P$3267,P852,$Q$6:$Q$3267,"&lt;="&amp;Q852,$N$6:$N$3267,Calendar!$K$4),"")</f>
        <v/>
      </c>
      <c r="W852" s="47">
        <f>IF(AND(B852=Queue!$C$4,OR(Queue!$K$4="*",N852=Queue!$K$4)),Q852,"")</f>
        <v/>
      </c>
    </row>
    <row r="853">
      <c r="A853" s="38">
        <f>IF(M853="","",HYPERLINK("https://www.youtube.com/watch?v="&amp;M853,"▶"))</f>
        <v/>
      </c>
      <c r="B853" s="39">
        <f>IF(C853&lt;&gt;"",C853,IF(P853&lt;=IFERROR(INDEX(tblChannels[Watched Through],MATCH(N853,tblChannels[Channel ID],0)),0),"Watched","Unwatched"))</f>
        <v/>
      </c>
      <c r="C853" s="40" t="n"/>
      <c r="D853" s="41" t="n"/>
      <c r="E853" s="42" t="n">
        <v>45156.77083333334</v>
      </c>
      <c r="F853" s="52" t="inlineStr">
        <is>
          <t>Super Carlin Gaming</t>
        </is>
      </c>
      <c r="G853" t="inlineStr">
        <is>
          <t>BIG STANDING ENERGY | Carlin Brothers Box Breakers S6E7</t>
        </is>
      </c>
      <c r="H853" s="44" t="n">
        <v>0.02836805555555556</v>
      </c>
      <c r="I853" s="45" t="n">
        <v>1744</v>
      </c>
      <c r="J853" s="45" t="n">
        <v>92</v>
      </c>
      <c r="K853" s="45" t="n">
        <v>6</v>
      </c>
      <c r="L853" s="46" t="n"/>
      <c r="M853" s="47" t="n"/>
      <c r="N853" s="47" t="inlineStr">
        <is>
          <t>UCor_9jRnNNZVzTuQ92PKsaQ</t>
        </is>
      </c>
      <c r="O853" s="48" t="n">
        <v>45156.9375</v>
      </c>
      <c r="P853" s="49" t="n">
        <v>45156</v>
      </c>
      <c r="Q853" s="47" t="n">
        <v>2415</v>
      </c>
      <c r="R853" s="47" t="inlineStr">
        <is>
          <t>No Video ID yet</t>
        </is>
      </c>
      <c r="S853" s="49" t="n"/>
      <c r="T853" s="49" t="n"/>
      <c r="U853" s="47" t="n"/>
      <c r="V853" s="47">
        <f>IF(AND(P853&gt;=Calendar!$K$2,P853&lt;EDATE(Calendar!$K$2,1),OR(Calendar!$K$4="*",N853=Calendar!$K$4)),P853*100+COUNTIFS($P$6:$P$3267,P853,$Q$6:$Q$3267,"&lt;="&amp;Q853,$N$6:$N$3267,Calendar!$K$4),"")</f>
        <v/>
      </c>
      <c r="W853" s="47">
        <f>IF(AND(B853=Queue!$C$4,OR(Queue!$K$4="*",N853=Queue!$K$4)),Q853,"")</f>
        <v/>
      </c>
    </row>
    <row r="854">
      <c r="A854" s="38">
        <f>IF(M854="","",HYPERLINK("https://www.youtube.com/watch?v="&amp;M854,"▶"))</f>
        <v/>
      </c>
      <c r="B854" s="39">
        <f>IF(C854&lt;&gt;"",C854,IF(P854&lt;=IFERROR(INDEX(tblChannels[Watched Through],MATCH(N854,tblChannels[Channel ID],0)),0),"Watched","Unwatched"))</f>
        <v/>
      </c>
      <c r="C854" s="40" t="n"/>
      <c r="D854" s="41" t="n"/>
      <c r="E854" s="42" t="n">
        <v>45156.61111111111</v>
      </c>
      <c r="F854" s="50" t="inlineStr">
        <is>
          <t>Super Carlin Brothers</t>
        </is>
      </c>
      <c r="G854" t="inlineStr">
        <is>
          <t>What If Harry Never Read the Half-Blood Prince’s Book? | Harry Potter Film Theory</t>
        </is>
      </c>
      <c r="H854" s="44" t="n">
        <v>0.01578703703703704</v>
      </c>
      <c r="I854" s="45" t="n">
        <v>308109</v>
      </c>
      <c r="J854" s="45" t="n">
        <v>8703</v>
      </c>
      <c r="K854" s="45" t="n">
        <v>623</v>
      </c>
      <c r="L854" s="46" t="n"/>
      <c r="M854" s="47" t="n"/>
      <c r="N854" s="47" t="inlineStr">
        <is>
          <t>UCKZo4N0lVPccBkSiuyVh4yg</t>
        </is>
      </c>
      <c r="O854" s="48" t="n">
        <v>45156.77777777778</v>
      </c>
      <c r="P854" s="49" t="n">
        <v>45156</v>
      </c>
      <c r="Q854" s="47" t="n">
        <v>2414</v>
      </c>
      <c r="R854" s="47" t="inlineStr">
        <is>
          <t>No Video ID yet</t>
        </is>
      </c>
      <c r="S854" s="49" t="n"/>
      <c r="T854" s="49" t="n"/>
      <c r="U854" s="47" t="inlineStr">
        <is>
          <t>Go to and use code super at checkout to get 20% off your first monthly box. Today J dives into the Wizarding World of Harry Potter to find out what would have happened if Harry had never received the Half-Blood Prince’s copy of Advanced Potion Making. Does he still get the Lucky Potion? Can he still save Ron without the Bezoar? And what about the Lost Diadem?!</t>
        </is>
      </c>
      <c r="V854" s="47">
        <f>IF(AND(P854&gt;=Calendar!$K$2,P854&lt;EDATE(Calendar!$K$2,1),OR(Calendar!$K$4="*",N854=Calendar!$K$4)),P854*100+COUNTIFS($P$6:$P$3267,P854,$Q$6:$Q$3267,"&lt;="&amp;Q854,$N$6:$N$3267,Calendar!$K$4),"")</f>
        <v/>
      </c>
      <c r="W854" s="47">
        <f>IF(AND(B854=Queue!$C$4,OR(Queue!$K$4="*",N854=Queue!$K$4)),Q854,"")</f>
        <v/>
      </c>
    </row>
    <row r="855">
      <c r="A855" s="38">
        <f>IF(M855="","",HYPERLINK("https://www.youtube.com/watch?v="&amp;M855,"▶"))</f>
        <v/>
      </c>
      <c r="B855" s="39">
        <f>IF(C855&lt;&gt;"",C855,IF(P855&lt;=IFERROR(INDEX(tblChannels[Watched Through],MATCH(N855,tblChannels[Channel ID],0)),0),"Watched","Unwatched"))</f>
        <v/>
      </c>
      <c r="C855" s="40" t="n"/>
      <c r="D855" s="41" t="n"/>
      <c r="E855" s="42" t="n">
        <v>45156.60555555556</v>
      </c>
      <c r="F855" s="53" t="inlineStr">
        <is>
          <t>Jonathan Carlin</t>
        </is>
      </c>
      <c r="G855" t="inlineStr">
        <is>
          <t>We're BACK! And going to School! - Trailer</t>
        </is>
      </c>
      <c r="H855" s="44" t="n">
        <v>0.000625</v>
      </c>
      <c r="I855" s="45" t="n">
        <v>6637</v>
      </c>
      <c r="J855" s="45" t="n">
        <v>498</v>
      </c>
      <c r="K855" s="45" t="n">
        <v>36</v>
      </c>
      <c r="L855" s="46" t="n"/>
      <c r="M855" s="47" t="n"/>
      <c r="N855" s="47" t="inlineStr">
        <is>
          <t>UCYPKFe86e6nm4TVUYKLsFUQ</t>
        </is>
      </c>
      <c r="O855" s="48" t="n">
        <v>45156.77222222222</v>
      </c>
      <c r="P855" s="49" t="n">
        <v>45156</v>
      </c>
      <c r="Q855" s="47" t="n">
        <v>2413</v>
      </c>
      <c r="R855" s="47" t="inlineStr">
        <is>
          <t>No Video ID yet</t>
        </is>
      </c>
      <c r="S855" s="49" t="n"/>
      <c r="T855" s="49" t="n"/>
      <c r="U855" s="47" t="inlineStr">
        <is>
          <t>J is back on the vlog and Luke is off to school! Don't miss the return of the Vlog this Monday, August 21! Edited by Riley Murtagh</t>
        </is>
      </c>
      <c r="V855" s="47">
        <f>IF(AND(P855&gt;=Calendar!$K$2,P855&lt;EDATE(Calendar!$K$2,1),OR(Calendar!$K$4="*",N855=Calendar!$K$4)),P855*100+COUNTIFS($P$6:$P$3267,P855,$Q$6:$Q$3267,"&lt;="&amp;Q855,$N$6:$N$3267,Calendar!$K$4),"")</f>
        <v/>
      </c>
      <c r="W855" s="47">
        <f>IF(AND(B855=Queue!$C$4,OR(Queue!$K$4="*",N855=Queue!$K$4)),Q855,"")</f>
        <v/>
      </c>
    </row>
    <row r="856">
      <c r="A856" s="38">
        <f>IF(M856="","",HYPERLINK("https://www.youtube.com/watch?v="&amp;M856,"▶"))</f>
        <v/>
      </c>
      <c r="B856" s="39">
        <f>IF(C856&lt;&gt;"",C856,IF(P856&lt;=IFERROR(INDEX(tblChannels[Watched Through],MATCH(N856,tblChannels[Channel ID],0)),0),"Watched","Unwatched"))</f>
        <v/>
      </c>
      <c r="C856" s="40" t="n"/>
      <c r="D856" s="41" t="n"/>
      <c r="E856" s="42" t="n">
        <v>45156.41666666666</v>
      </c>
      <c r="F856" s="43" t="inlineStr">
        <is>
          <t>Popcorn Culture</t>
        </is>
      </c>
      <c r="G856" t="inlineStr">
        <is>
          <t>Butts and Boats | Popcorn Culture</t>
        </is>
      </c>
      <c r="H856" s="44" t="n">
        <v>0.04167824074074074</v>
      </c>
      <c r="I856" s="45" t="n">
        <v>3908</v>
      </c>
      <c r="J856" s="45" t="n">
        <v>208</v>
      </c>
      <c r="K856" s="45" t="n">
        <v>26</v>
      </c>
      <c r="L856" s="46" t="n"/>
      <c r="M856" s="47" t="n"/>
      <c r="N856" s="47" t="inlineStr">
        <is>
          <t>UCHfIbq9thHPC8yrKjAdJgDA</t>
        </is>
      </c>
      <c r="O856" s="48" t="n">
        <v>45156.58333333334</v>
      </c>
      <c r="P856" s="49" t="n">
        <v>45156</v>
      </c>
      <c r="Q856" s="47" t="n">
        <v>2412</v>
      </c>
      <c r="R856" s="47" t="inlineStr">
        <is>
          <t>No Video ID yet</t>
        </is>
      </c>
      <c r="S856" s="49" t="n"/>
      <c r="T856" s="49" t="n"/>
      <c r="U856" s="47" t="inlineStr">
        <is>
          <t>In the 193rd episode of the Pop, Ben and J discuss J’s tush pain, Luke’s first day of Kindy, how they handle nerves, prepping for having kids, new licenses, and Ben’s boat. Join us at Go Fest! - Get your tickets for the SCB Trivia Night! - Bluey - Finding Nemo - Tuchus is Poppin Lense of Optimization I’m No Boat Mechanic 00:00 - Intro, J’s Current Pain 06:09 - Luke Started Kindy! 16:31 - Handling Nerves 33:46 - The Courts 44:44 - Ben’s Boat</t>
        </is>
      </c>
      <c r="V856" s="47">
        <f>IF(AND(P856&gt;=Calendar!$K$2,P856&lt;EDATE(Calendar!$K$2,1),OR(Calendar!$K$4="*",N856=Calendar!$K$4)),P856*100+COUNTIFS($P$6:$P$3267,P856,$Q$6:$Q$3267,"&lt;="&amp;Q856,$N$6:$N$3267,Calendar!$K$4),"")</f>
        <v/>
      </c>
      <c r="W856" s="47">
        <f>IF(AND(B856=Queue!$C$4,OR(Queue!$K$4="*",N856=Queue!$K$4)),Q856,"")</f>
        <v/>
      </c>
    </row>
    <row r="857">
      <c r="A857" s="38">
        <f>IF(M857="","",HYPERLINK("https://www.youtube.com/watch?v="&amp;M857,"▶"))</f>
        <v/>
      </c>
      <c r="B857" s="39">
        <f>IF(C857&lt;&gt;"",C857,IF(P857&lt;=IFERROR(INDEX(tblChannels[Watched Through],MATCH(N857,tblChannels[Channel ID],0)),0),"Watched","Unwatched"))</f>
        <v/>
      </c>
      <c r="C857" s="40" t="n"/>
      <c r="D857" s="41" t="n"/>
      <c r="E857" s="42" t="n">
        <v>45155.43680555555</v>
      </c>
      <c r="F857" s="53" t="inlineStr">
        <is>
          <t>Jonathan Carlin</t>
        </is>
      </c>
      <c r="G857" t="inlineStr">
        <is>
          <t>The third kid is always up to something..</t>
        </is>
      </c>
      <c r="H857" s="44" t="n">
        <v>0.0001273148148148148</v>
      </c>
      <c r="I857" s="45" t="n">
        <v>3334</v>
      </c>
      <c r="J857" s="45" t="n">
        <v>226</v>
      </c>
      <c r="K857" s="45" t="n">
        <v>0</v>
      </c>
      <c r="L857" s="46" t="n"/>
      <c r="M857" s="47" t="n"/>
      <c r="N857" s="47" t="inlineStr">
        <is>
          <t>UCYPKFe86e6nm4TVUYKLsFUQ</t>
        </is>
      </c>
      <c r="O857" s="48" t="n">
        <v>45155.60347222222</v>
      </c>
      <c r="P857" s="49" t="n">
        <v>45155</v>
      </c>
      <c r="Q857" s="47" t="n">
        <v>2411</v>
      </c>
      <c r="R857" s="47" t="inlineStr">
        <is>
          <t>No Video ID yet</t>
        </is>
      </c>
      <c r="S857" s="49" t="n"/>
      <c r="T857" s="49" t="n"/>
      <c r="U857" s="47" t="n"/>
      <c r="V857" s="47">
        <f>IF(AND(P857&gt;=Calendar!$K$2,P857&lt;EDATE(Calendar!$K$2,1),OR(Calendar!$K$4="*",N857=Calendar!$K$4)),P857*100+COUNTIFS($P$6:$P$3267,P857,$Q$6:$Q$3267,"&lt;="&amp;Q857,$N$6:$N$3267,Calendar!$K$4),"")</f>
        <v/>
      </c>
      <c r="W857" s="47">
        <f>IF(AND(B857=Queue!$C$4,OR(Queue!$K$4="*",N857=Queue!$K$4)),Q857,"")</f>
        <v/>
      </c>
    </row>
    <row r="858">
      <c r="A858" s="38">
        <f>IF(M858="","",HYPERLINK("https://www.youtube.com/watch?v="&amp;M858,"▶"))</f>
        <v/>
      </c>
      <c r="B858" s="39">
        <f>IF(C858&lt;&gt;"",C858,IF(P858&lt;=IFERROR(INDEX(tblChannels[Watched Through],MATCH(N858,tblChannels[Channel ID],0)),0),"Watched","Unwatched"))</f>
        <v/>
      </c>
      <c r="C858" s="40" t="n"/>
      <c r="D858" s="41" t="n"/>
      <c r="E858" s="42" t="n">
        <v>45154.57361111111</v>
      </c>
      <c r="F858" s="50" t="inlineStr">
        <is>
          <t>Super Carlin Brothers</t>
        </is>
      </c>
      <c r="G858" t="inlineStr">
        <is>
          <t>J vs Ben: HARDEST Hunger Games TRIVIA Quiz</t>
        </is>
      </c>
      <c r="H858" s="44" t="n">
        <v>0.02642361111111111</v>
      </c>
      <c r="I858" s="45" t="n">
        <v>134259</v>
      </c>
      <c r="J858" s="45" t="n">
        <v>4462</v>
      </c>
      <c r="K858" s="45" t="n">
        <v>500</v>
      </c>
      <c r="L858" s="46" t="n"/>
      <c r="M858" s="47" t="n"/>
      <c r="N858" s="47" t="inlineStr">
        <is>
          <t>UCKZo4N0lVPccBkSiuyVh4yg</t>
        </is>
      </c>
      <c r="O858" s="48" t="n">
        <v>45154.74027777778</v>
      </c>
      <c r="P858" s="49" t="n">
        <v>45154</v>
      </c>
      <c r="Q858" s="47" t="n">
        <v>2410</v>
      </c>
      <c r="R858" s="47" t="inlineStr">
        <is>
          <t>No Video ID yet</t>
        </is>
      </c>
      <c r="S858" s="49" t="n"/>
      <c r="T858" s="49" t="n"/>
      <c r="U858" s="47" t="inlineStr">
        <is>
          <t>Get your tickets for LIVE TRIVIA on October 13 at 8:30pm! Get your bag of Liquid Luck :: Today Ben and J face off once more to find out who knows more about the dystopian world of Panem and the Hunger Games! Play along with us! :: 02:46 - Q1: What district is Finnick from? 03:34 - Q2: Who was Katniss’s security detail? 04:38 - Q3: What does Katniss grab from the Cornucopia? 08:06 - Q4: What score does Peeta get? 09:27 - Q5: Who is the announcer? 12:21 - Q6: Which Games did Haymitch win? 12:35 - Q7: What is District 8’s industry? 19:29 - Q8: What are the berries called? 20:33 - Q9: What did Katniss and Peeta eat in the cave? 22:38 - Q10: What was at the 3:00 hour in the Quarter Quell? 24:10 - Q11: What animal does Prim own? 24:52 - Q12: Who are Gale’s siblings? 27:46 - Q13: Who wasn’t part of the HG75 Career Pack? 31:08 - Q14: What does Katniss not bring back from District 12 post bombing? 32:46 - Q15: Who was Panem’s president after Coin’s death? #supercarlinbrothers #HungerGames #JvsBen</t>
        </is>
      </c>
      <c r="V858" s="47">
        <f>IF(AND(P858&gt;=Calendar!$K$2,P858&lt;EDATE(Calendar!$K$2,1),OR(Calendar!$K$4="*",N858=Calendar!$K$4)),P858*100+COUNTIFS($P$6:$P$3267,P858,$Q$6:$Q$3267,"&lt;="&amp;Q858,$N$6:$N$3267,Calendar!$K$4),"")</f>
        <v/>
      </c>
      <c r="W858" s="47">
        <f>IF(AND(B858=Queue!$C$4,OR(Queue!$K$4="*",N858=Queue!$K$4)),Q858,"")</f>
        <v/>
      </c>
    </row>
    <row r="859">
      <c r="A859" s="38">
        <f>IF(M859="","",HYPERLINK("https://www.youtube.com/watch?v="&amp;M859,"▶"))</f>
        <v/>
      </c>
      <c r="B859" s="39">
        <f>IF(C859&lt;&gt;"",C859,IF(P859&lt;=IFERROR(INDEX(tblChannels[Watched Through],MATCH(N859,tblChannels[Channel ID],0)),0),"Watched","Unwatched"))</f>
        <v/>
      </c>
      <c r="C859" s="40" t="n"/>
      <c r="D859" s="41" t="n"/>
      <c r="E859" s="42" t="n">
        <v>45149.77083333334</v>
      </c>
      <c r="F859" s="52" t="inlineStr">
        <is>
          <t>Super Carlin Gaming</t>
        </is>
      </c>
      <c r="G859" t="inlineStr">
        <is>
          <t>Crocodile Rock | Carlin Brothers Box Breakers S6E6</t>
        </is>
      </c>
      <c r="H859" s="44" t="n">
        <v>0.02909722222222222</v>
      </c>
      <c r="I859" s="45" t="n">
        <v>1741</v>
      </c>
      <c r="J859" s="45" t="n">
        <v>89</v>
      </c>
      <c r="K859" s="45" t="n">
        <v>9</v>
      </c>
      <c r="L859" s="46" t="n"/>
      <c r="M859" s="47" t="n"/>
      <c r="N859" s="47" t="inlineStr">
        <is>
          <t>UCor_9jRnNNZVzTuQ92PKsaQ</t>
        </is>
      </c>
      <c r="O859" s="48" t="n">
        <v>45149.9375</v>
      </c>
      <c r="P859" s="49" t="n">
        <v>45149</v>
      </c>
      <c r="Q859" s="47" t="n">
        <v>2409</v>
      </c>
      <c r="R859" s="47" t="inlineStr">
        <is>
          <t>No Video ID yet</t>
        </is>
      </c>
      <c r="S859" s="49" t="n"/>
      <c r="T859" s="49" t="n"/>
      <c r="U859" s="47" t="n"/>
      <c r="V859" s="47">
        <f>IF(AND(P859&gt;=Calendar!$K$2,P859&lt;EDATE(Calendar!$K$2,1),OR(Calendar!$K$4="*",N859=Calendar!$K$4)),P859*100+COUNTIFS($P$6:$P$3267,P859,$Q$6:$Q$3267,"&lt;="&amp;Q859,$N$6:$N$3267,Calendar!$K$4),"")</f>
        <v/>
      </c>
      <c r="W859" s="47">
        <f>IF(AND(B859=Queue!$C$4,OR(Queue!$K$4="*",N859=Queue!$K$4)),Q859,"")</f>
        <v/>
      </c>
    </row>
    <row r="860">
      <c r="A860" s="38">
        <f>IF(M860="","",HYPERLINK("https://www.youtube.com/watch?v="&amp;M860,"▶"))</f>
        <v/>
      </c>
      <c r="B860" s="39">
        <f>IF(C860&lt;&gt;"",C860,IF(P860&lt;=IFERROR(INDEX(tblChannels[Watched Through],MATCH(N860,tblChannels[Channel ID],0)),0),"Watched","Unwatched"))</f>
        <v/>
      </c>
      <c r="C860" s="40" t="n"/>
      <c r="D860" s="41" t="n"/>
      <c r="E860" s="42" t="n">
        <v>45149.54652777778</v>
      </c>
      <c r="F860" s="50" t="inlineStr">
        <is>
          <t>Super Carlin Brothers</t>
        </is>
      </c>
      <c r="G860" t="inlineStr">
        <is>
          <t>Finnick &amp; Tigris's BIG Secret | Hunger Games Film Theory</t>
        </is>
      </c>
      <c r="H860" s="44" t="n">
        <v>0.01271990740740741</v>
      </c>
      <c r="I860" s="45" t="n">
        <v>597073</v>
      </c>
      <c r="J860" s="45" t="n">
        <v>15000</v>
      </c>
      <c r="K860" s="45" t="n">
        <v>599</v>
      </c>
      <c r="L860" s="46" t="n"/>
      <c r="M860" s="47" t="n"/>
      <c r="N860" s="47" t="inlineStr">
        <is>
          <t>UCKZo4N0lVPccBkSiuyVh4yg</t>
        </is>
      </c>
      <c r="O860" s="48" t="n">
        <v>45149.71319444444</v>
      </c>
      <c r="P860" s="49" t="n">
        <v>45149</v>
      </c>
      <c r="Q860" s="47" t="n">
        <v>2408</v>
      </c>
      <c r="R860" s="47" t="inlineStr">
        <is>
          <t>No Video ID yet</t>
        </is>
      </c>
      <c r="S860" s="49" t="n"/>
      <c r="T860" s="49" t="n"/>
      <c r="U860" s="47" t="inlineStr">
        <is>
          <t>Go to and use code SUPER for 10% off your first order. Today Ben dives into the chaotic world of Panem to reveal WHY Tigris betrayed her cousin: Coriolanus Snow! How did such great friends turn on each other and what does it have to do with Finnick Odair?! #supercarlinbrothers #HungerGames</t>
        </is>
      </c>
      <c r="V860" s="47">
        <f>IF(AND(P860&gt;=Calendar!$K$2,P860&lt;EDATE(Calendar!$K$2,1),OR(Calendar!$K$4="*",N860=Calendar!$K$4)),P860*100+COUNTIFS($P$6:$P$3267,P860,$Q$6:$Q$3267,"&lt;="&amp;Q860,$N$6:$N$3267,Calendar!$K$4),"")</f>
        <v/>
      </c>
      <c r="W860" s="47">
        <f>IF(AND(B860=Queue!$C$4,OR(Queue!$K$4="*",N860=Queue!$K$4)),Q860,"")</f>
        <v/>
      </c>
    </row>
    <row r="861">
      <c r="A861" s="38">
        <f>IF(M861="","",HYPERLINK("https://www.youtube.com/watch?v="&amp;M861,"▶"))</f>
        <v/>
      </c>
      <c r="B861" s="39">
        <f>IF(C861&lt;&gt;"",C861,IF(P861&lt;=IFERROR(INDEX(tblChannels[Watched Through],MATCH(N861,tblChannels[Channel ID],0)),0),"Watched","Unwatched"))</f>
        <v/>
      </c>
      <c r="C861" s="40" t="n"/>
      <c r="D861" s="41" t="n"/>
      <c r="E861" s="42" t="n">
        <v>45149.42708333334</v>
      </c>
      <c r="F861" s="43" t="inlineStr">
        <is>
          <t>Popcorn Culture</t>
        </is>
      </c>
      <c r="G861" t="inlineStr">
        <is>
          <t>Luke’s a Kindergartener!  | Popcorn Culture</t>
        </is>
      </c>
      <c r="H861" s="44" t="n">
        <v>0.04745370370370371</v>
      </c>
      <c r="I861" s="45" t="n">
        <v>5021</v>
      </c>
      <c r="J861" s="45" t="n">
        <v>254</v>
      </c>
      <c r="K861" s="45" t="n">
        <v>35</v>
      </c>
      <c r="L861" s="46" t="n"/>
      <c r="M861" s="47" t="n"/>
      <c r="N861" s="47" t="inlineStr">
        <is>
          <t>UCHfIbq9thHPC8yrKjAdJgDA</t>
        </is>
      </c>
      <c r="O861" s="48" t="n">
        <v>45149.59375</v>
      </c>
      <c r="P861" s="49" t="n">
        <v>45149</v>
      </c>
      <c r="Q861" s="47" t="n">
        <v>2407</v>
      </c>
      <c r="R861" s="47" t="inlineStr">
        <is>
          <t>No Video ID yet</t>
        </is>
      </c>
      <c r="S861" s="49" t="n"/>
      <c r="T861" s="49" t="n"/>
      <c r="U861" s="47" t="inlineStr">
        <is>
          <t>In the 192nd episode of the Pop, Ben and J discuss Luke going to Kindergarten, Are You Smarter Than a Fifth Grader, standardized tests, The Invisible Man, hiding in the bamboo, laptops in class, and some announcements (so stay tuned till the end!). Join us at Go Fest! - Get your tickets for the SCB Trivia Night! - Are You Smarter than a Fifth Grader - Gulliver’s Travels - The Giver - Dr. Jekyll and Mr. Hyde - Lord of the Flies - Ender's Game - The Invisible Man Hiding in the Bamboo 00:00 - Intro, J’s Turning Point 15:47 - School Curriculum 47:21 - The Invisible Man</t>
        </is>
      </c>
      <c r="V861" s="47">
        <f>IF(AND(P861&gt;=Calendar!$K$2,P861&lt;EDATE(Calendar!$K$2,1),OR(Calendar!$K$4="*",N861=Calendar!$K$4)),P861*100+COUNTIFS($P$6:$P$3267,P861,$Q$6:$Q$3267,"&lt;="&amp;Q861,$N$6:$N$3267,Calendar!$K$4),"")</f>
        <v/>
      </c>
      <c r="W861" s="47">
        <f>IF(AND(B861=Queue!$C$4,OR(Queue!$K$4="*",N861=Queue!$K$4)),Q861,"")</f>
        <v/>
      </c>
    </row>
    <row r="862">
      <c r="A862" s="38">
        <f>IF(M862="","",HYPERLINK("https://www.youtube.com/watch?v="&amp;M862,"▶"))</f>
        <v/>
      </c>
      <c r="B862" s="39">
        <f>IF(C862&lt;&gt;"",C862,IF(P862&lt;=IFERROR(INDEX(tblChannels[Watched Through],MATCH(N862,tblChannels[Channel ID],0)),0),"Watched","Unwatched"))</f>
        <v/>
      </c>
      <c r="C862" s="40" t="n"/>
      <c r="D862" s="41" t="n"/>
      <c r="E862" s="42" t="n">
        <v>45147.67777777778</v>
      </c>
      <c r="F862" s="50" t="inlineStr">
        <is>
          <t>Super Carlin Brothers</t>
        </is>
      </c>
      <c r="G862" t="inlineStr">
        <is>
          <t>Top 7 PLOT TWISTS in Harry Potter</t>
        </is>
      </c>
      <c r="H862" s="44" t="n">
        <v>0.01490740740740741</v>
      </c>
      <c r="I862" s="45" t="n">
        <v>412772</v>
      </c>
      <c r="J862" s="45" t="n">
        <v>12374</v>
      </c>
      <c r="K862" s="45" t="n">
        <v>1118</v>
      </c>
      <c r="L862" s="46" t="n"/>
      <c r="M862" s="47" t="n"/>
      <c r="N862" s="47" t="inlineStr">
        <is>
          <t>UCKZo4N0lVPccBkSiuyVh4yg</t>
        </is>
      </c>
      <c r="O862" s="48" t="n">
        <v>45147.84444444445</v>
      </c>
      <c r="P862" s="49" t="n">
        <v>45147</v>
      </c>
      <c r="Q862" s="47" t="n">
        <v>2406</v>
      </c>
      <c r="R862" s="47" t="inlineStr">
        <is>
          <t>No Video ID yet</t>
        </is>
      </c>
      <c r="S862" s="49" t="n"/>
      <c r="T862" s="49" t="n"/>
      <c r="U862" s="47" t="inlineStr">
        <is>
          <t>Go to and use code super50 to get 50% off. Today J dives into the Wizarding World of Harry Potter to countdown our TOP 7 Plot Twists in the entire saga!</t>
        </is>
      </c>
      <c r="V862" s="47">
        <f>IF(AND(P862&gt;=Calendar!$K$2,P862&lt;EDATE(Calendar!$K$2,1),OR(Calendar!$K$4="*",N862=Calendar!$K$4)),P862*100+COUNTIFS($P$6:$P$3267,P862,$Q$6:$Q$3267,"&lt;="&amp;Q862,$N$6:$N$3267,Calendar!$K$4),"")</f>
        <v/>
      </c>
      <c r="W862" s="47">
        <f>IF(AND(B862=Queue!$C$4,OR(Queue!$K$4="*",N862=Queue!$K$4)),Q862,"")</f>
        <v/>
      </c>
    </row>
    <row r="863">
      <c r="A863" s="38">
        <f>IF(M863="","",HYPERLINK("https://www.youtube.com/watch?v="&amp;M863,"▶"))</f>
        <v/>
      </c>
      <c r="B863" s="39">
        <f>IF(C863&lt;&gt;"",C863,IF(P863&lt;=IFERROR(INDEX(tblChannels[Watched Through],MATCH(N863,tblChannels[Channel ID],0)),0),"Watched","Unwatched"))</f>
        <v/>
      </c>
      <c r="C863" s="40" t="n"/>
      <c r="D863" s="41" t="n"/>
      <c r="E863" s="42" t="n">
        <v>45145.41666666666</v>
      </c>
      <c r="F863" s="53" t="inlineStr">
        <is>
          <t>Jonathan Carlin</t>
        </is>
      </c>
      <c r="G863" t="inlineStr">
        <is>
          <t>The MISSING Disney Vlog!</t>
        </is>
      </c>
      <c r="H863" s="44" t="n">
        <v>0.01795138888888889</v>
      </c>
      <c r="I863" s="45" t="n">
        <v>13845</v>
      </c>
      <c r="J863" s="45" t="n">
        <v>816</v>
      </c>
      <c r="K863" s="45" t="n">
        <v>78</v>
      </c>
      <c r="L863" s="46" t="n"/>
      <c r="M863" s="47" t="n"/>
      <c r="N863" s="47" t="inlineStr">
        <is>
          <t>UCYPKFe86e6nm4TVUYKLsFUQ</t>
        </is>
      </c>
      <c r="O863" s="48" t="n">
        <v>45145.58333333334</v>
      </c>
      <c r="P863" s="49" t="n">
        <v>45145</v>
      </c>
      <c r="Q863" s="47" t="n">
        <v>2405</v>
      </c>
      <c r="R863" s="47" t="inlineStr">
        <is>
          <t>No Video ID yet</t>
        </is>
      </c>
      <c r="S863" s="49" t="n"/>
      <c r="T863" s="49" t="n"/>
      <c r="U863" s="47" t="inlineStr">
        <is>
          <t>In Feb 2023 the Carlin Family took a trip to Disney World, then Dad forgot to publish the vlog and put it off for another 6 months! Enjoy! Edited by Ethan Edghill</t>
        </is>
      </c>
      <c r="V863" s="47">
        <f>IF(AND(P863&gt;=Calendar!$K$2,P863&lt;EDATE(Calendar!$K$2,1),OR(Calendar!$K$4="*",N863=Calendar!$K$4)),P863*100+COUNTIFS($P$6:$P$3267,P863,$Q$6:$Q$3267,"&lt;="&amp;Q863,$N$6:$N$3267,Calendar!$K$4),"")</f>
        <v/>
      </c>
      <c r="W863" s="47">
        <f>IF(AND(B863=Queue!$C$4,OR(Queue!$K$4="*",N863=Queue!$K$4)),Q863,"")</f>
        <v/>
      </c>
    </row>
    <row r="864">
      <c r="A864" s="38">
        <f>IF(M864="","",HYPERLINK("https://www.youtube.com/watch?v="&amp;M864,"▶"))</f>
        <v/>
      </c>
      <c r="B864" s="39">
        <f>IF(C864&lt;&gt;"",C864,IF(P864&lt;=IFERROR(INDEX(tblChannels[Watched Through],MATCH(N864,tblChannels[Channel ID],0)),0),"Watched","Unwatched"))</f>
        <v/>
      </c>
      <c r="C864" s="40" t="n"/>
      <c r="D864" s="41" t="n"/>
      <c r="E864" s="42" t="n">
        <v>45142.77083333334</v>
      </c>
      <c r="F864" s="52" t="inlineStr">
        <is>
          <t>Super Carlin Gaming</t>
        </is>
      </c>
      <c r="G864" t="inlineStr">
        <is>
          <t>Huge Day For Last Place! | Carlin Brothers Box Breakers S6E5</t>
        </is>
      </c>
      <c r="H864" s="44" t="n">
        <v>0.03072916666666667</v>
      </c>
      <c r="I864" s="45" t="n">
        <v>1836</v>
      </c>
      <c r="J864" s="45" t="n">
        <v>96</v>
      </c>
      <c r="K864" s="45" t="n">
        <v>10</v>
      </c>
      <c r="L864" s="46" t="n"/>
      <c r="M864" s="47" t="n"/>
      <c r="N864" s="47" t="inlineStr">
        <is>
          <t>UCor_9jRnNNZVzTuQ92PKsaQ</t>
        </is>
      </c>
      <c r="O864" s="48" t="n">
        <v>45142.9375</v>
      </c>
      <c r="P864" s="49" t="n">
        <v>45142</v>
      </c>
      <c r="Q864" s="47" t="n">
        <v>2404</v>
      </c>
      <c r="R864" s="47" t="inlineStr">
        <is>
          <t>No Video ID yet</t>
        </is>
      </c>
      <c r="S864" s="49" t="n"/>
      <c r="T864" s="49" t="n"/>
      <c r="U864" s="47" t="n"/>
      <c r="V864" s="47">
        <f>IF(AND(P864&gt;=Calendar!$K$2,P864&lt;EDATE(Calendar!$K$2,1),OR(Calendar!$K$4="*",N864=Calendar!$K$4)),P864*100+COUNTIFS($P$6:$P$3267,P864,$Q$6:$Q$3267,"&lt;="&amp;Q864,$N$6:$N$3267,Calendar!$K$4),"")</f>
        <v/>
      </c>
      <c r="W864" s="47">
        <f>IF(AND(B864=Queue!$C$4,OR(Queue!$K$4="*",N864=Queue!$K$4)),Q864,"")</f>
        <v/>
      </c>
    </row>
    <row r="865">
      <c r="A865" s="38">
        <f>IF(M865="","",HYPERLINK("https://www.youtube.com/watch?v="&amp;M865,"▶"))</f>
        <v/>
      </c>
      <c r="B865" s="39">
        <f>IF(C865&lt;&gt;"",C865,IF(P865&lt;=IFERROR(INDEX(tblChannels[Watched Through],MATCH(N865,tblChannels[Channel ID],0)),0),"Watched","Unwatched"))</f>
        <v/>
      </c>
      <c r="C865" s="40" t="n"/>
      <c r="D865" s="41" t="n"/>
      <c r="E865" s="42" t="n">
        <v>45142.68611111111</v>
      </c>
      <c r="F865" s="50" t="inlineStr">
        <is>
          <t>Super Carlin Brothers</t>
        </is>
      </c>
      <c r="G865" t="inlineStr">
        <is>
          <t>The TRUTH About Katniss and Lucy Gray | Hunger Games Film Theory</t>
        </is>
      </c>
      <c r="H865" s="44" t="n">
        <v>0.01357638888888889</v>
      </c>
      <c r="I865" s="45" t="n">
        <v>206590</v>
      </c>
      <c r="J865" s="45" t="n">
        <v>7840</v>
      </c>
      <c r="K865" s="45" t="n">
        <v>576</v>
      </c>
      <c r="L865" s="46" t="n"/>
      <c r="M865" s="47" t="n"/>
      <c r="N865" s="47" t="inlineStr">
        <is>
          <t>UCKZo4N0lVPccBkSiuyVh4yg</t>
        </is>
      </c>
      <c r="O865" s="48" t="n">
        <v>45142.85277777778</v>
      </c>
      <c r="P865" s="49" t="n">
        <v>45142</v>
      </c>
      <c r="Q865" s="47" t="n">
        <v>2403</v>
      </c>
      <c r="R865" s="47" t="inlineStr">
        <is>
          <t>No Video ID yet</t>
        </is>
      </c>
      <c r="S865" s="49" t="n"/>
      <c r="T865" s="49" t="n"/>
      <c r="U865" s="47" t="inlineStr">
        <is>
          <t>Today Ben dives into the ruthless world of Panem to reveal if and/or how Katniss Everdeen is related to Lucy Gray Baird! #supercarlinbrothers #HungerGames</t>
        </is>
      </c>
      <c r="V865" s="47">
        <f>IF(AND(P865&gt;=Calendar!$K$2,P865&lt;EDATE(Calendar!$K$2,1),OR(Calendar!$K$4="*",N865=Calendar!$K$4)),P865*100+COUNTIFS($P$6:$P$3267,P865,$Q$6:$Q$3267,"&lt;="&amp;Q865,$N$6:$N$3267,Calendar!$K$4),"")</f>
        <v/>
      </c>
      <c r="W865" s="47">
        <f>IF(AND(B865=Queue!$C$4,OR(Queue!$K$4="*",N865=Queue!$K$4)),Q865,"")</f>
        <v/>
      </c>
    </row>
    <row r="866">
      <c r="A866" s="38">
        <f>IF(M866="","",HYPERLINK("https://www.youtube.com/watch?v="&amp;M866,"▶"))</f>
        <v/>
      </c>
      <c r="B866" s="39">
        <f>IF(C866&lt;&gt;"",C866,IF(P866&lt;=IFERROR(INDEX(tblChannels[Watched Through],MATCH(N866,tblChannels[Channel ID],0)),0),"Watched","Unwatched"))</f>
        <v/>
      </c>
      <c r="C866" s="40" t="n"/>
      <c r="D866" s="41" t="n"/>
      <c r="E866" s="42" t="n">
        <v>45142.41666666666</v>
      </c>
      <c r="F866" s="43" t="inlineStr">
        <is>
          <t>Popcorn Culture</t>
        </is>
      </c>
      <c r="G866" t="inlineStr">
        <is>
          <t>Ben Got a Tattoo - Not Clickbait | Popcorn Culture</t>
        </is>
      </c>
      <c r="H866" s="44" t="n">
        <v>0.04655092592592593</v>
      </c>
      <c r="I866" s="45" t="n">
        <v>7154</v>
      </c>
      <c r="J866" s="45" t="n">
        <v>349</v>
      </c>
      <c r="K866" s="45" t="n">
        <v>55</v>
      </c>
      <c r="L866" s="46" t="n"/>
      <c r="M866" s="47" t="n"/>
      <c r="N866" s="47" t="inlineStr">
        <is>
          <t>UCHfIbq9thHPC8yrKjAdJgDA</t>
        </is>
      </c>
      <c r="O866" s="48" t="n">
        <v>45142.58333333334</v>
      </c>
      <c r="P866" s="49" t="n">
        <v>45142</v>
      </c>
      <c r="Q866" s="47" t="n">
        <v>2402</v>
      </c>
      <c r="R866" s="47" t="inlineStr">
        <is>
          <t>No Video ID yet</t>
        </is>
      </c>
      <c r="S866" s="49" t="n"/>
      <c r="T866" s="49" t="n"/>
      <c r="U866" s="47" t="inlineStr">
        <is>
          <t>In the 191st episode of the pop, Ben and J discuss Ben’s tattoo journey, J’s headphones, burping, the vlogging itch, their dad’s affinity for recording things, and mood journals. J’s Vlog - Clockchuterie Classic Scorpion Smile The Vlog Itch What’s Your Mood? 00:00 - Intro, TATTOO!!! 31:36 - Headphones and Anti-Burp Setting 42:18 - Feelin’ the Vlog Itch</t>
        </is>
      </c>
      <c r="V866" s="47">
        <f>IF(AND(P866&gt;=Calendar!$K$2,P866&lt;EDATE(Calendar!$K$2,1),OR(Calendar!$K$4="*",N866=Calendar!$K$4)),P866*100+COUNTIFS($P$6:$P$3267,P866,$Q$6:$Q$3267,"&lt;="&amp;Q866,$N$6:$N$3267,Calendar!$K$4),"")</f>
        <v/>
      </c>
      <c r="W866" s="47">
        <f>IF(AND(B866=Queue!$C$4,OR(Queue!$K$4="*",N866=Queue!$K$4)),Q866,"")</f>
        <v/>
      </c>
    </row>
    <row r="867">
      <c r="A867" s="38">
        <f>IF(M867="","",HYPERLINK("https://www.youtube.com/watch?v="&amp;M867,"▶"))</f>
        <v/>
      </c>
      <c r="B867" s="39">
        <f>IF(C867&lt;&gt;"",C867,IF(P867&lt;=IFERROR(INDEX(tblChannels[Watched Through],MATCH(N867,tblChannels[Channel ID],0)),0),"Watched","Unwatched"))</f>
        <v/>
      </c>
      <c r="C867" s="40" t="n"/>
      <c r="D867" s="41" t="n"/>
      <c r="E867" s="42" t="n">
        <v>45140.66666666666</v>
      </c>
      <c r="F867" s="50" t="inlineStr">
        <is>
          <t>Super Carlin Brothers</t>
        </is>
      </c>
      <c r="G867" t="inlineStr">
        <is>
          <t>J vs Ben: ULTIMATE Tri-Wizard Task Harry Potter TRIVIA Quiz</t>
        </is>
      </c>
      <c r="H867" s="44" t="n">
        <v>0.02116898148148148</v>
      </c>
      <c r="I867" s="45" t="n">
        <v>183024</v>
      </c>
      <c r="J867" s="45" t="n">
        <v>6269</v>
      </c>
      <c r="K867" s="45" t="n">
        <v>784</v>
      </c>
      <c r="L867" s="46" t="n"/>
      <c r="M867" s="47" t="n"/>
      <c r="N867" s="47" t="inlineStr">
        <is>
          <t>UCKZo4N0lVPccBkSiuyVh4yg</t>
        </is>
      </c>
      <c r="O867" s="48" t="n">
        <v>45140.83333333334</v>
      </c>
      <c r="P867" s="49" t="n">
        <v>45140</v>
      </c>
      <c r="Q867" s="47" t="n">
        <v>2401</v>
      </c>
      <c r="R867" s="47" t="inlineStr">
        <is>
          <t>No Video ID yet</t>
        </is>
      </c>
      <c r="S867" s="49" t="n"/>
      <c r="T867" s="49" t="n"/>
      <c r="U867" s="47" t="inlineStr">
        <is>
          <t>Go to and use code jvsb50 to get 50% off. Go to to get 25% off your first order and free standard shipping. Today J and Ben face off once more to find out who knows the most about Harry Potter and the Goblet of Fire and the tasks Harry has to complete to win the Tri-Wizard tournament! Play along with us! :: 01:23 - Q1: Who enters the maze with Harry? 01:58 - Q2: What spell brings Harry's Firebolt to him? 02:55 - Q3: What spell did Viktor use against his dragon? 07:45 - Q4: Who was Cedric's treasure? 08:10 - Q5: What was the first obstacle in the maze? 09:00 - Q6: How does Harry describe his legs at the beginning of the first task? 11:07 - Q7: What was the answer to the Sphinx's riddle? 12:06 - Q8: Who gets the Welsh Green dragon? 17:24 - Q9: What was Harry's total score? 19:14 - Q10: How were the merepeople NOT described? 20:03 - Q11: What spell directs Harry in the maze? 20:56 - Q12: What do Harry and Cedric fight before grabbing the cup? 23:02 - Q13: What color are the non-golden eggs? 24:29 - Q14: What does the gillyweed feel like? 25:58 - Q15: What does the golden mist do? #supercarlinbrothers #JvsBen #HarryPotter</t>
        </is>
      </c>
      <c r="V867" s="47">
        <f>IF(AND(P867&gt;=Calendar!$K$2,P867&lt;EDATE(Calendar!$K$2,1),OR(Calendar!$K$4="*",N867=Calendar!$K$4)),P867*100+COUNTIFS($P$6:$P$3267,P867,$Q$6:$Q$3267,"&lt;="&amp;Q867,$N$6:$N$3267,Calendar!$K$4),"")</f>
        <v/>
      </c>
      <c r="W867" s="47">
        <f>IF(AND(B867=Queue!$C$4,OR(Queue!$K$4="*",N867=Queue!$K$4)),Q867,"")</f>
        <v/>
      </c>
    </row>
    <row r="868">
      <c r="A868" s="38">
        <f>IF(M868="","",HYPERLINK("https://www.youtube.com/watch?v="&amp;M868,"▶"))</f>
        <v/>
      </c>
      <c r="B868" s="39">
        <f>IF(C868&lt;&gt;"",C868,IF(P868&lt;=IFERROR(INDEX(tblChannels[Watched Through],MATCH(N868,tblChannels[Channel ID],0)),0),"Watched","Unwatched"))</f>
        <v/>
      </c>
      <c r="C868" s="40" t="n"/>
      <c r="D868" s="41" t="n"/>
      <c r="E868" s="42" t="n">
        <v>45138.77083333334</v>
      </c>
      <c r="F868" s="52" t="inlineStr">
        <is>
          <t>Super Carlin Gaming</t>
        </is>
      </c>
      <c r="G868" t="inlineStr">
        <is>
          <t>THE KARP ARE CIRCLING | Carlin Brothers Box Breakers S6E4</t>
        </is>
      </c>
      <c r="H868" s="44" t="n">
        <v>0.03087962962962963</v>
      </c>
      <c r="I868" s="45" t="n">
        <v>2015</v>
      </c>
      <c r="J868" s="45" t="n">
        <v>99</v>
      </c>
      <c r="K868" s="45" t="n">
        <v>21</v>
      </c>
      <c r="L868" s="46" t="n"/>
      <c r="M868" s="47" t="n"/>
      <c r="N868" s="47" t="inlineStr">
        <is>
          <t>UCor_9jRnNNZVzTuQ92PKsaQ</t>
        </is>
      </c>
      <c r="O868" s="48" t="n">
        <v>45138.9375</v>
      </c>
      <c r="P868" s="49" t="n">
        <v>45138</v>
      </c>
      <c r="Q868" s="47" t="n">
        <v>2400</v>
      </c>
      <c r="R868" s="47" t="inlineStr">
        <is>
          <t>No Video ID yet</t>
        </is>
      </c>
      <c r="S868" s="49" t="n"/>
      <c r="T868" s="49" t="n"/>
      <c r="U868" s="47" t="n"/>
      <c r="V868" s="47">
        <f>IF(AND(P868&gt;=Calendar!$K$2,P868&lt;EDATE(Calendar!$K$2,1),OR(Calendar!$K$4="*",N868=Calendar!$K$4)),P868*100+COUNTIFS($P$6:$P$3267,P868,$Q$6:$Q$3267,"&lt;="&amp;Q868,$N$6:$N$3267,Calendar!$K$4),"")</f>
        <v/>
      </c>
      <c r="W868" s="47">
        <f>IF(AND(B868=Queue!$C$4,OR(Queue!$K$4="*",N868=Queue!$K$4)),Q868,"")</f>
        <v/>
      </c>
    </row>
    <row r="869">
      <c r="A869" s="38">
        <f>IF(M869="","",HYPERLINK("https://www.youtube.com/watch?v="&amp;M869,"▶"))</f>
        <v/>
      </c>
      <c r="B869" s="39">
        <f>IF(C869&lt;&gt;"",C869,IF(P869&lt;=IFERROR(INDEX(tblChannels[Watched Through],MATCH(N869,tblChannels[Channel ID],0)),0),"Watched","Unwatched"))</f>
        <v/>
      </c>
      <c r="C869" s="40" t="n"/>
      <c r="D869" s="41" t="n"/>
      <c r="E869" s="42" t="n">
        <v>45135.69930555556</v>
      </c>
      <c r="F869" s="50" t="inlineStr">
        <is>
          <t>Super Carlin Brothers</t>
        </is>
      </c>
      <c r="G869" t="inlineStr">
        <is>
          <t>President Coin Is ACTUALLY Lucy Grey Baird | Hunger Games Film Theory</t>
        </is>
      </c>
      <c r="H869" s="44" t="n">
        <v>0.01482638888888889</v>
      </c>
      <c r="I869" s="45" t="n">
        <v>631240</v>
      </c>
      <c r="J869" s="45" t="n">
        <v>13359</v>
      </c>
      <c r="K869" s="45" t="n">
        <v>1757</v>
      </c>
      <c r="L869" s="46" t="n"/>
      <c r="M869" s="47" t="n"/>
      <c r="N869" s="47" t="inlineStr">
        <is>
          <t>UCKZo4N0lVPccBkSiuyVh4yg</t>
        </is>
      </c>
      <c r="O869" s="48" t="n">
        <v>45135.86597222222</v>
      </c>
      <c r="P869" s="49" t="n">
        <v>45135</v>
      </c>
      <c r="Q869" s="47" t="n">
        <v>2399</v>
      </c>
      <c r="R869" s="47" t="inlineStr">
        <is>
          <t>No Video ID yet</t>
        </is>
      </c>
      <c r="S869" s="49" t="n"/>
      <c r="T869" s="49" t="n"/>
      <c r="U869" s="47" t="inlineStr">
        <is>
          <t>Go to and use code super50 to get 50% off. Today Ben dives into the dystopian world Panem and the Hunger Games to reveal how Presiden Alma Coin is actually the missing Lucy Gray Baird from The Ballad of Song Bird of Snakes #supercarlinbrothers #HungerGames</t>
        </is>
      </c>
      <c r="V869" s="47">
        <f>IF(AND(P869&gt;=Calendar!$K$2,P869&lt;EDATE(Calendar!$K$2,1),OR(Calendar!$K$4="*",N869=Calendar!$K$4)),P869*100+COUNTIFS($P$6:$P$3267,P869,$Q$6:$Q$3267,"&lt;="&amp;Q869,$N$6:$N$3267,Calendar!$K$4),"")</f>
        <v/>
      </c>
      <c r="W869" s="47">
        <f>IF(AND(B869=Queue!$C$4,OR(Queue!$K$4="*",N869=Queue!$K$4)),Q869,"")</f>
        <v/>
      </c>
    </row>
    <row r="870">
      <c r="A870" s="38">
        <f>IF(M870="","",HYPERLINK("https://www.youtube.com/watch?v="&amp;M870,"▶"))</f>
        <v/>
      </c>
      <c r="B870" s="39">
        <f>IF(C870&lt;&gt;"",C870,IF(P870&lt;=IFERROR(INDEX(tblChannels[Watched Through],MATCH(N870,tblChannels[Channel ID],0)),0),"Watched","Unwatched"))</f>
        <v/>
      </c>
      <c r="C870" s="40" t="n"/>
      <c r="D870" s="41" t="n"/>
      <c r="E870" s="42" t="n">
        <v>45135.41666666666</v>
      </c>
      <c r="F870" s="43" t="inlineStr">
        <is>
          <t>Popcorn Culture</t>
        </is>
      </c>
      <c r="G870" t="inlineStr">
        <is>
          <t>Ben's Mystery Trip to NYC - Not Clickbait | Popcorn Culture</t>
        </is>
      </c>
      <c r="H870" s="44" t="n">
        <v>0.04748842592592593</v>
      </c>
      <c r="I870" s="45" t="n">
        <v>4219</v>
      </c>
      <c r="J870" s="45" t="n">
        <v>217</v>
      </c>
      <c r="K870" s="45" t="n">
        <v>14</v>
      </c>
      <c r="L870" s="46" t="n"/>
      <c r="M870" s="47" t="n"/>
      <c r="N870" s="47" t="inlineStr">
        <is>
          <t>UCHfIbq9thHPC8yrKjAdJgDA</t>
        </is>
      </c>
      <c r="O870" s="48" t="n">
        <v>45135.58333333334</v>
      </c>
      <c r="P870" s="49" t="n">
        <v>45135</v>
      </c>
      <c r="Q870" s="47" t="n">
        <v>2398</v>
      </c>
      <c r="R870" s="47" t="inlineStr">
        <is>
          <t>No Video ID yet</t>
        </is>
      </c>
      <c r="S870" s="49" t="n"/>
      <c r="T870" s="49" t="n"/>
      <c r="U870" s="47" t="inlineStr">
        <is>
          <t>IF YOU WANT TO SEE BEN’S TATTOO BEFORE NEXT WEEK, SIGN UP FOR PATREON TO WATCH AFTER THE FINAL POP: Ben and J discuss: gym hiatus, tattoos, traveling alone, Pokemon Go, Mt. Kilimanjaro, trick shot edits, home flip shows, Tyler’s AFV moment, and snow days. Pokemon Go - Real Men of Genius - The Bachelor - Planet Earth - America’s Funniest Home Videos - Ridiculousness - Tosh.0 - Elephants - Mt. Kilimanjaro Thank You Rope Swing People Top Brass Bonus Day Same Thing; Better Graphics 00:00 - Intro, Gym Life 03:58 - Ben’s Big Moment 28:59 - Elephant (Kind Of) 36:30 - Home Videos</t>
        </is>
      </c>
      <c r="V870" s="47">
        <f>IF(AND(P870&gt;=Calendar!$K$2,P870&lt;EDATE(Calendar!$K$2,1),OR(Calendar!$K$4="*",N870=Calendar!$K$4)),P870*100+COUNTIFS($P$6:$P$3267,P870,$Q$6:$Q$3267,"&lt;="&amp;Q870,$N$6:$N$3267,Calendar!$K$4),"")</f>
        <v/>
      </c>
      <c r="W870" s="47">
        <f>IF(AND(B870=Queue!$C$4,OR(Queue!$K$4="*",N870=Queue!$K$4)),Q870,"")</f>
        <v/>
      </c>
    </row>
    <row r="871">
      <c r="A871" s="38">
        <f>IF(M871="","",HYPERLINK("https://www.youtube.com/watch?v="&amp;M871,"▶"))</f>
        <v/>
      </c>
      <c r="B871" s="39">
        <f>IF(C871&lt;&gt;"",C871,IF(P871&lt;=IFERROR(INDEX(tblChannels[Watched Through],MATCH(N871,tblChannels[Channel ID],0)),0),"Watched","Unwatched"))</f>
        <v/>
      </c>
      <c r="C871" s="40" t="n"/>
      <c r="D871" s="41" t="n"/>
      <c r="E871" s="42" t="n">
        <v>45133.68541666667</v>
      </c>
      <c r="F871" s="50" t="inlineStr">
        <is>
          <t>Super Carlin Brothers</t>
        </is>
      </c>
      <c r="G871" t="inlineStr">
        <is>
          <t>What If Dobby NEVER Interfered In Harry’s Life? | Harry Potter Film Theory</t>
        </is>
      </c>
      <c r="H871" s="44" t="n">
        <v>0.01430555555555556</v>
      </c>
      <c r="I871" s="45" t="n">
        <v>355047</v>
      </c>
      <c r="J871" s="45" t="n">
        <v>11589</v>
      </c>
      <c r="K871" s="45" t="n">
        <v>1170</v>
      </c>
      <c r="L871" s="46" t="n"/>
      <c r="M871" s="47" t="n"/>
      <c r="N871" s="47" t="inlineStr">
        <is>
          <t>UCKZo4N0lVPccBkSiuyVh4yg</t>
        </is>
      </c>
      <c r="O871" s="48" t="n">
        <v>45133.85208333333</v>
      </c>
      <c r="P871" s="49" t="n">
        <v>45133</v>
      </c>
      <c r="Q871" s="47" t="n">
        <v>2397</v>
      </c>
      <c r="R871" s="47" t="inlineStr">
        <is>
          <t>No Video ID yet</t>
        </is>
      </c>
      <c r="S871" s="49" t="n"/>
      <c r="T871" s="49" t="n"/>
      <c r="U871" s="47" t="inlineStr">
        <is>
          <t>Go to to get PayPal Honey for free. Today J dives into the Wizarding World of Harry Potter to find out what would have happened if Dobby the House Elf never interfered in Harry’s Life! As it is he isnt able to tell him very much anyway and seems like he’s breaking the rules.. What if he ACTUALLY COULDN’T break those rules?!</t>
        </is>
      </c>
      <c r="V871" s="47">
        <f>IF(AND(P871&gt;=Calendar!$K$2,P871&lt;EDATE(Calendar!$K$2,1),OR(Calendar!$K$4="*",N871=Calendar!$K$4)),P871*100+COUNTIFS($P$6:$P$3267,P871,$Q$6:$Q$3267,"&lt;="&amp;Q871,$N$6:$N$3267,Calendar!$K$4),"")</f>
        <v/>
      </c>
      <c r="W871" s="47">
        <f>IF(AND(B871=Queue!$C$4,OR(Queue!$K$4="*",N871=Queue!$K$4)),Q871,"")</f>
        <v/>
      </c>
    </row>
    <row r="872">
      <c r="A872" s="38">
        <f>IF(M872="","",HYPERLINK("https://www.youtube.com/watch?v="&amp;M872,"▶"))</f>
        <v/>
      </c>
      <c r="B872" s="39">
        <f>IF(C872&lt;&gt;"",C872,IF(P872&lt;=IFERROR(INDEX(tblChannels[Watched Through],MATCH(N872,tblChannels[Channel ID],0)),0),"Watched","Unwatched"))</f>
        <v/>
      </c>
      <c r="C872" s="40" t="n"/>
      <c r="D872" s="41" t="n"/>
      <c r="E872" s="42" t="n">
        <v>45132.77083333334</v>
      </c>
      <c r="F872" s="52" t="inlineStr">
        <is>
          <t>Super Carlin Gaming</t>
        </is>
      </c>
      <c r="G872" t="inlineStr">
        <is>
          <t>NEW POWER-UP | Carlin Brothers Box Breakers S6E3</t>
        </is>
      </c>
      <c r="H872" s="44" t="n">
        <v>0.03091435185185185</v>
      </c>
      <c r="I872" s="45" t="n">
        <v>1977</v>
      </c>
      <c r="J872" s="45" t="n">
        <v>118</v>
      </c>
      <c r="K872" s="45" t="n">
        <v>9</v>
      </c>
      <c r="L872" s="46" t="n"/>
      <c r="M872" s="47" t="n"/>
      <c r="N872" s="47" t="inlineStr">
        <is>
          <t>UCor_9jRnNNZVzTuQ92PKsaQ</t>
        </is>
      </c>
      <c r="O872" s="48" t="n">
        <v>45132.9375</v>
      </c>
      <c r="P872" s="49" t="n">
        <v>45132</v>
      </c>
      <c r="Q872" s="47" t="n">
        <v>2396</v>
      </c>
      <c r="R872" s="47" t="inlineStr">
        <is>
          <t>No Video ID yet</t>
        </is>
      </c>
      <c r="S872" s="49" t="n"/>
      <c r="T872" s="49" t="n"/>
      <c r="U872" s="47" t="inlineStr">
        <is>
          <t>This week it gets HUGE with Paldea Evolved</t>
        </is>
      </c>
      <c r="V872" s="47">
        <f>IF(AND(P872&gt;=Calendar!$K$2,P872&lt;EDATE(Calendar!$K$2,1),OR(Calendar!$K$4="*",N872=Calendar!$K$4)),P872*100+COUNTIFS($P$6:$P$3267,P872,$Q$6:$Q$3267,"&lt;="&amp;Q872,$N$6:$N$3267,Calendar!$K$4),"")</f>
        <v/>
      </c>
      <c r="W872" s="47">
        <f>IF(AND(B872=Queue!$C$4,OR(Queue!$K$4="*",N872=Queue!$K$4)),Q872,"")</f>
        <v/>
      </c>
    </row>
    <row r="873">
      <c r="A873" s="38">
        <f>IF(M873="","",HYPERLINK("https://www.youtube.com/watch?v="&amp;M873,"▶"))</f>
        <v/>
      </c>
      <c r="B873" s="39">
        <f>IF(C873&lt;&gt;"",C873,IF(P873&lt;=IFERROR(INDEX(tblChannels[Watched Through],MATCH(N873,tblChannels[Channel ID],0)),0),"Watched","Unwatched"))</f>
        <v/>
      </c>
      <c r="C873" s="40" t="n"/>
      <c r="D873" s="41" t="n"/>
      <c r="E873" s="42" t="n">
        <v>45129.21041666667</v>
      </c>
      <c r="F873" s="52" t="inlineStr">
        <is>
          <t>Super Carlin Gaming</t>
        </is>
      </c>
      <c r="G873" t="inlineStr">
        <is>
          <t>SUPER Friday Gaming Stream!</t>
        </is>
      </c>
      <c r="H873" s="44" t="n">
        <v>0.05697916666666666</v>
      </c>
      <c r="I873" s="45" t="n">
        <v>1751</v>
      </c>
      <c r="J873" s="45" t="n">
        <v>93</v>
      </c>
      <c r="K873" s="45" t="n">
        <v>8</v>
      </c>
      <c r="L873" s="46" t="n"/>
      <c r="M873" s="47" t="n"/>
      <c r="N873" s="47" t="inlineStr">
        <is>
          <t>UCor_9jRnNNZVzTuQ92PKsaQ</t>
        </is>
      </c>
      <c r="O873" s="48" t="n">
        <v>45129.37708333333</v>
      </c>
      <c r="P873" s="49" t="n">
        <v>45129</v>
      </c>
      <c r="Q873" s="47" t="n">
        <v>2395</v>
      </c>
      <c r="R873" s="47" t="inlineStr">
        <is>
          <t>No Video ID yet</t>
        </is>
      </c>
      <c r="S873" s="49" t="n"/>
      <c r="T873" s="49" t="n"/>
      <c r="U873" s="47" t="inlineStr">
        <is>
          <t>Just hanging out playing Rocket League.</t>
        </is>
      </c>
      <c r="V873" s="47">
        <f>IF(AND(P873&gt;=Calendar!$K$2,P873&lt;EDATE(Calendar!$K$2,1),OR(Calendar!$K$4="*",N873=Calendar!$K$4)),P873*100+COUNTIFS($P$6:$P$3267,P873,$Q$6:$Q$3267,"&lt;="&amp;Q873,$N$6:$N$3267,Calendar!$K$4),"")</f>
        <v/>
      </c>
      <c r="W873" s="47">
        <f>IF(AND(B873=Queue!$C$4,OR(Queue!$K$4="*",N873=Queue!$K$4)),Q873,"")</f>
        <v/>
      </c>
    </row>
    <row r="874">
      <c r="A874" s="38">
        <f>IF(M874="","",HYPERLINK("https://www.youtube.com/watch?v="&amp;M874,"▶"))</f>
        <v/>
      </c>
      <c r="B874" s="39">
        <f>IF(C874&lt;&gt;"",C874,IF(P874&lt;=IFERROR(INDEX(tblChannels[Watched Through],MATCH(N874,tblChannels[Channel ID],0)),0),"Watched","Unwatched"))</f>
        <v/>
      </c>
      <c r="C874" s="40" t="n"/>
      <c r="D874" s="41" t="n"/>
      <c r="E874" s="42" t="n">
        <v>45128.77083333334</v>
      </c>
      <c r="F874" s="52" t="inlineStr">
        <is>
          <t>Super Carlin Gaming</t>
        </is>
      </c>
      <c r="G874" t="inlineStr">
        <is>
          <t>CRITICAL HIT | Carlin Brothers Box Breakers S6E2</t>
        </is>
      </c>
      <c r="H874" s="44" t="n">
        <v>0.03177083333333333</v>
      </c>
      <c r="I874" s="45" t="n">
        <v>2069</v>
      </c>
      <c r="J874" s="45" t="n">
        <v>115</v>
      </c>
      <c r="K874" s="45" t="n">
        <v>12</v>
      </c>
      <c r="L874" s="46" t="n"/>
      <c r="M874" s="47" t="n"/>
      <c r="N874" s="47" t="inlineStr">
        <is>
          <t>UCor_9jRnNNZVzTuQ92PKsaQ</t>
        </is>
      </c>
      <c r="O874" s="48" t="n">
        <v>45128.9375</v>
      </c>
      <c r="P874" s="49" t="n">
        <v>45128</v>
      </c>
      <c r="Q874" s="47" t="n">
        <v>2394</v>
      </c>
      <c r="R874" s="47" t="inlineStr">
        <is>
          <t>No Video ID yet</t>
        </is>
      </c>
      <c r="S874" s="49" t="n"/>
      <c r="T874" s="49" t="n"/>
      <c r="U874" s="47" t="inlineStr">
        <is>
          <t>In this episode we finally get to see a little bit of what Paldea Evolved is all about</t>
        </is>
      </c>
      <c r="V874" s="47">
        <f>IF(AND(P874&gt;=Calendar!$K$2,P874&lt;EDATE(Calendar!$K$2,1),OR(Calendar!$K$4="*",N874=Calendar!$K$4)),P874*100+COUNTIFS($P$6:$P$3267,P874,$Q$6:$Q$3267,"&lt;="&amp;Q874,$N$6:$N$3267,Calendar!$K$4),"")</f>
        <v/>
      </c>
      <c r="W874" s="47">
        <f>IF(AND(B874=Queue!$C$4,OR(Queue!$K$4="*",N874=Queue!$K$4)),Q874,"")</f>
        <v/>
      </c>
    </row>
    <row r="875">
      <c r="A875" s="38">
        <f>IF(M875="","",HYPERLINK("https://www.youtube.com/watch?v="&amp;M875,"▶"))</f>
        <v/>
      </c>
      <c r="B875" s="39">
        <f>IF(C875&lt;&gt;"",C875,IF(P875&lt;=IFERROR(INDEX(tblChannels[Watched Through],MATCH(N875,tblChannels[Channel ID],0)),0),"Watched","Unwatched"))</f>
        <v/>
      </c>
      <c r="C875" s="40" t="n"/>
      <c r="D875" s="41" t="n"/>
      <c r="E875" s="42" t="n">
        <v>45128.61944444444</v>
      </c>
      <c r="F875" s="50" t="inlineStr">
        <is>
          <t>Super Carlin Brothers</t>
        </is>
      </c>
      <c r="G875" t="inlineStr">
        <is>
          <t>The Hunger Games Master Plan | Hunger Games Film Theory</t>
        </is>
      </c>
      <c r="H875" s="44" t="n">
        <v>0.03673611111111111</v>
      </c>
      <c r="I875" s="45" t="n">
        <v>997545</v>
      </c>
      <c r="J875" s="45" t="n">
        <v>28060</v>
      </c>
      <c r="K875" s="45" t="n">
        <v>2162</v>
      </c>
      <c r="L875" s="46" t="n"/>
      <c r="M875" s="47" t="n"/>
      <c r="N875" s="47" t="inlineStr">
        <is>
          <t>UCKZo4N0lVPccBkSiuyVh4yg</t>
        </is>
      </c>
      <c r="O875" s="48" t="n">
        <v>45128.78611111111</v>
      </c>
      <c r="P875" s="49" t="n">
        <v>45128</v>
      </c>
      <c r="Q875" s="47" t="n">
        <v>2393</v>
      </c>
      <c r="R875" s="47" t="inlineStr">
        <is>
          <t>No Video ID yet</t>
        </is>
      </c>
      <c r="S875" s="49" t="n"/>
      <c r="T875" s="49" t="n"/>
      <c r="U875" s="47" t="inlineStr">
        <is>
          <t>Go to and use code super for 20% off your first box. Today Ben dives into the destitute world of Panem and the Hunger Games to reveal how President Alma Coin was manipulating EVERYTHING from the beginning! Was Prim’s name reaped randomly? Was Cinna just a good stylist? Did Coin bomb her own people?! #supercarlinbrothers #HungerGames</t>
        </is>
      </c>
      <c r="V875" s="47">
        <f>IF(AND(P875&gt;=Calendar!$K$2,P875&lt;EDATE(Calendar!$K$2,1),OR(Calendar!$K$4="*",N875=Calendar!$K$4)),P875*100+COUNTIFS($P$6:$P$3267,P875,$Q$6:$Q$3267,"&lt;="&amp;Q875,$N$6:$N$3267,Calendar!$K$4),"")</f>
        <v/>
      </c>
      <c r="W875" s="47">
        <f>IF(AND(B875=Queue!$C$4,OR(Queue!$K$4="*",N875=Queue!$K$4)),Q875,"")</f>
        <v/>
      </c>
    </row>
    <row r="876">
      <c r="A876" s="38">
        <f>IF(M876="","",HYPERLINK("https://www.youtube.com/watch?v="&amp;M876,"▶"))</f>
        <v/>
      </c>
      <c r="B876" s="39">
        <f>IF(C876&lt;&gt;"",C876,IF(P876&lt;=IFERROR(INDEX(tblChannels[Watched Through],MATCH(N876,tblChannels[Channel ID],0)),0),"Watched","Unwatched"))</f>
        <v/>
      </c>
      <c r="C876" s="40" t="n"/>
      <c r="D876" s="41" t="n"/>
      <c r="E876" s="42" t="n">
        <v>45128.41666666666</v>
      </c>
      <c r="F876" s="43" t="inlineStr">
        <is>
          <t>Popcorn Culture</t>
        </is>
      </c>
      <c r="G876" t="inlineStr">
        <is>
          <t>The Bucketcast | Popcorn Culture</t>
        </is>
      </c>
      <c r="H876" s="44" t="n">
        <v>0.04778935185185185</v>
      </c>
      <c r="I876" s="45" t="n">
        <v>4051</v>
      </c>
      <c r="J876" s="45" t="n">
        <v>231</v>
      </c>
      <c r="K876" s="45" t="n">
        <v>20</v>
      </c>
      <c r="L876" s="46" t="n"/>
      <c r="M876" s="47" t="n"/>
      <c r="N876" s="47" t="inlineStr">
        <is>
          <t>UCHfIbq9thHPC8yrKjAdJgDA</t>
        </is>
      </c>
      <c r="O876" s="48" t="n">
        <v>45128.58333333334</v>
      </c>
      <c r="P876" s="49" t="n">
        <v>45128</v>
      </c>
      <c r="Q876" s="47" t="n">
        <v>2392</v>
      </c>
      <c r="R876" s="47" t="inlineStr">
        <is>
          <t>No Video ID yet</t>
        </is>
      </c>
      <c r="S876" s="49" t="n"/>
      <c r="T876" s="49" t="n"/>
      <c r="U876" s="47" t="inlineStr">
        <is>
          <t>In the 189th episode of the Pop, Ben and J discuss a new podcast idea, trolls, horses, Nate’s flip and backflips, competitiveness, and the Hedonic Treadmill. The Hedonic Treadmill - The Brown T-Shirt Paradox The Hedonic Treadmill Constant Quest for Confidence The Meaning of Life is Front Flips 00:00 - Intro, Ben’s Podcast Idea 05:45 - More Social Media Takes 12:24 - Lexington Trip and Pool Flips 43:10 - Competitiveness</t>
        </is>
      </c>
      <c r="V876" s="47">
        <f>IF(AND(P876&gt;=Calendar!$K$2,P876&lt;EDATE(Calendar!$K$2,1),OR(Calendar!$K$4="*",N876=Calendar!$K$4)),P876*100+COUNTIFS($P$6:$P$3267,P876,$Q$6:$Q$3267,"&lt;="&amp;Q876,$N$6:$N$3267,Calendar!$K$4),"")</f>
        <v/>
      </c>
      <c r="W876" s="47">
        <f>IF(AND(B876=Queue!$C$4,OR(Queue!$K$4="*",N876=Queue!$K$4)),Q876,"")</f>
        <v/>
      </c>
    </row>
    <row r="877">
      <c r="A877" s="38">
        <f>IF(M877="","",HYPERLINK("https://www.youtube.com/watch?v="&amp;M877,"▶"))</f>
        <v/>
      </c>
      <c r="B877" s="39">
        <f>IF(C877&lt;&gt;"",C877,IF(P877&lt;=IFERROR(INDEX(tblChannels[Watched Through],MATCH(N877,tblChannels[Channel ID],0)),0),"Watched","Unwatched"))</f>
        <v/>
      </c>
      <c r="C877" s="40" t="n"/>
      <c r="D877" s="41" t="n"/>
      <c r="E877" s="42" t="n">
        <v>45126.71388888889</v>
      </c>
      <c r="F877" s="50" t="inlineStr">
        <is>
          <t>Super Carlin Brothers</t>
        </is>
      </c>
      <c r="G877" t="inlineStr">
        <is>
          <t>J vs Ben: HARDEST Lightning Struck Tower Harry Potter TRIVIA Quiz</t>
        </is>
      </c>
      <c r="H877" s="44" t="n">
        <v>0.02077546296296296</v>
      </c>
      <c r="I877" s="45" t="n">
        <v>162294</v>
      </c>
      <c r="J877" s="45" t="n">
        <v>5789</v>
      </c>
      <c r="K877" s="45" t="n">
        <v>499</v>
      </c>
      <c r="L877" s="46" t="n"/>
      <c r="M877" s="47" t="n"/>
      <c r="N877" s="47" t="inlineStr">
        <is>
          <t>UCKZo4N0lVPccBkSiuyVh4yg</t>
        </is>
      </c>
      <c r="O877" s="48" t="n">
        <v>45126.88055555556</v>
      </c>
      <c r="P877" s="49" t="n">
        <v>45126</v>
      </c>
      <c r="Q877" s="47" t="n">
        <v>2391</v>
      </c>
      <c r="R877" s="47" t="inlineStr">
        <is>
          <t>No Video ID yet</t>
        </is>
      </c>
      <c r="S877" s="49" t="n"/>
      <c r="T877" s="49" t="n"/>
      <c r="U877" s="47" t="inlineStr">
        <is>
          <t>Go to to get PayPal Honey. Go to to get an extra 3 months free on a 12-month plan. Today Ben and J face off once more to find out who has the Ultimate Wizarding World Knowledge and who knows more about what happened on the Astronomy Tower the night Snape Killed Dumbledore! Liquid Luck Coffee :: Play along with us! :: Chapters 02:37 - Q1: Who killed Dumbledore? 04:19 - Q2: When did the battle happen? 08:18 - Q3: Who was there when Dumbledore dies? 11:41 - Q4: Who body-bind curses Harry? 11:59 - Q5: Who does Greyback bite? 13:08 - Q6: Who else dies in the battle? 15:07 - Q7: How did the Death Eaters get to Howgarts? 19:36 - Q8: How did Draco communicate with Madam Rosmerta? 21:28 - Q9: What is the first spell Harry casts at Snape? 22:09 - Q10: Which hourglass was hit in the Great Hall? 22:57 - Q11: Who did Hagrid rescue from his burning hut? 23:51 - Q12: Who did Tonks fight? 24:42 - Q13: What insult did Harry shout at Snape? 25:53 - Q14: Who did Harry hit with the Impediment jinx? 26:57 - Q15: How did Draco guide the Death Eaters through the castle?</t>
        </is>
      </c>
      <c r="V877" s="47">
        <f>IF(AND(P877&gt;=Calendar!$K$2,P877&lt;EDATE(Calendar!$K$2,1),OR(Calendar!$K$4="*",N877=Calendar!$K$4)),P877*100+COUNTIFS($P$6:$P$3267,P877,$Q$6:$Q$3267,"&lt;="&amp;Q877,$N$6:$N$3267,Calendar!$K$4),"")</f>
        <v/>
      </c>
      <c r="W877" s="47">
        <f>IF(AND(B877=Queue!$C$4,OR(Queue!$K$4="*",N877=Queue!$K$4)),Q877,"")</f>
        <v/>
      </c>
    </row>
    <row r="878">
      <c r="A878" s="38">
        <f>IF(M878="","",HYPERLINK("https://www.youtube.com/watch?v="&amp;M878,"▶"))</f>
        <v/>
      </c>
      <c r="B878" s="39">
        <f>IF(C878&lt;&gt;"",C878,IF(P878&lt;=IFERROR(INDEX(tblChannels[Watched Through],MATCH(N878,tblChannels[Channel ID],0)),0),"Watched","Unwatched"))</f>
        <v/>
      </c>
      <c r="C878" s="40" t="n"/>
      <c r="D878" s="41" t="n"/>
      <c r="E878" s="42" t="n">
        <v>45121.77083333334</v>
      </c>
      <c r="F878" s="52" t="inlineStr">
        <is>
          <t>Super Carlin Gaming</t>
        </is>
      </c>
      <c r="G878" t="inlineStr">
        <is>
          <t>ENTER PALDEA EVOLVED | Carlin Brothers Box Breakers S6E1</t>
        </is>
      </c>
      <c r="H878" s="44" t="n">
        <v>0.03420138888888889</v>
      </c>
      <c r="I878" s="45" t="n">
        <v>2469</v>
      </c>
      <c r="J878" s="45" t="n">
        <v>120</v>
      </c>
      <c r="K878" s="45" t="n">
        <v>12</v>
      </c>
      <c r="L878" s="46" t="n"/>
      <c r="M878" s="47" t="n"/>
      <c r="N878" s="47" t="inlineStr">
        <is>
          <t>UCor_9jRnNNZVzTuQ92PKsaQ</t>
        </is>
      </c>
      <c r="O878" s="48" t="n">
        <v>45121.9375</v>
      </c>
      <c r="P878" s="49" t="n">
        <v>45121</v>
      </c>
      <c r="Q878" s="47" t="n">
        <v>2390</v>
      </c>
      <c r="R878" s="47" t="inlineStr">
        <is>
          <t>No Video ID yet</t>
        </is>
      </c>
      <c r="S878" s="49" t="n"/>
      <c r="T878" s="49" t="n"/>
      <c r="U878" s="47" t="inlineStr">
        <is>
          <t>THIS WEEK WE GET STARTED WITH PALDEA EVOLVED</t>
        </is>
      </c>
      <c r="V878" s="47">
        <f>IF(AND(P878&gt;=Calendar!$K$2,P878&lt;EDATE(Calendar!$K$2,1),OR(Calendar!$K$4="*",N878=Calendar!$K$4)),P878*100+COUNTIFS($P$6:$P$3267,P878,$Q$6:$Q$3267,"&lt;="&amp;Q878,$N$6:$N$3267,Calendar!$K$4),"")</f>
        <v/>
      </c>
      <c r="W878" s="47">
        <f>IF(AND(B878=Queue!$C$4,OR(Queue!$K$4="*",N878=Queue!$K$4)),Q878,"")</f>
        <v/>
      </c>
    </row>
    <row r="879">
      <c r="A879" s="38">
        <f>IF(M879="","",HYPERLINK("https://www.youtube.com/watch?v="&amp;M879,"▶"))</f>
        <v/>
      </c>
      <c r="B879" s="39">
        <f>IF(C879&lt;&gt;"",C879,IF(P879&lt;=IFERROR(INDEX(tblChannels[Watched Through],MATCH(N879,tblChannels[Channel ID],0)),0),"Watched","Unwatched"))</f>
        <v/>
      </c>
      <c r="C879" s="40" t="n"/>
      <c r="D879" s="41" t="n"/>
      <c r="E879" s="42" t="n">
        <v>45121.625</v>
      </c>
      <c r="F879" s="50" t="inlineStr">
        <is>
          <t>Super Carlin Brothers</t>
        </is>
      </c>
      <c r="G879" t="inlineStr">
        <is>
          <t>What Did Voldemort See In Kings Cross? SOLVED! | Harry Potter Film Theory</t>
        </is>
      </c>
      <c r="H879" s="44" t="n">
        <v>0.01237268518518518</v>
      </c>
      <c r="I879" s="45" t="n">
        <v>763861</v>
      </c>
      <c r="J879" s="45" t="n">
        <v>20823</v>
      </c>
      <c r="K879" s="45" t="n">
        <v>1231</v>
      </c>
      <c r="L879" s="46" t="n"/>
      <c r="M879" s="47" t="n"/>
      <c r="N879" s="47" t="inlineStr">
        <is>
          <t>UCKZo4N0lVPccBkSiuyVh4yg</t>
        </is>
      </c>
      <c r="O879" s="48" t="n">
        <v>45121.79166666666</v>
      </c>
      <c r="P879" s="49" t="n">
        <v>45121</v>
      </c>
      <c r="Q879" s="47" t="n">
        <v>2389</v>
      </c>
      <c r="R879" s="47" t="inlineStr">
        <is>
          <t>No Video ID yet</t>
        </is>
      </c>
      <c r="S879" s="49" t="n"/>
      <c r="T879" s="49" t="n"/>
      <c r="U879" s="47" t="inlineStr">
        <is>
          <t>Go to to get 25% off your first order and free standard shipping Today Ben addresses an overlooked detail from Deathly Hallows: when Harry goes to King's Cross after being struck by Voldemort's killing curse, Voldemort is there with him. But what did Voldemort see, and what does it mean for his soul?</t>
        </is>
      </c>
      <c r="V879" s="47">
        <f>IF(AND(P879&gt;=Calendar!$K$2,P879&lt;EDATE(Calendar!$K$2,1),OR(Calendar!$K$4="*",N879=Calendar!$K$4)),P879*100+COUNTIFS($P$6:$P$3267,P879,$Q$6:$Q$3267,"&lt;="&amp;Q879,$N$6:$N$3267,Calendar!$K$4),"")</f>
        <v/>
      </c>
      <c r="W879" s="47">
        <f>IF(AND(B879=Queue!$C$4,OR(Queue!$K$4="*",N879=Queue!$K$4)),Q879,"")</f>
        <v/>
      </c>
    </row>
    <row r="880">
      <c r="A880" s="38">
        <f>IF(M880="","",HYPERLINK("https://www.youtube.com/watch?v="&amp;M880,"▶"))</f>
        <v/>
      </c>
      <c r="B880" s="39">
        <f>IF(C880&lt;&gt;"",C880,IF(P880&lt;=IFERROR(INDEX(tblChannels[Watched Through],MATCH(N880,tblChannels[Channel ID],0)),0),"Watched","Unwatched"))</f>
        <v/>
      </c>
      <c r="C880" s="40" t="n"/>
      <c r="D880" s="41" t="n"/>
      <c r="E880" s="42" t="n">
        <v>45121.41666666666</v>
      </c>
      <c r="F880" s="43" t="inlineStr">
        <is>
          <t>Popcorn Culture</t>
        </is>
      </c>
      <c r="G880" t="inlineStr">
        <is>
          <t>TWITTER vs. THREADS| Popcorn Culture</t>
        </is>
      </c>
      <c r="H880" s="44" t="n">
        <v>0.05247685185185185</v>
      </c>
      <c r="I880" s="45" t="n">
        <v>4786</v>
      </c>
      <c r="J880" s="45" t="n">
        <v>231</v>
      </c>
      <c r="K880" s="45" t="n">
        <v>23</v>
      </c>
      <c r="L880" s="46" t="n"/>
      <c r="M880" s="47" t="n"/>
      <c r="N880" s="47" t="inlineStr">
        <is>
          <t>UCHfIbq9thHPC8yrKjAdJgDA</t>
        </is>
      </c>
      <c r="O880" s="48" t="n">
        <v>45121.58333333334</v>
      </c>
      <c r="P880" s="49" t="n">
        <v>45121</v>
      </c>
      <c r="Q880" s="47" t="n">
        <v>2388</v>
      </c>
      <c r="R880" s="47" t="inlineStr">
        <is>
          <t>No Video ID yet</t>
        </is>
      </c>
      <c r="S880" s="49" t="n"/>
      <c r="T880" s="49" t="n"/>
      <c r="U880" s="47" t="inlineStr">
        <is>
          <t>In the 188th episode of the Pop, Ben and J discuss taking a week off, RTX, lake weekend, boat tinkering, J’s 4th of July, J accidentally doing a perfect pike, Threads, decade paradigm shifts, and the nuance of social media. Follow J on Threads: Join the Miles Managed Virtual Race! Org Code: WP97096 Miles Managed Merch - Bubble Security Post Vacay Cleanse Texas Ben is BACK J “the Pike” Carlin Paradigm Shifts of the Decades 00:00 - Intro, Getting back from RTX 2:48 - The Week Off 29:42 - J’s 4th of July Antics 43:19 - New Social Media</t>
        </is>
      </c>
      <c r="V880" s="47">
        <f>IF(AND(P880&gt;=Calendar!$K$2,P880&lt;EDATE(Calendar!$K$2,1),OR(Calendar!$K$4="*",N880=Calendar!$K$4)),P880*100+COUNTIFS($P$6:$P$3267,P880,$Q$6:$Q$3267,"&lt;="&amp;Q880,$N$6:$N$3267,Calendar!$K$4),"")</f>
        <v/>
      </c>
      <c r="W880" s="47">
        <f>IF(AND(B880=Queue!$C$4,OR(Queue!$K$4="*",N880=Queue!$K$4)),Q880,"")</f>
        <v/>
      </c>
    </row>
    <row r="881">
      <c r="A881" s="38">
        <f>IF(M881="","",HYPERLINK("https://www.youtube.com/watch?v="&amp;M881,"▶"))</f>
        <v/>
      </c>
      <c r="B881" s="39">
        <f>IF(C881&lt;&gt;"",C881,IF(P881&lt;=IFERROR(INDEX(tblChannels[Watched Through],MATCH(N881,tblChannels[Channel ID],0)),0),"Watched","Unwatched"))</f>
        <v/>
      </c>
      <c r="C881" s="40" t="n"/>
      <c r="D881" s="41" t="n"/>
      <c r="E881" s="42" t="n">
        <v>45119.72013888889</v>
      </c>
      <c r="F881" s="50" t="inlineStr">
        <is>
          <t>Super Carlin Brothers</t>
        </is>
      </c>
      <c r="G881" t="inlineStr">
        <is>
          <t>Why Ron &amp; Luna SHOULD Be Together! | Harry Potter Film Theory</t>
        </is>
      </c>
      <c r="H881" s="44" t="n">
        <v>0.01238425925925926</v>
      </c>
      <c r="I881" s="45" t="n">
        <v>267765</v>
      </c>
      <c r="J881" s="45" t="n">
        <v>11608</v>
      </c>
      <c r="K881" s="45" t="n">
        <v>1473</v>
      </c>
      <c r="L881" s="46" t="n"/>
      <c r="M881" s="47" t="n"/>
      <c r="N881" s="47" t="inlineStr">
        <is>
          <t>UCKZo4N0lVPccBkSiuyVh4yg</t>
        </is>
      </c>
      <c r="O881" s="48" t="n">
        <v>45119.88680555556</v>
      </c>
      <c r="P881" s="49" t="n">
        <v>45119</v>
      </c>
      <c r="Q881" s="47" t="n">
        <v>2387</v>
      </c>
      <c r="R881" s="47" t="inlineStr">
        <is>
          <t>No Video ID yet</t>
        </is>
      </c>
      <c r="S881" s="49" t="n"/>
      <c r="T881" s="49" t="n"/>
      <c r="U881" s="47" t="inlineStr">
        <is>
          <t>Today J dives into the Wizarding World of Harry Potter to discuss the ship of Ron Weasley and Luna Lovegood aka The Red Moon! What do you think - should these two have ended up together?! Join the Miles Managed Virtual Race! Org Code: WP97096 Miles Managed Merch ::</t>
        </is>
      </c>
      <c r="V881" s="47">
        <f>IF(AND(P881&gt;=Calendar!$K$2,P881&lt;EDATE(Calendar!$K$2,1),OR(Calendar!$K$4="*",N881=Calendar!$K$4)),P881*100+COUNTIFS($P$6:$P$3267,P881,$Q$6:$Q$3267,"&lt;="&amp;Q881,$N$6:$N$3267,Calendar!$K$4),"")</f>
        <v/>
      </c>
      <c r="W881" s="47">
        <f>IF(AND(B881=Queue!$C$4,OR(Queue!$K$4="*",N881=Queue!$K$4)),Q881,"")</f>
        <v/>
      </c>
    </row>
    <row r="882">
      <c r="A882" s="38">
        <f>IF(M882="","",HYPERLINK("https://www.youtube.com/watch?v="&amp;M882,"▶"))</f>
        <v/>
      </c>
      <c r="B882" s="39">
        <f>IF(C882&lt;&gt;"",C882,IF(P882&lt;=IFERROR(INDEX(tblChannels[Watched Through],MATCH(N882,tblChannels[Channel ID],0)),0),"Watched","Unwatched"))</f>
        <v/>
      </c>
      <c r="C882" s="40" t="n"/>
      <c r="D882" s="41" t="n"/>
      <c r="E882" s="42" t="n">
        <v>45114.41666666666</v>
      </c>
      <c r="F882" s="43" t="inlineStr">
        <is>
          <t>Popcorn Culture</t>
        </is>
      </c>
      <c r="G882" t="inlineStr">
        <is>
          <t>Thank God It's FriJ | Popcorn Culture</t>
        </is>
      </c>
      <c r="H882" s="44" t="n">
        <v>0.04662037037037037</v>
      </c>
      <c r="I882" s="45" t="n">
        <v>5080</v>
      </c>
      <c r="J882" s="45" t="n">
        <v>252</v>
      </c>
      <c r="K882" s="45" t="n">
        <v>28</v>
      </c>
      <c r="L882" s="46" t="n"/>
      <c r="M882" s="47" t="n"/>
      <c r="N882" s="47" t="inlineStr">
        <is>
          <t>UCHfIbq9thHPC8yrKjAdJgDA</t>
        </is>
      </c>
      <c r="O882" s="48" t="n">
        <v>45114.58333333334</v>
      </c>
      <c r="P882" s="49" t="n">
        <v>45114</v>
      </c>
      <c r="Q882" s="47" t="n">
        <v>2386</v>
      </c>
      <c r="R882" s="47" t="inlineStr">
        <is>
          <t>No Video ID yet</t>
        </is>
      </c>
      <c r="S882" s="49" t="n"/>
      <c r="T882" s="49" t="n"/>
      <c r="U882" s="47" t="inlineStr">
        <is>
          <t>In the 187th episode of the Pop Ben and J discuss how to get the office hype on a Friday morning, Spirit Week outfits, Ben’s first time with expendable money, family photos, compelling villains, Vin Diesel, Ben’s boat, and the joy of fixing things Heroes - Ballad of Songbirds and Snakes - Fight Club - Thanos - Tangled - The Lion King - Join the Miles Managed Virtual Race! Org Code: WP97096 Miles Managed Merch - Approachability of Colors The Brown Shirt Problem The Vin Diagram Lemme Tell Ya About Spark Plugs The Real Journey is the Parts We Replace Along the Way Hopes and Dreams and Scotch Tape 00:00 - Intro, J’s Wig 10:48 - Brown T-Shirts 15:34 - Picture Taking 22:46 - Interesting Villains 40:33 - Spark Plugs 51:42 - Monster Trucks</t>
        </is>
      </c>
      <c r="V882" s="47">
        <f>IF(AND(P882&gt;=Calendar!$K$2,P882&lt;EDATE(Calendar!$K$2,1),OR(Calendar!$K$4="*",N882=Calendar!$K$4)),P882*100+COUNTIFS($P$6:$P$3267,P882,$Q$6:$Q$3267,"&lt;="&amp;Q882,$N$6:$N$3267,Calendar!$K$4),"")</f>
        <v/>
      </c>
      <c r="W882" s="47">
        <f>IF(AND(B882=Queue!$C$4,OR(Queue!$K$4="*",N882=Queue!$K$4)),Q882,"")</f>
        <v/>
      </c>
    </row>
    <row r="883">
      <c r="A883" s="38">
        <f>IF(M883="","",HYPERLINK("https://www.youtube.com/watch?v="&amp;M883,"▶"))</f>
        <v/>
      </c>
      <c r="B883" s="39">
        <f>IF(C883&lt;&gt;"",C883,IF(P883&lt;=IFERROR(INDEX(tblChannels[Watched Through],MATCH(N883,tblChannels[Channel ID],0)),0),"Watched","Unwatched"))</f>
        <v/>
      </c>
      <c r="C883" s="40" t="n"/>
      <c r="D883" s="41" t="n"/>
      <c r="E883" s="42" t="n">
        <v>45112.58333333334</v>
      </c>
      <c r="F883" s="50" t="inlineStr">
        <is>
          <t>Super Carlin Brothers</t>
        </is>
      </c>
      <c r="G883" t="inlineStr">
        <is>
          <t>What If Neville Was The Chosen One - FULL STORY | Harry Potter Film Theory</t>
        </is>
      </c>
      <c r="H883" s="44" t="n">
        <v>0.05890046296296296</v>
      </c>
      <c r="I883" s="45" t="n">
        <v>799328</v>
      </c>
      <c r="J883" s="45" t="n">
        <v>14605</v>
      </c>
      <c r="K883" s="45" t="n">
        <v>1508</v>
      </c>
      <c r="L883" s="46" t="n"/>
      <c r="M883" s="47" t="n"/>
      <c r="N883" s="47" t="inlineStr">
        <is>
          <t>UCKZo4N0lVPccBkSiuyVh4yg</t>
        </is>
      </c>
      <c r="O883" s="48" t="n">
        <v>45112.75</v>
      </c>
      <c r="P883" s="49" t="n">
        <v>45112</v>
      </c>
      <c r="Q883" s="47" t="n">
        <v>2385</v>
      </c>
      <c r="R883" s="47" t="inlineStr">
        <is>
          <t>No Video ID yet</t>
        </is>
      </c>
      <c r="S883" s="49" t="n"/>
      <c r="T883" s="49" t="n"/>
      <c r="U883" s="47" t="inlineStr">
        <is>
          <t>What if Neville Longbottom had been the Chosen One instead of Harry Potter? What if Voldemort chose HIM instead? Would Harry's parents still die? Would Neville get attacked as a baby? We've stitched together all of our main videos covering this topic into one big compilation! Enjoy!</t>
        </is>
      </c>
      <c r="V883" s="47">
        <f>IF(AND(P883&gt;=Calendar!$K$2,P883&lt;EDATE(Calendar!$K$2,1),OR(Calendar!$K$4="*",N883=Calendar!$K$4)),P883*100+COUNTIFS($P$6:$P$3267,P883,$Q$6:$Q$3267,"&lt;="&amp;Q883,$N$6:$N$3267,Calendar!$K$4),"")</f>
        <v/>
      </c>
      <c r="W883" s="47">
        <f>IF(AND(B883=Queue!$C$4,OR(Queue!$K$4="*",N883=Queue!$K$4)),Q883,"")</f>
        <v/>
      </c>
    </row>
    <row r="884">
      <c r="A884" s="38">
        <f>IF(M884="","",HYPERLINK("https://www.youtube.com/watch?v="&amp;M884,"▶"))</f>
        <v/>
      </c>
      <c r="B884" s="39">
        <f>IF(C884&lt;&gt;"",C884,IF(P884&lt;=IFERROR(INDEX(tblChannels[Watched Through],MATCH(N884,tblChannels[Channel ID],0)),0),"Watched","Unwatched"))</f>
        <v/>
      </c>
      <c r="C884" s="40" t="n"/>
      <c r="D884" s="41" t="n"/>
      <c r="E884" s="42" t="n">
        <v>45107.77083333334</v>
      </c>
      <c r="F884" s="52" t="inlineStr">
        <is>
          <t>Super Carlin Gaming</t>
        </is>
      </c>
      <c r="G884" t="inlineStr">
        <is>
          <t>THE FINAL PACKS ARE HERE | Carlin Brothers Box Breakers S5E12</t>
        </is>
      </c>
      <c r="H884" s="44" t="n">
        <v>0.02989583333333333</v>
      </c>
      <c r="I884" s="45" t="n">
        <v>1954</v>
      </c>
      <c r="J884" s="45" t="n">
        <v>108</v>
      </c>
      <c r="K884" s="45" t="n">
        <v>9</v>
      </c>
      <c r="L884" s="46" t="n"/>
      <c r="M884" s="47" t="n"/>
      <c r="N884" s="47" t="inlineStr">
        <is>
          <t>UCor_9jRnNNZVzTuQ92PKsaQ</t>
        </is>
      </c>
      <c r="O884" s="48" t="n">
        <v>45107.9375</v>
      </c>
      <c r="P884" s="49" t="n">
        <v>45107</v>
      </c>
      <c r="Q884" s="47" t="n">
        <v>2384</v>
      </c>
      <c r="R884" s="47" t="inlineStr">
        <is>
          <t>No Video ID yet</t>
        </is>
      </c>
      <c r="S884" s="49" t="n"/>
      <c r="T884" s="49" t="n"/>
      <c r="U884" s="47" t="inlineStr">
        <is>
          <t>THIS WEEK IT'S THE FINALE</t>
        </is>
      </c>
      <c r="V884" s="47">
        <f>IF(AND(P884&gt;=Calendar!$K$2,P884&lt;EDATE(Calendar!$K$2,1),OR(Calendar!$K$4="*",N884=Calendar!$K$4)),P884*100+COUNTIFS($P$6:$P$3267,P884,$Q$6:$Q$3267,"&lt;="&amp;Q884,$N$6:$N$3267,Calendar!$K$4),"")</f>
        <v/>
      </c>
      <c r="W884" s="47">
        <f>IF(AND(B884=Queue!$C$4,OR(Queue!$K$4="*",N884=Queue!$K$4)),Q884,"")</f>
        <v/>
      </c>
    </row>
    <row r="885">
      <c r="A885" s="38">
        <f>IF(M885="","",HYPERLINK("https://www.youtube.com/watch?v="&amp;M885,"▶"))</f>
        <v/>
      </c>
      <c r="B885" s="39">
        <f>IF(C885&lt;&gt;"",C885,IF(P885&lt;=IFERROR(INDEX(tblChannels[Watched Through],MATCH(N885,tblChannels[Channel ID],0)),0),"Watched","Unwatched"))</f>
        <v/>
      </c>
      <c r="C885" s="40" t="n"/>
      <c r="D885" s="41" t="n"/>
      <c r="E885" s="42" t="n">
        <v>45107.70555555556</v>
      </c>
      <c r="F885" s="50" t="inlineStr">
        <is>
          <t>Super Carlin Brothers</t>
        </is>
      </c>
      <c r="G885" t="inlineStr">
        <is>
          <t>How Narcissa LIED to Voldemort REVEALED! | Harry Potter Film Theory</t>
        </is>
      </c>
      <c r="H885" s="44" t="n">
        <v>0.01298611111111111</v>
      </c>
      <c r="I885" s="45" t="n">
        <v>528900</v>
      </c>
      <c r="J885" s="45" t="n">
        <v>15172</v>
      </c>
      <c r="K885" s="45" t="n">
        <v>1094</v>
      </c>
      <c r="L885" s="46" t="n"/>
      <c r="M885" s="47" t="n"/>
      <c r="N885" s="47" t="inlineStr">
        <is>
          <t>UCKZo4N0lVPccBkSiuyVh4yg</t>
        </is>
      </c>
      <c r="O885" s="48" t="n">
        <v>45107.87222222222</v>
      </c>
      <c r="P885" s="49" t="n">
        <v>45107</v>
      </c>
      <c r="Q885" s="47" t="n">
        <v>2383</v>
      </c>
      <c r="R885" s="47" t="inlineStr">
        <is>
          <t>No Video ID yet</t>
        </is>
      </c>
      <c r="S885" s="49" t="n"/>
      <c r="T885" s="49" t="n"/>
      <c r="U885" s="47" t="inlineStr">
        <is>
          <t>Go to and use code SUPER to get free shipping on your goodr order. Today Ben dives into the Wizarding World of Harry Potter to reveal how Narcissa Malfoy lied to Voldemort about Harry being dead without having her mind read! Join the Miles Managed Virtual Race! Org Code: WP97096 Miles Managed Merch ::</t>
        </is>
      </c>
      <c r="V885" s="47">
        <f>IF(AND(P885&gt;=Calendar!$K$2,P885&lt;EDATE(Calendar!$K$2,1),OR(Calendar!$K$4="*",N885=Calendar!$K$4)),P885*100+COUNTIFS($P$6:$P$3267,P885,$Q$6:$Q$3267,"&lt;="&amp;Q885,$N$6:$N$3267,Calendar!$K$4),"")</f>
        <v/>
      </c>
      <c r="W885" s="47">
        <f>IF(AND(B885=Queue!$C$4,OR(Queue!$K$4="*",N885=Queue!$K$4)),Q885,"")</f>
        <v/>
      </c>
    </row>
    <row r="886">
      <c r="A886" s="38">
        <f>IF(M886="","",HYPERLINK("https://www.youtube.com/watch?v="&amp;M886,"▶"))</f>
        <v/>
      </c>
      <c r="B886" s="39">
        <f>IF(C886&lt;&gt;"",C886,IF(P886&lt;=IFERROR(INDEX(tblChannels[Watched Through],MATCH(N886,tblChannels[Channel ID],0)),0),"Watched","Unwatched"))</f>
        <v/>
      </c>
      <c r="C886" s="40" t="n"/>
      <c r="D886" s="41" t="n"/>
      <c r="E886" s="42" t="n">
        <v>45107.41666666666</v>
      </c>
      <c r="F886" s="43" t="inlineStr">
        <is>
          <t>Popcorn Culture</t>
        </is>
      </c>
      <c r="G886" t="inlineStr">
        <is>
          <t>The Video Game SPECIAL! | Popcorn Culture</t>
        </is>
      </c>
      <c r="H886" s="44" t="n">
        <v>0.05069444444444444</v>
      </c>
      <c r="I886" s="45" t="n">
        <v>4612</v>
      </c>
      <c r="J886" s="45" t="n">
        <v>220</v>
      </c>
      <c r="K886" s="45" t="n">
        <v>29</v>
      </c>
      <c r="L886" s="46" t="n"/>
      <c r="M886" s="47" t="n"/>
      <c r="N886" s="47" t="inlineStr">
        <is>
          <t>UCHfIbq9thHPC8yrKjAdJgDA</t>
        </is>
      </c>
      <c r="O886" s="48" t="n">
        <v>45107.58333333334</v>
      </c>
      <c r="P886" s="49" t="n">
        <v>45107</v>
      </c>
      <c r="Q886" s="47" t="n">
        <v>2382</v>
      </c>
      <c r="R886" s="47" t="inlineStr">
        <is>
          <t>No Video ID yet</t>
        </is>
      </c>
      <c r="S886" s="49" t="n"/>
      <c r="T886" s="49" t="n"/>
      <c r="U886" s="47" t="inlineStr">
        <is>
          <t>In the 186th episode of the Pop, Ben and J discuss seaglass, sharing Harry Potter and Star Wars with their kids, Diablo 4, Tears of the Kingdom and Star Fox games, physically making money, taking apart electronics, Ultimate Alliance, a mysterious chapter in Wise Man’s Fear, and weird audio edits. Diablo 4 - Tears of the Kingdom - Star Fox 64 - Catch Me If You Can - Home Alone 3 - Ultimate Alliance - Wise Man’s Fear - The Final Empire - Join the Miles Managed Virtual Race! Org Code: WP97096 Miles Managed Merch - Polished Memories Just Like the 20s - Roarin! But How Do You MAKE Money? 00:00 - Intro, Broken Glass 03:18 - Special Edition HP Books 17:36 - Switch Games 46:23 - Making Money 52:29 - N64 Cartridge Games 59:14 - Portable PSP 1:03:06 - Wise Man’s Fear Mystery</t>
        </is>
      </c>
      <c r="V886" s="47">
        <f>IF(AND(P886&gt;=Calendar!$K$2,P886&lt;EDATE(Calendar!$K$2,1),OR(Calendar!$K$4="*",N886=Calendar!$K$4)),P886*100+COUNTIFS($P$6:$P$3267,P886,$Q$6:$Q$3267,"&lt;="&amp;Q886,$N$6:$N$3267,Calendar!$K$4),"")</f>
        <v/>
      </c>
      <c r="W886" s="47">
        <f>IF(AND(B886=Queue!$C$4,OR(Queue!$K$4="*",N886=Queue!$K$4)),Q886,"")</f>
        <v/>
      </c>
    </row>
    <row r="887">
      <c r="A887" s="38">
        <f>IF(M887="","",HYPERLINK("https://www.youtube.com/watch?v="&amp;M887,"▶"))</f>
        <v/>
      </c>
      <c r="B887" s="39">
        <f>IF(C887&lt;&gt;"",C887,IF(P887&lt;=IFERROR(INDEX(tblChannels[Watched Through],MATCH(N887,tblChannels[Channel ID],0)),0),"Watched","Unwatched"))</f>
        <v/>
      </c>
      <c r="C887" s="40" t="n"/>
      <c r="D887" s="41" t="n"/>
      <c r="E887" s="42" t="n">
        <v>45105.65625</v>
      </c>
      <c r="F887" s="50" t="inlineStr">
        <is>
          <t>Super Carlin Brothers</t>
        </is>
      </c>
      <c r="G887" t="inlineStr">
        <is>
          <t>What Spell Did Molly Use to Kill Bellatrix SOLVED! | Harry Potter Film Theory</t>
        </is>
      </c>
      <c r="H887" s="44" t="n">
        <v>0.01064814814814815</v>
      </c>
      <c r="I887" s="45" t="n">
        <v>970471</v>
      </c>
      <c r="J887" s="45" t="n">
        <v>26636</v>
      </c>
      <c r="K887" s="45" t="n">
        <v>3047</v>
      </c>
      <c r="L887" s="46" t="n"/>
      <c r="M887" s="47" t="n"/>
      <c r="N887" s="47" t="inlineStr">
        <is>
          <t>UCKZo4N0lVPccBkSiuyVh4yg</t>
        </is>
      </c>
      <c r="O887" s="48" t="n">
        <v>45105.82291666666</v>
      </c>
      <c r="P887" s="49" t="n">
        <v>45105</v>
      </c>
      <c r="Q887" s="47" t="n">
        <v>2381</v>
      </c>
      <c r="R887" s="47" t="inlineStr">
        <is>
          <t>No Video ID yet</t>
        </is>
      </c>
      <c r="S887" s="49" t="n"/>
      <c r="T887" s="49" t="n"/>
      <c r="U887" s="47" t="inlineStr">
        <is>
          <t>Go to and use code super50 to get 50% off your first box. Today J dives back into the Wizarding World of Harry Potter to uncover what spell Molly Weasley used to kill Bellatrix Lestrange and if doing so actually split her soul?! Join the Miles Managed Virtual Race! Org Code: WP97096 Miles Managed Merch :: #supercarlinbrothers #harrypotter #wizardingworld Edited by : Riley Murtagh</t>
        </is>
      </c>
      <c r="V887" s="47">
        <f>IF(AND(P887&gt;=Calendar!$K$2,P887&lt;EDATE(Calendar!$K$2,1),OR(Calendar!$K$4="*",N887=Calendar!$K$4)),P887*100+COUNTIFS($P$6:$P$3267,P887,$Q$6:$Q$3267,"&lt;="&amp;Q887,$N$6:$N$3267,Calendar!$K$4),"")</f>
        <v/>
      </c>
      <c r="W887" s="47">
        <f>IF(AND(B887=Queue!$C$4,OR(Queue!$K$4="*",N887=Queue!$K$4)),Q887,"")</f>
        <v/>
      </c>
    </row>
    <row r="888">
      <c r="A888" s="38">
        <f>IF(M888="","",HYPERLINK("https://www.youtube.com/watch?v="&amp;M888,"▶"))</f>
        <v/>
      </c>
      <c r="B888" s="39">
        <f>IF(C888&lt;&gt;"",C888,IF(P888&lt;=IFERROR(INDEX(tblChannels[Watched Through],MATCH(N888,tblChannels[Channel ID],0)),0),"Watched","Unwatched"))</f>
        <v/>
      </c>
      <c r="C888" s="40" t="n"/>
      <c r="D888" s="41" t="n"/>
      <c r="E888" s="42" t="n">
        <v>45104.77083333334</v>
      </c>
      <c r="F888" s="52" t="inlineStr">
        <is>
          <t>Super Carlin Gaming</t>
        </is>
      </c>
      <c r="G888" t="inlineStr">
        <is>
          <t>LAST PACK MAGIC | Carlin Brothers Box Breakers S5E11</t>
        </is>
      </c>
      <c r="H888" s="44" t="n">
        <v>0.03109953703703704</v>
      </c>
      <c r="I888" s="45" t="n">
        <v>2231</v>
      </c>
      <c r="J888" s="45" t="n">
        <v>119</v>
      </c>
      <c r="K888" s="45" t="n">
        <v>17</v>
      </c>
      <c r="L888" s="46" t="n"/>
      <c r="M888" s="47" t="n"/>
      <c r="N888" s="47" t="inlineStr">
        <is>
          <t>UCor_9jRnNNZVzTuQ92PKsaQ</t>
        </is>
      </c>
      <c r="O888" s="48" t="n">
        <v>45104.9375</v>
      </c>
      <c r="P888" s="49" t="n">
        <v>45104</v>
      </c>
      <c r="Q888" s="47" t="n">
        <v>2380</v>
      </c>
      <c r="R888" s="47" t="inlineStr">
        <is>
          <t>No Video ID yet</t>
        </is>
      </c>
      <c r="S888" s="49" t="n"/>
      <c r="T888" s="49" t="n"/>
      <c r="U888" s="47" t="inlineStr">
        <is>
          <t>This week Scarlet and Violet DELIVERS ON A LONG TIME BOX BREAKERS PROMISE</t>
        </is>
      </c>
      <c r="V888" s="47">
        <f>IF(AND(P888&gt;=Calendar!$K$2,P888&lt;EDATE(Calendar!$K$2,1),OR(Calendar!$K$4="*",N888=Calendar!$K$4)),P888*100+COUNTIFS($P$6:$P$3267,P888,$Q$6:$Q$3267,"&lt;="&amp;Q888,$N$6:$N$3267,Calendar!$K$4),"")</f>
        <v/>
      </c>
      <c r="W888" s="47">
        <f>IF(AND(B888=Queue!$C$4,OR(Queue!$K$4="*",N888=Queue!$K$4)),Q888,"")</f>
        <v/>
      </c>
    </row>
    <row r="889">
      <c r="A889" s="38">
        <f>IF(M889="","",HYPERLINK("https://www.youtube.com/watch?v="&amp;M889,"▶"))</f>
        <v/>
      </c>
      <c r="B889" s="39">
        <f>IF(C889&lt;&gt;"",C889,IF(P889&lt;=IFERROR(INDEX(tblChannels[Watched Through],MATCH(N889,tblChannels[Channel ID],0)),0),"Watched","Unwatched"))</f>
        <v/>
      </c>
      <c r="C889" s="40" t="n"/>
      <c r="D889" s="41" t="n"/>
      <c r="E889" s="42" t="n">
        <v>45100.83541666667</v>
      </c>
      <c r="F889" s="50" t="inlineStr">
        <is>
          <t>Super Carlin Brothers</t>
        </is>
      </c>
      <c r="G889" t="inlineStr">
        <is>
          <t>ALL FANDOM TRIVIA LIVE STREAM - JUNE 2023</t>
        </is>
      </c>
      <c r="H889" s="44" t="n">
        <v>0.07983796296296296</v>
      </c>
      <c r="I889" s="45" t="n">
        <v>29487</v>
      </c>
      <c r="J889" s="45" t="n">
        <v>786</v>
      </c>
      <c r="K889" s="45" t="n">
        <v>52</v>
      </c>
      <c r="L889" s="46" t="n"/>
      <c r="M889" s="47" t="n"/>
      <c r="N889" s="47" t="inlineStr">
        <is>
          <t>UCKZo4N0lVPccBkSiuyVh4yg</t>
        </is>
      </c>
      <c r="O889" s="48" t="n">
        <v>45101.00208333333</v>
      </c>
      <c r="P889" s="49" t="n">
        <v>45100</v>
      </c>
      <c r="Q889" s="47" t="n">
        <v>2379</v>
      </c>
      <c r="R889" s="47" t="inlineStr">
        <is>
          <t>No Video ID yet</t>
        </is>
      </c>
      <c r="S889" s="49" t="n"/>
      <c r="T889" s="49" t="n"/>
      <c r="U889" s="47" t="inlineStr">
        <is>
          <t>Come join us and test your knowledge of Disney, Pixar, Star Wars, Marvel, Harry Potter and Avatar the Last Airbender! How to play :: 1. Download the Kahoot App on your phone or go to Kahoot.it to play on browser. 2. There is no need to create an account at all, just access the app or website and enter the key code 3. Speaking of which before the game begins the guys will announce the key code for you to enter on your phone and play long 4. Answer the questions as fast as you can! The faster you answer the more points you score and dont worry about getting it wrong, you WONT lose points, you just wont earn any. 5. Have fun! 6. If you are one of the top 5 see instructions below for how to claim your prize! If you were one of the top 5 winners email secretcarlinbrothers@gmail.com. First place winners get a choice of one animal mug. 2nd-5th place winners get a $10 gift card to</t>
        </is>
      </c>
      <c r="V889" s="47">
        <f>IF(AND(P889&gt;=Calendar!$K$2,P889&lt;EDATE(Calendar!$K$2,1),OR(Calendar!$K$4="*",N889=Calendar!$K$4)),P889*100+COUNTIFS($P$6:$P$3267,P889,$Q$6:$Q$3267,"&lt;="&amp;Q889,$N$6:$N$3267,Calendar!$K$4),"")</f>
        <v/>
      </c>
      <c r="W889" s="47">
        <f>IF(AND(B889=Queue!$C$4,OR(Queue!$K$4="*",N889=Queue!$K$4)),Q889,"")</f>
        <v/>
      </c>
    </row>
    <row r="890">
      <c r="A890" s="38">
        <f>IF(M890="","",HYPERLINK("https://www.youtube.com/watch?v="&amp;M890,"▶"))</f>
        <v/>
      </c>
      <c r="B890" s="39">
        <f>IF(C890&lt;&gt;"",C890,IF(P890&lt;=IFERROR(INDEX(tblChannels[Watched Through],MATCH(N890,tblChannels[Channel ID],0)),0),"Watched","Unwatched"))</f>
        <v/>
      </c>
      <c r="C890" s="40" t="n"/>
      <c r="D890" s="41" t="n"/>
      <c r="E890" s="42" t="n">
        <v>45100.66597222222</v>
      </c>
      <c r="F890" s="50" t="inlineStr">
        <is>
          <t>Super Carlin Brothers</t>
        </is>
      </c>
      <c r="G890" t="inlineStr">
        <is>
          <t>How ELEMENTAL Fits Into The Pixar Theory</t>
        </is>
      </c>
      <c r="H890" s="44" t="n">
        <v>0.01146990740740741</v>
      </c>
      <c r="I890" s="45" t="n">
        <v>255077</v>
      </c>
      <c r="J890" s="45" t="n">
        <v>9635</v>
      </c>
      <c r="K890" s="45" t="n">
        <v>779</v>
      </c>
      <c r="L890" s="46" t="n"/>
      <c r="M890" s="47" t="n"/>
      <c r="N890" s="47" t="inlineStr">
        <is>
          <t>UCKZo4N0lVPccBkSiuyVh4yg</t>
        </is>
      </c>
      <c r="O890" s="48" t="n">
        <v>45100.83263888889</v>
      </c>
      <c r="P890" s="49" t="n">
        <v>45100</v>
      </c>
      <c r="Q890" s="47" t="n">
        <v>2378</v>
      </c>
      <c r="R890" s="47" t="inlineStr">
        <is>
          <t>No Video ID yet</t>
        </is>
      </c>
      <c r="S890" s="49" t="n"/>
      <c r="T890" s="49" t="n"/>
      <c r="U890" s="47" t="inlineStr">
        <is>
          <t>Today J dives back into the ever growing world of the Pixar Universe to find out How Elemental Fits into the Pixar Theory! Are the elements the source of the supers powers? Do they have something to do with the emotions? Are they the source of all life?! Join the Miles Managed Virtual Race! Org Code: WP97096 Miles Managed Merch :: #supercarlinbrothers #Elemental #PixarTheory</t>
        </is>
      </c>
      <c r="V890" s="47">
        <f>IF(AND(P890&gt;=Calendar!$K$2,P890&lt;EDATE(Calendar!$K$2,1),OR(Calendar!$K$4="*",N890=Calendar!$K$4)),P890*100+COUNTIFS($P$6:$P$3267,P890,$Q$6:$Q$3267,"&lt;="&amp;Q890,$N$6:$N$3267,Calendar!$K$4),"")</f>
        <v/>
      </c>
      <c r="W890" s="47">
        <f>IF(AND(B890=Queue!$C$4,OR(Queue!$K$4="*",N890=Queue!$K$4)),Q890,"")</f>
        <v/>
      </c>
    </row>
    <row r="891">
      <c r="A891" s="38">
        <f>IF(M891="","",HYPERLINK("https://www.youtube.com/watch?v="&amp;M891,"▶"))</f>
        <v/>
      </c>
      <c r="B891" s="39">
        <f>IF(C891&lt;&gt;"",C891,IF(P891&lt;=IFERROR(INDEX(tblChannels[Watched Through],MATCH(N891,tblChannels[Channel ID],0)),0),"Watched","Unwatched"))</f>
        <v/>
      </c>
      <c r="C891" s="40" t="n"/>
      <c r="D891" s="41" t="n"/>
      <c r="E891" s="42" t="n">
        <v>45100.41666666666</v>
      </c>
      <c r="F891" s="43" t="inlineStr">
        <is>
          <t>Popcorn Culture</t>
        </is>
      </c>
      <c r="G891" t="inlineStr">
        <is>
          <t>JET SKIS! | Popcorn Culture</t>
        </is>
      </c>
      <c r="H891" s="44" t="n">
        <v>0.04063657407407407</v>
      </c>
      <c r="I891" s="45" t="n">
        <v>3796</v>
      </c>
      <c r="J891" s="45" t="n">
        <v>203</v>
      </c>
      <c r="K891" s="45" t="n">
        <v>12</v>
      </c>
      <c r="L891" s="46" t="n"/>
      <c r="M891" s="47" t="n"/>
      <c r="N891" s="47" t="inlineStr">
        <is>
          <t>UCHfIbq9thHPC8yrKjAdJgDA</t>
        </is>
      </c>
      <c r="O891" s="48" t="n">
        <v>45100.58333333334</v>
      </c>
      <c r="P891" s="49" t="n">
        <v>45100</v>
      </c>
      <c r="Q891" s="47" t="n">
        <v>2377</v>
      </c>
      <c r="R891" s="47" t="inlineStr">
        <is>
          <t>No Video ID yet</t>
        </is>
      </c>
      <c r="S891" s="49" t="n"/>
      <c r="T891" s="49" t="n"/>
      <c r="U891" s="47" t="inlineStr">
        <is>
          <t>In the 185th episode of the pop, Ben and J discuss the chaos of vacationing with 7 kids, first time jet-skiing, Grandpa’s three-wheeler, validation, trusting your gut, and test taking. Join the Miles Managed Virtual Race! Org Code: WP97096 Miles Managed Merch - Death of Vacation Self Bad Validation Test Anxiety 00:00 - Intro, Chaotic Beach Trip 11:25 - Jet Skis 30:51 - Validation and Gut Instincts</t>
        </is>
      </c>
      <c r="V891" s="47">
        <f>IF(AND(P891&gt;=Calendar!$K$2,P891&lt;EDATE(Calendar!$K$2,1),OR(Calendar!$K$4="*",N891=Calendar!$K$4)),P891*100+COUNTIFS($P$6:$P$3267,P891,$Q$6:$Q$3267,"&lt;="&amp;Q891,$N$6:$N$3267,Calendar!$K$4),"")</f>
        <v/>
      </c>
      <c r="W891" s="47">
        <f>IF(AND(B891=Queue!$C$4,OR(Queue!$K$4="*",N891=Queue!$K$4)),Q891,"")</f>
        <v/>
      </c>
    </row>
    <row r="892">
      <c r="A892" s="38">
        <f>IF(M892="","",HYPERLINK("https://www.youtube.com/watch?v="&amp;M892,"▶"))</f>
        <v/>
      </c>
      <c r="B892" s="39">
        <f>IF(C892&lt;&gt;"",C892,IF(P892&lt;=IFERROR(INDEX(tblChannels[Watched Through],MATCH(N892,tblChannels[Channel ID],0)),0),"Watched","Unwatched"))</f>
        <v/>
      </c>
      <c r="C892" s="40" t="n"/>
      <c r="D892" s="41" t="n"/>
      <c r="E892" s="42" t="n">
        <v>45098.70694444444</v>
      </c>
      <c r="F892" s="50" t="inlineStr">
        <is>
          <t>Super Carlin Brothers</t>
        </is>
      </c>
      <c r="G892" t="inlineStr">
        <is>
          <t>J vs Ben: Which WEASLEY Said What - HARD MODE | Harry Potter Trivia</t>
        </is>
      </c>
      <c r="H892" s="44" t="n">
        <v>0.02034722222222222</v>
      </c>
      <c r="I892" s="45" t="n">
        <v>179404</v>
      </c>
      <c r="J892" s="45" t="n">
        <v>6340</v>
      </c>
      <c r="K892" s="45" t="n">
        <v>465</v>
      </c>
      <c r="L892" s="46" t="n"/>
      <c r="M892" s="47" t="n"/>
      <c r="N892" s="47" t="inlineStr">
        <is>
          <t>UCKZo4N0lVPccBkSiuyVh4yg</t>
        </is>
      </c>
      <c r="O892" s="48" t="n">
        <v>45098.87361111111</v>
      </c>
      <c r="P892" s="49" t="n">
        <v>45098</v>
      </c>
      <c r="Q892" s="47" t="n">
        <v>2376</v>
      </c>
      <c r="R892" s="47" t="inlineStr">
        <is>
          <t>No Video ID yet</t>
        </is>
      </c>
      <c r="S892" s="49" t="n"/>
      <c r="T892" s="49" t="n"/>
      <c r="U892" s="47" t="inlineStr">
        <is>
          <t>Go to to get PayPal Honey for free. Get your Under the Sea Candle here! Check out the always hilarious and philosophical Popcorn Culture here or wherever pods are cast: Today J and Ben face off once more to find out who knows more quotes from your favorite red-headed Wizard family: the Weasleys! Join the Miles Managed Virtual Race! Org Code: WP97096 Miles Managed Merch :: Chapters 01:37 - Q1: Accountant cousin 03:06 - Q2: Disgraces wizards 04:41 - Q3: Snape's shampoo 05:16 - Q4: Dumbledore's a genius 05:53 - Q5: England embarrassing 07:23 - Q6: Poisonous toadstools 10:03 - Q7: Diggory's quiet 14:53 - Q8: Uncertainty with You-Know-Who's return 16:29 - Q9: Tiara 16:52 - Q10: Arkie Philpot's Probity Probe 17:49 - Q11: Understand Quidditch 19:21 - Q12: Dobby's tea cozy 21:27 - Q13: Look to our prefects 22:06 - Q14: Scope and tragedy 25:14 - Q15: Got enough nerve</t>
        </is>
      </c>
      <c r="V892" s="47">
        <f>IF(AND(P892&gt;=Calendar!$K$2,P892&lt;EDATE(Calendar!$K$2,1),OR(Calendar!$K$4="*",N892=Calendar!$K$4)),P892*100+COUNTIFS($P$6:$P$3267,P892,$Q$6:$Q$3267,"&lt;="&amp;Q892,$N$6:$N$3267,Calendar!$K$4),"")</f>
        <v/>
      </c>
      <c r="W892" s="47">
        <f>IF(AND(B892=Queue!$C$4,OR(Queue!$K$4="*",N892=Queue!$K$4)),Q892,"")</f>
        <v/>
      </c>
    </row>
    <row r="893">
      <c r="A893" s="38">
        <f>IF(M893="","",HYPERLINK("https://www.youtube.com/watch?v="&amp;M893,"▶"))</f>
        <v/>
      </c>
      <c r="B893" s="39">
        <f>IF(C893&lt;&gt;"",C893,IF(P893&lt;=IFERROR(INDEX(tblChannels[Watched Through],MATCH(N893,tblChannels[Channel ID],0)),0),"Watched","Unwatched"))</f>
        <v/>
      </c>
      <c r="C893" s="40" t="n"/>
      <c r="D893" s="41" t="n"/>
      <c r="E893" s="42" t="n">
        <v>45093.77083333334</v>
      </c>
      <c r="F893" s="52" t="inlineStr">
        <is>
          <t>Super Carlin Gaming</t>
        </is>
      </c>
      <c r="G893" t="inlineStr">
        <is>
          <t>THIS IS A HUGE BOX |  Carlin Brothers Box Breakers S5E10</t>
        </is>
      </c>
      <c r="H893" s="44" t="n">
        <v>0.03233796296296296</v>
      </c>
      <c r="I893" s="45" t="n">
        <v>2116</v>
      </c>
      <c r="J893" s="45" t="n">
        <v>111</v>
      </c>
      <c r="K893" s="45" t="n">
        <v>12</v>
      </c>
      <c r="L893" s="46" t="n"/>
      <c r="M893" s="47" t="n"/>
      <c r="N893" s="47" t="inlineStr">
        <is>
          <t>UCor_9jRnNNZVzTuQ92PKsaQ</t>
        </is>
      </c>
      <c r="O893" s="48" t="n">
        <v>45093.9375</v>
      </c>
      <c r="P893" s="49" t="n">
        <v>45093</v>
      </c>
      <c r="Q893" s="47" t="n">
        <v>2375</v>
      </c>
      <c r="R893" s="47" t="inlineStr">
        <is>
          <t>No Video ID yet</t>
        </is>
      </c>
      <c r="S893" s="49" t="n"/>
      <c r="T893" s="49" t="n"/>
      <c r="U893" s="47" t="inlineStr">
        <is>
          <t>This week Scarlet And Violet goes absolutely wild.</t>
        </is>
      </c>
      <c r="V893" s="47">
        <f>IF(AND(P893&gt;=Calendar!$K$2,P893&lt;EDATE(Calendar!$K$2,1),OR(Calendar!$K$4="*",N893=Calendar!$K$4)),P893*100+COUNTIFS($P$6:$P$3267,P893,$Q$6:$Q$3267,"&lt;="&amp;Q893,$N$6:$N$3267,Calendar!$K$4),"")</f>
        <v/>
      </c>
      <c r="W893" s="47">
        <f>IF(AND(B893=Queue!$C$4,OR(Queue!$K$4="*",N893=Queue!$K$4)),Q893,"")</f>
        <v/>
      </c>
    </row>
    <row r="894">
      <c r="A894" s="38">
        <f>IF(M894="","",HYPERLINK("https://www.youtube.com/watch?v="&amp;M894,"▶"))</f>
        <v/>
      </c>
      <c r="B894" s="39">
        <f>IF(C894&lt;&gt;"",C894,IF(P894&lt;=IFERROR(INDEX(tblChannels[Watched Through],MATCH(N894,tblChannels[Channel ID],0)),0),"Watched","Unwatched"))</f>
        <v/>
      </c>
      <c r="C894" s="40" t="n"/>
      <c r="D894" s="41" t="n"/>
      <c r="E894" s="42" t="n">
        <v>45093.625</v>
      </c>
      <c r="F894" s="50" t="inlineStr">
        <is>
          <t>Super Carlin Brothers</t>
        </is>
      </c>
      <c r="G894" t="inlineStr">
        <is>
          <t>The TRUTH About The Mirror of Erised | Harry Potter Film Theory</t>
        </is>
      </c>
      <c r="H894" s="44" t="n">
        <v>0.009953703703703704</v>
      </c>
      <c r="I894" s="45" t="n">
        <v>293328</v>
      </c>
      <c r="J894" s="45" t="n">
        <v>10886</v>
      </c>
      <c r="K894" s="45" t="n">
        <v>723</v>
      </c>
      <c r="L894" s="46" t="n"/>
      <c r="M894" s="47" t="n"/>
      <c r="N894" s="47" t="inlineStr">
        <is>
          <t>UCKZo4N0lVPccBkSiuyVh4yg</t>
        </is>
      </c>
      <c r="O894" s="48" t="n">
        <v>45093.79166666666</v>
      </c>
      <c r="P894" s="49" t="n">
        <v>45093</v>
      </c>
      <c r="Q894" s="47" t="n">
        <v>2374</v>
      </c>
      <c r="R894" s="47" t="inlineStr">
        <is>
          <t>No Video ID yet</t>
        </is>
      </c>
      <c r="S894" s="49" t="n"/>
      <c r="T894" s="49" t="n"/>
      <c r="U894" s="47" t="inlineStr">
        <is>
          <t>Go to and use code super for 20% off your first box. Today Ben dives back into the Wizarding World of Harry Potter to try and solve how the mirror of Erised works, how it was invented, Who invented it, and why it's just as dangerous as the deathly hallows! Join the Miles Managed Virtual Race! Org Code: WP97096 Miles Managed Merch ::</t>
        </is>
      </c>
      <c r="V894" s="47">
        <f>IF(AND(P894&gt;=Calendar!$K$2,P894&lt;EDATE(Calendar!$K$2,1),OR(Calendar!$K$4="*",N894=Calendar!$K$4)),P894*100+COUNTIFS($P$6:$P$3267,P894,$Q$6:$Q$3267,"&lt;="&amp;Q894,$N$6:$N$3267,Calendar!$K$4),"")</f>
        <v/>
      </c>
      <c r="W894" s="47">
        <f>IF(AND(B894=Queue!$C$4,OR(Queue!$K$4="*",N894=Queue!$K$4)),Q894,"")</f>
        <v/>
      </c>
    </row>
    <row r="895">
      <c r="A895" s="38">
        <f>IF(M895="","",HYPERLINK("https://www.youtube.com/watch?v="&amp;M895,"▶"))</f>
        <v/>
      </c>
      <c r="B895" s="39">
        <f>IF(C895&lt;&gt;"",C895,IF(P895&lt;=IFERROR(INDEX(tblChannels[Watched Through],MATCH(N895,tblChannels[Channel ID],0)),0),"Watched","Unwatched"))</f>
        <v/>
      </c>
      <c r="C895" s="40" t="n"/>
      <c r="D895" s="41" t="n"/>
      <c r="E895" s="42" t="n">
        <v>45093.41666666666</v>
      </c>
      <c r="F895" s="43" t="inlineStr">
        <is>
          <t>Popcorn Culture</t>
        </is>
      </c>
      <c r="G895" t="inlineStr">
        <is>
          <t>Constant Catastrophizing | Popcorn Culture</t>
        </is>
      </c>
      <c r="H895" s="44" t="n">
        <v>0.04957175925925926</v>
      </c>
      <c r="I895" s="45" t="n">
        <v>4433</v>
      </c>
      <c r="J895" s="45" t="n">
        <v>211</v>
      </c>
      <c r="K895" s="45" t="n">
        <v>18</v>
      </c>
      <c r="L895" s="46" t="n"/>
      <c r="M895" s="47" t="n"/>
      <c r="N895" s="47" t="inlineStr">
        <is>
          <t>UCHfIbq9thHPC8yrKjAdJgDA</t>
        </is>
      </c>
      <c r="O895" s="48" t="n">
        <v>45093.58333333334</v>
      </c>
      <c r="P895" s="49" t="n">
        <v>45093</v>
      </c>
      <c r="Q895" s="47" t="n">
        <v>2373</v>
      </c>
      <c r="R895" s="47" t="inlineStr">
        <is>
          <t>No Video ID yet</t>
        </is>
      </c>
      <c r="S895" s="49" t="n"/>
      <c r="T895" s="49" t="n"/>
      <c r="U895" s="47" t="inlineStr">
        <is>
          <t>In the 184th episode of the Pop Ben and J discuss dark sodas vs. clear sodas, the Spotlight Effect, Fire Tower and Catastrophizing, the triangle of success, Madden, Pickleball, mobile games, and competitive card games. Join the Miles Managed Virtual Race! Org Code: WP97096 Miles Managed Merch - Ice Age The Dawn of Dinosaurs - Fire Tower - Madden - Kingdom Rush - Diablo - Marvel Snap - Dark Soda High Horse We Didn’t Quit! Sticky Hands! Should We Get Into Pickleball? 00:00 - Intro, Ben’s Coke Addiction 16:59 - The Spotlight Effect and Psychological Catastrophizing 51:09 - What’s Next?</t>
        </is>
      </c>
      <c r="V895" s="47">
        <f>IF(AND(P895&gt;=Calendar!$K$2,P895&lt;EDATE(Calendar!$K$2,1),OR(Calendar!$K$4="*",N895=Calendar!$K$4)),P895*100+COUNTIFS($P$6:$P$3267,P895,$Q$6:$Q$3267,"&lt;="&amp;Q895,$N$6:$N$3267,Calendar!$K$4),"")</f>
        <v/>
      </c>
      <c r="W895" s="47">
        <f>IF(AND(B895=Queue!$C$4,OR(Queue!$K$4="*",N895=Queue!$K$4)),Q895,"")</f>
        <v/>
      </c>
    </row>
    <row r="896">
      <c r="A896" s="38">
        <f>IF(M896="","",HYPERLINK("https://www.youtube.com/watch?v="&amp;M896,"▶"))</f>
        <v/>
      </c>
      <c r="B896" s="39">
        <f>IF(C896&lt;&gt;"",C896,IF(P896&lt;=IFERROR(INDEX(tblChannels[Watched Through],MATCH(N896,tblChannels[Channel ID],0)),0),"Watched","Unwatched"))</f>
        <v/>
      </c>
      <c r="C896" s="40" t="n"/>
      <c r="D896" s="41" t="n"/>
      <c r="E896" s="42" t="n">
        <v>45091.625</v>
      </c>
      <c r="F896" s="50" t="inlineStr">
        <is>
          <t>Super Carlin Brothers</t>
        </is>
      </c>
      <c r="G896" t="inlineStr">
        <is>
          <t>What If Neville Was The Chosen One - Part 4 | Harry Potter Film Theory</t>
        </is>
      </c>
      <c r="H896" s="44" t="n">
        <v>0.02282407407407407</v>
      </c>
      <c r="I896" s="45" t="n">
        <v>155523</v>
      </c>
      <c r="J896" s="45" t="n">
        <v>7401</v>
      </c>
      <c r="K896" s="45" t="n">
        <v>1055</v>
      </c>
      <c r="L896" s="46" t="n"/>
      <c r="M896" s="47" t="n"/>
      <c r="N896" s="47" t="inlineStr">
        <is>
          <t>UCKZo4N0lVPccBkSiuyVh4yg</t>
        </is>
      </c>
      <c r="O896" s="48" t="n">
        <v>45091.79166666666</v>
      </c>
      <c r="P896" s="49" t="n">
        <v>45091</v>
      </c>
      <c r="Q896" s="47" t="n">
        <v>2372</v>
      </c>
      <c r="R896" s="47" t="inlineStr">
        <is>
          <t>No Video ID yet</t>
        </is>
      </c>
      <c r="S896" s="49" t="n"/>
      <c r="T896" s="49" t="n"/>
      <c r="U896" s="47" t="inlineStr">
        <is>
          <t>Go to to get PayPal Honey for free. Today J dives back into the Wizarding World of Harry Potter to continue to answer the question: What If Neville Was The Chosen one instead of Harry? How will Neville handle the news that Harry’s been opening the chamber? Will Professor Quirrel ever find the chamber himself? Can both boys survive an encounter with Tom Riddle? Check out J &amp; Ben’s Commentary for the whole Neville series :: Join the Miles Managed Virtual Race! Org Code: WP97096 Miles Managed Merch ::</t>
        </is>
      </c>
      <c r="V896" s="47">
        <f>IF(AND(P896&gt;=Calendar!$K$2,P896&lt;EDATE(Calendar!$K$2,1),OR(Calendar!$K$4="*",N896=Calendar!$K$4)),P896*100+COUNTIFS($P$6:$P$3267,P896,$Q$6:$Q$3267,"&lt;="&amp;Q896,$N$6:$N$3267,Calendar!$K$4),"")</f>
        <v/>
      </c>
      <c r="W896" s="47">
        <f>IF(AND(B896=Queue!$C$4,OR(Queue!$K$4="*",N896=Queue!$K$4)),Q896,"")</f>
        <v/>
      </c>
    </row>
    <row r="897">
      <c r="A897" s="38">
        <f>IF(M897="","",HYPERLINK("https://www.youtube.com/watch?v="&amp;M897,"▶"))</f>
        <v/>
      </c>
      <c r="B897" s="39">
        <f>IF(C897&lt;&gt;"",C897,IF(P897&lt;=IFERROR(INDEX(tblChannels[Watched Through],MATCH(N897,tblChannels[Channel ID],0)),0),"Watched","Unwatched"))</f>
        <v/>
      </c>
      <c r="C897" s="40" t="n"/>
      <c r="D897" s="41" t="n"/>
      <c r="E897" s="42" t="n">
        <v>45087.625</v>
      </c>
      <c r="F897" s="52" t="inlineStr">
        <is>
          <t>Super Carlin Gaming</t>
        </is>
      </c>
      <c r="G897" t="inlineStr">
        <is>
          <t>An Absolutely Massive Box | Carlin Brothers Box Breakers S5E9</t>
        </is>
      </c>
      <c r="H897" s="44" t="n">
        <v>0.0344212962962963</v>
      </c>
      <c r="I897" s="45" t="n">
        <v>2112</v>
      </c>
      <c r="J897" s="45" t="n">
        <v>115</v>
      </c>
      <c r="K897" s="45" t="n">
        <v>11</v>
      </c>
      <c r="L897" s="46" t="n"/>
      <c r="M897" s="47" t="n"/>
      <c r="N897" s="47" t="inlineStr">
        <is>
          <t>UCor_9jRnNNZVzTuQ92PKsaQ</t>
        </is>
      </c>
      <c r="O897" s="48" t="n">
        <v>45087.79166666666</v>
      </c>
      <c r="P897" s="49" t="n">
        <v>45087</v>
      </c>
      <c r="Q897" s="47" t="n">
        <v>2371</v>
      </c>
      <c r="R897" s="47" t="inlineStr">
        <is>
          <t>No Video ID yet</t>
        </is>
      </c>
      <c r="S897" s="49" t="n"/>
      <c r="T897" s="49" t="n"/>
      <c r="U897" s="47" t="inlineStr">
        <is>
          <t>This week Scarlet and Violet gets CRAZY</t>
        </is>
      </c>
      <c r="V897" s="47">
        <f>IF(AND(P897&gt;=Calendar!$K$2,P897&lt;EDATE(Calendar!$K$2,1),OR(Calendar!$K$4="*",N897=Calendar!$K$4)),P897*100+COUNTIFS($P$6:$P$3267,P897,$Q$6:$Q$3267,"&lt;="&amp;Q897,$N$6:$N$3267,Calendar!$K$4),"")</f>
        <v/>
      </c>
      <c r="W897" s="47">
        <f>IF(AND(B897=Queue!$C$4,OR(Queue!$K$4="*",N897=Queue!$K$4)),Q897,"")</f>
        <v/>
      </c>
    </row>
    <row r="898">
      <c r="A898" s="38">
        <f>IF(M898="","",HYPERLINK("https://www.youtube.com/watch?v="&amp;M898,"▶"))</f>
        <v/>
      </c>
      <c r="B898" s="39">
        <f>IF(C898&lt;&gt;"",C898,IF(P898&lt;=IFERROR(INDEX(tblChannels[Watched Through],MATCH(N898,tblChannels[Channel ID],0)),0),"Watched","Unwatched"))</f>
        <v/>
      </c>
      <c r="C898" s="40" t="n"/>
      <c r="D898" s="41" t="n"/>
      <c r="E898" s="42" t="n">
        <v>45086.67986111111</v>
      </c>
      <c r="F898" s="50" t="inlineStr">
        <is>
          <t>Super Carlin Brothers</t>
        </is>
      </c>
      <c r="G898" t="inlineStr">
        <is>
          <t>What If Neville Was The Chosen One - Part 3 | Harry Potter Film Theory</t>
        </is>
      </c>
      <c r="H898" s="44" t="n">
        <v>0.01332175925925926</v>
      </c>
      <c r="I898" s="45" t="n">
        <v>167289</v>
      </c>
      <c r="J898" s="45" t="n">
        <v>7035</v>
      </c>
      <c r="K898" s="45" t="n">
        <v>556</v>
      </c>
      <c r="L898" s="46" t="n"/>
      <c r="M898" s="47" t="n"/>
      <c r="N898" s="47" t="inlineStr">
        <is>
          <t>UCKZo4N0lVPccBkSiuyVh4yg</t>
        </is>
      </c>
      <c r="O898" s="48" t="n">
        <v>45086.84652777778</v>
      </c>
      <c r="P898" s="49" t="n">
        <v>45086</v>
      </c>
      <c r="Q898" s="47" t="n">
        <v>2370</v>
      </c>
      <c r="R898" s="47" t="inlineStr">
        <is>
          <t>No Video ID yet</t>
        </is>
      </c>
      <c r="S898" s="49" t="n"/>
      <c r="T898" s="49" t="n"/>
      <c r="U898" s="47" t="inlineStr">
        <is>
          <t>Go to to get 25% off your first order. Today J dives back into the Wizarding World of Harry Potter to continue to answer the question: What If Neville Was The Chosen one instead of Harry? Who opened the Chamber? Will Neville be able to uncover its location and enter without the use of Parsel Tongue? Will Hagrid still be framed, will Dumbledore still be forced out of the school? Submit Fluffy art here! SecretCarlinBrothers@Gmail.com Join the Miles Managed Virtual Race! Org Code: WP97096 Miles Managed Merch ::</t>
        </is>
      </c>
      <c r="V898" s="47">
        <f>IF(AND(P898&gt;=Calendar!$K$2,P898&lt;EDATE(Calendar!$K$2,1),OR(Calendar!$K$4="*",N898=Calendar!$K$4)),P898*100+COUNTIFS($P$6:$P$3267,P898,$Q$6:$Q$3267,"&lt;="&amp;Q898,$N$6:$N$3267,Calendar!$K$4),"")</f>
        <v/>
      </c>
      <c r="W898" s="47">
        <f>IF(AND(B898=Queue!$C$4,OR(Queue!$K$4="*",N898=Queue!$K$4)),Q898,"")</f>
        <v/>
      </c>
    </row>
    <row r="899">
      <c r="A899" s="38">
        <f>IF(M899="","",HYPERLINK("https://www.youtube.com/watch?v="&amp;M899,"▶"))</f>
        <v/>
      </c>
      <c r="B899" s="39">
        <f>IF(C899&lt;&gt;"",C899,IF(P899&lt;=IFERROR(INDEX(tblChannels[Watched Through],MATCH(N899,tblChannels[Channel ID],0)),0),"Watched","Unwatched"))</f>
        <v/>
      </c>
      <c r="C899" s="40" t="n"/>
      <c r="D899" s="41" t="n"/>
      <c r="E899" s="42" t="n">
        <v>45086.41666666666</v>
      </c>
      <c r="F899" s="43" t="inlineStr">
        <is>
          <t>Popcorn Culture</t>
        </is>
      </c>
      <c r="G899" t="inlineStr">
        <is>
          <t>Garage Mahal | Popcorn Culture</t>
        </is>
      </c>
      <c r="H899" s="44" t="n">
        <v>0.04795138888888889</v>
      </c>
      <c r="I899" s="45" t="n">
        <v>4376</v>
      </c>
      <c r="J899" s="45" t="n">
        <v>224</v>
      </c>
      <c r="K899" s="45" t="n">
        <v>26</v>
      </c>
      <c r="L899" s="46" t="n"/>
      <c r="M899" s="47" t="n"/>
      <c r="N899" s="47" t="inlineStr">
        <is>
          <t>UCHfIbq9thHPC8yrKjAdJgDA</t>
        </is>
      </c>
      <c r="O899" s="48" t="n">
        <v>45086.58333333334</v>
      </c>
      <c r="P899" s="49" t="n">
        <v>45086</v>
      </c>
      <c r="Q899" s="47" t="n">
        <v>2369</v>
      </c>
      <c r="R899" s="47" t="inlineStr">
        <is>
          <t>No Video ID yet</t>
        </is>
      </c>
      <c r="S899" s="49" t="n"/>
      <c r="T899" s="49" t="n"/>
      <c r="U899" s="47" t="inlineStr">
        <is>
          <t>In the 183rd episode of the Pop, Ben and J discuss the luckiest man alive, Ted Lasso coming to an end, Miles Managed, furniture restoration, potentially installing a hot tub, and the overarching Pop narrative. Join the Miles Managed Virtual Race! Org Code: WP97096 Miles Managed Merch - Ted Lasso - The Fault in Our Stars - Game of Thrones - Hunger Games - Rugrats - SAT Shower Curtain Happily Never After And Can I Get A Hot Tub?! 00:00 - Cold Open, Intro, Radio Voice 11:10 - Ted Lasso Finale (no spoilers) 23:23 - Miles Managed and Home Renovations 47:48 - Hot Tub</t>
        </is>
      </c>
      <c r="V899" s="47">
        <f>IF(AND(P899&gt;=Calendar!$K$2,P899&lt;EDATE(Calendar!$K$2,1),OR(Calendar!$K$4="*",N899=Calendar!$K$4)),P899*100+COUNTIFS($P$6:$P$3267,P899,$Q$6:$Q$3267,"&lt;="&amp;Q899,$N$6:$N$3267,Calendar!$K$4),"")</f>
        <v/>
      </c>
      <c r="W899" s="47">
        <f>IF(AND(B899=Queue!$C$4,OR(Queue!$K$4="*",N899=Queue!$K$4)),Q899,"")</f>
        <v/>
      </c>
    </row>
    <row r="900">
      <c r="A900" s="38">
        <f>IF(M900="","",HYPERLINK("https://www.youtube.com/watch?v="&amp;M900,"▶"))</f>
        <v/>
      </c>
      <c r="B900" s="39">
        <f>IF(C900&lt;&gt;"",C900,IF(P900&lt;=IFERROR(INDEX(tblChannels[Watched Through],MATCH(N900,tblChannels[Channel ID],0)),0),"Watched","Unwatched"))</f>
        <v/>
      </c>
      <c r="C900" s="40" t="n"/>
      <c r="D900" s="41" t="n"/>
      <c r="E900" s="42" t="n">
        <v>45084.71527777778</v>
      </c>
      <c r="F900" s="50" t="inlineStr">
        <is>
          <t>Super Carlin Brothers</t>
        </is>
      </c>
      <c r="G900" t="inlineStr">
        <is>
          <t>J vs Ben: HARDEST Harry Potter Families Trivia Quiz EVER</t>
        </is>
      </c>
      <c r="H900" s="44" t="n">
        <v>0.02046296296296296</v>
      </c>
      <c r="I900" s="45" t="n">
        <v>195467</v>
      </c>
      <c r="J900" s="45" t="n">
        <v>6803</v>
      </c>
      <c r="K900" s="45" t="n">
        <v>684</v>
      </c>
      <c r="L900" s="46" t="n"/>
      <c r="M900" s="47" t="n"/>
      <c r="N900" s="47" t="inlineStr">
        <is>
          <t>UCKZo4N0lVPccBkSiuyVh4yg</t>
        </is>
      </c>
      <c r="O900" s="48" t="n">
        <v>45084.88194444445</v>
      </c>
      <c r="P900" s="49" t="n">
        <v>45084</v>
      </c>
      <c r="Q900" s="47" t="n">
        <v>2368</v>
      </c>
      <c r="R900" s="47" t="inlineStr">
        <is>
          <t>No Video ID yet</t>
        </is>
      </c>
      <c r="S900" s="49" t="n"/>
      <c r="T900" s="49" t="n"/>
      <c r="U900" s="47" t="inlineStr">
        <is>
          <t>Go to to get an extra 3 months free. Sign up for our Royal Candle Club for 25% off a monthly candle through December 2023 Under The Sea: Today J and Ben face off once more to find out who knows more about Harry Potter in the Wizarding World as they face off in the HARDEST Harry Potter families quiz EVER. Join the Miles Managed Virtual Race! Org Code: WP97096 Miles Managed Merch :: 02:56 - Q1: Which founder is the Gauntly family decedents of? 03:31 - Q2: Which is not Sirius's cousin? 05:14 - Q3: Which are not members of the Sacred 28? 06:26 - Q4: What is Molly's maiden name? 07:05 - Q5: Who was Delphi Diggory related to? 09:07 - Q6: Which family does Umbridge claim to be descended from? 09:42 - Q7: Who did Draco marry? 14:51 - Q8: Who of Harry's friends is Newt Scamander related to? 17:01 - Q9: Who are Molly's brothers? 17:33 - Q10: How is Susan Bones related to Amelia Bones? 19:37 - Q11: What's Dumbledore's mother's name? 20:18 - Q12: Who is Sirius's mother? 23:06 - Q13: Who is Leta ancestor? 25:05 - Q14: Who are Neville's parents? 26:07 - Q15: Who was Trelawney's ancestor?</t>
        </is>
      </c>
      <c r="V900" s="47">
        <f>IF(AND(P900&gt;=Calendar!$K$2,P900&lt;EDATE(Calendar!$K$2,1),OR(Calendar!$K$4="*",N900=Calendar!$K$4)),P900*100+COUNTIFS($P$6:$P$3267,P900,$Q$6:$Q$3267,"&lt;="&amp;Q900,$N$6:$N$3267,Calendar!$K$4),"")</f>
        <v/>
      </c>
      <c r="W900" s="47">
        <f>IF(AND(B900=Queue!$C$4,OR(Queue!$K$4="*",N900=Queue!$K$4)),Q900,"")</f>
        <v/>
      </c>
    </row>
    <row r="901">
      <c r="A901" s="38">
        <f>IF(M901="","",HYPERLINK("https://www.youtube.com/watch?v="&amp;M901,"▶"))</f>
        <v/>
      </c>
      <c r="B901" s="39">
        <f>IF(C901&lt;&gt;"",C901,IF(P901&lt;=IFERROR(INDEX(tblChannels[Watched Through],MATCH(N901,tblChannels[Channel ID],0)),0),"Watched","Unwatched"))</f>
        <v/>
      </c>
      <c r="C901" s="40" t="n"/>
      <c r="D901" s="41" t="n"/>
      <c r="E901" s="42" t="n">
        <v>45079.74930555555</v>
      </c>
      <c r="F901" s="50" t="inlineStr">
        <is>
          <t>Super Carlin Brothers</t>
        </is>
      </c>
      <c r="G901" t="inlineStr">
        <is>
          <t>Top 5 PRE Deathly Hallows Fan Theories | Harry Potter Film Theory</t>
        </is>
      </c>
      <c r="H901" s="44" t="n">
        <v>0.01596064814814815</v>
      </c>
      <c r="I901" s="45" t="n">
        <v>262641</v>
      </c>
      <c r="J901" s="45" t="n">
        <v>9269</v>
      </c>
      <c r="K901" s="45" t="n">
        <v>617</v>
      </c>
      <c r="L901" s="46" t="n"/>
      <c r="M901" s="47" t="n"/>
      <c r="N901" s="47" t="inlineStr">
        <is>
          <t>UCKZo4N0lVPccBkSiuyVh4yg</t>
        </is>
      </c>
      <c r="O901" s="48" t="n">
        <v>45079.91597222222</v>
      </c>
      <c r="P901" s="49" t="n">
        <v>45079</v>
      </c>
      <c r="Q901" s="47" t="n">
        <v>2367</v>
      </c>
      <c r="R901" s="47" t="inlineStr">
        <is>
          <t>No Video ID yet</t>
        </is>
      </c>
      <c r="S901" s="49" t="n"/>
      <c r="T901" s="49" t="n"/>
      <c r="U901" s="47" t="inlineStr">
        <is>
          <t>Go to and use code SUPER to get free shipping on your goodr order. Today Ben dives back into the Wizarding World to relive the excitement of July 2007 and the weeks leading up to the release of Harry Potter and the Deathly Hallows and all the wild and crazy fan theories that were circulating about how it would all end! Join the Miles Managed Virtual Race! Org Code: WP97096 Miles Managed Merch ::</t>
        </is>
      </c>
      <c r="V901" s="47">
        <f>IF(AND(P901&gt;=Calendar!$K$2,P901&lt;EDATE(Calendar!$K$2,1),OR(Calendar!$K$4="*",N901=Calendar!$K$4)),P901*100+COUNTIFS($P$6:$P$3267,P901,$Q$6:$Q$3267,"&lt;="&amp;Q901,$N$6:$N$3267,Calendar!$K$4),"")</f>
        <v/>
      </c>
      <c r="W901" s="47">
        <f>IF(AND(B901=Queue!$C$4,OR(Queue!$K$4="*",N901=Queue!$K$4)),Q901,"")</f>
        <v/>
      </c>
    </row>
    <row r="902">
      <c r="A902" s="38">
        <f>IF(M902="","",HYPERLINK("https://www.youtube.com/watch?v="&amp;M902,"▶"))</f>
        <v/>
      </c>
      <c r="B902" s="39">
        <f>IF(C902&lt;&gt;"",C902,IF(P902&lt;=IFERROR(INDEX(tblChannels[Watched Through],MATCH(N902,tblChannels[Channel ID],0)),0),"Watched","Unwatched"))</f>
        <v/>
      </c>
      <c r="C902" s="40" t="n"/>
      <c r="D902" s="41" t="n"/>
      <c r="E902" s="42" t="n">
        <v>45079.41666666666</v>
      </c>
      <c r="F902" s="43" t="inlineStr">
        <is>
          <t>Popcorn Culture</t>
        </is>
      </c>
      <c r="G902" t="inlineStr">
        <is>
          <t>Fad vs. Future | Popcorn Culture</t>
        </is>
      </c>
      <c r="H902" s="44" t="n">
        <v>0.05184027777777778</v>
      </c>
      <c r="I902" s="45" t="n">
        <v>5049</v>
      </c>
      <c r="J902" s="45" t="n">
        <v>235</v>
      </c>
      <c r="K902" s="45" t="n">
        <v>33</v>
      </c>
      <c r="L902" s="46" t="n"/>
      <c r="M902" s="47" t="n"/>
      <c r="N902" s="47" t="inlineStr">
        <is>
          <t>UCHfIbq9thHPC8yrKjAdJgDA</t>
        </is>
      </c>
      <c r="O902" s="48" t="n">
        <v>45079.58333333334</v>
      </c>
      <c r="P902" s="49" t="n">
        <v>45079</v>
      </c>
      <c r="Q902" s="47" t="n">
        <v>2366</v>
      </c>
      <c r="R902" s="47" t="inlineStr">
        <is>
          <t>No Video ID yet</t>
        </is>
      </c>
      <c r="S902" s="49" t="n"/>
      <c r="T902" s="49" t="n"/>
      <c r="U902" s="47" t="inlineStr">
        <is>
          <t>In the 182nd episode of the Pop, Ben and J discuss mean Ben, one-upmanship, fads or future, free services switching to paid, potty training the twins, Finding Nemo turning 20, and the annual family beach trip Join the Miles Managed Virtual Race! Org Code: WP97096 Miles Managed Merch - Finding Nemo - That Thing You Do - Millennials Love Neutral Chaos Classic Dilluminati Potty Training Boot Camp Dod Dod 00:00 - Intro, Ken Barlin 06:22 - Fad or Future 49:50 - Potty Training Boot Camp 1:07:17 - Weird Passage of Time</t>
        </is>
      </c>
      <c r="V902" s="47">
        <f>IF(AND(P902&gt;=Calendar!$K$2,P902&lt;EDATE(Calendar!$K$2,1),OR(Calendar!$K$4="*",N902=Calendar!$K$4)),P902*100+COUNTIFS($P$6:$P$3267,P902,$Q$6:$Q$3267,"&lt;="&amp;Q902,$N$6:$N$3267,Calendar!$K$4),"")</f>
        <v/>
      </c>
      <c r="W902" s="47">
        <f>IF(AND(B902=Queue!$C$4,OR(Queue!$K$4="*",N902=Queue!$K$4)),Q902,"")</f>
        <v/>
      </c>
    </row>
    <row r="903">
      <c r="A903" s="38">
        <f>IF(M903="","",HYPERLINK("https://www.youtube.com/watch?v="&amp;M903,"▶"))</f>
        <v/>
      </c>
      <c r="B903" s="39">
        <f>IF(C903&lt;&gt;"",C903,IF(P903&lt;=IFERROR(INDEX(tblChannels[Watched Through],MATCH(N903,tblChannels[Channel ID],0)),0),"Watched","Unwatched"))</f>
        <v/>
      </c>
      <c r="C903" s="40" t="n"/>
      <c r="D903" s="41" t="n"/>
      <c r="E903" s="42" t="n">
        <v>45078.68333333333</v>
      </c>
      <c r="F903" s="50" t="inlineStr">
        <is>
          <t>Super Carlin Brothers</t>
        </is>
      </c>
      <c r="G903" t="inlineStr">
        <is>
          <t>What If Neville Was The Chosen One - Part 2 | Harry Potter Film Theory</t>
        </is>
      </c>
      <c r="H903" s="44" t="n">
        <v>0.01980324074074074</v>
      </c>
      <c r="I903" s="45" t="n">
        <v>233610</v>
      </c>
      <c r="J903" s="45" t="n">
        <v>8963</v>
      </c>
      <c r="K903" s="45" t="n">
        <v>1299</v>
      </c>
      <c r="L903" s="46" t="n"/>
      <c r="M903" s="47" t="n"/>
      <c r="N903" s="47" t="inlineStr">
        <is>
          <t>UCKZo4N0lVPccBkSiuyVh4yg</t>
        </is>
      </c>
      <c r="O903" s="48" t="n">
        <v>45078.85</v>
      </c>
      <c r="P903" s="49" t="n">
        <v>45078</v>
      </c>
      <c r="Q903" s="47" t="n">
        <v>2365</v>
      </c>
      <c r="R903" s="47" t="inlineStr">
        <is>
          <t>No Video ID yet</t>
        </is>
      </c>
      <c r="S903" s="49" t="n"/>
      <c r="T903" s="49" t="n"/>
      <c r="U903" s="47" t="inlineStr">
        <is>
          <t>Today J dives back into the Wizarding World to continue asking the question: What If Neville Was the Chosen One! How will Voldemort attack him now that he’s attending school? What will an 11 year old Harry be like after being raised by Sirius? Join the Miles Managed Virtual Race! Org Code: WP97096 Miles Managed Merch ::</t>
        </is>
      </c>
      <c r="V903" s="47">
        <f>IF(AND(P903&gt;=Calendar!$K$2,P903&lt;EDATE(Calendar!$K$2,1),OR(Calendar!$K$4="*",N903=Calendar!$K$4)),P903*100+COUNTIFS($P$6:$P$3267,P903,$Q$6:$Q$3267,"&lt;="&amp;Q903,$N$6:$N$3267,Calendar!$K$4),"")</f>
        <v/>
      </c>
      <c r="W903" s="47">
        <f>IF(AND(B903=Queue!$C$4,OR(Queue!$K$4="*",N903=Queue!$K$4)),Q903,"")</f>
        <v/>
      </c>
    </row>
    <row r="904">
      <c r="A904" s="38">
        <f>IF(M904="","",HYPERLINK("https://www.youtube.com/watch?v="&amp;M904,"▶"))</f>
        <v/>
      </c>
      <c r="B904" s="39">
        <f>IF(C904&lt;&gt;"",C904,IF(P904&lt;=IFERROR(INDEX(tblChannels[Watched Through],MATCH(N904,tblChannels[Channel ID],0)),0),"Watched","Unwatched"))</f>
        <v/>
      </c>
      <c r="C904" s="40" t="n"/>
      <c r="D904" s="41" t="n"/>
      <c r="E904" s="42" t="n">
        <v>45072.80277777778</v>
      </c>
      <c r="F904" s="50" t="inlineStr">
        <is>
          <t>Super Carlin Brothers</t>
        </is>
      </c>
      <c r="G904" t="inlineStr">
        <is>
          <t>J vs Ben: ULTIMATE Harry Potter Prank Trivia Quiz | WHEEL OF PUNISHMENT</t>
        </is>
      </c>
      <c r="H904" s="44" t="n">
        <v>0.02825231481481481</v>
      </c>
      <c r="I904" s="45" t="n">
        <v>223141</v>
      </c>
      <c r="J904" s="45" t="n">
        <v>7864</v>
      </c>
      <c r="K904" s="45" t="n">
        <v>574</v>
      </c>
      <c r="L904" s="46" t="n"/>
      <c r="M904" s="47" t="n"/>
      <c r="N904" s="47" t="inlineStr">
        <is>
          <t>UCKZo4N0lVPccBkSiuyVh4yg</t>
        </is>
      </c>
      <c r="O904" s="48" t="n">
        <v>45072.96944444445</v>
      </c>
      <c r="P904" s="49" t="n">
        <v>45072</v>
      </c>
      <c r="Q904" s="47" t="n">
        <v>2364</v>
      </c>
      <c r="R904" s="47" t="inlineStr">
        <is>
          <t>No Video ID yet</t>
        </is>
      </c>
      <c r="S904" s="49" t="n"/>
      <c r="T904" s="49" t="n"/>
      <c r="U904" s="47" t="inlineStr">
        <is>
          <t>Go to to get 25% off your first order and free standard shipping. Today J and Ben face off once more to find out who know’s more about all of the various PRANKS in the Wizarding World, BUT if they get any questions wrong at all… they must spin the WHEEL OF PUNISHMENT! Join the Miles Managed Virtual Race! Org Code: WP97096 Miles Managed Merch :: Play along with us! :: 02:34 - Q1: What did Fred and George turn Ron's teddy bear into? 03:22 - Q2: Who gave Dudley a pig tail? 04:23 - Q3: What spell makes gum attack Peeves? 05:50 - Q4: What did the twins send Harry in the hospital wing? 10:17 - Q5: Who tricked Snape into going through the Whomping Willow? 11:58 - Q6: What fake spells did Harry "use" on Dudley? 17:30 - Q7: What did Peeves drop on students heads? 18:32 - Q8: Which student turned into a canary? 21:46 - Q9: What color are the twins firework dragons? 28:51 - Q10: Which Slytherin didn't fake attack Harry as a dementor? 30:31 - Q11: Who put nifflers in Umbridge's office 30:56 - Q12: What disease did students pretend to catch from Umbridge? 31:20 - Q13: What did Harry pretend to put Felix Felicis in? 31:51 - Q14: What did Peeves use to chase Umbridge out of Hogwarts? 34:59 - Q15:</t>
        </is>
      </c>
      <c r="V904" s="47">
        <f>IF(AND(P904&gt;=Calendar!$K$2,P904&lt;EDATE(Calendar!$K$2,1),OR(Calendar!$K$4="*",N904=Calendar!$K$4)),P904*100+COUNTIFS($P$6:$P$3267,P904,$Q$6:$Q$3267,"&lt;="&amp;Q904,$N$6:$N$3267,Calendar!$K$4),"")</f>
        <v/>
      </c>
      <c r="W904" s="47">
        <f>IF(AND(B904=Queue!$C$4,OR(Queue!$K$4="*",N904=Queue!$K$4)),Q904,"")</f>
        <v/>
      </c>
    </row>
    <row r="905">
      <c r="A905" s="38">
        <f>IF(M905="","",HYPERLINK("https://www.youtube.com/watch?v="&amp;M905,"▶"))</f>
        <v/>
      </c>
      <c r="B905" s="39">
        <f>IF(C905&lt;&gt;"",C905,IF(P905&lt;=IFERROR(INDEX(tblChannels[Watched Through],MATCH(N905,tblChannels[Channel ID],0)),0),"Watched","Unwatched"))</f>
        <v/>
      </c>
      <c r="C905" s="40" t="n"/>
      <c r="D905" s="41" t="n"/>
      <c r="E905" s="42" t="n">
        <v>45072.79166666666</v>
      </c>
      <c r="F905" s="52" t="inlineStr">
        <is>
          <t>Super Carlin Gaming</t>
        </is>
      </c>
      <c r="G905" t="inlineStr">
        <is>
          <t>Pokemon Paldea Evolved EARLY ACCESS Unboxing</t>
        </is>
      </c>
      <c r="H905" s="44" t="n">
        <v>0.03818287037037037</v>
      </c>
      <c r="I905" s="45" t="n">
        <v>3471</v>
      </c>
      <c r="J905" s="45" t="n">
        <v>158</v>
      </c>
      <c r="K905" s="45" t="n">
        <v>13</v>
      </c>
      <c r="L905" s="46" t="n"/>
      <c r="M905" s="47" t="n"/>
      <c r="N905" s="47" t="inlineStr">
        <is>
          <t>UCor_9jRnNNZVzTuQ92PKsaQ</t>
        </is>
      </c>
      <c r="O905" s="48" t="n">
        <v>45072.95833333334</v>
      </c>
      <c r="P905" s="49" t="n">
        <v>45072</v>
      </c>
      <c r="Q905" s="47" t="n">
        <v>2363</v>
      </c>
      <c r="R905" s="47" t="inlineStr">
        <is>
          <t>No Video ID yet</t>
        </is>
      </c>
      <c r="S905" s="49" t="n"/>
      <c r="T905" s="49" t="n"/>
      <c r="U905" s="47" t="inlineStr">
        <is>
          <t>In this SPECIAL EDITION of Box Breakers we get EARLY ACCESS to the brand new Paldea Evolved booster boxes!! Check this one out!</t>
        </is>
      </c>
      <c r="V905" s="47">
        <f>IF(AND(P905&gt;=Calendar!$K$2,P905&lt;EDATE(Calendar!$K$2,1),OR(Calendar!$K$4="*",N905=Calendar!$K$4)),P905*100+COUNTIFS($P$6:$P$3267,P905,$Q$6:$Q$3267,"&lt;="&amp;Q905,$N$6:$N$3267,Calendar!$K$4),"")</f>
        <v/>
      </c>
      <c r="W905" s="47">
        <f>IF(AND(B905=Queue!$C$4,OR(Queue!$K$4="*",N905=Queue!$K$4)),Q905,"")</f>
        <v/>
      </c>
    </row>
    <row r="906">
      <c r="A906" s="38">
        <f>IF(M906="","",HYPERLINK("https://www.youtube.com/watch?v="&amp;M906,"▶"))</f>
        <v/>
      </c>
      <c r="B906" s="39">
        <f>IF(C906&lt;&gt;"",C906,IF(P906&lt;=IFERROR(INDEX(tblChannels[Watched Through],MATCH(N906,tblChannels[Channel ID],0)),0),"Watched","Unwatched"))</f>
        <v/>
      </c>
      <c r="C906" s="40" t="n"/>
      <c r="D906" s="41" t="n"/>
      <c r="E906" s="42" t="n">
        <v>45072.41666666666</v>
      </c>
      <c r="F906" s="43" t="inlineStr">
        <is>
          <t>Popcorn Culture</t>
        </is>
      </c>
      <c r="G906" t="inlineStr">
        <is>
          <t>Diaper Hobby | Popcorn Culture</t>
        </is>
      </c>
      <c r="H906" s="44" t="n">
        <v>0.04809027777777778</v>
      </c>
      <c r="I906" s="45" t="n">
        <v>4439</v>
      </c>
      <c r="J906" s="45" t="n">
        <v>225</v>
      </c>
      <c r="K906" s="45" t="n">
        <v>29</v>
      </c>
      <c r="L906" s="46" t="n"/>
      <c r="M906" s="47" t="n"/>
      <c r="N906" s="47" t="inlineStr">
        <is>
          <t>UCHfIbq9thHPC8yrKjAdJgDA</t>
        </is>
      </c>
      <c r="O906" s="48" t="n">
        <v>45072.58333333334</v>
      </c>
      <c r="P906" s="49" t="n">
        <v>45072</v>
      </c>
      <c r="Q906" s="47" t="n">
        <v>2362</v>
      </c>
      <c r="R906" s="47" t="inlineStr">
        <is>
          <t>No Video ID yet</t>
        </is>
      </c>
      <c r="S906" s="49" t="n"/>
      <c r="T906" s="49" t="n"/>
      <c r="U906" s="47" t="inlineStr">
        <is>
          <t>In the 181st episode of the Pop, Ben and J discuss utopias, sportsmanship, J using a chainsaw for the first time, the last run, J’s various weekend projects, poopy diapers, Miles Managed, not liking the same things (and why that’s completely okay!), That Thing You Do, and light vs. dark. Join the Miles Managed Virtual Race! Org Code: WP97096 Miles Managed Merch - Hunger Games - WALL-E - Hogwarts Exact Location Video - That Thing You Do - J Hates Utopias Contextualizing Failure Last Run Energy Rock(Climbing) Star Shower When It Rains 00:00 - Intro, Atoms 02:28 - Utopias 08:49 - Chainsaws 24:00 - Weekend of Projects 35:40 - New Step Comp for EVERYONE! 41:04 - Little Kernel Feedback 55:50 - Shower Thoughts</t>
        </is>
      </c>
      <c r="V906" s="47">
        <f>IF(AND(P906&gt;=Calendar!$K$2,P906&lt;EDATE(Calendar!$K$2,1),OR(Calendar!$K$4="*",N906=Calendar!$K$4)),P906*100+COUNTIFS($P$6:$P$3267,P906,$Q$6:$Q$3267,"&lt;="&amp;Q906,$N$6:$N$3267,Calendar!$K$4),"")</f>
        <v/>
      </c>
      <c r="W906" s="47">
        <f>IF(AND(B906=Queue!$C$4,OR(Queue!$K$4="*",N906=Queue!$K$4)),Q906,"")</f>
        <v/>
      </c>
    </row>
    <row r="907">
      <c r="A907" s="38">
        <f>IF(M907="","",HYPERLINK("https://www.youtube.com/watch?v="&amp;M907,"▶"))</f>
        <v/>
      </c>
      <c r="B907" s="39">
        <f>IF(C907&lt;&gt;"",C907,IF(P907&lt;=IFERROR(INDEX(tblChannels[Watched Through],MATCH(N907,tblChannels[Channel ID],0)),0),"Watched","Unwatched"))</f>
        <v/>
      </c>
      <c r="C907" s="40" t="n"/>
      <c r="D907" s="41" t="n"/>
      <c r="E907" s="42" t="n">
        <v>45071.79166666666</v>
      </c>
      <c r="F907" s="52" t="inlineStr">
        <is>
          <t>Super Carlin Gaming</t>
        </is>
      </c>
      <c r="G907" t="inlineStr">
        <is>
          <t>It's About Family | Carlin Brothers Box Breakers S5E8</t>
        </is>
      </c>
      <c r="H907" s="44" t="n">
        <v>0.03184027777777778</v>
      </c>
      <c r="I907" s="45" t="n">
        <v>1878</v>
      </c>
      <c r="J907" s="45" t="n">
        <v>101</v>
      </c>
      <c r="K907" s="45" t="n">
        <v>7</v>
      </c>
      <c r="L907" s="46" t="n"/>
      <c r="M907" s="47" t="n"/>
      <c r="N907" s="47" t="inlineStr">
        <is>
          <t>UCor_9jRnNNZVzTuQ92PKsaQ</t>
        </is>
      </c>
      <c r="O907" s="48" t="n">
        <v>45071.95833333334</v>
      </c>
      <c r="P907" s="49" t="n">
        <v>45071</v>
      </c>
      <c r="Q907" s="47" t="n">
        <v>2361</v>
      </c>
      <c r="R907" s="47" t="inlineStr">
        <is>
          <t>No Video ID yet</t>
        </is>
      </c>
      <c r="S907" s="49" t="n"/>
      <c r="T907" s="49" t="n"/>
      <c r="U907" s="47" t="inlineStr">
        <is>
          <t>This week Scarlet And Violet GOES FOR LAST</t>
        </is>
      </c>
      <c r="V907" s="47">
        <f>IF(AND(P907&gt;=Calendar!$K$2,P907&lt;EDATE(Calendar!$K$2,1),OR(Calendar!$K$4="*",N907=Calendar!$K$4)),P907*100+COUNTIFS($P$6:$P$3267,P907,$Q$6:$Q$3267,"&lt;="&amp;Q907,$N$6:$N$3267,Calendar!$K$4),"")</f>
        <v/>
      </c>
      <c r="W907" s="47">
        <f>IF(AND(B907=Queue!$C$4,OR(Queue!$K$4="*",N907=Queue!$K$4)),Q907,"")</f>
        <v/>
      </c>
    </row>
    <row r="908">
      <c r="A908" s="38">
        <f>IF(M908="","",HYPERLINK("https://www.youtube.com/watch?v="&amp;M908,"▶"))</f>
        <v/>
      </c>
      <c r="B908" s="39">
        <f>IF(C908&lt;&gt;"",C908,IF(P908&lt;=IFERROR(INDEX(tblChannels[Watched Through],MATCH(N908,tblChannels[Channel ID],0)),0),"Watched","Unwatched"))</f>
        <v/>
      </c>
      <c r="C908" s="40" t="n"/>
      <c r="D908" s="41" t="n"/>
      <c r="E908" s="42" t="n">
        <v>45070.625</v>
      </c>
      <c r="F908" s="50" t="inlineStr">
        <is>
          <t>Super Carlin Brothers</t>
        </is>
      </c>
      <c r="G908" t="inlineStr">
        <is>
          <t>What If Neville Was The Chosen One | Harry Potter Film Theory</t>
        </is>
      </c>
      <c r="H908" s="44" t="n">
        <v>0.01328703703703704</v>
      </c>
      <c r="I908" s="45" t="n">
        <v>321343</v>
      </c>
      <c r="J908" s="45" t="n">
        <v>11706</v>
      </c>
      <c r="K908" s="45" t="n">
        <v>889</v>
      </c>
      <c r="L908" s="46" t="n"/>
      <c r="M908" s="47" t="n"/>
      <c r="N908" s="47" t="inlineStr">
        <is>
          <t>UCKZo4N0lVPccBkSiuyVh4yg</t>
        </is>
      </c>
      <c r="O908" s="48" t="n">
        <v>45070.79166666666</v>
      </c>
      <c r="P908" s="49" t="n">
        <v>45070</v>
      </c>
      <c r="Q908" s="47" t="n">
        <v>2360</v>
      </c>
      <c r="R908" s="47" t="inlineStr">
        <is>
          <t>No Video ID yet</t>
        </is>
      </c>
      <c r="S908" s="49" t="n"/>
      <c r="T908" s="49" t="n"/>
      <c r="U908" s="47" t="inlineStr">
        <is>
          <t>Go to and use code super50 to get 50% off your first box. Today J dives into the Wizarding World of Harry Potter to answer our most requested What If EVER: What If Neville Was the Chosen One! What if Voldemort chose Neville over Harry? Join the Miles Managed Virtual Race! Org Code: WP97096 Miles Managed Merch ::</t>
        </is>
      </c>
      <c r="V908" s="47">
        <f>IF(AND(P908&gt;=Calendar!$K$2,P908&lt;EDATE(Calendar!$K$2,1),OR(Calendar!$K$4="*",N908=Calendar!$K$4)),P908*100+COUNTIFS($P$6:$P$3267,P908,$Q$6:$Q$3267,"&lt;="&amp;Q908,$N$6:$N$3267,Calendar!$K$4),"")</f>
        <v/>
      </c>
      <c r="W908" s="47">
        <f>IF(AND(B908=Queue!$C$4,OR(Queue!$K$4="*",N908=Queue!$K$4)),Q908,"")</f>
        <v/>
      </c>
    </row>
    <row r="909">
      <c r="A909" s="38">
        <f>IF(M909="","",HYPERLINK("https://www.youtube.com/watch?v="&amp;M909,"▶"))</f>
        <v/>
      </c>
      <c r="B909" s="39">
        <f>IF(C909&lt;&gt;"",C909,IF(P909&lt;=IFERROR(INDEX(tblChannels[Watched Through],MATCH(N909,tblChannels[Channel ID],0)),0),"Watched","Unwatched"))</f>
        <v/>
      </c>
      <c r="C909" s="40" t="n"/>
      <c r="D909" s="41" t="n"/>
      <c r="E909" s="42" t="n">
        <v>45065.71944444445</v>
      </c>
      <c r="F909" s="50" t="inlineStr">
        <is>
          <t>Super Carlin Brothers</t>
        </is>
      </c>
      <c r="G909" t="inlineStr">
        <is>
          <t>Top 5 WORST Harry Potter Theories EVER | Harry Potter Film Theory</t>
        </is>
      </c>
      <c r="H909" s="44" t="n">
        <v>0.0131712962962963</v>
      </c>
      <c r="I909" s="45" t="n">
        <v>509464</v>
      </c>
      <c r="J909" s="45" t="n">
        <v>15699</v>
      </c>
      <c r="K909" s="45" t="n">
        <v>1212</v>
      </c>
      <c r="L909" s="46" t="n"/>
      <c r="M909" s="47" t="n"/>
      <c r="N909" s="47" t="inlineStr">
        <is>
          <t>UCKZo4N0lVPccBkSiuyVh4yg</t>
        </is>
      </c>
      <c r="O909" s="48" t="n">
        <v>45065.88611111111</v>
      </c>
      <c r="P909" s="49" t="n">
        <v>45065</v>
      </c>
      <c r="Q909" s="47" t="n">
        <v>2359</v>
      </c>
      <c r="R909" s="47" t="inlineStr">
        <is>
          <t>No Video ID yet</t>
        </is>
      </c>
      <c r="S909" s="49" t="n"/>
      <c r="T909" s="49" t="n"/>
      <c r="U909" s="47" t="inlineStr">
        <is>
          <t>Go to to get PayPal Honey for free. Today Ben dives into the Wizarding World of Harry Potter countdown the Top 5 WORST Harry Potter Theories of all time - Yes at least one of them is ours… Join Miles Managed :: Org Code: WP97096 Miles Managed Merch ::</t>
        </is>
      </c>
      <c r="V909" s="47">
        <f>IF(AND(P909&gt;=Calendar!$K$2,P909&lt;EDATE(Calendar!$K$2,1),OR(Calendar!$K$4="*",N909=Calendar!$K$4)),P909*100+COUNTIFS($P$6:$P$3267,P909,$Q$6:$Q$3267,"&lt;="&amp;Q909,$N$6:$N$3267,Calendar!$K$4),"")</f>
        <v/>
      </c>
      <c r="W909" s="47">
        <f>IF(AND(B909=Queue!$C$4,OR(Queue!$K$4="*",N909=Queue!$K$4)),Q909,"")</f>
        <v/>
      </c>
    </row>
    <row r="910">
      <c r="A910" s="38">
        <f>IF(M910="","",HYPERLINK("https://www.youtube.com/watch?v="&amp;M910,"▶"))</f>
        <v/>
      </c>
      <c r="B910" s="39">
        <f>IF(C910&lt;&gt;"",C910,IF(P910&lt;=IFERROR(INDEX(tblChannels[Watched Through],MATCH(N910,tblChannels[Channel ID],0)),0),"Watched","Unwatched"))</f>
        <v/>
      </c>
      <c r="C910" s="40" t="n"/>
      <c r="D910" s="41" t="n"/>
      <c r="E910" s="42" t="n">
        <v>45065.41666666666</v>
      </c>
      <c r="F910" s="43" t="inlineStr">
        <is>
          <t>Popcorn Culture</t>
        </is>
      </c>
      <c r="G910" t="inlineStr">
        <is>
          <t>Bursting with Pants | Popcorn Culture</t>
        </is>
      </c>
      <c r="H910" s="44" t="n">
        <v>0.04545138888888889</v>
      </c>
      <c r="I910" s="45" t="n">
        <v>4350</v>
      </c>
      <c r="J910" s="45" t="n">
        <v>227</v>
      </c>
      <c r="K910" s="45" t="n">
        <v>17</v>
      </c>
      <c r="L910" s="46" t="n"/>
      <c r="M910" s="47" t="n"/>
      <c r="N910" s="47" t="inlineStr">
        <is>
          <t>UCHfIbq9thHPC8yrKjAdJgDA</t>
        </is>
      </c>
      <c r="O910" s="48" t="n">
        <v>45065.58333333334</v>
      </c>
      <c r="P910" s="49" t="n">
        <v>45065</v>
      </c>
      <c r="Q910" s="47" t="n">
        <v>2358</v>
      </c>
      <c r="R910" s="47" t="inlineStr">
        <is>
          <t>No Video ID yet</t>
        </is>
      </c>
      <c r="S910" s="49" t="n"/>
      <c r="T910" s="49" t="n"/>
      <c r="U910" s="47" t="inlineStr">
        <is>
          <t>In the 180th episode of the pop, Ben and J discuss pants, the deal with the numbers, chaotic good, Hunger Games Easter eggs, a fence around the garden, people who became Olympians, and the creativity and analytic overlap. Join the Step Competition! - Org Code: WP97096 The Hunger Games - The Fledgling in the Room Chaotic Lawful Holy Bucks!! The Lord of the Forest 00:00 - Intro, J’s Excess of Pants 04:20 - The Numbers Background 30:54 - J’s Garden Fence 52:58 - Olympians</t>
        </is>
      </c>
      <c r="V910" s="47">
        <f>IF(AND(P910&gt;=Calendar!$K$2,P910&lt;EDATE(Calendar!$K$2,1),OR(Calendar!$K$4="*",N910=Calendar!$K$4)),P910*100+COUNTIFS($P$6:$P$3267,P910,$Q$6:$Q$3267,"&lt;="&amp;Q910,$N$6:$N$3267,Calendar!$K$4),"")</f>
        <v/>
      </c>
      <c r="W910" s="47">
        <f>IF(AND(B910=Queue!$C$4,OR(Queue!$K$4="*",N910=Queue!$K$4)),Q910,"")</f>
        <v/>
      </c>
    </row>
    <row r="911">
      <c r="A911" s="38">
        <f>IF(M911="","",HYPERLINK("https://www.youtube.com/watch?v="&amp;M911,"▶"))</f>
        <v/>
      </c>
      <c r="B911" s="39">
        <f>IF(C911&lt;&gt;"",C911,IF(P911&lt;=IFERROR(INDEX(tblChannels[Watched Through],MATCH(N911,tblChannels[Channel ID],0)),0),"Watched","Unwatched"))</f>
        <v/>
      </c>
      <c r="C911" s="40" t="n"/>
      <c r="D911" s="41" t="n"/>
      <c r="E911" s="42" t="n">
        <v>45064.77083333334</v>
      </c>
      <c r="F911" s="52" t="inlineStr">
        <is>
          <t>Super Carlin Gaming</t>
        </is>
      </c>
      <c r="G911" t="inlineStr">
        <is>
          <t>The Race To The Bottom Begins | Carlin Brothers Box Breakers S5E7</t>
        </is>
      </c>
      <c r="H911" s="44" t="n">
        <v>0.03153935185185185</v>
      </c>
      <c r="I911" s="45" t="n">
        <v>1825</v>
      </c>
      <c r="J911" s="45" t="n">
        <v>110</v>
      </c>
      <c r="K911" s="45" t="n">
        <v>17</v>
      </c>
      <c r="L911" s="46" t="n"/>
      <c r="M911" s="47" t="n"/>
      <c r="N911" s="47" t="inlineStr">
        <is>
          <t>UCor_9jRnNNZVzTuQ92PKsaQ</t>
        </is>
      </c>
      <c r="O911" s="48" t="n">
        <v>45064.9375</v>
      </c>
      <c r="P911" s="49" t="n">
        <v>45064</v>
      </c>
      <c r="Q911" s="47" t="n">
        <v>2357</v>
      </c>
      <c r="R911" s="47" t="inlineStr">
        <is>
          <t>No Video ID yet</t>
        </is>
      </c>
      <c r="S911" s="49" t="n"/>
      <c r="T911" s="49" t="n"/>
      <c r="U911" s="47" t="inlineStr">
        <is>
          <t>This week Scarlet And Violet GOES FOR LAST</t>
        </is>
      </c>
      <c r="V911" s="47">
        <f>IF(AND(P911&gt;=Calendar!$K$2,P911&lt;EDATE(Calendar!$K$2,1),OR(Calendar!$K$4="*",N911=Calendar!$K$4)),P911*100+COUNTIFS($P$6:$P$3267,P911,$Q$6:$Q$3267,"&lt;="&amp;Q911,$N$6:$N$3267,Calendar!$K$4),"")</f>
        <v/>
      </c>
      <c r="W911" s="47">
        <f>IF(AND(B911=Queue!$C$4,OR(Queue!$K$4="*",N911=Queue!$K$4)),Q911,"")</f>
        <v/>
      </c>
    </row>
    <row r="912">
      <c r="A912" s="38">
        <f>IF(M912="","",HYPERLINK("https://www.youtube.com/watch?v="&amp;M912,"▶"))</f>
        <v/>
      </c>
      <c r="B912" s="39">
        <f>IF(C912&lt;&gt;"",C912,IF(P912&lt;=IFERROR(INDEX(tblChannels[Watched Through],MATCH(N912,tblChannels[Channel ID],0)),0),"Watched","Unwatched"))</f>
        <v/>
      </c>
      <c r="C912" s="40" t="n"/>
      <c r="D912" s="41" t="n"/>
      <c r="E912" s="42" t="n">
        <v>45063.71111111111</v>
      </c>
      <c r="F912" s="50" t="inlineStr">
        <is>
          <t>Super Carlin Brothers</t>
        </is>
      </c>
      <c r="G912" t="inlineStr">
        <is>
          <t>Who Created The UNFORGIVABLE Curses</t>
        </is>
      </c>
      <c r="H912" s="44" t="n">
        <v>0.01292824074074074</v>
      </c>
      <c r="I912" s="45" t="n">
        <v>3040347</v>
      </c>
      <c r="J912" s="45" t="n">
        <v>72438</v>
      </c>
      <c r="K912" s="45" t="n">
        <v>3426</v>
      </c>
      <c r="L912" s="46" t="n"/>
      <c r="M912" s="47" t="n"/>
      <c r="N912" s="47" t="inlineStr">
        <is>
          <t>UCKZo4N0lVPccBkSiuyVh4yg</t>
        </is>
      </c>
      <c r="O912" s="48" t="n">
        <v>45063.87777777778</v>
      </c>
      <c r="P912" s="49" t="n">
        <v>45063</v>
      </c>
      <c r="Q912" s="47" t="n">
        <v>2356</v>
      </c>
      <c r="R912" s="47" t="inlineStr">
        <is>
          <t>No Video ID yet</t>
        </is>
      </c>
      <c r="S912" s="49" t="n"/>
      <c r="T912" s="49" t="n"/>
      <c r="U912" s="47" t="inlineStr">
        <is>
          <t>Go to and use code super for 20% off your first box. Today J dives into the Wizarding World of Harry Potter to reveal WHO invented the Unforgivable Curses: Avada Kedavra, Crucio and Imperio and how they are connected to the Deathly Hallows and Harry himself! Check out Brettsthoughts on TikTok :: Coffee Bundle Box :: Come see us at RTX!</t>
        </is>
      </c>
      <c r="V912" s="47">
        <f>IF(AND(P912&gt;=Calendar!$K$2,P912&lt;EDATE(Calendar!$K$2,1),OR(Calendar!$K$4="*",N912=Calendar!$K$4)),P912*100+COUNTIFS($P$6:$P$3267,P912,$Q$6:$Q$3267,"&lt;="&amp;Q912,$N$6:$N$3267,Calendar!$K$4),"")</f>
        <v/>
      </c>
      <c r="W912" s="47">
        <f>IF(AND(B912=Queue!$C$4,OR(Queue!$K$4="*",N912=Queue!$K$4)),Q912,"")</f>
        <v/>
      </c>
    </row>
    <row r="913">
      <c r="A913" s="38">
        <f>IF(M913="","",HYPERLINK("https://www.youtube.com/watch?v="&amp;M913,"▶"))</f>
        <v/>
      </c>
      <c r="B913" s="39">
        <f>IF(C913&lt;&gt;"",C913,IF(P913&lt;=IFERROR(INDEX(tblChannels[Watched Through],MATCH(N913,tblChannels[Channel ID],0)),0),"Watched","Unwatched"))</f>
        <v/>
      </c>
      <c r="C913" s="40" t="n"/>
      <c r="D913" s="41" t="n"/>
      <c r="E913" s="42" t="n">
        <v>45058.77083333334</v>
      </c>
      <c r="F913" s="52" t="inlineStr">
        <is>
          <t>Super Carlin Gaming</t>
        </is>
      </c>
      <c r="G913" t="inlineStr">
        <is>
          <t>The Pigs Are Poppin' | Carlin Brothers Box Breakers S5E6</t>
        </is>
      </c>
      <c r="H913" s="44" t="n">
        <v>0.03300925925925926</v>
      </c>
      <c r="I913" s="45" t="n">
        <v>1979</v>
      </c>
      <c r="J913" s="45" t="n">
        <v>104</v>
      </c>
      <c r="K913" s="45" t="n">
        <v>7</v>
      </c>
      <c r="L913" s="46" t="n"/>
      <c r="M913" s="47" t="n"/>
      <c r="N913" s="47" t="inlineStr">
        <is>
          <t>UCor_9jRnNNZVzTuQ92PKsaQ</t>
        </is>
      </c>
      <c r="O913" s="48" t="n">
        <v>45058.9375</v>
      </c>
      <c r="P913" s="49" t="n">
        <v>45058</v>
      </c>
      <c r="Q913" s="47" t="n">
        <v>2355</v>
      </c>
      <c r="R913" s="47" t="inlineStr">
        <is>
          <t>No Video ID yet</t>
        </is>
      </c>
      <c r="S913" s="49" t="n"/>
      <c r="T913" s="49" t="n"/>
      <c r="U913" s="47" t="inlineStr">
        <is>
          <t>This week Scarlet And Violet POPS OFF</t>
        </is>
      </c>
      <c r="V913" s="47">
        <f>IF(AND(P913&gt;=Calendar!$K$2,P913&lt;EDATE(Calendar!$K$2,1),OR(Calendar!$K$4="*",N913=Calendar!$K$4)),P913*100+COUNTIFS($P$6:$P$3267,P913,$Q$6:$Q$3267,"&lt;="&amp;Q913,$N$6:$N$3267,Calendar!$K$4),"")</f>
        <v/>
      </c>
      <c r="W913" s="47">
        <f>IF(AND(B913=Queue!$C$4,OR(Queue!$K$4="*",N913=Queue!$K$4)),Q913,"")</f>
        <v/>
      </c>
    </row>
    <row r="914">
      <c r="A914" s="38">
        <f>IF(M914="","",HYPERLINK("https://www.youtube.com/watch?v="&amp;M914,"▶"))</f>
        <v/>
      </c>
      <c r="B914" s="39">
        <f>IF(C914&lt;&gt;"",C914,IF(P914&lt;=IFERROR(INDEX(tblChannels[Watched Through],MATCH(N914,tblChannels[Channel ID],0)),0),"Watched","Unwatched"))</f>
        <v/>
      </c>
      <c r="C914" s="40" t="n"/>
      <c r="D914" s="41" t="n"/>
      <c r="E914" s="42" t="n">
        <v>45058.70277777778</v>
      </c>
      <c r="F914" s="50" t="inlineStr">
        <is>
          <t>Super Carlin Brothers</t>
        </is>
      </c>
      <c r="G914" t="inlineStr">
        <is>
          <t>What If Crookshanks KILLED Wormtail | Harry Potter Film Theory</t>
        </is>
      </c>
      <c r="H914" s="44" t="n">
        <v>0.02131944444444444</v>
      </c>
      <c r="I914" s="45" t="n">
        <v>603341</v>
      </c>
      <c r="J914" s="45" t="n">
        <v>15306</v>
      </c>
      <c r="K914" s="45" t="n">
        <v>1407</v>
      </c>
      <c r="L914" s="46" t="n"/>
      <c r="M914" s="47" t="n"/>
      <c r="N914" s="47" t="inlineStr">
        <is>
          <t>UCKZo4N0lVPccBkSiuyVh4yg</t>
        </is>
      </c>
      <c r="O914" s="48" t="n">
        <v>45058.86944444444</v>
      </c>
      <c r="P914" s="49" t="n">
        <v>45058</v>
      </c>
      <c r="Q914" s="47" t="n">
        <v>2354</v>
      </c>
      <c r="R914" s="47" t="inlineStr">
        <is>
          <t>No Video ID yet</t>
        </is>
      </c>
      <c r="S914" s="49" t="n"/>
      <c r="T914" s="49" t="n"/>
      <c r="U914" s="47" t="inlineStr">
        <is>
          <t>Today Ben dives into the Wizarding World of Harry Potter to ask What If Crookshanks killed Wormtail aka Scabbers aka Peter Pettigrew!? Does Voldemort return? Does Harry get to live with Sirius? Does Cedric still go with Cho to the Yule Ball (trust me it's all connected!) Coffee Bundle Box :: Come see us at RTX!</t>
        </is>
      </c>
      <c r="V914" s="47">
        <f>IF(AND(P914&gt;=Calendar!$K$2,P914&lt;EDATE(Calendar!$K$2,1),OR(Calendar!$K$4="*",N914=Calendar!$K$4)),P914*100+COUNTIFS($P$6:$P$3267,P914,$Q$6:$Q$3267,"&lt;="&amp;Q914,$N$6:$N$3267,Calendar!$K$4),"")</f>
        <v/>
      </c>
      <c r="W914" s="47">
        <f>IF(AND(B914=Queue!$C$4,OR(Queue!$K$4="*",N914=Queue!$K$4)),Q914,"")</f>
        <v/>
      </c>
    </row>
    <row r="915">
      <c r="A915" s="38">
        <f>IF(M915="","",HYPERLINK("https://www.youtube.com/watch?v="&amp;M915,"▶"))</f>
        <v/>
      </c>
      <c r="B915" s="39">
        <f>IF(C915&lt;&gt;"",C915,IF(P915&lt;=IFERROR(INDEX(tblChannels[Watched Through],MATCH(N915,tblChannels[Channel ID],0)),0),"Watched","Unwatched"))</f>
        <v/>
      </c>
      <c r="C915" s="40" t="n"/>
      <c r="D915" s="41" t="n"/>
      <c r="E915" s="42" t="n">
        <v>45058.41666666666</v>
      </c>
      <c r="F915" s="43" t="inlineStr">
        <is>
          <t>Popcorn Culture</t>
        </is>
      </c>
      <c r="G915" t="inlineStr">
        <is>
          <t>The Mighty Jolly Challenge | Popcorn Culture</t>
        </is>
      </c>
      <c r="H915" s="44" t="n">
        <v>0.05005787037037037</v>
      </c>
      <c r="I915" s="45" t="n">
        <v>4660</v>
      </c>
      <c r="J915" s="45" t="n">
        <v>255</v>
      </c>
      <c r="K915" s="45" t="n">
        <v>12</v>
      </c>
      <c r="L915" s="46" t="n"/>
      <c r="M915" s="47" t="n"/>
      <c r="N915" s="47" t="inlineStr">
        <is>
          <t>UCHfIbq9thHPC8yrKjAdJgDA</t>
        </is>
      </c>
      <c r="O915" s="48" t="n">
        <v>45058.58333333334</v>
      </c>
      <c r="P915" s="49" t="n">
        <v>45058</v>
      </c>
      <c r="Q915" s="47" t="n">
        <v>2353</v>
      </c>
      <c r="R915" s="47" t="inlineStr">
        <is>
          <t>No Video ID yet</t>
        </is>
      </c>
      <c r="S915" s="49" t="n"/>
      <c r="T915" s="49" t="n"/>
      <c r="U915" s="47" t="inlineStr">
        <is>
          <t>In the 179th episode of the Pop, Ben and J discus two crazy challenges, J’s new garden, Ben’s rototiller, homesteading, J’s continued shower saga, irrigation issues, and Ben finally ordering a guitar. Mighty Jolly’s Tik Tok - Come see us at RTX - May Murph Quest Tiny Clots Welcome to Having a House with Dads IT CAN BE DONE! 00:00 - Intro, Mike’s Challenge 25:21 - Planting J’s garden 39:37 - Ongoing Shower issues 1:00:03 - Gortar</t>
        </is>
      </c>
      <c r="V915" s="47">
        <f>IF(AND(P915&gt;=Calendar!$K$2,P915&lt;EDATE(Calendar!$K$2,1),OR(Calendar!$K$4="*",N915=Calendar!$K$4)),P915*100+COUNTIFS($P$6:$P$3267,P915,$Q$6:$Q$3267,"&lt;="&amp;Q915,$N$6:$N$3267,Calendar!$K$4),"")</f>
        <v/>
      </c>
      <c r="W915" s="47">
        <f>IF(AND(B915=Queue!$C$4,OR(Queue!$K$4="*",N915=Queue!$K$4)),Q915,"")</f>
        <v/>
      </c>
    </row>
    <row r="916">
      <c r="A916" s="38">
        <f>IF(M916="","",HYPERLINK("https://www.youtube.com/watch?v="&amp;M916,"▶"))</f>
        <v/>
      </c>
      <c r="B916" s="39">
        <f>IF(C916&lt;&gt;"",C916,IF(P916&lt;=IFERROR(INDEX(tblChannels[Watched Through],MATCH(N916,tblChannels[Channel ID],0)),0),"Watched","Unwatched"))</f>
        <v/>
      </c>
      <c r="C916" s="40" t="n"/>
      <c r="D916" s="41" t="n"/>
      <c r="E916" s="42" t="n">
        <v>45056.69305555556</v>
      </c>
      <c r="F916" s="50" t="inlineStr">
        <is>
          <t>Super Carlin Brothers</t>
        </is>
      </c>
      <c r="G916" t="inlineStr">
        <is>
          <t>J vs Ben: ULTIMATE Harry Potter Magical Transportation TRIVIA Quiz</t>
        </is>
      </c>
      <c r="H916" s="44" t="n">
        <v>0.02219907407407407</v>
      </c>
      <c r="I916" s="45" t="n">
        <v>182200</v>
      </c>
      <c r="J916" s="45" t="n">
        <v>6173</v>
      </c>
      <c r="K916" s="45" t="n">
        <v>493</v>
      </c>
      <c r="L916" s="46" t="n"/>
      <c r="M916" s="47" t="n"/>
      <c r="N916" s="47" t="inlineStr">
        <is>
          <t>UCKZo4N0lVPccBkSiuyVh4yg</t>
        </is>
      </c>
      <c r="O916" s="48" t="n">
        <v>45056.85972222222</v>
      </c>
      <c r="P916" s="49" t="n">
        <v>45056</v>
      </c>
      <c r="Q916" s="47" t="n">
        <v>2352</v>
      </c>
      <c r="R916" s="47" t="inlineStr">
        <is>
          <t>No Video ID yet</t>
        </is>
      </c>
      <c r="S916" s="49" t="n"/>
      <c r="T916" s="49" t="n"/>
      <c r="U916" s="47" t="inlineStr">
        <is>
          <t>Go to to get PayPal Honey for free. Go to to get an extra three months free. Today J and Ben face off once more to find out who knows the most about magical transportation in the Wizarding World of Harry Potter! Kyber Candy :: Come see us at RTX! 02:26 - Q1: What color are Floo Powder flames? 03:24 - Q2: Who taught students how to fly? 04:13 - Q3: Who has a problem with Arthur's embargo on flying carpets? 06:13 - Q4: Where did the Hogwarts Express line end? 08:16 - Q5: What did Dumbledore turn into a portkey after Arthur's attack? 11:56 - Q6: Why were flying carpets outlawed? 13:29 - Q7: How old did students need to be to apparate? 14:23 - Q8: Which magical creature has Harry not traveled by? 15:40 - Q9: Which minister suggested the Hogwarts Express? 21:30 - Q10: Who drives the Knight Bus? 23:00 - Q11: What part of Ron's body got splinched? 24:42 - Q12: Why did Charlie Weasley fail his apparition test? 26:13 - Q13: What did the Beauxbaton horses drink? 27:21 - Q14: How did Harry travel in the Battle of the Seven Potters? 28:07 - Q15: What did Dumbledore turn into a portkey to send Harry from the ministry to his office?</t>
        </is>
      </c>
      <c r="V916" s="47">
        <f>IF(AND(P916&gt;=Calendar!$K$2,P916&lt;EDATE(Calendar!$K$2,1),OR(Calendar!$K$4="*",N916=Calendar!$K$4)),P916*100+COUNTIFS($P$6:$P$3267,P916,$Q$6:$Q$3267,"&lt;="&amp;Q916,$N$6:$N$3267,Calendar!$K$4),"")</f>
        <v/>
      </c>
      <c r="W916" s="47">
        <f>IF(AND(B916=Queue!$C$4,OR(Queue!$K$4="*",N916=Queue!$K$4)),Q916,"")</f>
        <v/>
      </c>
    </row>
    <row r="917">
      <c r="A917" s="38">
        <f>IF(M917="","",HYPERLINK("https://www.youtube.com/watch?v="&amp;M917,"▶"))</f>
        <v/>
      </c>
      <c r="B917" s="39">
        <f>IF(C917&lt;&gt;"",C917,IF(P917&lt;=IFERROR(INDEX(tblChannels[Watched Through],MATCH(N917,tblChannels[Channel ID],0)),0),"Watched","Unwatched"))</f>
        <v/>
      </c>
      <c r="C917" s="40" t="n"/>
      <c r="D917" s="41" t="n"/>
      <c r="E917" s="42" t="n">
        <v>45054.20347222222</v>
      </c>
      <c r="F917" s="52" t="inlineStr">
        <is>
          <t>Super Carlin Gaming</t>
        </is>
      </c>
      <c r="G917" t="inlineStr">
        <is>
          <t>LIVE! - Pokemon and Chill</t>
        </is>
      </c>
      <c r="H917" s="44" t="n">
        <v>0.04375</v>
      </c>
      <c r="I917" s="45" t="n">
        <v>1673</v>
      </c>
      <c r="J917" s="45" t="n">
        <v>74</v>
      </c>
      <c r="K917" s="45" t="n">
        <v>10</v>
      </c>
      <c r="L917" s="46" t="n"/>
      <c r="M917" s="47" t="n"/>
      <c r="N917" s="47" t="inlineStr">
        <is>
          <t>UCor_9jRnNNZVzTuQ92PKsaQ</t>
        </is>
      </c>
      <c r="O917" s="48" t="n">
        <v>45054.37013888889</v>
      </c>
      <c r="P917" s="49" t="n">
        <v>45054</v>
      </c>
      <c r="Q917" s="47" t="n">
        <v>2351</v>
      </c>
      <c r="R917" s="47" t="inlineStr">
        <is>
          <t>No Video ID yet</t>
        </is>
      </c>
      <c r="S917" s="49" t="n"/>
      <c r="T917" s="49" t="n"/>
      <c r="U917" s="47" t="inlineStr">
        <is>
          <t>Just hanging out playing some Pokemon Cards and chatting!</t>
        </is>
      </c>
      <c r="V917" s="47">
        <f>IF(AND(P917&gt;=Calendar!$K$2,P917&lt;EDATE(Calendar!$K$2,1),OR(Calendar!$K$4="*",N917=Calendar!$K$4)),P917*100+COUNTIFS($P$6:$P$3267,P917,$Q$6:$Q$3267,"&lt;="&amp;Q917,$N$6:$N$3267,Calendar!$K$4),"")</f>
        <v/>
      </c>
      <c r="W917" s="47">
        <f>IF(AND(B917=Queue!$C$4,OR(Queue!$K$4="*",N917=Queue!$K$4)),Q917,"")</f>
        <v/>
      </c>
    </row>
    <row r="918">
      <c r="A918" s="38">
        <f>IF(M918="","",HYPERLINK("https://www.youtube.com/watch?v="&amp;M918,"▶"))</f>
        <v/>
      </c>
      <c r="B918" s="39">
        <f>IF(C918&lt;&gt;"",C918,IF(P918&lt;=IFERROR(INDEX(tblChannels[Watched Through],MATCH(N918,tblChannels[Channel ID],0)),0),"Watched","Unwatched"))</f>
        <v/>
      </c>
      <c r="C918" s="40" t="n"/>
      <c r="D918" s="41" t="n"/>
      <c r="E918" s="42" t="n">
        <v>45053.625</v>
      </c>
      <c r="F918" s="50" t="inlineStr">
        <is>
          <t>Super Carlin Brothers</t>
        </is>
      </c>
      <c r="G918" t="inlineStr">
        <is>
          <t>Guardians of the Galaxy Vol. 3 is Marvel’s BEST Movie in Years! | REVIEW</t>
        </is>
      </c>
      <c r="H918" s="44" t="n">
        <v>0.03804398148148148</v>
      </c>
      <c r="I918" s="45" t="n">
        <v>113343</v>
      </c>
      <c r="J918" s="45" t="n">
        <v>4288</v>
      </c>
      <c r="K918" s="45" t="n">
        <v>538</v>
      </c>
      <c r="L918" s="46" t="n"/>
      <c r="M918" s="47" t="n"/>
      <c r="N918" s="47" t="inlineStr">
        <is>
          <t>UCKZo4N0lVPccBkSiuyVh4yg</t>
        </is>
      </c>
      <c r="O918" s="48" t="n">
        <v>45053.79166666666</v>
      </c>
      <c r="P918" s="49" t="n">
        <v>45053</v>
      </c>
      <c r="Q918" s="47" t="n">
        <v>2350</v>
      </c>
      <c r="R918" s="47" t="inlineStr">
        <is>
          <t>No Video ID yet</t>
        </is>
      </c>
      <c r="S918" s="49" t="n"/>
      <c r="T918" s="49" t="n"/>
      <c r="U918" s="47" t="inlineStr">
        <is>
          <t>Today J and Ben dive into the Marvel Cinematic Universe to give their full SPOILER REVIEW Guardians of the Galaxy Vol. 3 - Is it the best Marvel Movie since Endgame?? Kyber Candy :: Come see us at RTX! #supercarlinbrothers #GuardiansOfTheGalaxy #marvel</t>
        </is>
      </c>
      <c r="V918" s="47">
        <f>IF(AND(P918&gt;=Calendar!$K$2,P918&lt;EDATE(Calendar!$K$2,1),OR(Calendar!$K$4="*",N918=Calendar!$K$4)),P918*100+COUNTIFS($P$6:$P$3267,P918,$Q$6:$Q$3267,"&lt;="&amp;Q918,$N$6:$N$3267,Calendar!$K$4),"")</f>
        <v/>
      </c>
      <c r="W918" s="47">
        <f>IF(AND(B918=Queue!$C$4,OR(Queue!$K$4="*",N918=Queue!$K$4)),Q918,"")</f>
        <v/>
      </c>
    </row>
    <row r="919">
      <c r="A919" s="38">
        <f>IF(M919="","",HYPERLINK("https://www.youtube.com/watch?v="&amp;M919,"▶"))</f>
        <v/>
      </c>
      <c r="B919" s="39">
        <f>IF(C919&lt;&gt;"",C919,IF(P919&lt;=IFERROR(INDEX(tblChannels[Watched Through],MATCH(N919,tblChannels[Channel ID],0)),0),"Watched","Unwatched"))</f>
        <v/>
      </c>
      <c r="C919" s="40" t="n"/>
      <c r="D919" s="41" t="n"/>
      <c r="E919" s="42" t="n">
        <v>45051.77083333334</v>
      </c>
      <c r="F919" s="52" t="inlineStr">
        <is>
          <t>Super Carlin Gaming</t>
        </is>
      </c>
      <c r="G919" t="inlineStr">
        <is>
          <t>Team Fire Is On The Attack | Carlin Brothers Box Breakers S5E5</t>
        </is>
      </c>
      <c r="H919" s="44" t="n">
        <v>0.03537037037037037</v>
      </c>
      <c r="I919" s="45" t="n">
        <v>2175</v>
      </c>
      <c r="J919" s="45" t="n">
        <v>107</v>
      </c>
      <c r="K919" s="45" t="n">
        <v>10</v>
      </c>
      <c r="L919" s="46" t="n"/>
      <c r="M919" s="47" t="n"/>
      <c r="N919" s="47" t="inlineStr">
        <is>
          <t>UCor_9jRnNNZVzTuQ92PKsaQ</t>
        </is>
      </c>
      <c r="O919" s="48" t="n">
        <v>45051.9375</v>
      </c>
      <c r="P919" s="49" t="n">
        <v>45051</v>
      </c>
      <c r="Q919" s="47" t="n">
        <v>2349</v>
      </c>
      <c r="R919" s="47" t="inlineStr">
        <is>
          <t>No Video ID yet</t>
        </is>
      </c>
      <c r="S919" s="49" t="n"/>
      <c r="T919" s="49" t="n"/>
      <c r="U919" s="47" t="inlineStr">
        <is>
          <t>This week Scarlet And Violet HEATS UP</t>
        </is>
      </c>
      <c r="V919" s="47">
        <f>IF(AND(P919&gt;=Calendar!$K$2,P919&lt;EDATE(Calendar!$K$2,1),OR(Calendar!$K$4="*",N919=Calendar!$K$4)),P919*100+COUNTIFS($P$6:$P$3267,P919,$Q$6:$Q$3267,"&lt;="&amp;Q919,$N$6:$N$3267,Calendar!$K$4),"")</f>
        <v/>
      </c>
      <c r="W919" s="47">
        <f>IF(AND(B919=Queue!$C$4,OR(Queue!$K$4="*",N919=Queue!$K$4)),Q919,"")</f>
        <v/>
      </c>
    </row>
    <row r="920">
      <c r="A920" s="38">
        <f>IF(M920="","",HYPERLINK("https://www.youtube.com/watch?v="&amp;M920,"▶"))</f>
        <v/>
      </c>
      <c r="B920" s="39">
        <f>IF(C920&lt;&gt;"",C920,IF(P920&lt;=IFERROR(INDEX(tblChannels[Watched Through],MATCH(N920,tblChannels[Channel ID],0)),0),"Watched","Unwatched"))</f>
        <v/>
      </c>
      <c r="C920" s="40" t="n"/>
      <c r="D920" s="41" t="n"/>
      <c r="E920" s="42" t="n">
        <v>45051.62916666667</v>
      </c>
      <c r="F920" s="50" t="inlineStr">
        <is>
          <t>Super Carlin Brothers</t>
        </is>
      </c>
      <c r="G920" t="inlineStr">
        <is>
          <t>What If Mirabel DIED | Encanto Disney Film Theory</t>
        </is>
      </c>
      <c r="H920" s="44" t="n">
        <v>0.01265046296296296</v>
      </c>
      <c r="I920" s="45" t="n">
        <v>163910</v>
      </c>
      <c r="J920" s="45" t="n">
        <v>4669</v>
      </c>
      <c r="K920" s="45" t="n">
        <v>297</v>
      </c>
      <c r="L920" s="46" t="n"/>
      <c r="M920" s="47" t="n"/>
      <c r="N920" s="47" t="inlineStr">
        <is>
          <t>UCKZo4N0lVPccBkSiuyVh4yg</t>
        </is>
      </c>
      <c r="O920" s="48" t="n">
        <v>45051.79583333333</v>
      </c>
      <c r="P920" s="49" t="n">
        <v>45051</v>
      </c>
      <c r="Q920" s="47" t="n">
        <v>2348</v>
      </c>
      <c r="R920" s="47" t="inlineStr">
        <is>
          <t>No Video ID yet</t>
        </is>
      </c>
      <c r="S920" s="49" t="n"/>
      <c r="T920" s="49" t="n"/>
      <c r="U920" s="47" t="inlineStr">
        <is>
          <t>Go to and use code SUPER to get free shipping on your goodr order. Today Ben dives into the Magical world of Encanto and the Family Madrigal to find out what would have happened if Casita had not been able to save Mirabel and she had died when the Miracle broke Kyber Candy :: Come see us at RTX!</t>
        </is>
      </c>
      <c r="V920" s="47">
        <f>IF(AND(P920&gt;=Calendar!$K$2,P920&lt;EDATE(Calendar!$K$2,1),OR(Calendar!$K$4="*",N920=Calendar!$K$4)),P920*100+COUNTIFS($P$6:$P$3267,P920,$Q$6:$Q$3267,"&lt;="&amp;Q920,$N$6:$N$3267,Calendar!$K$4),"")</f>
        <v/>
      </c>
      <c r="W920" s="47">
        <f>IF(AND(B920=Queue!$C$4,OR(Queue!$K$4="*",N920=Queue!$K$4)),Q920,"")</f>
        <v/>
      </c>
    </row>
    <row r="921">
      <c r="A921" s="38">
        <f>IF(M921="","",HYPERLINK("https://www.youtube.com/watch?v="&amp;M921,"▶"))</f>
        <v/>
      </c>
      <c r="B921" s="39">
        <f>IF(C921&lt;&gt;"",C921,IF(P921&lt;=IFERROR(INDEX(tblChannels[Watched Through],MATCH(N921,tblChannels[Channel ID],0)),0),"Watched","Unwatched"))</f>
        <v/>
      </c>
      <c r="C921" s="40" t="n"/>
      <c r="D921" s="41" t="n"/>
      <c r="E921" s="42" t="n">
        <v>45051.41666666666</v>
      </c>
      <c r="F921" s="43" t="inlineStr">
        <is>
          <t>Popcorn Culture</t>
        </is>
      </c>
      <c r="G921" t="inlineStr">
        <is>
          <t>The Mandela Effect of Catzilla | Popcorn Culture</t>
        </is>
      </c>
      <c r="H921" s="44" t="n">
        <v>0.04829861111111111</v>
      </c>
      <c r="I921" s="45" t="n">
        <v>4587</v>
      </c>
      <c r="J921" s="45" t="n">
        <v>236</v>
      </c>
      <c r="K921" s="45" t="n">
        <v>35</v>
      </c>
      <c r="L921" s="46" t="n"/>
      <c r="M921" s="47" t="n"/>
      <c r="N921" s="47" t="inlineStr">
        <is>
          <t>UCHfIbq9thHPC8yrKjAdJgDA</t>
        </is>
      </c>
      <c r="O921" s="48" t="n">
        <v>45051.58333333334</v>
      </c>
      <c r="P921" s="49" t="n">
        <v>45051</v>
      </c>
      <c r="Q921" s="47" t="n">
        <v>2347</v>
      </c>
      <c r="R921" s="47" t="inlineStr">
        <is>
          <t>No Video ID yet</t>
        </is>
      </c>
      <c r="S921" s="49" t="n"/>
      <c r="T921" s="49" t="n"/>
      <c r="U921" s="47" t="inlineStr">
        <is>
          <t>In the 178th episode of the Pop, Ben and J discuss The Social Network (the movie), things becoming vintage, the rarity of CDs, old cars, driving as a teenager, misremembering a childhood book, hydroponic tomatoes, gardening, spring cleaning, and permanent records. The Social Network - Dogzilla - Kat Kong - Who Sold The Most CDs? I Need to Prove the Matrix is Real Pumpkins Turn Orange, Confirmed A Tomato-y Joke It’s All About Memory 00:00 - Intro, Social Media and CDs 15:03 - Old Cars 27:47 - Catzilla 43:35 - A Tomato-y Joke 56:55 - Spring Cleaning</t>
        </is>
      </c>
      <c r="V921" s="47">
        <f>IF(AND(P921&gt;=Calendar!$K$2,P921&lt;EDATE(Calendar!$K$2,1),OR(Calendar!$K$4="*",N921=Calendar!$K$4)),P921*100+COUNTIFS($P$6:$P$3267,P921,$Q$6:$Q$3267,"&lt;="&amp;Q921,$N$6:$N$3267,Calendar!$K$4),"")</f>
        <v/>
      </c>
      <c r="W921" s="47">
        <f>IF(AND(B921=Queue!$C$4,OR(Queue!$K$4="*",N921=Queue!$K$4)),Q921,"")</f>
        <v/>
      </c>
    </row>
    <row r="922">
      <c r="A922" s="38">
        <f>IF(M922="","",HYPERLINK("https://www.youtube.com/watch?v="&amp;M922,"▶"))</f>
        <v/>
      </c>
      <c r="B922" s="39">
        <f>IF(C922&lt;&gt;"",C922,IF(P922&lt;=IFERROR(INDEX(tblChannels[Watched Through],MATCH(N922,tblChannels[Channel ID],0)),0),"Watched","Unwatched"))</f>
        <v/>
      </c>
      <c r="C922" s="40" t="n"/>
      <c r="D922" s="41" t="n"/>
      <c r="E922" s="42" t="n">
        <v>45049.66458333333</v>
      </c>
      <c r="F922" s="50" t="inlineStr">
        <is>
          <t>Super Carlin Brothers</t>
        </is>
      </c>
      <c r="G922" t="inlineStr">
        <is>
          <t>Top 10 Best (and Most EPIC) Star Wars Scenes Ever | Star Wars Film Theory</t>
        </is>
      </c>
      <c r="H922" s="44" t="n">
        <v>0.01668981481481481</v>
      </c>
      <c r="I922" s="45" t="n">
        <v>58093</v>
      </c>
      <c r="J922" s="45" t="n">
        <v>3166</v>
      </c>
      <c r="K922" s="45" t="n">
        <v>516</v>
      </c>
      <c r="L922" s="46" t="n"/>
      <c r="M922" s="47" t="n"/>
      <c r="N922" s="47" t="inlineStr">
        <is>
          <t>UCKZo4N0lVPccBkSiuyVh4yg</t>
        </is>
      </c>
      <c r="O922" s="48" t="n">
        <v>45049.83125</v>
      </c>
      <c r="P922" s="49" t="n">
        <v>45049</v>
      </c>
      <c r="Q922" s="47" t="n">
        <v>2346</v>
      </c>
      <c r="R922" s="47" t="inlineStr">
        <is>
          <t>No Video ID yet</t>
        </is>
      </c>
      <c r="S922" s="49" t="n"/>
      <c r="T922" s="49" t="n"/>
      <c r="U922" s="47" t="inlineStr">
        <is>
          <t>Go to to get 25% off your first order and free standard shipping. In celebration of Star Wars week today J dives into the Star Wars Galaxy to count down the TOP 10 Moments EVER in Star Wars Kyber Candy :: Come see us at RTX! 02:10 - #10: Vader Throws Down 04:19 - #9: One Way Out 05:57 - #8: You Need A Pilot 07:24 - #7: Rey Pulls The Saber 09:13 - #6: There Is No Try 10:39 - #5: I Love You. I Know. 13:35 - #4: Duel Of The Fates 15:49 - #3: You Were The Chosen One 16:43 - #2: I Am No Jedi 20:56 - #1: Jar Jar Binks #supercarlinbrothers #StarWars #Top10</t>
        </is>
      </c>
      <c r="V922" s="47">
        <f>IF(AND(P922&gt;=Calendar!$K$2,P922&lt;EDATE(Calendar!$K$2,1),OR(Calendar!$K$4="*",N922=Calendar!$K$4)),P922*100+COUNTIFS($P$6:$P$3267,P922,$Q$6:$Q$3267,"&lt;="&amp;Q922,$N$6:$N$3267,Calendar!$K$4),"")</f>
        <v/>
      </c>
      <c r="W922" s="47">
        <f>IF(AND(B922=Queue!$C$4,OR(Queue!$K$4="*",N922=Queue!$K$4)),Q922,"")</f>
        <v/>
      </c>
    </row>
    <row r="923">
      <c r="A923" s="38">
        <f>IF(M923="","",HYPERLINK("https://www.youtube.com/watch?v="&amp;M923,"▶"))</f>
        <v/>
      </c>
      <c r="B923" s="39">
        <f>IF(C923&lt;&gt;"",C923,IF(P923&lt;=IFERROR(INDEX(tblChannels[Watched Through],MATCH(N923,tblChannels[Channel ID],0)),0),"Watched","Unwatched"))</f>
        <v/>
      </c>
      <c r="C923" s="40" t="n"/>
      <c r="D923" s="41" t="n"/>
      <c r="E923" s="42" t="n">
        <v>45044.79166666666</v>
      </c>
      <c r="F923" s="52" t="inlineStr">
        <is>
          <t>Super Carlin Gaming</t>
        </is>
      </c>
      <c r="G923" t="inlineStr">
        <is>
          <t>A CHALLENGER EMERGES | Carlin Brothers Box Breakers S5E4</t>
        </is>
      </c>
      <c r="H923" s="44" t="n">
        <v>0.0325462962962963</v>
      </c>
      <c r="I923" s="45" t="n">
        <v>2193</v>
      </c>
      <c r="J923" s="45" t="n">
        <v>111</v>
      </c>
      <c r="K923" s="45" t="n">
        <v>12</v>
      </c>
      <c r="L923" s="46" t="n"/>
      <c r="M923" s="47" t="n"/>
      <c r="N923" s="47" t="inlineStr">
        <is>
          <t>UCor_9jRnNNZVzTuQ92PKsaQ</t>
        </is>
      </c>
      <c r="O923" s="48" t="n">
        <v>45044.95833333334</v>
      </c>
      <c r="P923" s="49" t="n">
        <v>45044</v>
      </c>
      <c r="Q923" s="47" t="n">
        <v>2345</v>
      </c>
      <c r="R923" s="47" t="inlineStr">
        <is>
          <t>No Video ID yet</t>
        </is>
      </c>
      <c r="S923" s="49" t="n"/>
      <c r="T923" s="49" t="n"/>
      <c r="U923" s="47" t="inlineStr">
        <is>
          <t>This week Scarlet And Violet HEATS UP</t>
        </is>
      </c>
      <c r="V923" s="47">
        <f>IF(AND(P923&gt;=Calendar!$K$2,P923&lt;EDATE(Calendar!$K$2,1),OR(Calendar!$K$4="*",N923=Calendar!$K$4)),P923*100+COUNTIFS($P$6:$P$3267,P923,$Q$6:$Q$3267,"&lt;="&amp;Q923,$N$6:$N$3267,Calendar!$K$4),"")</f>
        <v/>
      </c>
      <c r="W923" s="47">
        <f>IF(AND(B923=Queue!$C$4,OR(Queue!$K$4="*",N923=Queue!$K$4)),Q923,"")</f>
        <v/>
      </c>
    </row>
    <row r="924">
      <c r="A924" s="38">
        <f>IF(M924="","",HYPERLINK("https://www.youtube.com/watch?v="&amp;M924,"▶"))</f>
        <v/>
      </c>
      <c r="B924" s="39">
        <f>IF(C924&lt;&gt;"",C924,IF(P924&lt;=IFERROR(INDEX(tblChannels[Watched Through],MATCH(N924,tblChannels[Channel ID],0)),0),"Watched","Unwatched"))</f>
        <v/>
      </c>
      <c r="C924" s="40" t="n"/>
      <c r="D924" s="41" t="n"/>
      <c r="E924" s="42" t="n">
        <v>45044.70069444444</v>
      </c>
      <c r="F924" s="50" t="inlineStr">
        <is>
          <t>Super Carlin Brothers</t>
        </is>
      </c>
      <c r="G924" t="inlineStr">
        <is>
          <t>J vs Ben ULTIMATE Department of Mysteries Harry Potter TRIVIA Quiz</t>
        </is>
      </c>
      <c r="H924" s="44" t="n">
        <v>0.02127314814814815</v>
      </c>
      <c r="I924" s="45" t="n">
        <v>192572</v>
      </c>
      <c r="J924" s="45" t="n">
        <v>6537</v>
      </c>
      <c r="K924" s="45" t="n">
        <v>552</v>
      </c>
      <c r="L924" s="46" t="n"/>
      <c r="M924" s="47" t="n"/>
      <c r="N924" s="47" t="inlineStr">
        <is>
          <t>UCKZo4N0lVPccBkSiuyVh4yg</t>
        </is>
      </c>
      <c r="O924" s="48" t="n">
        <v>45044.86736111111</v>
      </c>
      <c r="P924" s="49" t="n">
        <v>45044</v>
      </c>
      <c r="Q924" s="47" t="n">
        <v>2344</v>
      </c>
      <c r="R924" s="47" t="inlineStr">
        <is>
          <t>No Video ID yet</t>
        </is>
      </c>
      <c r="S924" s="49" t="n"/>
      <c r="T924" s="49" t="n"/>
      <c r="U924" s="47" t="inlineStr">
        <is>
          <t>Go to and use code jvsb50 for 50% off, plus your first box ships free! Go to to try 5 pairs of glasses at home. Come see us at RTX! Play Along with us :: Today Ben and J face off once more to find out who knows more about the Wizarding World and the oh so mysterious and appropriately named: Department of Mysteries! 01:25 - Q1: What are Dept. of Mysteries employees called? 02:14 - Q2: Which unspeakable was killed by Devil's Snare? 03:27 - Q3: How many doors are there? 04:47 - Q4: Who was attacked by Nagini? 06:17 - Q5: Who did Harry think Voldemort was torturing? 07:28 - Q6: Which Death Eater got a baby head? 10:17 - Q7: Which DA member did not join them? 11:02 - Q8: How many recovery potions did Hermione need? 17:08 - Q9: What spell marks the doors? 21:05 - Q10: What spell do the DA kids use to escape? 23:05 - Q11: Which death eater kills Sirius Black? 24:09 - Q12: What row was the prophesy on? 25:06 - Q13: What suffocated Ron? 26:20 - Q14: Who kicked the prophesy? 27:34 - Q15: Who can remove prophesies from their shelves? # supercarlinbrothers #HarryPotter #JvsBen</t>
        </is>
      </c>
      <c r="V924" s="47">
        <f>IF(AND(P924&gt;=Calendar!$K$2,P924&lt;EDATE(Calendar!$K$2,1),OR(Calendar!$K$4="*",N924=Calendar!$K$4)),P924*100+COUNTIFS($P$6:$P$3267,P924,$Q$6:$Q$3267,"&lt;="&amp;Q924,$N$6:$N$3267,Calendar!$K$4),"")</f>
        <v/>
      </c>
      <c r="W924" s="47">
        <f>IF(AND(B924=Queue!$C$4,OR(Queue!$K$4="*",N924=Queue!$K$4)),Q924,"")</f>
        <v/>
      </c>
    </row>
    <row r="925">
      <c r="A925" s="38">
        <f>IF(M925="","",HYPERLINK("https://www.youtube.com/watch?v="&amp;M925,"▶"))</f>
        <v/>
      </c>
      <c r="B925" s="39">
        <f>IF(C925&lt;&gt;"",C925,IF(P925&lt;=IFERROR(INDEX(tblChannels[Watched Through],MATCH(N925,tblChannels[Channel ID],0)),0),"Watched","Unwatched"))</f>
        <v/>
      </c>
      <c r="C925" s="40" t="n"/>
      <c r="D925" s="41" t="n"/>
      <c r="E925" s="42" t="n">
        <v>45044.41666666666</v>
      </c>
      <c r="F925" s="43" t="inlineStr">
        <is>
          <t>Popcorn Culture</t>
        </is>
      </c>
      <c r="G925" t="inlineStr">
        <is>
          <t>Ben Ran A Marathon! | Popcorn Culture</t>
        </is>
      </c>
      <c r="H925" s="44" t="n">
        <v>0.0484375</v>
      </c>
      <c r="I925" s="45" t="n">
        <v>4555</v>
      </c>
      <c r="J925" s="45" t="n">
        <v>242</v>
      </c>
      <c r="K925" s="45" t="n">
        <v>20</v>
      </c>
      <c r="L925" s="46" t="n"/>
      <c r="M925" s="47" t="n"/>
      <c r="N925" s="47" t="inlineStr">
        <is>
          <t>UCHfIbq9thHPC8yrKjAdJgDA</t>
        </is>
      </c>
      <c r="O925" s="48" t="n">
        <v>45044.58333333334</v>
      </c>
      <c r="P925" s="49" t="n">
        <v>45044</v>
      </c>
      <c r="Q925" s="47" t="n">
        <v>2343</v>
      </c>
      <c r="R925" s="47" t="inlineStr">
        <is>
          <t>No Video ID yet</t>
        </is>
      </c>
      <c r="S925" s="49" t="n"/>
      <c r="T925" s="49" t="n"/>
      <c r="U925" s="47" t="inlineStr">
        <is>
          <t>In the 177th episode of the Pop, Ben and J discuss the crossword puzzle brain, song covers, Ben’s marathon, honky tonks, J’s maybe addiction to walking, and J taking Luke to the rock climbing gym for the first time. Reply All Episode - Boom! Bowling Green! All Ubers Are Camris Luke’s a Climbing Natural 00:00 - Intro/ Cold Open, and Multiple Tangents 12:48 - Ben’s Marathon Report! 52:26 - Luke’s First Time Rock Climbing</t>
        </is>
      </c>
      <c r="V925" s="47">
        <f>IF(AND(P925&gt;=Calendar!$K$2,P925&lt;EDATE(Calendar!$K$2,1),OR(Calendar!$K$4="*",N925=Calendar!$K$4)),P925*100+COUNTIFS($P$6:$P$3267,P925,$Q$6:$Q$3267,"&lt;="&amp;Q925,$N$6:$N$3267,Calendar!$K$4),"")</f>
        <v/>
      </c>
      <c r="W925" s="47">
        <f>IF(AND(B925=Queue!$C$4,OR(Queue!$K$4="*",N925=Queue!$K$4)),Q925,"")</f>
        <v/>
      </c>
    </row>
    <row r="926">
      <c r="A926" s="38">
        <f>IF(M926="","",HYPERLINK("https://www.youtube.com/watch?v="&amp;M926,"▶"))</f>
        <v/>
      </c>
      <c r="B926" s="39">
        <f>IF(C926&lt;&gt;"",C926,IF(P926&lt;=IFERROR(INDEX(tblChannels[Watched Through],MATCH(N926,tblChannels[Channel ID],0)),0),"Watched","Unwatched"))</f>
        <v/>
      </c>
      <c r="C926" s="40" t="n"/>
      <c r="D926" s="41" t="n"/>
      <c r="E926" s="42" t="n">
        <v>45042.61319444444</v>
      </c>
      <c r="F926" s="50" t="inlineStr">
        <is>
          <t>Super Carlin Brothers</t>
        </is>
      </c>
      <c r="G926" t="inlineStr">
        <is>
          <t>The TRUTH About Gusteau's Success | Ratatouille Pixar Film Theory</t>
        </is>
      </c>
      <c r="H926" s="44" t="n">
        <v>0.00974537037037037</v>
      </c>
      <c r="I926" s="45" t="n">
        <v>143077</v>
      </c>
      <c r="J926" s="45" t="n">
        <v>6556</v>
      </c>
      <c r="K926" s="45" t="n">
        <v>392</v>
      </c>
      <c r="L926" s="46" t="n"/>
      <c r="M926" s="47" t="n"/>
      <c r="N926" s="47" t="inlineStr">
        <is>
          <t>UCKZo4N0lVPccBkSiuyVh4yg</t>
        </is>
      </c>
      <c r="O926" s="48" t="n">
        <v>45042.77986111111</v>
      </c>
      <c r="P926" s="49" t="n">
        <v>45042</v>
      </c>
      <c r="Q926" s="47" t="n">
        <v>2342</v>
      </c>
      <c r="R926" s="47" t="inlineStr">
        <is>
          <t>No Video ID yet</t>
        </is>
      </c>
      <c r="S926" s="49" t="n"/>
      <c r="T926" s="49" t="n"/>
      <c r="U926" s="47" t="inlineStr">
        <is>
          <t>Go to and use code super50 to get 50% off your first box. Come see us at RTX! Today J dives into the wide world of the Pixar Universe to uncover Auguste Gusteau’s BIG Secret and the key to his success as such a young chef - HE HAD A RAT under his hat too! #supercarlinbrothers #Ratatouille #Pixar</t>
        </is>
      </c>
      <c r="V926" s="47">
        <f>IF(AND(P926&gt;=Calendar!$K$2,P926&lt;EDATE(Calendar!$K$2,1),OR(Calendar!$K$4="*",N926=Calendar!$K$4)),P926*100+COUNTIFS($P$6:$P$3267,P926,$Q$6:$Q$3267,"&lt;="&amp;Q926,$N$6:$N$3267,Calendar!$K$4),"")</f>
        <v/>
      </c>
      <c r="W926" s="47">
        <f>IF(AND(B926=Queue!$C$4,OR(Queue!$K$4="*",N926=Queue!$K$4)),Q926,"")</f>
        <v/>
      </c>
    </row>
    <row r="927">
      <c r="A927" s="38">
        <f>IF(M927="","",HYPERLINK("https://www.youtube.com/watch?v="&amp;M927,"▶"))</f>
        <v/>
      </c>
      <c r="B927" s="39">
        <f>IF(C927&lt;&gt;"",C927,IF(P927&lt;=IFERROR(INDEX(tblChannels[Watched Through],MATCH(N927,tblChannels[Channel ID],0)),0),"Watched","Unwatched"))</f>
        <v/>
      </c>
      <c r="C927" s="40" t="n"/>
      <c r="D927" s="41" t="n"/>
      <c r="E927" s="42" t="n">
        <v>45037.61527777778</v>
      </c>
      <c r="F927" s="50" t="inlineStr">
        <is>
          <t>Super Carlin Brothers</t>
        </is>
      </c>
      <c r="G927" t="inlineStr">
        <is>
          <t>The TRUTH About Ariel’s Mother | Disney Film Theory</t>
        </is>
      </c>
      <c r="H927" s="44" t="n">
        <v>0.01140046296296296</v>
      </c>
      <c r="I927" s="45" t="n">
        <v>212453</v>
      </c>
      <c r="J927" s="45" t="n">
        <v>8762</v>
      </c>
      <c r="K927" s="45" t="n">
        <v>654</v>
      </c>
      <c r="L927" s="46" t="n"/>
      <c r="M927" s="47" t="n"/>
      <c r="N927" s="47" t="inlineStr">
        <is>
          <t>UCKZo4N0lVPccBkSiuyVh4yg</t>
        </is>
      </c>
      <c r="O927" s="48" t="n">
        <v>45037.78194444445</v>
      </c>
      <c r="P927" s="49" t="n">
        <v>45037</v>
      </c>
      <c r="Q927" s="47" t="n">
        <v>2341</v>
      </c>
      <c r="R927" s="47" t="inlineStr">
        <is>
          <t>No Video ID yet</t>
        </is>
      </c>
      <c r="S927" s="49" t="n"/>
      <c r="T927" s="49" t="n"/>
      <c r="U927" s="47" t="inlineStr">
        <is>
          <t>Go to to get PayPal Honey for free. Come see us at RTX! Today Ben dives into the ocean of The Little Mermaid to discuss what happened to Ariel's mother that left Triton a widower and his daughters without a mother! Was she killed? Did she abandon them? Was she HUMAN!? And did Ursula have anything to do with it?! Plus what will happen in the Live Action Little Mermaid coming out soon! #supercarlinbrothers #TheLittleMermaid #Disney 00:00 Introduction 01:52 Background 11:06 Live Action Theories 00:00 Introduction 01:52 Background 11:06 Live Action Theories</t>
        </is>
      </c>
      <c r="V927" s="47">
        <f>IF(AND(P927&gt;=Calendar!$K$2,P927&lt;EDATE(Calendar!$K$2,1),OR(Calendar!$K$4="*",N927=Calendar!$K$4)),P927*100+COUNTIFS($P$6:$P$3267,P927,$Q$6:$Q$3267,"&lt;="&amp;Q927,$N$6:$N$3267,Calendar!$K$4),"")</f>
        <v/>
      </c>
      <c r="W927" s="47">
        <f>IF(AND(B927=Queue!$C$4,OR(Queue!$K$4="*",N927=Queue!$K$4)),Q927,"")</f>
        <v/>
      </c>
    </row>
    <row r="928">
      <c r="A928" s="38">
        <f>IF(M928="","",HYPERLINK("https://www.youtube.com/watch?v="&amp;M928,"▶"))</f>
        <v/>
      </c>
      <c r="B928" s="39">
        <f>IF(C928&lt;&gt;"",C928,IF(P928&lt;=IFERROR(INDEX(tblChannels[Watched Through],MATCH(N928,tblChannels[Channel ID],0)),0),"Watched","Unwatched"))</f>
        <v/>
      </c>
      <c r="C928" s="40" t="n"/>
      <c r="D928" s="41" t="n"/>
      <c r="E928" s="42" t="n">
        <v>45037.41666666666</v>
      </c>
      <c r="F928" s="43" t="inlineStr">
        <is>
          <t>Popcorn Culture</t>
        </is>
      </c>
      <c r="G928" t="inlineStr">
        <is>
          <t>Right is the Wrong Word | Popcorn Culture</t>
        </is>
      </c>
      <c r="H928" s="44" t="n">
        <v>0.04538194444444445</v>
      </c>
      <c r="I928" s="45" t="n">
        <v>4849</v>
      </c>
      <c r="J928" s="45" t="n">
        <v>238</v>
      </c>
      <c r="K928" s="45" t="n">
        <v>17</v>
      </c>
      <c r="L928" s="46" t="n"/>
      <c r="M928" s="47" t="n"/>
      <c r="N928" s="47" t="inlineStr">
        <is>
          <t>UCHfIbq9thHPC8yrKjAdJgDA</t>
        </is>
      </c>
      <c r="O928" s="48" t="n">
        <v>45037.58333333334</v>
      </c>
      <c r="P928" s="49" t="n">
        <v>45037</v>
      </c>
      <c r="Q928" s="47" t="n">
        <v>2340</v>
      </c>
      <c r="R928" s="47" t="inlineStr">
        <is>
          <t>No Video ID yet</t>
        </is>
      </c>
      <c r="S928" s="49" t="n"/>
      <c r="T928" s="49" t="n"/>
      <c r="U928" s="47" t="inlineStr">
        <is>
          <t>In the 176th episode of the Pop, Ben and J discuss Ben’s marathon this weekend, J’s Pokémon tournament last weekend, restaurants taking way too long, cutthroat games, being right, reality shows, and taking Luke to the Mario Movie. Track Ben’s Marathon Progress: (on the morning of 4/22/23) Love is Blind: Love Island: Super Mario Brothers Movie: Cutthroat Mario Party Luke’s Movie Roller Coaster Nothing Scarier than What’s Possible 00:00 - Intro, Ben’s Marathon! 06:34 - Pokemon Tournament Update 11:16 - How Long Do You Wait for Food? 23:17 - Being Right… But 48:02 - Luke’s Mario Movie Experience</t>
        </is>
      </c>
      <c r="V928" s="47">
        <f>IF(AND(P928&gt;=Calendar!$K$2,P928&lt;EDATE(Calendar!$K$2,1),OR(Calendar!$K$4="*",N928=Calendar!$K$4)),P928*100+COUNTIFS($P$6:$P$3267,P928,$Q$6:$Q$3267,"&lt;="&amp;Q928,$N$6:$N$3267,Calendar!$K$4),"")</f>
        <v/>
      </c>
      <c r="W928" s="47">
        <f>IF(AND(B928=Queue!$C$4,OR(Queue!$K$4="*",N928=Queue!$K$4)),Q928,"")</f>
        <v/>
      </c>
    </row>
    <row r="929">
      <c r="A929" s="38">
        <f>IF(M929="","",HYPERLINK("https://www.youtube.com/watch?v="&amp;M929,"▶"))</f>
        <v/>
      </c>
      <c r="B929" s="39">
        <f>IF(C929&lt;&gt;"",C929,IF(P929&lt;=IFERROR(INDEX(tblChannels[Watched Through],MATCH(N929,tblChannels[Channel ID],0)),0),"Watched","Unwatched"))</f>
        <v/>
      </c>
      <c r="C929" s="40" t="n"/>
      <c r="D929" s="41" t="n"/>
      <c r="E929" s="42" t="n">
        <v>45036.77083333334</v>
      </c>
      <c r="F929" s="52" t="inlineStr">
        <is>
          <t>Super Carlin Gaming</t>
        </is>
      </c>
      <c r="G929" t="inlineStr">
        <is>
          <t>WE STRUCK GOLD AGAIN! | Carlin Brothers Box Breakers S5/E3</t>
        </is>
      </c>
      <c r="H929" s="44" t="n">
        <v>0.03789351851851852</v>
      </c>
      <c r="I929" s="45" t="n">
        <v>2462</v>
      </c>
      <c r="J929" s="45" t="n">
        <v>125</v>
      </c>
      <c r="K929" s="45" t="n">
        <v>17</v>
      </c>
      <c r="L929" s="46" t="n"/>
      <c r="M929" s="47" t="n"/>
      <c r="N929" s="47" t="inlineStr">
        <is>
          <t>UCor_9jRnNNZVzTuQ92PKsaQ</t>
        </is>
      </c>
      <c r="O929" s="48" t="n">
        <v>45036.9375</v>
      </c>
      <c r="P929" s="49" t="n">
        <v>45036</v>
      </c>
      <c r="Q929" s="47" t="n">
        <v>2339</v>
      </c>
      <c r="R929" s="47" t="inlineStr">
        <is>
          <t>No Video ID yet</t>
        </is>
      </c>
      <c r="S929" s="49" t="n"/>
      <c r="T929" s="49" t="n"/>
      <c r="U929" s="47" t="inlineStr">
        <is>
          <t>This week Scarlet And Violet COMES BACK STRONG</t>
        </is>
      </c>
      <c r="V929" s="47">
        <f>IF(AND(P929&gt;=Calendar!$K$2,P929&lt;EDATE(Calendar!$K$2,1),OR(Calendar!$K$4="*",N929=Calendar!$K$4)),P929*100+COUNTIFS($P$6:$P$3267,P929,$Q$6:$Q$3267,"&lt;="&amp;Q929,$N$6:$N$3267,Calendar!$K$4),"")</f>
        <v/>
      </c>
      <c r="W929" s="47">
        <f>IF(AND(B929=Queue!$C$4,OR(Queue!$K$4="*",N929=Queue!$K$4)),Q929,"")</f>
        <v/>
      </c>
    </row>
    <row r="930">
      <c r="A930" s="38">
        <f>IF(M930="","",HYPERLINK("https://www.youtube.com/watch?v="&amp;M930,"▶"))</f>
        <v/>
      </c>
      <c r="B930" s="39">
        <f>IF(C930&lt;&gt;"",C930,IF(P930&lt;=IFERROR(INDEX(tblChannels[Watched Through],MATCH(N930,tblChannels[Channel ID],0)),0),"Watched","Unwatched"))</f>
        <v/>
      </c>
      <c r="C930" s="40" t="n"/>
      <c r="D930" s="41" t="n"/>
      <c r="E930" s="42" t="n">
        <v>45035.55347222222</v>
      </c>
      <c r="F930" s="50" t="inlineStr">
        <is>
          <t>Super Carlin Brothers</t>
        </is>
      </c>
      <c r="G930" t="inlineStr">
        <is>
          <t>The Little Mermaid Makes NO Sense | Disney Film Theory</t>
        </is>
      </c>
      <c r="H930" s="44" t="n">
        <v>0.01162037037037037</v>
      </c>
      <c r="I930" s="45" t="n">
        <v>133348</v>
      </c>
      <c r="J930" s="45" t="n">
        <v>6759</v>
      </c>
      <c r="K930" s="45" t="n">
        <v>823</v>
      </c>
      <c r="L930" s="46" t="n"/>
      <c r="M930" s="47" t="n"/>
      <c r="N930" s="47" t="inlineStr">
        <is>
          <t>UCKZo4N0lVPccBkSiuyVh4yg</t>
        </is>
      </c>
      <c r="O930" s="48" t="n">
        <v>45035.72013888889</v>
      </c>
      <c r="P930" s="49" t="n">
        <v>45035</v>
      </c>
      <c r="Q930" s="47" t="n">
        <v>2338</v>
      </c>
      <c r="R930" s="47" t="inlineStr">
        <is>
          <t>No Video ID yet</t>
        </is>
      </c>
      <c r="S930" s="49" t="n"/>
      <c r="T930" s="49" t="n"/>
      <c r="U930" s="47" t="inlineStr">
        <is>
          <t>Come see us at RTX! Today J dives into the ocean of The Little Mermaid to discuss how it makes NO SENSE at all - Seriously why didnt Ariel just write stuff down for Eric to read? And can he understand the sea creatures or not? #supercarlinbrothers #TheLittleMermaid #Disney</t>
        </is>
      </c>
      <c r="V930" s="47">
        <f>IF(AND(P930&gt;=Calendar!$K$2,P930&lt;EDATE(Calendar!$K$2,1),OR(Calendar!$K$4="*",N930=Calendar!$K$4)),P930*100+COUNTIFS($P$6:$P$3267,P930,$Q$6:$Q$3267,"&lt;="&amp;Q930,$N$6:$N$3267,Calendar!$K$4),"")</f>
        <v/>
      </c>
      <c r="W930" s="47">
        <f>IF(AND(B930=Queue!$C$4,OR(Queue!$K$4="*",N930=Queue!$K$4)),Q930,"")</f>
        <v/>
      </c>
    </row>
    <row r="931">
      <c r="A931" s="38">
        <f>IF(M931="","",HYPERLINK("https://www.youtube.com/watch?v="&amp;M931,"▶"))</f>
        <v/>
      </c>
      <c r="B931" s="39">
        <f>IF(C931&lt;&gt;"",C931,IF(P931&lt;=IFERROR(INDEX(tblChannels[Watched Through],MATCH(N931,tblChannels[Channel ID],0)),0),"Watched","Unwatched"))</f>
        <v/>
      </c>
      <c r="C931" s="40" t="n"/>
      <c r="D931" s="41" t="n"/>
      <c r="E931" s="42" t="n">
        <v>45030.77083333334</v>
      </c>
      <c r="F931" s="52" t="inlineStr">
        <is>
          <t>Super Carlin Gaming</t>
        </is>
      </c>
      <c r="G931" t="inlineStr">
        <is>
          <t>This Scarlet &amp; Violet Booster Box Was STACKED | Carlin Brothers Box Breakers S5E1</t>
        </is>
      </c>
      <c r="H931" s="44" t="n">
        <v>0.03815972222222222</v>
      </c>
      <c r="I931" s="45" t="n">
        <v>2776</v>
      </c>
      <c r="J931" s="45" t="n">
        <v>139</v>
      </c>
      <c r="K931" s="45" t="n">
        <v>21</v>
      </c>
      <c r="L931" s="46" t="n"/>
      <c r="M931" s="47" t="n"/>
      <c r="N931" s="47" t="inlineStr">
        <is>
          <t>UCor_9jRnNNZVzTuQ92PKsaQ</t>
        </is>
      </c>
      <c r="O931" s="48" t="n">
        <v>45030.9375</v>
      </c>
      <c r="P931" s="49" t="n">
        <v>45030</v>
      </c>
      <c r="Q931" s="47" t="n">
        <v>2337</v>
      </c>
      <c r="R931" s="47" t="inlineStr">
        <is>
          <t>No Video ID yet</t>
        </is>
      </c>
      <c r="S931" s="49" t="n"/>
      <c r="T931" s="49" t="n"/>
      <c r="U931" s="47" t="inlineStr">
        <is>
          <t>This week Scarlet And Violet DELIVERS THE HEAT</t>
        </is>
      </c>
      <c r="V931" s="47">
        <f>IF(AND(P931&gt;=Calendar!$K$2,P931&lt;EDATE(Calendar!$K$2,1),OR(Calendar!$K$4="*",N931=Calendar!$K$4)),P931*100+COUNTIFS($P$6:$P$3267,P931,$Q$6:$Q$3267,"&lt;="&amp;Q931,$N$6:$N$3267,Calendar!$K$4),"")</f>
        <v/>
      </c>
      <c r="W931" s="47">
        <f>IF(AND(B931=Queue!$C$4,OR(Queue!$K$4="*",N931=Queue!$K$4)),Q931,"")</f>
        <v/>
      </c>
    </row>
    <row r="932">
      <c r="A932" s="38">
        <f>IF(M932="","",HYPERLINK("https://www.youtube.com/watch?v="&amp;M932,"▶"))</f>
        <v/>
      </c>
      <c r="B932" s="39">
        <f>IF(C932&lt;&gt;"",C932,IF(P932&lt;=IFERROR(INDEX(tblChannels[Watched Through],MATCH(N932,tblChannels[Channel ID],0)),0),"Watched","Unwatched"))</f>
        <v/>
      </c>
      <c r="C932" s="40" t="n"/>
      <c r="D932" s="41" t="n"/>
      <c r="E932" s="42" t="n">
        <v>45030.62430555555</v>
      </c>
      <c r="F932" s="50" t="inlineStr">
        <is>
          <t>Super Carlin Brothers</t>
        </is>
      </c>
      <c r="G932" t="inlineStr">
        <is>
          <t>What If ONLY Cedric Touched The Tri-Wizard Cup | Harry Potter Film Theory</t>
        </is>
      </c>
      <c r="H932" s="44" t="n">
        <v>0.0128125</v>
      </c>
      <c r="I932" s="45" t="n">
        <v>454874</v>
      </c>
      <c r="J932" s="45" t="n">
        <v>12411</v>
      </c>
      <c r="K932" s="45" t="n">
        <v>1075</v>
      </c>
      <c r="L932" s="46" t="n"/>
      <c r="M932" s="47" t="n"/>
      <c r="N932" s="47" t="inlineStr">
        <is>
          <t>UCKZo4N0lVPccBkSiuyVh4yg</t>
        </is>
      </c>
      <c r="O932" s="48" t="n">
        <v>45030.79097222222</v>
      </c>
      <c r="P932" s="49" t="n">
        <v>45030</v>
      </c>
      <c r="Q932" s="47" t="n">
        <v>2336</v>
      </c>
      <c r="R932" s="47" t="inlineStr">
        <is>
          <t>No Video ID yet</t>
        </is>
      </c>
      <c r="S932" s="49" t="n"/>
      <c r="T932" s="49" t="n"/>
      <c r="U932" s="47" t="inlineStr">
        <is>
          <t>Get 20% off your first monthly box when you sign up at Come see us at RTX! Today Ben dives into the Wizaring World of Harry Potter to find out what woud have happened if ONLY Cedric touched the Tri-Wizard Cup and was transported to the graveyard to face Voldemort?! Would he still die? Would Voldemort return at all/?</t>
        </is>
      </c>
      <c r="V932" s="47">
        <f>IF(AND(P932&gt;=Calendar!$K$2,P932&lt;EDATE(Calendar!$K$2,1),OR(Calendar!$K$4="*",N932=Calendar!$K$4)),P932*100+COUNTIFS($P$6:$P$3267,P932,$Q$6:$Q$3267,"&lt;="&amp;Q932,$N$6:$N$3267,Calendar!$K$4),"")</f>
        <v/>
      </c>
      <c r="W932" s="47">
        <f>IF(AND(B932=Queue!$C$4,OR(Queue!$K$4="*",N932=Queue!$K$4)),Q932,"")</f>
        <v/>
      </c>
    </row>
    <row r="933">
      <c r="A933" s="38">
        <f>IF(M933="","",HYPERLINK("https://www.youtube.com/watch?v="&amp;M933,"▶"))</f>
        <v/>
      </c>
      <c r="B933" s="39">
        <f>IF(C933&lt;&gt;"",C933,IF(P933&lt;=IFERROR(INDEX(tblChannels[Watched Through],MATCH(N933,tblChannels[Channel ID],0)),0),"Watched","Unwatched"))</f>
        <v/>
      </c>
      <c r="C933" s="40" t="n"/>
      <c r="D933" s="41" t="n"/>
      <c r="E933" s="42" t="n">
        <v>45030.41666666666</v>
      </c>
      <c r="F933" s="43" t="inlineStr">
        <is>
          <t>Popcorn Culture</t>
        </is>
      </c>
      <c r="G933" t="inlineStr">
        <is>
          <t>Ben Is Ted Lasso: CONFIRMED! | Popcorn Culture</t>
        </is>
      </c>
      <c r="H933" s="44" t="n">
        <v>0.0443287037037037</v>
      </c>
      <c r="I933" s="45" t="n">
        <v>4562</v>
      </c>
      <c r="J933" s="45" t="n">
        <v>241</v>
      </c>
      <c r="K933" s="45" t="n">
        <v>38</v>
      </c>
      <c r="L933" s="46" t="n"/>
      <c r="M933" s="47" t="n"/>
      <c r="N933" s="47" t="inlineStr">
        <is>
          <t>UCHfIbq9thHPC8yrKjAdJgDA</t>
        </is>
      </c>
      <c r="O933" s="48" t="n">
        <v>45030.58333333334</v>
      </c>
      <c r="P933" s="49" t="n">
        <v>45030</v>
      </c>
      <c r="Q933" s="47" t="n">
        <v>2335</v>
      </c>
      <c r="R933" s="47" t="inlineStr">
        <is>
          <t>No Video ID yet</t>
        </is>
      </c>
      <c r="S933" s="49" t="n"/>
      <c r="T933" s="49" t="n"/>
      <c r="U933" s="47" t="inlineStr">
        <is>
          <t>In the 175th episode of the Pop, Ben and J discuss the concept of soulmates vs kindred spirits, superior snacks, The Region Beta Paradox, the famous character quiz, the Mirror Law and hangovers. Girl Scout Cookies - The Famous Character Personality Quiz - Ben’s Wick of the Peek: Zebra Cakes - Do You Believe in Soulmates? Samoas are the 100% Tiny Toxic Relationships Colossal Hangovers 00:00 - Intro, Soulmates 23:24 - The Snack Basket 34:32 - The Region Beta Paradox 46:42 - What Famous Character Are You?</t>
        </is>
      </c>
      <c r="V933" s="47">
        <f>IF(AND(P933&gt;=Calendar!$K$2,P933&lt;EDATE(Calendar!$K$2,1),OR(Calendar!$K$4="*",N933=Calendar!$K$4)),P933*100+COUNTIFS($P$6:$P$3267,P933,$Q$6:$Q$3267,"&lt;="&amp;Q933,$N$6:$N$3267,Calendar!$K$4),"")</f>
        <v/>
      </c>
      <c r="W933" s="47">
        <f>IF(AND(B933=Queue!$C$4,OR(Queue!$K$4="*",N933=Queue!$K$4)),Q933,"")</f>
        <v/>
      </c>
    </row>
    <row r="934">
      <c r="A934" s="38">
        <f>IF(M934="","",HYPERLINK("https://www.youtube.com/watch?v="&amp;M934,"▶"))</f>
        <v/>
      </c>
      <c r="B934" s="39">
        <f>IF(C934&lt;&gt;"",C934,IF(P934&lt;=IFERROR(INDEX(tblChannels[Watched Through],MATCH(N934,tblChannels[Channel ID],0)),0),"Watched","Unwatched"))</f>
        <v/>
      </c>
      <c r="C934" s="40" t="n"/>
      <c r="D934" s="41" t="n"/>
      <c r="E934" s="42" t="n">
        <v>45028.75347222222</v>
      </c>
      <c r="F934" s="50" t="inlineStr">
        <is>
          <t>Super Carlin Brothers</t>
        </is>
      </c>
      <c r="G934" t="inlineStr">
        <is>
          <t>J vs Ben: HAPPIEST Harry Potter TRIVIA Quiz Ever</t>
        </is>
      </c>
      <c r="H934" s="44" t="n">
        <v>0.02181712962962963</v>
      </c>
      <c r="I934" s="45" t="n">
        <v>214051</v>
      </c>
      <c r="J934" s="45" t="n">
        <v>6958</v>
      </c>
      <c r="K934" s="45" t="n">
        <v>499</v>
      </c>
      <c r="L934" s="46" t="n"/>
      <c r="M934" s="47" t="n"/>
      <c r="N934" s="47" t="inlineStr">
        <is>
          <t>UCKZo4N0lVPccBkSiuyVh4yg</t>
        </is>
      </c>
      <c r="O934" s="48" t="n">
        <v>45028.92013888889</v>
      </c>
      <c r="P934" s="49" t="n">
        <v>45028</v>
      </c>
      <c r="Q934" s="47" t="n">
        <v>2334</v>
      </c>
      <c r="R934" s="47" t="inlineStr">
        <is>
          <t>No Video ID yet</t>
        </is>
      </c>
      <c r="S934" s="49" t="n"/>
      <c r="T934" s="49" t="n"/>
      <c r="U934" s="47" t="inlineStr">
        <is>
          <t>Go to to get PayPal Honey for free. Go to to get three months for free. Today J and Ben Face off once more to find out who knows more about all of the happiest moments in Harry Potter! Play Along With Us: 02:46 - Q1: What flavor birthday cake did Hagrid give Harry? 03:37 - Q2: What kind of sandwiches did Ron have on the train? 06:35 - Q3: What was the first memory Harry tried to use in Patronus lessons? 07:07 - Q4: Harry was the youngest seeker in how long? 08:02 - Q5: How many points did Dumbledore give Neville? 09:14 - Q6: What flavor of ice cream does Harry get for Ron and Hermione? 13:35 - Q7: What color is Ron’s bedroom? 14:59 - Q8: What article of clothing freed Dobby? 20:18 - Q9: What food did McGonagall give Harry and Ron in book 2? 21:48 - Q10: What’s the score in the Quidditch cup final in book 3? 23:33 - Q11: What was the portkey for the Quidditch World Cup? 24:35 - Q12: What was uncle Bilius Weasley’s party trick? 25:43 - Q13: Who worked at Weasley’s Wizard Wheezes with the twins? 27:05 - Q14: What did Romilda Vane think Harry had tattooed on his chest? 28:06 - Q15: What does Harry do after the trace is lifted?</t>
        </is>
      </c>
      <c r="V934" s="47">
        <f>IF(AND(P934&gt;=Calendar!$K$2,P934&lt;EDATE(Calendar!$K$2,1),OR(Calendar!$K$4="*",N934=Calendar!$K$4)),P934*100+COUNTIFS($P$6:$P$3267,P934,$Q$6:$Q$3267,"&lt;="&amp;Q934,$N$6:$N$3267,Calendar!$K$4),"")</f>
        <v/>
      </c>
      <c r="W934" s="47">
        <f>IF(AND(B934=Queue!$C$4,OR(Queue!$K$4="*",N934=Queue!$K$4)),Q934,"")</f>
        <v/>
      </c>
    </row>
    <row r="935">
      <c r="A935" s="38">
        <f>IF(M935="","",HYPERLINK("https://www.youtube.com/watch?v="&amp;M935,"▶"))</f>
        <v/>
      </c>
      <c r="B935" s="39">
        <f>IF(C935&lt;&gt;"",C935,IF(P935&lt;=IFERROR(INDEX(tblChannels[Watched Through],MATCH(N935,tblChannels[Channel ID],0)),0),"Watched","Unwatched"))</f>
        <v/>
      </c>
      <c r="C935" s="40" t="n"/>
      <c r="D935" s="41" t="n"/>
      <c r="E935" s="42" t="n">
        <v>45026.71180555555</v>
      </c>
      <c r="F935" s="50" t="inlineStr">
        <is>
          <t>Super Carlin Brothers</t>
        </is>
      </c>
      <c r="G935" t="inlineStr">
        <is>
          <t>The SUPER Mario Bros. Movie | REVIEW</t>
        </is>
      </c>
      <c r="H935" s="44" t="n">
        <v>0.03516203703703704</v>
      </c>
      <c r="I935" s="45" t="n">
        <v>91949</v>
      </c>
      <c r="J935" s="45" t="n">
        <v>3398</v>
      </c>
      <c r="K935" s="45" t="n">
        <v>659</v>
      </c>
      <c r="L935" s="46" t="n"/>
      <c r="M935" s="47" t="n"/>
      <c r="N935" s="47" t="inlineStr">
        <is>
          <t>UCKZo4N0lVPccBkSiuyVh4yg</t>
        </is>
      </c>
      <c r="O935" s="48" t="n">
        <v>45026.87847222222</v>
      </c>
      <c r="P935" s="49" t="n">
        <v>45026</v>
      </c>
      <c r="Q935" s="47" t="n">
        <v>2333</v>
      </c>
      <c r="R935" s="47" t="inlineStr">
        <is>
          <t>No Video ID yet</t>
        </is>
      </c>
      <c r="S935" s="49" t="n"/>
      <c r="T935" s="49" t="n"/>
      <c r="U935" s="47" t="inlineStr">
        <is>
          <t>Today the Super Carlin Brothers review the Super Mario Bros! In some ways this is what our entire life has been leading up to… As a HUGE fan of the Mario games over the years, this movie was an absolute blast, but… #supercarlinbrothers #Nintendo #SuperMarioBros</t>
        </is>
      </c>
      <c r="V935" s="47">
        <f>IF(AND(P935&gt;=Calendar!$K$2,P935&lt;EDATE(Calendar!$K$2,1),OR(Calendar!$K$4="*",N935=Calendar!$K$4)),P935*100+COUNTIFS($P$6:$P$3267,P935,$Q$6:$Q$3267,"&lt;="&amp;Q935,$N$6:$N$3267,Calendar!$K$4),"")</f>
        <v/>
      </c>
      <c r="W935" s="47">
        <f>IF(AND(B935=Queue!$C$4,OR(Queue!$K$4="*",N935=Queue!$K$4)),Q935,"")</f>
        <v/>
      </c>
    </row>
    <row r="936">
      <c r="A936" s="38">
        <f>IF(M936="","",HYPERLINK("https://www.youtube.com/watch?v="&amp;M936,"▶"))</f>
        <v/>
      </c>
      <c r="B936" s="39">
        <f>IF(C936&lt;&gt;"",C936,IF(P936&lt;=IFERROR(INDEX(tblChannels[Watched Through],MATCH(N936,tblChannels[Channel ID],0)),0),"Watched","Unwatched"))</f>
        <v/>
      </c>
      <c r="C936" s="40" t="n"/>
      <c r="D936" s="41" t="n"/>
      <c r="E936" s="42" t="n">
        <v>45023.85</v>
      </c>
      <c r="F936" s="52" t="inlineStr">
        <is>
          <t>Super Carlin Gaming</t>
        </is>
      </c>
      <c r="G936" t="inlineStr">
        <is>
          <t>Enter Scarlet and Violet! | Carlin Brothers Box Breakers S5E1</t>
        </is>
      </c>
      <c r="H936" s="44" t="n">
        <v>0.0397800925925926</v>
      </c>
      <c r="I936" s="45" t="n">
        <v>3191</v>
      </c>
      <c r="J936" s="45" t="n">
        <v>153</v>
      </c>
      <c r="K936" s="45" t="n">
        <v>31</v>
      </c>
      <c r="L936" s="46" t="n"/>
      <c r="M936" s="47" t="n"/>
      <c r="N936" s="47" t="inlineStr">
        <is>
          <t>UCor_9jRnNNZVzTuQ92PKsaQ</t>
        </is>
      </c>
      <c r="O936" s="48" t="n">
        <v>45024.01666666667</v>
      </c>
      <c r="P936" s="49" t="n">
        <v>45023</v>
      </c>
      <c r="Q936" s="47" t="n">
        <v>2332</v>
      </c>
      <c r="R936" s="47" t="inlineStr">
        <is>
          <t>No Video ID yet</t>
        </is>
      </c>
      <c r="S936" s="49" t="n"/>
      <c r="T936" s="49" t="n"/>
      <c r="U936" s="47" t="inlineStr">
        <is>
          <t>This week Scarlet And Violet Begins!</t>
        </is>
      </c>
      <c r="V936" s="47">
        <f>IF(AND(P936&gt;=Calendar!$K$2,P936&lt;EDATE(Calendar!$K$2,1),OR(Calendar!$K$4="*",N936=Calendar!$K$4)),P936*100+COUNTIFS($P$6:$P$3267,P936,$Q$6:$Q$3267,"&lt;="&amp;Q936,$N$6:$N$3267,Calendar!$K$4),"")</f>
        <v/>
      </c>
      <c r="W936" s="47">
        <f>IF(AND(B936=Queue!$C$4,OR(Queue!$K$4="*",N936=Queue!$K$4)),Q936,"")</f>
        <v/>
      </c>
    </row>
    <row r="937">
      <c r="A937" s="38">
        <f>IF(M937="","",HYPERLINK("https://www.youtube.com/watch?v="&amp;M937,"▶"))</f>
        <v/>
      </c>
      <c r="B937" s="39">
        <f>IF(C937&lt;&gt;"",C937,IF(P937&lt;=IFERROR(INDEX(tblChannels[Watched Through],MATCH(N937,tblChannels[Channel ID],0)),0),"Watched","Unwatched"))</f>
        <v/>
      </c>
      <c r="C937" s="40" t="n"/>
      <c r="D937" s="41" t="n"/>
      <c r="E937" s="42" t="n">
        <v>45023.65555555555</v>
      </c>
      <c r="F937" s="50" t="inlineStr">
        <is>
          <t>Super Carlin Brothers</t>
        </is>
      </c>
      <c r="G937" t="inlineStr">
        <is>
          <t>Harry Potter TV Series REBOOT! What’s It Going To Be About? | Harry Potter Film Theory</t>
        </is>
      </c>
      <c r="H937" s="44" t="n">
        <v>0.01674768518518518</v>
      </c>
      <c r="I937" s="45" t="n">
        <v>261570</v>
      </c>
      <c r="J937" s="45" t="n">
        <v>9683</v>
      </c>
      <c r="K937" s="45" t="n">
        <v>1666</v>
      </c>
      <c r="L937" s="46" t="n"/>
      <c r="M937" s="47" t="n"/>
      <c r="N937" s="47" t="inlineStr">
        <is>
          <t>UCKZo4N0lVPccBkSiuyVh4yg</t>
        </is>
      </c>
      <c r="O937" s="48" t="n">
        <v>45023.82222222222</v>
      </c>
      <c r="P937" s="49" t="n">
        <v>45023</v>
      </c>
      <c r="Q937" s="47" t="n">
        <v>2331</v>
      </c>
      <c r="R937" s="47" t="inlineStr">
        <is>
          <t>No Video ID yet</t>
        </is>
      </c>
      <c r="S937" s="49" t="n"/>
      <c r="T937" s="49" t="n"/>
      <c r="U937" s="47" t="inlineStr">
        <is>
          <t>Go to and use code SUPER to 2X your rewards today. Today Ben dives into the Wizarding World to explore the supposedly soon to be announce Harry Potter TV show, and what it’ll be about then counts down his TOP 10 Hopes for things to see in the show! Edited by :: Riley Murtagh &amp; Ethan Edghill</t>
        </is>
      </c>
      <c r="V937" s="47">
        <f>IF(AND(P937&gt;=Calendar!$K$2,P937&lt;EDATE(Calendar!$K$2,1),OR(Calendar!$K$4="*",N937=Calendar!$K$4)),P937*100+COUNTIFS($P$6:$P$3267,P937,$Q$6:$Q$3267,"&lt;="&amp;Q937,$N$6:$N$3267,Calendar!$K$4),"")</f>
        <v/>
      </c>
      <c r="W937" s="47">
        <f>IF(AND(B937=Queue!$C$4,OR(Queue!$K$4="*",N937=Queue!$K$4)),Q937,"")</f>
        <v/>
      </c>
    </row>
    <row r="938">
      <c r="A938" s="38">
        <f>IF(M938="","",HYPERLINK("https://www.youtube.com/watch?v="&amp;M938,"▶"))</f>
        <v/>
      </c>
      <c r="B938" s="39">
        <f>IF(C938&lt;&gt;"",C938,IF(P938&lt;=IFERROR(INDEX(tblChannels[Watched Through],MATCH(N938,tblChannels[Channel ID],0)),0),"Watched","Unwatched"))</f>
        <v/>
      </c>
      <c r="C938" s="40" t="n"/>
      <c r="D938" s="41" t="n"/>
      <c r="E938" s="42" t="n">
        <v>45023.41666666666</v>
      </c>
      <c r="F938" s="43" t="inlineStr">
        <is>
          <t>Popcorn Culture</t>
        </is>
      </c>
      <c r="G938" t="inlineStr">
        <is>
          <t>J's Secret Wife | Popcorn Culture</t>
        </is>
      </c>
      <c r="H938" s="44" t="n">
        <v>0.04903935185185185</v>
      </c>
      <c r="I938" s="45" t="n">
        <v>5483</v>
      </c>
      <c r="J938" s="45" t="n">
        <v>254</v>
      </c>
      <c r="K938" s="45" t="n">
        <v>16</v>
      </c>
      <c r="L938" s="46" t="n"/>
      <c r="M938" s="47" t="n"/>
      <c r="N938" s="47" t="inlineStr">
        <is>
          <t>UCHfIbq9thHPC8yrKjAdJgDA</t>
        </is>
      </c>
      <c r="O938" s="48" t="n">
        <v>45023.58333333334</v>
      </c>
      <c r="P938" s="49" t="n">
        <v>45023</v>
      </c>
      <c r="Q938" s="47" t="n">
        <v>2330</v>
      </c>
      <c r="R938" s="47" t="inlineStr">
        <is>
          <t>No Video ID yet</t>
        </is>
      </c>
      <c r="S938" s="49" t="n"/>
      <c r="T938" s="49" t="n"/>
      <c r="U938" s="47" t="inlineStr">
        <is>
          <t>In the 174th episode of the pop, Ben and J discuss chat GPT, straws, Facebook evolution, the psychology of superstitions, Ben’s upcoming marathon, the step competition, how people enjoy things, and a top 10 word. Anna Brisbin AKA Brizzy Voices - Cast Away - Don’t Believe Everything You Hear The Evolution of Facebook Knock on Wood The Nature of Enjoyment Coddiwomple 00:00 - Chat GPT Intro 15:02 - Typical Pop Segments but Make It AI 31:20 - Superstitions 42:39 - Marathon &amp; Step Comp 53:14 - The Nature of Enjoyment</t>
        </is>
      </c>
      <c r="V938" s="47">
        <f>IF(AND(P938&gt;=Calendar!$K$2,P938&lt;EDATE(Calendar!$K$2,1),OR(Calendar!$K$4="*",N938=Calendar!$K$4)),P938*100+COUNTIFS($P$6:$P$3267,P938,$Q$6:$Q$3267,"&lt;="&amp;Q938,$N$6:$N$3267,Calendar!$K$4),"")</f>
        <v/>
      </c>
      <c r="W938" s="47">
        <f>IF(AND(B938=Queue!$C$4,OR(Queue!$K$4="*",N938=Queue!$K$4)),Q938,"")</f>
        <v/>
      </c>
    </row>
    <row r="939">
      <c r="A939" s="38">
        <f>IF(M939="","",HYPERLINK("https://www.youtube.com/watch?v="&amp;M939,"▶"))</f>
        <v/>
      </c>
      <c r="B939" s="39">
        <f>IF(C939&lt;&gt;"",C939,IF(P939&lt;=IFERROR(INDEX(tblChannels[Watched Through],MATCH(N939,tblChannels[Channel ID],0)),0),"Watched","Unwatched"))</f>
        <v/>
      </c>
      <c r="C939" s="40" t="n"/>
      <c r="D939" s="41" t="n"/>
      <c r="E939" s="42" t="n">
        <v>45021.6</v>
      </c>
      <c r="F939" s="50" t="inlineStr">
        <is>
          <t>Super Carlin Brothers</t>
        </is>
      </c>
      <c r="G939" t="inlineStr">
        <is>
          <t>How the Weasley Twins Knew What to Bet Ludo Bagman | Harry Potter Film Theory</t>
        </is>
      </c>
      <c r="H939" s="44" t="n">
        <v>0.01422453703703704</v>
      </c>
      <c r="I939" s="45" t="n">
        <v>352163</v>
      </c>
      <c r="J939" s="45" t="n">
        <v>11971</v>
      </c>
      <c r="K939" s="45" t="n">
        <v>1016</v>
      </c>
      <c r="L939" s="46" t="n"/>
      <c r="M939" s="47" t="n"/>
      <c r="N939" s="47" t="inlineStr">
        <is>
          <t>UCKZo4N0lVPccBkSiuyVh4yg</t>
        </is>
      </c>
      <c r="O939" s="48" t="n">
        <v>45021.76666666667</v>
      </c>
      <c r="P939" s="49" t="n">
        <v>45021</v>
      </c>
      <c r="Q939" s="47" t="n">
        <v>2329</v>
      </c>
      <c r="R939" s="47" t="inlineStr">
        <is>
          <t>No Video ID yet</t>
        </is>
      </c>
      <c r="S939" s="49" t="n"/>
      <c r="T939" s="49" t="n"/>
      <c r="U939" s="47" t="inlineStr">
        <is>
          <t>Go to to get 25% off your first order and free standard shipping. Today J dives into the Wizarding World of Harry Potter to finally reveal How Fred and George Weasley knew EXACTLY what to bet Ludo Bagman in Goblet of Fire. Ireland wins but Krum catches the Snitch indeed… #supercarlinbrothers #harrypotter</t>
        </is>
      </c>
      <c r="V939" s="47">
        <f>IF(AND(P939&gt;=Calendar!$K$2,P939&lt;EDATE(Calendar!$K$2,1),OR(Calendar!$K$4="*",N939=Calendar!$K$4)),P939*100+COUNTIFS($P$6:$P$3267,P939,$Q$6:$Q$3267,"&lt;="&amp;Q939,$N$6:$N$3267,Calendar!$K$4),"")</f>
        <v/>
      </c>
      <c r="W939" s="47">
        <f>IF(AND(B939=Queue!$C$4,OR(Queue!$K$4="*",N939=Queue!$K$4)),Q939,"")</f>
        <v/>
      </c>
    </row>
    <row r="940">
      <c r="A940" s="38">
        <f>IF(M940="","",HYPERLINK("https://www.youtube.com/watch?v="&amp;M940,"▶"))</f>
        <v/>
      </c>
      <c r="B940" s="39">
        <f>IF(C940&lt;&gt;"",C940,IF(P940&lt;=IFERROR(INDEX(tblChannels[Watched Through],MATCH(N940,tblChannels[Channel ID],0)),0),"Watched","Unwatched"))</f>
        <v/>
      </c>
      <c r="C940" s="40" t="n"/>
      <c r="D940" s="41" t="n"/>
      <c r="E940" s="42" t="n">
        <v>45018.5</v>
      </c>
      <c r="F940" s="50" t="inlineStr">
        <is>
          <t>Super Carlin Brothers</t>
        </is>
      </c>
      <c r="G940" t="inlineStr">
        <is>
          <t>TRON Lightcycle Run REVIEW &amp; Disney Adventure</t>
        </is>
      </c>
      <c r="H940" s="44" t="n">
        <v>0.02143518518518519</v>
      </c>
      <c r="I940" s="45" t="n">
        <v>34763</v>
      </c>
      <c r="J940" s="45" t="n">
        <v>1779</v>
      </c>
      <c r="K940" s="45" t="n">
        <v>165</v>
      </c>
      <c r="L940" s="46" t="n"/>
      <c r="M940" s="47" t="n"/>
      <c r="N940" s="47" t="inlineStr">
        <is>
          <t>UCKZo4N0lVPccBkSiuyVh4yg</t>
        </is>
      </c>
      <c r="O940" s="48" t="n">
        <v>45018.66666666666</v>
      </c>
      <c r="P940" s="49" t="n">
        <v>45018</v>
      </c>
      <c r="Q940" s="47" t="n">
        <v>2328</v>
      </c>
      <c r="R940" s="47" t="inlineStr">
        <is>
          <t>No Video ID yet</t>
        </is>
      </c>
      <c r="S940" s="49" t="n"/>
      <c r="T940" s="49" t="n"/>
      <c r="U940" s="47" t="inlineStr">
        <is>
          <t>Join J, Ben, Beth and Alyce on a #hosted trip to Disney World to experience all the Disney Thrills from Magic Kingdom, Animal Kingdom, EPCOT and Hollywood Studios! PLUS experience the brand new TRON Lightcycle Run in all its high speed glory! #AllTheDisneyThrills #Disney #waltdisneyworld</t>
        </is>
      </c>
      <c r="V940" s="47">
        <f>IF(AND(P940&gt;=Calendar!$K$2,P940&lt;EDATE(Calendar!$K$2,1),OR(Calendar!$K$4="*",N940=Calendar!$K$4)),P940*100+COUNTIFS($P$6:$P$3267,P940,$Q$6:$Q$3267,"&lt;="&amp;Q940,$N$6:$N$3267,Calendar!$K$4),"")</f>
        <v/>
      </c>
      <c r="W940" s="47">
        <f>IF(AND(B940=Queue!$C$4,OR(Queue!$K$4="*",N940=Queue!$K$4)),Q940,"")</f>
        <v/>
      </c>
    </row>
    <row r="941">
      <c r="A941" s="38">
        <f>IF(M941="","",HYPERLINK("https://www.youtube.com/watch?v="&amp;M941,"▶"))</f>
        <v/>
      </c>
      <c r="B941" s="39">
        <f>IF(C941&lt;&gt;"",C941,IF(P941&lt;=IFERROR(INDEX(tblChannels[Watched Through],MATCH(N941,tblChannels[Channel ID],0)),0),"Watched","Unwatched"))</f>
        <v/>
      </c>
      <c r="C941" s="40" t="n"/>
      <c r="D941" s="41" t="n"/>
      <c r="E941" s="42" t="n">
        <v>45016.875</v>
      </c>
      <c r="F941" s="52" t="inlineStr">
        <is>
          <t>Super Carlin Gaming</t>
        </is>
      </c>
      <c r="G941" t="inlineStr">
        <is>
          <t>A WINNER IS CROWNED (ZENITH) | Carlin Brothers Box Breakers Season 4 Finale</t>
        </is>
      </c>
      <c r="H941" s="44" t="n">
        <v>0.03701388888888889</v>
      </c>
      <c r="I941" s="45" t="n">
        <v>2302</v>
      </c>
      <c r="J941" s="45" t="n">
        <v>129</v>
      </c>
      <c r="K941" s="45" t="n">
        <v>23</v>
      </c>
      <c r="L941" s="46" t="n"/>
      <c r="M941" s="47" t="n"/>
      <c r="N941" s="47" t="inlineStr">
        <is>
          <t>UCor_9jRnNNZVzTuQ92PKsaQ</t>
        </is>
      </c>
      <c r="O941" s="48" t="n">
        <v>45017.04166666666</v>
      </c>
      <c r="P941" s="49" t="n">
        <v>45016</v>
      </c>
      <c r="Q941" s="47" t="n">
        <v>2327</v>
      </c>
      <c r="R941" s="47" t="inlineStr">
        <is>
          <t>No Video ID yet</t>
        </is>
      </c>
      <c r="S941" s="49" t="n"/>
      <c r="T941" s="49" t="n"/>
      <c r="U941" s="47" t="inlineStr">
        <is>
          <t>This week Crown Zenith ends!</t>
        </is>
      </c>
      <c r="V941" s="47">
        <f>IF(AND(P941&gt;=Calendar!$K$2,P941&lt;EDATE(Calendar!$K$2,1),OR(Calendar!$K$4="*",N941=Calendar!$K$4)),P941*100+COUNTIFS($P$6:$P$3267,P941,$Q$6:$Q$3267,"&lt;="&amp;Q941,$N$6:$N$3267,Calendar!$K$4),"")</f>
        <v/>
      </c>
      <c r="W941" s="47">
        <f>IF(AND(B941=Queue!$C$4,OR(Queue!$K$4="*",N941=Queue!$K$4)),Q941,"")</f>
        <v/>
      </c>
    </row>
    <row r="942">
      <c r="A942" s="38">
        <f>IF(M942="","",HYPERLINK("https://www.youtube.com/watch?v="&amp;M942,"▶"))</f>
        <v/>
      </c>
      <c r="B942" s="39">
        <f>IF(C942&lt;&gt;"",C942,IF(P942&lt;=IFERROR(INDEX(tblChannels[Watched Through],MATCH(N942,tblChannels[Channel ID],0)),0),"Watched","Unwatched"))</f>
        <v/>
      </c>
      <c r="C942" s="40" t="n"/>
      <c r="D942" s="41" t="n"/>
      <c r="E942" s="42" t="n">
        <v>45016.83333333334</v>
      </c>
      <c r="F942" s="50" t="inlineStr">
        <is>
          <t>Super Carlin Brothers</t>
        </is>
      </c>
      <c r="G942" t="inlineStr">
        <is>
          <t>ALL FANDOM TRIVIA LIVE STREAM - MARCH 2023</t>
        </is>
      </c>
      <c r="H942" s="44" t="n">
        <v>0.07504629629629629</v>
      </c>
      <c r="I942" s="45" t="n">
        <v>22608</v>
      </c>
      <c r="J942" s="45" t="n">
        <v>681</v>
      </c>
      <c r="K942" s="45" t="n">
        <v>35</v>
      </c>
      <c r="L942" s="46" t="n"/>
      <c r="M942" s="47" t="n"/>
      <c r="N942" s="47" t="inlineStr">
        <is>
          <t>UCKZo4N0lVPccBkSiuyVh4yg</t>
        </is>
      </c>
      <c r="O942" s="48" t="n">
        <v>45017</v>
      </c>
      <c r="P942" s="49" t="n">
        <v>45016</v>
      </c>
      <c r="Q942" s="47" t="n">
        <v>2326</v>
      </c>
      <c r="R942" s="47" t="inlineStr">
        <is>
          <t>No Video ID yet</t>
        </is>
      </c>
      <c r="S942" s="49" t="n"/>
      <c r="T942" s="49" t="n"/>
      <c r="U942" s="47" t="inlineStr">
        <is>
          <t>Come join us and test your knowledge of Disney, Pixar, Star Wars, Marvel, Harry Potter and Avatar the Last Airbender! How to play :: 1. Download the Kahoot App on your phone or go to Kahoot.it to play on browser. 2. There is no need to create an account at all, just access the app or website and enter the key code 3. Speaking of which before the game begins the guys will announce the key code for you to enter on your phone and play long 4. Answer the questions as fast as you can! The faster you answer the more points you score and dont worry about getting it wrong, you WONT lose points, you just wont earn any. 5. Have fun! 6. If you are one of the top 5 see instructions below for how to claim your prize! If you were one of the top 5 winners email secretcarlinbrothers@gmail.com. First place winners get a choice of one animal mug. 2nd-5th place winners get a $10 gift card to</t>
        </is>
      </c>
      <c r="V942" s="47">
        <f>IF(AND(P942&gt;=Calendar!$K$2,P942&lt;EDATE(Calendar!$K$2,1),OR(Calendar!$K$4="*",N942=Calendar!$K$4)),P942*100+COUNTIFS($P$6:$P$3267,P942,$Q$6:$Q$3267,"&lt;="&amp;Q942,$N$6:$N$3267,Calendar!$K$4),"")</f>
        <v/>
      </c>
      <c r="W942" s="47">
        <f>IF(AND(B942=Queue!$C$4,OR(Queue!$K$4="*",N942=Queue!$K$4)),Q942,"")</f>
        <v/>
      </c>
    </row>
    <row r="943">
      <c r="A943" s="38">
        <f>IF(M943="","",HYPERLINK("https://www.youtube.com/watch?v="&amp;M943,"▶"))</f>
        <v/>
      </c>
      <c r="B943" s="39">
        <f>IF(C943&lt;&gt;"",C943,IF(P943&lt;=IFERROR(INDEX(tblChannels[Watched Through],MATCH(N943,tblChannels[Channel ID],0)),0),"Watched","Unwatched"))</f>
        <v/>
      </c>
      <c r="C943" s="40" t="n"/>
      <c r="D943" s="41" t="n"/>
      <c r="E943" s="42" t="n">
        <v>45016.82638888889</v>
      </c>
      <c r="F943" s="50" t="inlineStr">
        <is>
          <t>Super Carlin Brothers</t>
        </is>
      </c>
      <c r="G943" t="inlineStr">
        <is>
          <t>J vs Ben: We FAILED Even More Harry Potter Trivia - REDEMPTION Quiz</t>
        </is>
      </c>
      <c r="H943" s="44" t="n">
        <v>0.02373842592592593</v>
      </c>
      <c r="I943" s="45" t="n">
        <v>259733</v>
      </c>
      <c r="J943" s="45" t="n">
        <v>7611</v>
      </c>
      <c r="K943" s="45" t="n">
        <v>485</v>
      </c>
      <c r="L943" s="46" t="n"/>
      <c r="M943" s="47" t="n"/>
      <c r="N943" s="47" t="inlineStr">
        <is>
          <t>UCKZo4N0lVPccBkSiuyVh4yg</t>
        </is>
      </c>
      <c r="O943" s="48" t="n">
        <v>45016.99305555555</v>
      </c>
      <c r="P943" s="49" t="n">
        <v>45016</v>
      </c>
      <c r="Q943" s="47" t="n">
        <v>2325</v>
      </c>
      <c r="R943" s="47" t="inlineStr">
        <is>
          <t>No Video ID yet</t>
        </is>
      </c>
      <c r="S943" s="49" t="n"/>
      <c r="T943" s="49" t="n"/>
      <c r="U943" s="47" t="inlineStr">
        <is>
          <t>Go to and use code jvsb50 to get 50% off your first box. DoorDash app in the App Store and enter code JVSB for 50% off your first order up to a $20 value. Today J and Ben Face off once more to find out who knows more about the Wizarding World of Harry Potter - BUT the real question is.. Were they paying attention last time, because today all of the questions they BOTH failed from old quizzes! 01:54 - Q1: What ad was not at the World Cup? 03:06 - Q2: What was in Dumbledore and Snape’s Christmas cracker? 07:30 - Q3 How many floors are in the Burrow? 08:58 - Q4: What color PJs was Slughorn wearing? 11:25 - Q5: What flavor ice cream did Hagrid get Harry? 13:02 - Q6: Who did Mrs. Weasley see in her Boggart? 14:24 - Q7: How did Lockhart decorate for Valentines? 20:32 - Q8: What pudding did Petunia make for the Masons? 23:05 - Q9: Who should have arrived at the Burrow first? 24:11 - Q10: Who bet Ludo Bulgaria would score first? 25:44 - Q11: What did Lily say she would choose over James in year 5? 26:26 - Q12: How long was Dudley’s tongue? 27:37 - Q13: What did Hagrid’s class not feed the Skrewts? 28:40 - Q14: What was the first year’s Transfiguration exam? 30:02 - Q15: What other shop sel</t>
        </is>
      </c>
      <c r="V943" s="47">
        <f>IF(AND(P943&gt;=Calendar!$K$2,P943&lt;EDATE(Calendar!$K$2,1),OR(Calendar!$K$4="*",N943=Calendar!$K$4)),P943*100+COUNTIFS($P$6:$P$3267,P943,$Q$6:$Q$3267,"&lt;="&amp;Q943,$N$6:$N$3267,Calendar!$K$4),"")</f>
        <v/>
      </c>
      <c r="W943" s="47">
        <f>IF(AND(B943=Queue!$C$4,OR(Queue!$K$4="*",N943=Queue!$K$4)),Q943,"")</f>
        <v/>
      </c>
    </row>
    <row r="944">
      <c r="A944" s="38">
        <f>IF(M944="","",HYPERLINK("https://www.youtube.com/watch?v="&amp;M944,"▶"))</f>
        <v/>
      </c>
      <c r="B944" s="39">
        <f>IF(C944&lt;&gt;"",C944,IF(P944&lt;=IFERROR(INDEX(tblChannels[Watched Through],MATCH(N944,tblChannels[Channel ID],0)),0),"Watched","Unwatched"))</f>
        <v/>
      </c>
      <c r="C944" s="40" t="n"/>
      <c r="D944" s="41" t="n"/>
      <c r="E944" s="42" t="n">
        <v>45016.41666666666</v>
      </c>
      <c r="F944" s="43" t="inlineStr">
        <is>
          <t>Popcorn Culture</t>
        </is>
      </c>
      <c r="G944" t="inlineStr">
        <is>
          <t>A Pungent Experience| Popcorn Culture</t>
        </is>
      </c>
      <c r="H944" s="44" t="n">
        <v>0.04655092592592593</v>
      </c>
      <c r="I944" s="45" t="n">
        <v>4747</v>
      </c>
      <c r="J944" s="45" t="n">
        <v>247</v>
      </c>
      <c r="K944" s="45" t="n">
        <v>32</v>
      </c>
      <c r="L944" s="46" t="n"/>
      <c r="M944" s="47" t="n"/>
      <c r="N944" s="47" t="inlineStr">
        <is>
          <t>UCHfIbq9thHPC8yrKjAdJgDA</t>
        </is>
      </c>
      <c r="O944" s="48" t="n">
        <v>45016.58333333334</v>
      </c>
      <c r="P944" s="49" t="n">
        <v>45016</v>
      </c>
      <c r="Q944" s="47" t="n">
        <v>2324</v>
      </c>
      <c r="R944" s="47" t="inlineStr">
        <is>
          <t>No Video ID yet</t>
        </is>
      </c>
      <c r="S944" s="49" t="n"/>
      <c r="T944" s="49" t="n"/>
      <c r="U944" s="47" t="inlineStr">
        <is>
          <t>In the 173rd episode of the pop, Ben and J discuss J’s experience at Charlotte Pokemon Regionals, lunch breaks, writing What If videos, J’s struggle with hardware stores, quality of life upgrades, Ben’s tattoo quest, stinky cheese, and aquarium foam. I Love You, Man - Hamilton - DuraLOOdon! You’ll Think of Something Toxic Relationship with Your Shower Should We Go To Budapest?! 00:00 - Intro, Charlotte Pokemon Regionals 24:16 - Leaky Shower Faucet and Other House Upgrades 33:56 - Ben’s Tattoo Quest Updates 50:55 - Element of Surprise!!!</t>
        </is>
      </c>
      <c r="V944" s="47">
        <f>IF(AND(P944&gt;=Calendar!$K$2,P944&lt;EDATE(Calendar!$K$2,1),OR(Calendar!$K$4="*",N944=Calendar!$K$4)),P944*100+COUNTIFS($P$6:$P$3267,P944,$Q$6:$Q$3267,"&lt;="&amp;Q944,$N$6:$N$3267,Calendar!$K$4),"")</f>
        <v/>
      </c>
      <c r="W944" s="47">
        <f>IF(AND(B944=Queue!$C$4,OR(Queue!$K$4="*",N944=Queue!$K$4)),Q944,"")</f>
        <v/>
      </c>
    </row>
    <row r="945">
      <c r="A945" s="38">
        <f>IF(M945="","",HYPERLINK("https://www.youtube.com/watch?v="&amp;M945,"▶"))</f>
        <v/>
      </c>
      <c r="B945" s="39">
        <f>IF(C945&lt;&gt;"",C945,IF(P945&lt;=IFERROR(INDEX(tblChannels[Watched Through],MATCH(N945,tblChannels[Channel ID],0)),0),"Watched","Unwatched"))</f>
        <v/>
      </c>
      <c r="C945" s="40" t="n"/>
      <c r="D945" s="41" t="n"/>
      <c r="E945" s="42" t="n">
        <v>45014.67361111111</v>
      </c>
      <c r="F945" s="50" t="inlineStr">
        <is>
          <t>Super Carlin Brothers</t>
        </is>
      </c>
      <c r="G945" t="inlineStr">
        <is>
          <t>What If Sirius TOLD HARRY How To Use The Mirrors | Harry Potter Film Theory</t>
        </is>
      </c>
      <c r="H945" s="44" t="n">
        <v>0.02091435185185185</v>
      </c>
      <c r="I945" s="45" t="n">
        <v>658844</v>
      </c>
      <c r="J945" s="45" t="n">
        <v>16183</v>
      </c>
      <c r="K945" s="45" t="n">
        <v>1388</v>
      </c>
      <c r="L945" s="46" t="n"/>
      <c r="M945" s="47" t="n"/>
      <c r="N945" s="47" t="inlineStr">
        <is>
          <t>UCKZo4N0lVPccBkSiuyVh4yg</t>
        </is>
      </c>
      <c r="O945" s="48" t="n">
        <v>45014.84027777778</v>
      </c>
      <c r="P945" s="49" t="n">
        <v>45014</v>
      </c>
      <c r="Q945" s="47" t="n">
        <v>2323</v>
      </c>
      <c r="R945" s="47" t="inlineStr">
        <is>
          <t>No Video ID yet</t>
        </is>
      </c>
      <c r="S945" s="49" t="n"/>
      <c r="T945" s="49" t="n"/>
      <c r="U945" s="47" t="inlineStr">
        <is>
          <t>Today J dives into the Wizarding World of Harry Potter to try and find out what WOULD have happened if Sirius had just told Harry how the 2 way mirrors worked in Order of the Phoenix and Harry never had to use Umbridge’s fireplace</t>
        </is>
      </c>
      <c r="V945" s="47">
        <f>IF(AND(P945&gt;=Calendar!$K$2,P945&lt;EDATE(Calendar!$K$2,1),OR(Calendar!$K$4="*",N945=Calendar!$K$4)),P945*100+COUNTIFS($P$6:$P$3267,P945,$Q$6:$Q$3267,"&lt;="&amp;Q945,$N$6:$N$3267,Calendar!$K$4),"")</f>
        <v/>
      </c>
      <c r="W945" s="47">
        <f>IF(AND(B945=Queue!$C$4,OR(Queue!$K$4="*",N945=Queue!$K$4)),Q945,"")</f>
        <v/>
      </c>
    </row>
    <row r="946">
      <c r="A946" s="38">
        <f>IF(M946="","",HYPERLINK("https://www.youtube.com/watch?v="&amp;M946,"▶"))</f>
        <v/>
      </c>
      <c r="B946" s="39">
        <f>IF(C946&lt;&gt;"",C946,IF(P946&lt;=IFERROR(INDEX(tblChannels[Watched Through],MATCH(N946,tblChannels[Channel ID],0)),0),"Watched","Unwatched"))</f>
        <v/>
      </c>
      <c r="C946" s="40" t="n"/>
      <c r="D946" s="41" t="n"/>
      <c r="E946" s="42" t="n">
        <v>45009.81319444445</v>
      </c>
      <c r="F946" s="50" t="inlineStr">
        <is>
          <t>Super Carlin Brothers</t>
        </is>
      </c>
      <c r="G946" t="inlineStr">
        <is>
          <t>What If Draco ACTUALLY Killed Dumbledore | Harry Potter Film Theory</t>
        </is>
      </c>
      <c r="H946" s="44" t="n">
        <v>0.0228125</v>
      </c>
      <c r="I946" s="45" t="n">
        <v>616128</v>
      </c>
      <c r="J946" s="45" t="n">
        <v>15165</v>
      </c>
      <c r="K946" s="45" t="n">
        <v>1076</v>
      </c>
      <c r="L946" s="46" t="n"/>
      <c r="M946" s="47" t="n"/>
      <c r="N946" s="47" t="inlineStr">
        <is>
          <t>UCKZo4N0lVPccBkSiuyVh4yg</t>
        </is>
      </c>
      <c r="O946" s="48" t="n">
        <v>45009.97986111111</v>
      </c>
      <c r="P946" s="49" t="n">
        <v>45009</v>
      </c>
      <c r="Q946" s="47" t="n">
        <v>2322</v>
      </c>
      <c r="R946" s="47" t="inlineStr">
        <is>
          <t>No Video ID yet</t>
        </is>
      </c>
      <c r="S946" s="49" t="n"/>
      <c r="T946" s="49" t="n"/>
      <c r="U946" s="47" t="inlineStr">
        <is>
          <t>Go to and use code supercarlin60 for 60% off plus free shipping! Today Ben dives into the Wizarding World of Harry Potter to find out what would have happened if Draco had ACTUALLY killed Dumbledore instead of Snape!</t>
        </is>
      </c>
      <c r="V946" s="47">
        <f>IF(AND(P946&gt;=Calendar!$K$2,P946&lt;EDATE(Calendar!$K$2,1),OR(Calendar!$K$4="*",N946=Calendar!$K$4)),P946*100+COUNTIFS($P$6:$P$3267,P946,$Q$6:$Q$3267,"&lt;="&amp;Q946,$N$6:$N$3267,Calendar!$K$4),"")</f>
        <v/>
      </c>
      <c r="W946" s="47">
        <f>IF(AND(B946=Queue!$C$4,OR(Queue!$K$4="*",N946=Queue!$K$4)),Q946,"")</f>
        <v/>
      </c>
    </row>
    <row r="947">
      <c r="A947" s="38">
        <f>IF(M947="","",HYPERLINK("https://www.youtube.com/watch?v="&amp;M947,"▶"))</f>
        <v/>
      </c>
      <c r="B947" s="39">
        <f>IF(C947&lt;&gt;"",C947,IF(P947&lt;=IFERROR(INDEX(tblChannels[Watched Through],MATCH(N947,tblChannels[Channel ID],0)),0),"Watched","Unwatched"))</f>
        <v/>
      </c>
      <c r="C947" s="40" t="n"/>
      <c r="D947" s="41" t="n"/>
      <c r="E947" s="42" t="n">
        <v>45009.41666666666</v>
      </c>
      <c r="F947" s="43" t="inlineStr">
        <is>
          <t>Popcorn Culture</t>
        </is>
      </c>
      <c r="G947" t="inlineStr">
        <is>
          <t>The One About Tron | Popcorn Culture</t>
        </is>
      </c>
      <c r="H947" s="44" t="n">
        <v>0.04707175925925926</v>
      </c>
      <c r="I947" s="45" t="n">
        <v>4934</v>
      </c>
      <c r="J947" s="45" t="n">
        <v>260</v>
      </c>
      <c r="K947" s="45" t="n">
        <v>21</v>
      </c>
      <c r="L947" s="46" t="n"/>
      <c r="M947" s="47" t="n"/>
      <c r="N947" s="47" t="inlineStr">
        <is>
          <t>UCHfIbq9thHPC8yrKjAdJgDA</t>
        </is>
      </c>
      <c r="O947" s="48" t="n">
        <v>45009.58333333334</v>
      </c>
      <c r="P947" s="49" t="n">
        <v>45009</v>
      </c>
      <c r="Q947" s="47" t="n">
        <v>2321</v>
      </c>
      <c r="R947" s="47" t="inlineStr">
        <is>
          <t>No Video ID yet</t>
        </is>
      </c>
      <c r="S947" s="49" t="n"/>
      <c r="T947" s="49" t="n"/>
      <c r="U947" s="47" t="inlineStr">
        <is>
          <t>In the 172nd episode of the Pop, Ben and J discuss being “hosted” by Disney for the new Tron ride, Ben’s introvertedness, the continued quest for Pluto pins, J’s renewed James Bond fixation, and airports. Check Out the Trip Highlights on J’s Instagram - James Bond Movies - James Bond Books - Up In the Air - Is Ben Actually an Introvert? Who Is the Best Bond? Optimizing Airports 00:00 - Intro, TRON! 27:46 - Is Ben an Introvert? 33:53 - Pin Trading 45:20 - James Bond 57:08 - Airport Exhaustion</t>
        </is>
      </c>
      <c r="V947" s="47">
        <f>IF(AND(P947&gt;=Calendar!$K$2,P947&lt;EDATE(Calendar!$K$2,1),OR(Calendar!$K$4="*",N947=Calendar!$K$4)),P947*100+COUNTIFS($P$6:$P$3267,P947,$Q$6:$Q$3267,"&lt;="&amp;Q947,$N$6:$N$3267,Calendar!$K$4),"")</f>
        <v/>
      </c>
      <c r="W947" s="47">
        <f>IF(AND(B947=Queue!$C$4,OR(Queue!$K$4="*",N947=Queue!$K$4)),Q947,"")</f>
        <v/>
      </c>
    </row>
    <row r="948">
      <c r="A948" s="38">
        <f>IF(M948="","",HYPERLINK("https://www.youtube.com/watch?v="&amp;M948,"▶"))</f>
        <v/>
      </c>
      <c r="B948" s="39">
        <f>IF(C948&lt;&gt;"",C948,IF(P948&lt;=IFERROR(INDEX(tblChannels[Watched Through],MATCH(N948,tblChannels[Channel ID],0)),0),"Watched","Unwatched"))</f>
        <v/>
      </c>
      <c r="C948" s="40" t="n"/>
      <c r="D948" s="41" t="n"/>
      <c r="E948" s="42" t="n">
        <v>45007.77083333334</v>
      </c>
      <c r="F948" s="52" t="inlineStr">
        <is>
          <t>Super Carlin Gaming</t>
        </is>
      </c>
      <c r="G948" t="inlineStr">
        <is>
          <t>The Fight For 8th | Carlin Brothers Box Breakers S4E3</t>
        </is>
      </c>
      <c r="H948" s="44" t="n">
        <v>0.03848379629629629</v>
      </c>
      <c r="I948" s="45" t="n">
        <v>2553</v>
      </c>
      <c r="J948" s="45" t="n">
        <v>149</v>
      </c>
      <c r="K948" s="45" t="n">
        <v>25</v>
      </c>
      <c r="L948" s="46" t="n"/>
      <c r="M948" s="47" t="n"/>
      <c r="N948" s="47" t="inlineStr">
        <is>
          <t>UCor_9jRnNNZVzTuQ92PKsaQ</t>
        </is>
      </c>
      <c r="O948" s="48" t="n">
        <v>45007.9375</v>
      </c>
      <c r="P948" s="49" t="n">
        <v>45007</v>
      </c>
      <c r="Q948" s="47" t="n">
        <v>2320</v>
      </c>
      <c r="R948" s="47" t="inlineStr">
        <is>
          <t>No Video ID yet</t>
        </is>
      </c>
      <c r="S948" s="49" t="n"/>
      <c r="T948" s="49" t="n"/>
      <c r="U948" s="47" t="inlineStr">
        <is>
          <t>This week Crown Zenith gets a little leafy.</t>
        </is>
      </c>
      <c r="V948" s="47">
        <f>IF(AND(P948&gt;=Calendar!$K$2,P948&lt;EDATE(Calendar!$K$2,1),OR(Calendar!$K$4="*",N948=Calendar!$K$4)),P948*100+COUNTIFS($P$6:$P$3267,P948,$Q$6:$Q$3267,"&lt;="&amp;Q948,$N$6:$N$3267,Calendar!$K$4),"")</f>
        <v/>
      </c>
      <c r="W948" s="47">
        <f>IF(AND(B948=Queue!$C$4,OR(Queue!$K$4="*",N948=Queue!$K$4)),Q948,"")</f>
        <v/>
      </c>
    </row>
    <row r="949">
      <c r="A949" s="38">
        <f>IF(M949="","",HYPERLINK("https://www.youtube.com/watch?v="&amp;M949,"▶"))</f>
        <v/>
      </c>
      <c r="B949" s="39">
        <f>IF(C949&lt;&gt;"",C949,IF(P949&lt;=IFERROR(INDEX(tblChannels[Watched Through],MATCH(N949,tblChannels[Channel ID],0)),0),"Watched","Unwatched"))</f>
        <v/>
      </c>
      <c r="C949" s="40" t="n"/>
      <c r="D949" s="41" t="n"/>
      <c r="E949" s="42" t="n">
        <v>45007.66388888889</v>
      </c>
      <c r="F949" s="50" t="inlineStr">
        <is>
          <t>Super Carlin Brothers</t>
        </is>
      </c>
      <c r="G949" t="inlineStr">
        <is>
          <t>PROOF That Grogu is Snoke | Mandalorian Star Wars Film Theory</t>
        </is>
      </c>
      <c r="H949" s="44" t="n">
        <v>0.01185185185185185</v>
      </c>
      <c r="I949" s="45" t="n">
        <v>72871</v>
      </c>
      <c r="J949" s="45" t="n">
        <v>3238</v>
      </c>
      <c r="K949" s="45" t="n">
        <v>267</v>
      </c>
      <c r="L949" s="46" t="n"/>
      <c r="M949" s="47" t="n"/>
      <c r="N949" s="47" t="inlineStr">
        <is>
          <t>UCKZo4N0lVPccBkSiuyVh4yg</t>
        </is>
      </c>
      <c r="O949" s="48" t="n">
        <v>45007.83055555556</v>
      </c>
      <c r="P949" s="49" t="n">
        <v>45007</v>
      </c>
      <c r="Q949" s="47" t="n">
        <v>2319</v>
      </c>
      <c r="R949" s="47" t="inlineStr">
        <is>
          <t>No Video ID yet</t>
        </is>
      </c>
      <c r="S949" s="49" t="n"/>
      <c r="T949" s="49" t="n"/>
      <c r="U949" s="47" t="inlineStr">
        <is>
          <t>Go to to get PayPal Honey for free. Today J dives into the Star Wars Galaxy to reveal how Grogu is the past, present and future of Star Wars! Was his blood used to create Supreme Leader Snoke? Reys Dad? Is Grogu the future ruler of Mandalore? And Who was Mandalore the Great? Snoke Theme :: #supercarlinbrothers #TheMandalorian #StarWars</t>
        </is>
      </c>
      <c r="V949" s="47">
        <f>IF(AND(P949&gt;=Calendar!$K$2,P949&lt;EDATE(Calendar!$K$2,1),OR(Calendar!$K$4="*",N949=Calendar!$K$4)),P949*100+COUNTIFS($P$6:$P$3267,P949,$Q$6:$Q$3267,"&lt;="&amp;Q949,$N$6:$N$3267,Calendar!$K$4),"")</f>
        <v/>
      </c>
      <c r="W949" s="47">
        <f>IF(AND(B949=Queue!$C$4,OR(Queue!$K$4="*",N949=Queue!$K$4)),Q949,"")</f>
        <v/>
      </c>
    </row>
    <row r="950">
      <c r="A950" s="38">
        <f>IF(M950="","",HYPERLINK("https://www.youtube.com/watch?v="&amp;M950,"▶"))</f>
        <v/>
      </c>
      <c r="B950" s="39">
        <f>IF(C950&lt;&gt;"",C950,IF(P950&lt;=IFERROR(INDEX(tblChannels[Watched Through],MATCH(N950,tblChannels[Channel ID],0)),0),"Watched","Unwatched"))</f>
        <v/>
      </c>
      <c r="C950" s="40" t="n"/>
      <c r="D950" s="41" t="n"/>
      <c r="E950" s="42" t="n">
        <v>45002.60902777778</v>
      </c>
      <c r="F950" s="50" t="inlineStr">
        <is>
          <t>Super Carlin Brothers</t>
        </is>
      </c>
      <c r="G950" t="inlineStr">
        <is>
          <t>J vs Ben: ULTIMATE Encanto Trivia Quiz [VERY HARD]</t>
        </is>
      </c>
      <c r="H950" s="44" t="n">
        <v>0.01974537037037037</v>
      </c>
      <c r="I950" s="45" t="n">
        <v>89847</v>
      </c>
      <c r="J950" s="45" t="n">
        <v>3682</v>
      </c>
      <c r="K950" s="45" t="n">
        <v>309</v>
      </c>
      <c r="L950" s="46" t="n"/>
      <c r="M950" s="47" t="n"/>
      <c r="N950" s="47" t="inlineStr">
        <is>
          <t>UCKZo4N0lVPccBkSiuyVh4yg</t>
        </is>
      </c>
      <c r="O950" s="48" t="n">
        <v>45002.77569444444</v>
      </c>
      <c r="P950" s="49" t="n">
        <v>45002</v>
      </c>
      <c r="Q950" s="47" t="n">
        <v>2318</v>
      </c>
      <c r="R950" s="47" t="inlineStr">
        <is>
          <t>No Video ID yet</t>
        </is>
      </c>
      <c r="S950" s="49" t="n"/>
      <c r="T950" s="49" t="n"/>
      <c r="U950" s="47" t="inlineStr">
        <is>
          <t>Go to to find out how you can get 3 months free. Go to to get 25% off your first order and free standard shipping. Today J and Ben face off once more to find out who knows the most about Disney’s ENCANTO! How many pieces did Bruno’s vision break into? What animal did Antonio speak to first?! Play along here: #supercarlinbrothers #pixar #pixarcars</t>
        </is>
      </c>
      <c r="V950" s="47">
        <f>IF(AND(P950&gt;=Calendar!$K$2,P950&lt;EDATE(Calendar!$K$2,1),OR(Calendar!$K$4="*",N950=Calendar!$K$4)),P950*100+COUNTIFS($P$6:$P$3267,P950,$Q$6:$Q$3267,"&lt;="&amp;Q950,$N$6:$N$3267,Calendar!$K$4),"")</f>
        <v/>
      </c>
      <c r="W950" s="47">
        <f>IF(AND(B950=Queue!$C$4,OR(Queue!$K$4="*",N950=Queue!$K$4)),Q950,"")</f>
        <v/>
      </c>
    </row>
    <row r="951">
      <c r="A951" s="38">
        <f>IF(M951="","",HYPERLINK("https://www.youtube.com/watch?v="&amp;M951,"▶"))</f>
        <v/>
      </c>
      <c r="B951" s="39">
        <f>IF(C951&lt;&gt;"",C951,IF(P951&lt;=IFERROR(INDEX(tblChannels[Watched Through],MATCH(N951,tblChannels[Channel ID],0)),0),"Watched","Unwatched"))</f>
        <v/>
      </c>
      <c r="C951" s="40" t="n"/>
      <c r="D951" s="41" t="n"/>
      <c r="E951" s="42" t="n">
        <v>45002.41666666666</v>
      </c>
      <c r="F951" s="43" t="inlineStr">
        <is>
          <t>Popcorn Culture</t>
        </is>
      </c>
      <c r="G951" t="inlineStr">
        <is>
          <t>Conversation about Conversations | Popcorn Culture</t>
        </is>
      </c>
      <c r="H951" s="44" t="n">
        <v>0.05262731481481481</v>
      </c>
      <c r="I951" s="45" t="n">
        <v>5625</v>
      </c>
      <c r="J951" s="45" t="n">
        <v>250</v>
      </c>
      <c r="K951" s="45" t="n">
        <v>26</v>
      </c>
      <c r="L951" s="46" t="n"/>
      <c r="M951" s="47" t="n"/>
      <c r="N951" s="47" t="inlineStr">
        <is>
          <t>UCHfIbq9thHPC8yrKjAdJgDA</t>
        </is>
      </c>
      <c r="O951" s="48" t="n">
        <v>45002.58333333334</v>
      </c>
      <c r="P951" s="49" t="n">
        <v>45002</v>
      </c>
      <c r="Q951" s="47" t="n">
        <v>2317</v>
      </c>
      <c r="R951" s="47" t="inlineStr">
        <is>
          <t>No Video ID yet</t>
        </is>
      </c>
      <c r="S951" s="49" t="n"/>
      <c r="T951" s="49" t="n"/>
      <c r="U951" s="47" t="inlineStr">
        <is>
          <t>In the 171st episode of the pop, Ben and J discuss BTS of careers, game sharks and genies, chess, the psychology of conversations, “Yes, and…” parenting style, and the awkwardness of deep talk. En Passant - Magnus Carlsen - Michael Strahan - Psychology of Conversation - Bluey - Cheat Codes in Chess Givers and Takers 00:00 - Intro,Careers 12:52 - Cheat Codes 17:06 - Chess 29:01 - Conversational Doorknobs</t>
        </is>
      </c>
      <c r="V951" s="47">
        <f>IF(AND(P951&gt;=Calendar!$K$2,P951&lt;EDATE(Calendar!$K$2,1),OR(Calendar!$K$4="*",N951=Calendar!$K$4)),P951*100+COUNTIFS($P$6:$P$3267,P951,$Q$6:$Q$3267,"&lt;="&amp;Q951,$N$6:$N$3267,Calendar!$K$4),"")</f>
        <v/>
      </c>
      <c r="W951" s="47">
        <f>IF(AND(B951=Queue!$C$4,OR(Queue!$K$4="*",N951=Queue!$K$4)),Q951,"")</f>
        <v/>
      </c>
    </row>
    <row r="952">
      <c r="A952" s="38">
        <f>IF(M952="","",HYPERLINK("https://www.youtube.com/watch?v="&amp;M952,"▶"))</f>
        <v/>
      </c>
      <c r="B952" s="39">
        <f>IF(C952&lt;&gt;"",C952,IF(P952&lt;=IFERROR(INDEX(tblChannels[Watched Through],MATCH(N952,tblChannels[Channel ID],0)),0),"Watched","Unwatched"))</f>
        <v/>
      </c>
      <c r="C952" s="40" t="n"/>
      <c r="D952" s="41" t="n"/>
      <c r="E952" s="42" t="n">
        <v>45000.60416666666</v>
      </c>
      <c r="F952" s="50" t="inlineStr">
        <is>
          <t>Super Carlin Brothers</t>
        </is>
      </c>
      <c r="G952" t="inlineStr">
        <is>
          <t>Cars Is A RIPOFF?! | Pixar Film Theory</t>
        </is>
      </c>
      <c r="H952" s="44" t="n">
        <v>0.00974537037037037</v>
      </c>
      <c r="I952" s="45" t="n">
        <v>134002</v>
      </c>
      <c r="J952" s="45" t="n">
        <v>6836</v>
      </c>
      <c r="K952" s="45" t="n">
        <v>512</v>
      </c>
      <c r="L952" s="46" t="n"/>
      <c r="M952" s="47" t="n"/>
      <c r="N952" s="47" t="inlineStr">
        <is>
          <t>UCKZo4N0lVPccBkSiuyVh4yg</t>
        </is>
      </c>
      <c r="O952" s="48" t="n">
        <v>45000.77083333334</v>
      </c>
      <c r="P952" s="49" t="n">
        <v>45000</v>
      </c>
      <c r="Q952" s="47" t="n">
        <v>2316</v>
      </c>
      <c r="R952" s="47" t="inlineStr">
        <is>
          <t>No Video ID yet</t>
        </is>
      </c>
      <c r="S952" s="49" t="n"/>
      <c r="T952" s="49" t="n"/>
      <c r="U952" s="47" t="inlineStr">
        <is>
          <t>Get 20% off your first monthly box when you sign up at Today J investigates the claim that Cars actually stole its plot from the oft-forgotten 1991 Michael J. Fox film, Doc Hollywood. Could this be possible? How similar are they REALLY?! #supercarlinbrothers #pixar #pixarcars</t>
        </is>
      </c>
      <c r="V952" s="47">
        <f>IF(AND(P952&gt;=Calendar!$K$2,P952&lt;EDATE(Calendar!$K$2,1),OR(Calendar!$K$4="*",N952=Calendar!$K$4)),P952*100+COUNTIFS($P$6:$P$3267,P952,$Q$6:$Q$3267,"&lt;="&amp;Q952,$N$6:$N$3267,Calendar!$K$4),"")</f>
        <v/>
      </c>
      <c r="W952" s="47">
        <f>IF(AND(B952=Queue!$C$4,OR(Queue!$K$4="*",N952=Queue!$K$4)),Q952,"")</f>
        <v/>
      </c>
    </row>
    <row r="953">
      <c r="A953" s="38">
        <f>IF(M953="","",HYPERLINK("https://www.youtube.com/watch?v="&amp;M953,"▶"))</f>
        <v/>
      </c>
      <c r="B953" s="39">
        <f>IF(C953&lt;&gt;"",C953,IF(P953&lt;=IFERROR(INDEX(tblChannels[Watched Through],MATCH(N953,tblChannels[Channel ID],0)),0),"Watched","Unwatched"))</f>
        <v/>
      </c>
      <c r="C953" s="40" t="n"/>
      <c r="D953" s="41" t="n"/>
      <c r="E953" s="42" t="n">
        <v>44998.77083333334</v>
      </c>
      <c r="F953" s="52" t="inlineStr">
        <is>
          <t>Super Carlin Gaming</t>
        </is>
      </c>
      <c r="G953" t="inlineStr">
        <is>
          <t>A Big Day For Rookies | Carlin Brothers Box Breakers S4E2</t>
        </is>
      </c>
      <c r="H953" s="44" t="n">
        <v>0.03631944444444445</v>
      </c>
      <c r="I953" s="45" t="n">
        <v>2582</v>
      </c>
      <c r="J953" s="45" t="n">
        <v>142</v>
      </c>
      <c r="K953" s="45" t="n">
        <v>19</v>
      </c>
      <c r="L953" s="46" t="n"/>
      <c r="M953" s="47" t="n"/>
      <c r="N953" s="47" t="inlineStr">
        <is>
          <t>UCor_9jRnNNZVzTuQ92PKsaQ</t>
        </is>
      </c>
      <c r="O953" s="48" t="n">
        <v>44998.9375</v>
      </c>
      <c r="P953" s="49" t="n">
        <v>44998</v>
      </c>
      <c r="Q953" s="47" t="n">
        <v>2315</v>
      </c>
      <c r="R953" s="47" t="inlineStr">
        <is>
          <t>No Video ID yet</t>
        </is>
      </c>
      <c r="S953" s="49" t="n"/>
      <c r="T953" s="49" t="n"/>
      <c r="U953" s="47" t="inlineStr">
        <is>
          <t>This week Crown Zenith shows us what it's got!</t>
        </is>
      </c>
      <c r="V953" s="47">
        <f>IF(AND(P953&gt;=Calendar!$K$2,P953&lt;EDATE(Calendar!$K$2,1),OR(Calendar!$K$4="*",N953=Calendar!$K$4)),P953*100+COUNTIFS($P$6:$P$3267,P953,$Q$6:$Q$3267,"&lt;="&amp;Q953,$N$6:$N$3267,Calendar!$K$4),"")</f>
        <v/>
      </c>
      <c r="W953" s="47">
        <f>IF(AND(B953=Queue!$C$4,OR(Queue!$K$4="*",N953=Queue!$K$4)),Q953,"")</f>
        <v/>
      </c>
    </row>
    <row r="954">
      <c r="A954" s="38">
        <f>IF(M954="","",HYPERLINK("https://www.youtube.com/watch?v="&amp;M954,"▶"))</f>
        <v/>
      </c>
      <c r="B954" s="39">
        <f>IF(C954&lt;&gt;"",C954,IF(P954&lt;=IFERROR(INDEX(tblChannels[Watched Through],MATCH(N954,tblChannels[Channel ID],0)),0),"Watched","Unwatched"))</f>
        <v/>
      </c>
      <c r="C954" s="40" t="n"/>
      <c r="D954" s="41" t="n"/>
      <c r="E954" s="42" t="n">
        <v>44995.70763888889</v>
      </c>
      <c r="F954" s="50" t="inlineStr">
        <is>
          <t>Super Carlin Brothers</t>
        </is>
      </c>
      <c r="G954" t="inlineStr">
        <is>
          <t>What Frozen 3 SHOULD Be About | Disney Film Theory</t>
        </is>
      </c>
      <c r="H954" s="44" t="n">
        <v>0.01318287037037037</v>
      </c>
      <c r="I954" s="45" t="n">
        <v>123119</v>
      </c>
      <c r="J954" s="45" t="n">
        <v>5542</v>
      </c>
      <c r="K954" s="45" t="n">
        <v>540</v>
      </c>
      <c r="L954" s="46" t="n"/>
      <c r="M954" s="47" t="n"/>
      <c r="N954" s="47" t="inlineStr">
        <is>
          <t>UCKZo4N0lVPccBkSiuyVh4yg</t>
        </is>
      </c>
      <c r="O954" s="48" t="n">
        <v>44995.91597222222</v>
      </c>
      <c r="P954" s="49" t="n">
        <v>44995</v>
      </c>
      <c r="Q954" s="47" t="n">
        <v>2314</v>
      </c>
      <c r="R954" s="47" t="inlineStr">
        <is>
          <t>No Video ID yet</t>
        </is>
      </c>
      <c r="S954" s="49" t="n"/>
      <c r="T954" s="49" t="n"/>
      <c r="U954" s="47" t="inlineStr">
        <is>
          <t>Today Ben dives into the ICY world of Disney’s Frozen to breakdown the themes of the first 2 movies and predict (Olaf Style) What the newly announced Frozne 3 will be about! #supercarlinbrothers #Frozen #Disney</t>
        </is>
      </c>
      <c r="V954" s="47">
        <f>IF(AND(P954&gt;=Calendar!$K$2,P954&lt;EDATE(Calendar!$K$2,1),OR(Calendar!$K$4="*",N954=Calendar!$K$4)),P954*100+COUNTIFS($P$6:$P$3267,P954,$Q$6:$Q$3267,"&lt;="&amp;Q954,$N$6:$N$3267,Calendar!$K$4),"")</f>
        <v/>
      </c>
      <c r="W954" s="47">
        <f>IF(AND(B954=Queue!$C$4,OR(Queue!$K$4="*",N954=Queue!$K$4)),Q954,"")</f>
        <v/>
      </c>
    </row>
    <row r="955">
      <c r="A955" s="38">
        <f>IF(M955="","",HYPERLINK("https://www.youtube.com/watch?v="&amp;M955,"▶"))</f>
        <v/>
      </c>
      <c r="B955" s="39">
        <f>IF(C955&lt;&gt;"",C955,IF(P955&lt;=IFERROR(INDEX(tblChannels[Watched Through],MATCH(N955,tblChannels[Channel ID],0)),0),"Watched","Unwatched"))</f>
        <v/>
      </c>
      <c r="C955" s="40" t="n"/>
      <c r="D955" s="41" t="n"/>
      <c r="E955" s="42" t="n">
        <v>44995.41666666666</v>
      </c>
      <c r="F955" s="43" t="inlineStr">
        <is>
          <t>Popcorn Culture</t>
        </is>
      </c>
      <c r="G955" t="inlineStr">
        <is>
          <t>Pierogi Night Perils | Popcorn Culture</t>
        </is>
      </c>
      <c r="H955" s="44" t="n">
        <v>0.04982638888888889</v>
      </c>
      <c r="I955" s="45" t="n">
        <v>4651</v>
      </c>
      <c r="J955" s="45" t="n">
        <v>240</v>
      </c>
      <c r="K955" s="45" t="n">
        <v>38</v>
      </c>
      <c r="L955" s="46" t="n"/>
      <c r="M955" s="47" t="n"/>
      <c r="N955" s="47" t="inlineStr">
        <is>
          <t>UCHfIbq9thHPC8yrKjAdJgDA</t>
        </is>
      </c>
      <c r="O955" s="48" t="n">
        <v>44995.625</v>
      </c>
      <c r="P955" s="49" t="n">
        <v>44995</v>
      </c>
      <c r="Q955" s="47" t="n">
        <v>2313</v>
      </c>
      <c r="R955" s="47" t="inlineStr">
        <is>
          <t>No Video ID yet</t>
        </is>
      </c>
      <c r="S955" s="49" t="n"/>
      <c r="T955" s="49" t="n"/>
      <c r="U955" s="47" t="inlineStr">
        <is>
          <t>In the 170th episode of the Pop, Ben and J discuss various cheeses, pierogies and sponges, J’s confusion about Aerie, other mall brands, the nature of strong opinions about things that don’t matter, and Ben’s struggle with moving heavy objects. Aerie - The Gap - Threatening Warmth Bag Cheese Mandela Effect of Limburger Cheese Ignorance on Malls 1,500 LBS of Turf A New Episode Decade 00:00 - Intro, Cheese 12:12 - Pierogi Night 31:37 - Mall Brands 55:46 - Heavy Objects</t>
        </is>
      </c>
      <c r="V955" s="47">
        <f>IF(AND(P955&gt;=Calendar!$K$2,P955&lt;EDATE(Calendar!$K$2,1),OR(Calendar!$K$4="*",N955=Calendar!$K$4)),P955*100+COUNTIFS($P$6:$P$3267,P955,$Q$6:$Q$3267,"&lt;="&amp;Q955,$N$6:$N$3267,Calendar!$K$4),"")</f>
        <v/>
      </c>
      <c r="W955" s="47">
        <f>IF(AND(B955=Queue!$C$4,OR(Queue!$K$4="*",N955=Queue!$K$4)),Q955,"")</f>
        <v/>
      </c>
    </row>
    <row r="956">
      <c r="A956" s="38">
        <f>IF(M956="","",HYPERLINK("https://www.youtube.com/watch?v="&amp;M956,"▶"))</f>
        <v/>
      </c>
      <c r="B956" s="39">
        <f>IF(C956&lt;&gt;"",C956,IF(P956&lt;=IFERROR(INDEX(tblChannels[Watched Through],MATCH(N956,tblChannels[Channel ID],0)),0),"Watched","Unwatched"))</f>
        <v/>
      </c>
      <c r="C956" s="40" t="n"/>
      <c r="D956" s="41" t="n"/>
      <c r="E956" s="42" t="n">
        <v>44993.5875</v>
      </c>
      <c r="F956" s="50" t="inlineStr">
        <is>
          <t>Super Carlin Brothers</t>
        </is>
      </c>
      <c r="G956" t="inlineStr">
        <is>
          <t>What Lightsaber Colors ACTUALLY Mean | Star Wars Film Theory</t>
        </is>
      </c>
      <c r="H956" s="44" t="n">
        <v>0.01252314814814815</v>
      </c>
      <c r="I956" s="45" t="n">
        <v>142146</v>
      </c>
      <c r="J956" s="45" t="n">
        <v>6708</v>
      </c>
      <c r="K956" s="45" t="n">
        <v>779</v>
      </c>
      <c r="L956" s="46" t="n"/>
      <c r="M956" s="47" t="n"/>
      <c r="N956" s="47" t="inlineStr">
        <is>
          <t>UCKZo4N0lVPccBkSiuyVh4yg</t>
        </is>
      </c>
      <c r="O956" s="48" t="n">
        <v>44993.79583333333</v>
      </c>
      <c r="P956" s="49" t="n">
        <v>44993</v>
      </c>
      <c r="Q956" s="47" t="n">
        <v>2312</v>
      </c>
      <c r="R956" s="47" t="inlineStr">
        <is>
          <t>No Video ID yet</t>
        </is>
      </c>
      <c r="S956" s="49" t="n"/>
      <c r="T956" s="49" t="n"/>
      <c r="U956" s="47" t="inlineStr">
        <is>
          <t>Go to for 25% off our Royal Candle Line for the rest of the year! (They smell like another Galaxy! (Probably!)) Today J dives into the Star Wars Galaxy to reveal the meaning behind every different color lightsaber blade in Star Wars! #supercarlinbrothers #StarWars #Mandalorian</t>
        </is>
      </c>
      <c r="V956" s="47">
        <f>IF(AND(P956&gt;=Calendar!$K$2,P956&lt;EDATE(Calendar!$K$2,1),OR(Calendar!$K$4="*",N956=Calendar!$K$4)),P956*100+COUNTIFS($P$6:$P$3267,P956,$Q$6:$Q$3267,"&lt;="&amp;Q956,$N$6:$N$3267,Calendar!$K$4),"")</f>
        <v/>
      </c>
      <c r="W956" s="47">
        <f>IF(AND(B956=Queue!$C$4,OR(Queue!$K$4="*",N956=Queue!$K$4)),Q956,"")</f>
        <v/>
      </c>
    </row>
    <row r="957">
      <c r="A957" s="38">
        <f>IF(M957="","",HYPERLINK("https://www.youtube.com/watch?v="&amp;M957,"▶"))</f>
        <v/>
      </c>
      <c r="B957" s="39">
        <f>IF(C957&lt;&gt;"",C957,IF(P957&lt;=IFERROR(INDEX(tblChannels[Watched Through],MATCH(N957,tblChannels[Channel ID],0)),0),"Watched","Unwatched"))</f>
        <v/>
      </c>
      <c r="C957" s="40" t="n"/>
      <c r="D957" s="41" t="n"/>
      <c r="E957" s="42" t="n">
        <v>44991.625</v>
      </c>
      <c r="F957" s="52" t="inlineStr">
        <is>
          <t>Super Carlin Gaming</t>
        </is>
      </c>
      <c r="G957" t="inlineStr">
        <is>
          <t>Enter Crown Zenith! || Carlin Brothers Box Breakers S4E1</t>
        </is>
      </c>
      <c r="H957" s="44" t="n">
        <v>0.03890046296296296</v>
      </c>
      <c r="I957" s="45" t="n">
        <v>2886</v>
      </c>
      <c r="J957" s="45" t="n">
        <v>166</v>
      </c>
      <c r="K957" s="45" t="n">
        <v>17</v>
      </c>
      <c r="L957" s="46" t="n"/>
      <c r="M957" s="47" t="n"/>
      <c r="N957" s="47" t="inlineStr">
        <is>
          <t>UCor_9jRnNNZVzTuQ92PKsaQ</t>
        </is>
      </c>
      <c r="O957" s="48" t="n">
        <v>44991.83333333334</v>
      </c>
      <c r="P957" s="49" t="n">
        <v>44991</v>
      </c>
      <c r="Q957" s="47" t="n">
        <v>2311</v>
      </c>
      <c r="R957" s="47" t="inlineStr">
        <is>
          <t>No Video ID yet</t>
        </is>
      </c>
      <c r="S957" s="49" t="n"/>
      <c r="T957" s="49" t="n"/>
      <c r="U957" s="47" t="inlineStr">
        <is>
          <t>This week Crown Zenith Begins!</t>
        </is>
      </c>
      <c r="V957" s="47">
        <f>IF(AND(P957&gt;=Calendar!$K$2,P957&lt;EDATE(Calendar!$K$2,1),OR(Calendar!$K$4="*",N957=Calendar!$K$4)),P957*100+COUNTIFS($P$6:$P$3267,P957,$Q$6:$Q$3267,"&lt;="&amp;Q957,$N$6:$N$3267,Calendar!$K$4),"")</f>
        <v/>
      </c>
      <c r="W957" s="47">
        <f>IF(AND(B957=Queue!$C$4,OR(Queue!$K$4="*",N957=Queue!$K$4)),Q957,"")</f>
        <v/>
      </c>
    </row>
    <row r="958">
      <c r="A958" s="38">
        <f>IF(M958="","",HYPERLINK("https://www.youtube.com/watch?v="&amp;M958,"▶"))</f>
        <v/>
      </c>
      <c r="B958" s="39">
        <f>IF(C958&lt;&gt;"",C958,IF(P958&lt;=IFERROR(INDEX(tblChannels[Watched Through],MATCH(N958,tblChannels[Channel ID],0)),0),"Watched","Unwatched"))</f>
        <v/>
      </c>
      <c r="C958" s="40" t="n"/>
      <c r="D958" s="41" t="n"/>
      <c r="E958" s="42" t="n">
        <v>44988.625</v>
      </c>
      <c r="F958" s="50" t="inlineStr">
        <is>
          <t>Super Carlin Brothers</t>
        </is>
      </c>
      <c r="G958" t="inlineStr">
        <is>
          <t>J vs Ben: ULTIMATE Toy Story TRIVIA Quiz feat. Seamus Gorman</t>
        </is>
      </c>
      <c r="H958" s="44" t="n">
        <v>0.0353125</v>
      </c>
      <c r="I958" s="45" t="n">
        <v>110020</v>
      </c>
      <c r="J958" s="45" t="n">
        <v>3803</v>
      </c>
      <c r="K958" s="45" t="n">
        <v>453</v>
      </c>
      <c r="L958" s="46" t="n"/>
      <c r="M958" s="47" t="n"/>
      <c r="N958" s="47" t="inlineStr">
        <is>
          <t>UCKZo4N0lVPccBkSiuyVh4yg</t>
        </is>
      </c>
      <c r="O958" s="48" t="n">
        <v>44988.83333333334</v>
      </c>
      <c r="P958" s="49" t="n">
        <v>44988</v>
      </c>
      <c r="Q958" s="47" t="n">
        <v>2310</v>
      </c>
      <c r="R958" s="47" t="inlineStr">
        <is>
          <t>No Video ID yet</t>
        </is>
      </c>
      <c r="S958" s="49" t="n"/>
      <c r="T958" s="49" t="n"/>
      <c r="U958" s="47" t="inlineStr">
        <is>
          <t>Go to and use code jvsb50 to get 50% off your first box Download DoorDash app in the App Store and enter code JVSB for 50% off your first order up to a $20 value. Today J and Ben are joined by their friend Seamus Gorman to find out who knows the most about their favorite Pixar series: TOY STORY! Check out Seamus’s youtube channel: Play along with us:: 02:29 - What are the names of Bo Peep's sheep? 05:37 - What is Sid's last name? 08:02 - What snack was on the floor? 10:05 - What did the magic 8 ball say? 12:54 - What toy is Gabby Gabby based on? 15:17 - Where is the A113 in Toy Story 1? 22:23 - What does Mrs. Potato Head give Mr. in Toy Story 2? 25:33 - What's Andy's house address? 27:21 - What is the name of Duke Kaboom's kid? 31:50 - What household object is Bo Peep? 32:49 - How many cars did the original Hot Wheels have? 35:10 - How many toys go on the RV trip with Bonnie? 38:45 - What is the museum Al was going to sell the toys to? 40:33 - What is the model of the Pizza Planet truck? 42:41 - Which of the toys is the oldest IRL? #supercarlinbrothers #Pixar #ToyStory</t>
        </is>
      </c>
      <c r="V958" s="47">
        <f>IF(AND(P958&gt;=Calendar!$K$2,P958&lt;EDATE(Calendar!$K$2,1),OR(Calendar!$K$4="*",N958=Calendar!$K$4)),P958*100+COUNTIFS($P$6:$P$3267,P958,$Q$6:$Q$3267,"&lt;="&amp;Q958,$N$6:$N$3267,Calendar!$K$4),"")</f>
        <v/>
      </c>
      <c r="W958" s="47">
        <f>IF(AND(B958=Queue!$C$4,OR(Queue!$K$4="*",N958=Queue!$K$4)),Q958,"")</f>
        <v/>
      </c>
    </row>
    <row r="959">
      <c r="A959" s="38">
        <f>IF(M959="","",HYPERLINK("https://www.youtube.com/watch?v="&amp;M959,"▶"))</f>
        <v/>
      </c>
      <c r="B959" s="39">
        <f>IF(C959&lt;&gt;"",C959,IF(P959&lt;=IFERROR(INDEX(tblChannels[Watched Through],MATCH(N959,tblChannels[Channel ID],0)),0),"Watched","Unwatched"))</f>
        <v/>
      </c>
      <c r="C959" s="40" t="n"/>
      <c r="D959" s="41" t="n"/>
      <c r="E959" s="42" t="n">
        <v>44988.41666666666</v>
      </c>
      <c r="F959" s="43" t="inlineStr">
        <is>
          <t>Popcorn Culture</t>
        </is>
      </c>
      <c r="G959" t="inlineStr">
        <is>
          <t>Actively Practicing Cowardice | Popcorn Culture</t>
        </is>
      </c>
      <c r="H959" s="44" t="n">
        <v>0.04774305555555555</v>
      </c>
      <c r="I959" s="45" t="n">
        <v>4982</v>
      </c>
      <c r="J959" s="45" t="n">
        <v>259</v>
      </c>
      <c r="K959" s="45" t="n">
        <v>30</v>
      </c>
      <c r="L959" s="46" t="n"/>
      <c r="M959" s="47" t="n"/>
      <c r="N959" s="47" t="inlineStr">
        <is>
          <t>UCHfIbq9thHPC8yrKjAdJgDA</t>
        </is>
      </c>
      <c r="O959" s="48" t="n">
        <v>44988.625</v>
      </c>
      <c r="P959" s="49" t="n">
        <v>44988</v>
      </c>
      <c r="Q959" s="47" t="n">
        <v>2309</v>
      </c>
      <c r="R959" s="47" t="inlineStr">
        <is>
          <t>No Video ID yet</t>
        </is>
      </c>
      <c r="S959" s="49" t="n"/>
      <c r="T959" s="49" t="n"/>
      <c r="U959" s="47" t="inlineStr">
        <is>
          <t>This show is sponsored by Farm Story Meats. Go to and use promo code POP25 to get 25% off your first seasonal subscription box. In the 169th episode of the pop, Ben and J discuss a fun word, critiquing people’s driving, the center console, Clarkson Farms, J’s favorite scoop, and coffee at Disney. Mandalorian - Ted Lasso - Ben’s Wick of the Peek: Clarkson Farms - Latibulate Speeding Math Ring of Safety The Beloved Scoop 00:00 - Intro, New Top 10 Word 08:08 - Driving Styles 34:12 - BEN’S Wick of the Peek 42:32 - The Two Tablespoon Scoop</t>
        </is>
      </c>
      <c r="V959" s="47">
        <f>IF(AND(P959&gt;=Calendar!$K$2,P959&lt;EDATE(Calendar!$K$2,1),OR(Calendar!$K$4="*",N959=Calendar!$K$4)),P959*100+COUNTIFS($P$6:$P$3267,P959,$Q$6:$Q$3267,"&lt;="&amp;Q959,$N$6:$N$3267,Calendar!$K$4),"")</f>
        <v/>
      </c>
      <c r="W959" s="47">
        <f>IF(AND(B959=Queue!$C$4,OR(Queue!$K$4="*",N959=Queue!$K$4)),Q959,"")</f>
        <v/>
      </c>
    </row>
    <row r="960">
      <c r="A960" s="38">
        <f>IF(M960="","",HYPERLINK("https://www.youtube.com/watch?v="&amp;M960,"▶"))</f>
        <v/>
      </c>
      <c r="B960" s="39">
        <f>IF(C960&lt;&gt;"",C960,IF(P960&lt;=IFERROR(INDEX(tblChannels[Watched Through],MATCH(N960,tblChannels[Channel ID],0)),0),"Watched","Unwatched"))</f>
        <v/>
      </c>
      <c r="C960" s="40" t="n"/>
      <c r="D960" s="41" t="n"/>
      <c r="E960" s="42" t="n">
        <v>44986.60416666666</v>
      </c>
      <c r="F960" s="50" t="inlineStr">
        <is>
          <t>Super Carlin Brothers</t>
        </is>
      </c>
      <c r="G960" t="inlineStr">
        <is>
          <t>What Would ACTUALLY Make Toy Story 5 Worth It | Pixar Film Theory</t>
        </is>
      </c>
      <c r="H960" s="44" t="n">
        <v>0.01342592592592593</v>
      </c>
      <c r="I960" s="45" t="n">
        <v>212179</v>
      </c>
      <c r="J960" s="45" t="n">
        <v>8816</v>
      </c>
      <c r="K960" s="45" t="n">
        <v>1172</v>
      </c>
      <c r="L960" s="46" t="n"/>
      <c r="M960" s="47" t="n"/>
      <c r="N960" s="47" t="inlineStr">
        <is>
          <t>UCKZo4N0lVPccBkSiuyVh4yg</t>
        </is>
      </c>
      <c r="O960" s="48" t="n">
        <v>44986.8125</v>
      </c>
      <c r="P960" s="49" t="n">
        <v>44986</v>
      </c>
      <c r="Q960" s="47" t="n">
        <v>2308</v>
      </c>
      <c r="R960" s="47" t="inlineStr">
        <is>
          <t>No Video ID yet</t>
        </is>
      </c>
      <c r="S960" s="49" t="n"/>
      <c r="T960" s="49" t="n"/>
      <c r="U960" s="47" t="inlineStr">
        <is>
          <t>This episode is sponsored by BetterHelp - go to to get started today! Go to for 25% off our Royal Candle Line for the rest of the year! Today J dives into the wonderful world of Pixar’s Toy Story to discuss and predict the possible plot of the newly announced Toy Story 5! Marvelous Madness :: #supercarlinbrothers #Pixar #ToyStory5</t>
        </is>
      </c>
      <c r="V960" s="47">
        <f>IF(AND(P960&gt;=Calendar!$K$2,P960&lt;EDATE(Calendar!$K$2,1),OR(Calendar!$K$4="*",N960=Calendar!$K$4)),P960*100+COUNTIFS($P$6:$P$3267,P960,$Q$6:$Q$3267,"&lt;="&amp;Q960,$N$6:$N$3267,Calendar!$K$4),"")</f>
        <v/>
      </c>
      <c r="W960" s="47">
        <f>IF(AND(B960=Queue!$C$4,OR(Queue!$K$4="*",N960=Queue!$K$4)),Q960,"")</f>
        <v/>
      </c>
    </row>
    <row r="961">
      <c r="A961" s="38">
        <f>IF(M961="","",HYPERLINK("https://www.youtube.com/watch?v="&amp;M961,"▶"))</f>
        <v/>
      </c>
      <c r="B961" s="39">
        <f>IF(C961&lt;&gt;"",C961,IF(P961&lt;=IFERROR(INDEX(tblChannels[Watched Through],MATCH(N961,tblChannels[Channel ID],0)),0),"Watched","Unwatched"))</f>
        <v/>
      </c>
      <c r="C961" s="40" t="n"/>
      <c r="D961" s="41" t="n"/>
      <c r="E961" s="42" t="n">
        <v>44985.77083333334</v>
      </c>
      <c r="F961" s="52" t="inlineStr">
        <is>
          <t>Super Carlin Gaming</t>
        </is>
      </c>
      <c r="G961" t="inlineStr">
        <is>
          <t>7 WAY TIE!! | Carlin Brothers Box Breakers SEASON 3 FINALE</t>
        </is>
      </c>
      <c r="H961" s="44" t="n">
        <v>0.04175925925925926</v>
      </c>
      <c r="I961" s="45" t="n">
        <v>2755</v>
      </c>
      <c r="J961" s="45" t="n">
        <v>163</v>
      </c>
      <c r="K961" s="45" t="n">
        <v>16</v>
      </c>
      <c r="L961" s="46" t="n"/>
      <c r="M961" s="47" t="n"/>
      <c r="N961" s="47" t="inlineStr">
        <is>
          <t>UCor_9jRnNNZVzTuQ92PKsaQ</t>
        </is>
      </c>
      <c r="O961" s="48" t="n">
        <v>44985.97916666666</v>
      </c>
      <c r="P961" s="49" t="n">
        <v>44985</v>
      </c>
      <c r="Q961" s="47" t="n">
        <v>2307</v>
      </c>
      <c r="R961" s="47" t="inlineStr">
        <is>
          <t>No Video ID yet</t>
        </is>
      </c>
      <c r="S961" s="49" t="n"/>
      <c r="T961" s="49" t="n"/>
      <c r="U961" s="47" t="inlineStr">
        <is>
          <t>This week SILVER TEMPEST comes to an end!</t>
        </is>
      </c>
      <c r="V961" s="47">
        <f>IF(AND(P961&gt;=Calendar!$K$2,P961&lt;EDATE(Calendar!$K$2,1),OR(Calendar!$K$4="*",N961=Calendar!$K$4)),P961*100+COUNTIFS($P$6:$P$3267,P961,$Q$6:$Q$3267,"&lt;="&amp;Q961,$N$6:$N$3267,Calendar!$K$4),"")</f>
        <v/>
      </c>
      <c r="W961" s="47">
        <f>IF(AND(B961=Queue!$C$4,OR(Queue!$K$4="*",N961=Queue!$K$4)),Q961,"")</f>
        <v/>
      </c>
    </row>
    <row r="962">
      <c r="A962" s="38">
        <f>IF(M962="","",HYPERLINK("https://www.youtube.com/watch?v="&amp;M962,"▶"))</f>
        <v/>
      </c>
      <c r="B962" s="39">
        <f>IF(C962&lt;&gt;"",C962,IF(P962&lt;=IFERROR(INDEX(tblChannels[Watched Through],MATCH(N962,tblChannels[Channel ID],0)),0),"Watched","Unwatched"))</f>
        <v/>
      </c>
      <c r="C962" s="40" t="n"/>
      <c r="D962" s="41" t="n"/>
      <c r="E962" s="42" t="n">
        <v>44981.69930555556</v>
      </c>
      <c r="F962" s="50" t="inlineStr">
        <is>
          <t>Super Carlin Brothers</t>
        </is>
      </c>
      <c r="G962" t="inlineStr">
        <is>
          <t>Mirabel Had A DARK Gift The Whole Time | Encanto Disney Film Theory</t>
        </is>
      </c>
      <c r="H962" s="44" t="n">
        <v>0.01416666666666667</v>
      </c>
      <c r="I962" s="45" t="n">
        <v>244690</v>
      </c>
      <c r="J962" s="45" t="n">
        <v>9911</v>
      </c>
      <c r="K962" s="45" t="n">
        <v>543</v>
      </c>
      <c r="L962" s="46" t="n"/>
      <c r="M962" s="47" t="n"/>
      <c r="N962" s="47" t="inlineStr">
        <is>
          <t>UCKZo4N0lVPccBkSiuyVh4yg</t>
        </is>
      </c>
      <c r="O962" s="48" t="n">
        <v>44981.90763888889</v>
      </c>
      <c r="P962" s="49" t="n">
        <v>44981</v>
      </c>
      <c r="Q962" s="47" t="n">
        <v>2306</v>
      </c>
      <c r="R962" s="47" t="inlineStr">
        <is>
          <t>No Video ID yet</t>
        </is>
      </c>
      <c r="S962" s="49" t="n"/>
      <c r="T962" s="49" t="n"/>
      <c r="U962" s="47" t="inlineStr">
        <is>
          <t>Go to and use code supercarlin65 for 65% off plus free shipping! Today Ben dives into the Magical world of Disney’s Encanto to figure out if Mirabel actually had a power the whole time and what kind of negative effect it had on her whole life. #supercarlinbrothers #Disney #Encanto</t>
        </is>
      </c>
      <c r="V962" s="47">
        <f>IF(AND(P962&gt;=Calendar!$K$2,P962&lt;EDATE(Calendar!$K$2,1),OR(Calendar!$K$4="*",N962=Calendar!$K$4)),P962*100+COUNTIFS($P$6:$P$3267,P962,$Q$6:$Q$3267,"&lt;="&amp;Q962,$N$6:$N$3267,Calendar!$K$4),"")</f>
        <v/>
      </c>
      <c r="W962" s="47">
        <f>IF(AND(B962=Queue!$C$4,OR(Queue!$K$4="*",N962=Queue!$K$4)),Q962,"")</f>
        <v/>
      </c>
    </row>
    <row r="963">
      <c r="A963" s="38">
        <f>IF(M963="","",HYPERLINK("https://www.youtube.com/watch?v="&amp;M963,"▶"))</f>
        <v/>
      </c>
      <c r="B963" s="39">
        <f>IF(C963&lt;&gt;"",C963,IF(P963&lt;=IFERROR(INDEX(tblChannels[Watched Through],MATCH(N963,tblChannels[Channel ID],0)),0),"Watched","Unwatched"))</f>
        <v/>
      </c>
      <c r="C963" s="40" t="n"/>
      <c r="D963" s="41" t="n"/>
      <c r="E963" s="42" t="n">
        <v>44981.41666666666</v>
      </c>
      <c r="F963" s="43" t="inlineStr">
        <is>
          <t>Popcorn Culture</t>
        </is>
      </c>
      <c r="G963" t="inlineStr">
        <is>
          <t>Eating Year Old Popcorn | Popcorn Culture</t>
        </is>
      </c>
      <c r="H963" s="44" t="n">
        <v>0.04657407407407407</v>
      </c>
      <c r="I963" s="45" t="n">
        <v>4797</v>
      </c>
      <c r="J963" s="45" t="n">
        <v>262</v>
      </c>
      <c r="K963" s="45" t="n">
        <v>50</v>
      </c>
      <c r="L963" s="46" t="n"/>
      <c r="M963" s="47" t="n"/>
      <c r="N963" s="47" t="inlineStr">
        <is>
          <t>UCHfIbq9thHPC8yrKjAdJgDA</t>
        </is>
      </c>
      <c r="O963" s="48" t="n">
        <v>44981.625</v>
      </c>
      <c r="P963" s="49" t="n">
        <v>44981</v>
      </c>
      <c r="Q963" s="47" t="n">
        <v>2305</v>
      </c>
      <c r="R963" s="47" t="inlineStr">
        <is>
          <t>No Video ID yet</t>
        </is>
      </c>
      <c r="S963" s="49" t="n"/>
      <c r="T963" s="49" t="n"/>
      <c r="U963" s="47" t="inlineStr">
        <is>
          <t>In the 168th episode of the Pop, Ben and J discuss: The Roanoker, popcorn freshness duration, bean bag chairs, movie theater concessions, waking up early for cartoons as kids, J’s Pokemon origins, Pluto pins, and Luke bringing J coffee in bed. Ant Man and the Wasp: Quantumania - Most Valuable Disney pins - In Sync LIKE THE BAND! Kind of a Disappointing Cookie Quality Year Old Kernels You Wouldn’t Chew On a T-shirt Momentus Parenting Occasion A Crisp 40 Dollar Bill I Just Want to be a Treasure Hunter 00:00 - Intro, Roanoker Slip Up… Sort Of! 07:53 - Longevity of Popcorn 22:23 - Bean Bag Chairs and Movie Concessions 35:01 - J’s Origin with Pokemon 48:27 - Hunting Pluto Pins 56:25 - Coffee in Bed</t>
        </is>
      </c>
      <c r="V963" s="47">
        <f>IF(AND(P963&gt;=Calendar!$K$2,P963&lt;EDATE(Calendar!$K$2,1),OR(Calendar!$K$4="*",N963=Calendar!$K$4)),P963*100+COUNTIFS($P$6:$P$3267,P963,$Q$6:$Q$3267,"&lt;="&amp;Q963,$N$6:$N$3267,Calendar!$K$4),"")</f>
        <v/>
      </c>
      <c r="W963" s="47">
        <f>IF(AND(B963=Queue!$C$4,OR(Queue!$K$4="*",N963=Queue!$K$4)),Q963,"")</f>
        <v/>
      </c>
    </row>
    <row r="964">
      <c r="A964" s="38">
        <f>IF(M964="","",HYPERLINK("https://www.youtube.com/watch?v="&amp;M964,"▶"))</f>
        <v/>
      </c>
      <c r="B964" s="39">
        <f>IF(C964&lt;&gt;"",C964,IF(P964&lt;=IFERROR(INDEX(tblChannels[Watched Through],MATCH(N964,tblChannels[Channel ID],0)),0),"Watched","Unwatched"))</f>
        <v/>
      </c>
      <c r="C964" s="40" t="n"/>
      <c r="D964" s="41" t="n"/>
      <c r="E964" s="42" t="n">
        <v>44980.70833333334</v>
      </c>
      <c r="F964" s="43" t="inlineStr">
        <is>
          <t>Popcorn Culture</t>
        </is>
      </c>
      <c r="G964" t="inlineStr">
        <is>
          <t>Coffee In Bed | Popcorn Culture Episode 168 Teaser</t>
        </is>
      </c>
      <c r="H964" s="44" t="n">
        <v>0.006481481481481481</v>
      </c>
      <c r="I964" s="45" t="n">
        <v>988</v>
      </c>
      <c r="J964" s="45" t="n">
        <v>74</v>
      </c>
      <c r="K964" s="45" t="n">
        <v>4</v>
      </c>
      <c r="L964" s="46" t="n"/>
      <c r="M964" s="47" t="n"/>
      <c r="N964" s="47" t="inlineStr">
        <is>
          <t>UCHfIbq9thHPC8yrKjAdJgDA</t>
        </is>
      </c>
      <c r="O964" s="48" t="n">
        <v>44980.91666666666</v>
      </c>
      <c r="P964" s="49" t="n">
        <v>44980</v>
      </c>
      <c r="Q964" s="47" t="n">
        <v>2304</v>
      </c>
      <c r="R964" s="47" t="inlineStr">
        <is>
          <t>No Video ID yet</t>
        </is>
      </c>
      <c r="S964" s="49" t="n"/>
      <c r="T964" s="49" t="n"/>
      <c r="U964" s="47" t="n"/>
      <c r="V964" s="47">
        <f>IF(AND(P964&gt;=Calendar!$K$2,P964&lt;EDATE(Calendar!$K$2,1),OR(Calendar!$K$4="*",N964=Calendar!$K$4)),P964*100+COUNTIFS($P$6:$P$3267,P964,$Q$6:$Q$3267,"&lt;="&amp;Q964,$N$6:$N$3267,Calendar!$K$4),"")</f>
        <v/>
      </c>
      <c r="W964" s="47">
        <f>IF(AND(B964=Queue!$C$4,OR(Queue!$K$4="*",N964=Queue!$K$4)),Q964,"")</f>
        <v/>
      </c>
    </row>
    <row r="965">
      <c r="A965" s="38">
        <f>IF(M965="","",HYPERLINK("https://www.youtube.com/watch?v="&amp;M965,"▶"))</f>
        <v/>
      </c>
      <c r="B965" s="39">
        <f>IF(C965&lt;&gt;"",C965,IF(P965&lt;=IFERROR(INDEX(tblChannels[Watched Through],MATCH(N965,tblChannels[Channel ID],0)),0),"Watched","Unwatched"))</f>
        <v/>
      </c>
      <c r="C965" s="40" t="n"/>
      <c r="D965" s="41" t="n"/>
      <c r="E965" s="42" t="n">
        <v>44979.625</v>
      </c>
      <c r="F965" s="52" t="inlineStr">
        <is>
          <t>Super Carlin Gaming</t>
        </is>
      </c>
      <c r="G965" t="inlineStr">
        <is>
          <t>IT HAPPENED AGAIN!! | Carlin Brothers Box Breakers S3E9</t>
        </is>
      </c>
      <c r="H965" s="44" t="n">
        <v>0.03986111111111111</v>
      </c>
      <c r="I965" s="45" t="n">
        <v>2914</v>
      </c>
      <c r="J965" s="45" t="n">
        <v>168</v>
      </c>
      <c r="K965" s="45" t="n">
        <v>23</v>
      </c>
      <c r="L965" s="46" t="n"/>
      <c r="M965" s="47" t="n"/>
      <c r="N965" s="47" t="inlineStr">
        <is>
          <t>UCor_9jRnNNZVzTuQ92PKsaQ</t>
        </is>
      </c>
      <c r="O965" s="48" t="n">
        <v>44979.83333333334</v>
      </c>
      <c r="P965" s="49" t="n">
        <v>44979</v>
      </c>
      <c r="Q965" s="47" t="n">
        <v>2303</v>
      </c>
      <c r="R965" s="47" t="inlineStr">
        <is>
          <t>No Video ID yet</t>
        </is>
      </c>
      <c r="S965" s="49" t="n"/>
      <c r="T965" s="49" t="n"/>
      <c r="U965" s="47" t="inlineStr">
        <is>
          <t>This week we've got some NEW FACES in SILVER TEMPEST</t>
        </is>
      </c>
      <c r="V965" s="47">
        <f>IF(AND(P965&gt;=Calendar!$K$2,P965&lt;EDATE(Calendar!$K$2,1),OR(Calendar!$K$4="*",N965=Calendar!$K$4)),P965*100+COUNTIFS($P$6:$P$3267,P965,$Q$6:$Q$3267,"&lt;="&amp;Q965,$N$6:$N$3267,Calendar!$K$4),"")</f>
        <v/>
      </c>
      <c r="W965" s="47">
        <f>IF(AND(B965=Queue!$C$4,OR(Queue!$K$4="*",N965=Queue!$K$4)),Q965,"")</f>
        <v/>
      </c>
    </row>
    <row r="966">
      <c r="A966" s="38">
        <f>IF(M966="","",HYPERLINK("https://www.youtube.com/watch?v="&amp;M966,"▶"))</f>
        <v/>
      </c>
      <c r="B966" s="39">
        <f>IF(C966&lt;&gt;"",C966,IF(P966&lt;=IFERROR(INDEX(tblChannels[Watched Through],MATCH(N966,tblChannels[Channel ID],0)),0),"Watched","Unwatched"))</f>
        <v/>
      </c>
      <c r="C966" s="40" t="n"/>
      <c r="D966" s="41" t="n"/>
      <c r="E966" s="42" t="n">
        <v>44979.58333333334</v>
      </c>
      <c r="F966" s="50" t="inlineStr">
        <is>
          <t>Super Carlin Brothers</t>
        </is>
      </c>
      <c r="G966" t="inlineStr">
        <is>
          <t>Sokka’s DEATH Solved | Avatar the Last Airbender Film Theory</t>
        </is>
      </c>
      <c r="H966" s="44" t="n">
        <v>0.009363425925925926</v>
      </c>
      <c r="I966" s="45" t="n">
        <v>383636</v>
      </c>
      <c r="J966" s="45" t="n">
        <v>13235</v>
      </c>
      <c r="K966" s="45" t="n">
        <v>1073</v>
      </c>
      <c r="L966" s="46" t="n"/>
      <c r="M966" s="47" t="n"/>
      <c r="N966" s="47" t="inlineStr">
        <is>
          <t>UCKZo4N0lVPccBkSiuyVh4yg</t>
        </is>
      </c>
      <c r="O966" s="48" t="n">
        <v>44979.79166666666</v>
      </c>
      <c r="P966" s="49" t="n">
        <v>44979</v>
      </c>
      <c r="Q966" s="47" t="n">
        <v>2302</v>
      </c>
      <c r="R966" s="47" t="inlineStr">
        <is>
          <t>No Video ID yet</t>
        </is>
      </c>
      <c r="S966" s="49" t="n"/>
      <c r="T966" s="49" t="n"/>
      <c r="U966" s="47" t="inlineStr">
        <is>
          <t>This episode is sponsored by BetterHelp - go to to get started today Go to to get 25% off your order and free standard shipping. Today J dives off of a Sky Bison into the world of Avatar the Last Airbender and the Legend of Korra to find out what happened to Sokka! We barely get to see him in TLoK! Did Sokka marry Suki? What about Toph? And WHO KILLED SOKKA!? #supercarlinbrothers #atla #avatarthelastairbender</t>
        </is>
      </c>
      <c r="V966" s="47">
        <f>IF(AND(P966&gt;=Calendar!$K$2,P966&lt;EDATE(Calendar!$K$2,1),OR(Calendar!$K$4="*",N966=Calendar!$K$4)),P966*100+COUNTIFS($P$6:$P$3267,P966,$Q$6:$Q$3267,"&lt;="&amp;Q966,$N$6:$N$3267,Calendar!$K$4),"")</f>
        <v/>
      </c>
      <c r="W966" s="47">
        <f>IF(AND(B966=Queue!$C$4,OR(Queue!$K$4="*",N966=Queue!$K$4)),Q966,"")</f>
        <v/>
      </c>
    </row>
    <row r="967">
      <c r="A967" s="38">
        <f>IF(M967="","",HYPERLINK("https://www.youtube.com/watch?v="&amp;M967,"▶"))</f>
        <v/>
      </c>
      <c r="B967" s="39">
        <f>IF(C967&lt;&gt;"",C967,IF(P967&lt;=IFERROR(INDEX(tblChannels[Watched Through],MATCH(N967,tblChannels[Channel ID],0)),0),"Watched","Unwatched"))</f>
        <v/>
      </c>
      <c r="C967" s="40" t="n"/>
      <c r="D967" s="41" t="n"/>
      <c r="E967" s="42" t="n">
        <v>44974.80138888889</v>
      </c>
      <c r="F967" s="50" t="inlineStr">
        <is>
          <t>Super Carlin Brothers</t>
        </is>
      </c>
      <c r="G967" t="inlineStr">
        <is>
          <t>REVIEW: Ant-Man and the Wasp Quantumania</t>
        </is>
      </c>
      <c r="H967" s="44" t="n">
        <v>0.04476851851851852</v>
      </c>
      <c r="I967" s="45" t="n">
        <v>75394</v>
      </c>
      <c r="J967" s="45" t="n">
        <v>2593</v>
      </c>
      <c r="K967" s="45" t="n">
        <v>438</v>
      </c>
      <c r="L967" s="46" t="n"/>
      <c r="M967" s="47" t="n"/>
      <c r="N967" s="47" t="inlineStr">
        <is>
          <t>UCKZo4N0lVPccBkSiuyVh4yg</t>
        </is>
      </c>
      <c r="O967" s="48" t="n">
        <v>44975.00972222222</v>
      </c>
      <c r="P967" s="49" t="n">
        <v>44974</v>
      </c>
      <c r="Q967" s="47" t="n">
        <v>2301</v>
      </c>
      <c r="R967" s="47" t="inlineStr">
        <is>
          <t>No Video ID yet</t>
        </is>
      </c>
      <c r="S967" s="49" t="n"/>
      <c r="T967" s="49" t="n"/>
      <c r="U967" s="47" t="inlineStr">
        <is>
          <t>Go to to get PayPal Honey for free. Go to to get an extra three months for free. Today J and Ben dive into the Quantum Realm to explore the MCU’s latest movie: Ant-Man and the Wasp: Quantumania! #supercarlinbrothers #Marvel #AntManAndTheWasp</t>
        </is>
      </c>
      <c r="V967" s="47">
        <f>IF(AND(P967&gt;=Calendar!$K$2,P967&lt;EDATE(Calendar!$K$2,1),OR(Calendar!$K$4="*",N967=Calendar!$K$4)),P967*100+COUNTIFS($P$6:$P$3267,P967,$Q$6:$Q$3267,"&lt;="&amp;Q967,$N$6:$N$3267,Calendar!$K$4),"")</f>
        <v/>
      </c>
      <c r="W967" s="47">
        <f>IF(AND(B967=Queue!$C$4,OR(Queue!$K$4="*",N967=Queue!$K$4)),Q967,"")</f>
        <v/>
      </c>
    </row>
    <row r="968">
      <c r="A968" s="38">
        <f>IF(M968="","",HYPERLINK("https://www.youtube.com/watch?v="&amp;M968,"▶"))</f>
        <v/>
      </c>
      <c r="B968" s="39">
        <f>IF(C968&lt;&gt;"",C968,IF(P968&lt;=IFERROR(INDEX(tblChannels[Watched Through],MATCH(N968,tblChannels[Channel ID],0)),0),"Watched","Unwatched"))</f>
        <v/>
      </c>
      <c r="C968" s="40" t="n"/>
      <c r="D968" s="41" t="n"/>
      <c r="E968" s="42" t="n">
        <v>44974.77083333334</v>
      </c>
      <c r="F968" s="52" t="inlineStr">
        <is>
          <t>Super Carlin Gaming</t>
        </is>
      </c>
      <c r="G968" t="inlineStr">
        <is>
          <t>The Silver Tempest Begins Its End | Carlin Brothers Box Breakers S3E8</t>
        </is>
      </c>
      <c r="H968" s="44" t="n">
        <v>0.03740740740740741</v>
      </c>
      <c r="I968" s="45" t="n">
        <v>2685</v>
      </c>
      <c r="J968" s="45" t="n">
        <v>139</v>
      </c>
      <c r="K968" s="45" t="n">
        <v>25</v>
      </c>
      <c r="L968" s="46" t="n"/>
      <c r="M968" s="47" t="n"/>
      <c r="N968" s="47" t="inlineStr">
        <is>
          <t>UCor_9jRnNNZVzTuQ92PKsaQ</t>
        </is>
      </c>
      <c r="O968" s="48" t="n">
        <v>44974.97916666666</v>
      </c>
      <c r="P968" s="49" t="n">
        <v>44974</v>
      </c>
      <c r="Q968" s="47" t="n">
        <v>2300</v>
      </c>
      <c r="R968" s="47" t="inlineStr">
        <is>
          <t>No Video ID yet</t>
        </is>
      </c>
      <c r="S968" s="49" t="n"/>
      <c r="T968" s="49" t="n"/>
      <c r="U968" s="47" t="inlineStr">
        <is>
          <t>This week we've got some NEW FACES in SILVER TEMPEST</t>
        </is>
      </c>
      <c r="V968" s="47">
        <f>IF(AND(P968&gt;=Calendar!$K$2,P968&lt;EDATE(Calendar!$K$2,1),OR(Calendar!$K$4="*",N968=Calendar!$K$4)),P968*100+COUNTIFS($P$6:$P$3267,P968,$Q$6:$Q$3267,"&lt;="&amp;Q968,$N$6:$N$3267,Calendar!$K$4),"")</f>
        <v/>
      </c>
      <c r="W968" s="47">
        <f>IF(AND(B968=Queue!$C$4,OR(Queue!$K$4="*",N968=Queue!$K$4)),Q968,"")</f>
        <v/>
      </c>
    </row>
    <row r="969">
      <c r="A969" s="38">
        <f>IF(M969="","",HYPERLINK("https://www.youtube.com/watch?v="&amp;M969,"▶"))</f>
        <v/>
      </c>
      <c r="B969" s="39">
        <f>IF(C969&lt;&gt;"",C969,IF(P969&lt;=IFERROR(INDEX(tblChannels[Watched Through],MATCH(N969,tblChannels[Channel ID],0)),0),"Watched","Unwatched"))</f>
        <v/>
      </c>
      <c r="C969" s="40" t="n"/>
      <c r="D969" s="41" t="n"/>
      <c r="E969" s="42" t="n">
        <v>44974.41666666666</v>
      </c>
      <c r="F969" s="43" t="inlineStr">
        <is>
          <t>Popcorn Culture</t>
        </is>
      </c>
      <c r="G969" t="inlineStr">
        <is>
          <t>Could’ve Married Kevin | Popcorn Culture</t>
        </is>
      </c>
      <c r="H969" s="44" t="n">
        <v>0.0540625</v>
      </c>
      <c r="I969" s="45" t="n">
        <v>5734</v>
      </c>
      <c r="J969" s="45" t="n">
        <v>287</v>
      </c>
      <c r="K969" s="45" t="n">
        <v>31</v>
      </c>
      <c r="L969" s="46" t="n"/>
      <c r="M969" s="47" t="n"/>
      <c r="N969" s="47" t="inlineStr">
        <is>
          <t>UCHfIbq9thHPC8yrKjAdJgDA</t>
        </is>
      </c>
      <c r="O969" s="48" t="n">
        <v>44974.625</v>
      </c>
      <c r="P969" s="49" t="n">
        <v>44974</v>
      </c>
      <c r="Q969" s="47" t="n">
        <v>2299</v>
      </c>
      <c r="R969" s="47" t="inlineStr">
        <is>
          <t>No Video ID yet</t>
        </is>
      </c>
      <c r="S969" s="49" t="n"/>
      <c r="T969" s="49" t="n"/>
      <c r="U969" s="47" t="inlineStr">
        <is>
          <t>In the 167th episode of the Pop, Ben and J discuss Ystävänpäivä Day, imaginary friends, children’s shows, classroom seat placements, clean clothes, lanyards, random home ownership problems, and the Super Bowl. Inside Out - Mickey Mouse ClubHouse - Bluey - Proof of Human Instinct Speaking of Digestion… PSA: Clean Your Dryer Vents Dadding at 100% Absolutions to Weird Problems 00:00 - Intro, Ystävänpäivä Day 06:33 - Memories and Imaginary Friends 13:39 - Who You Sit Next to in Class 27:02 - A Really Gross Corny Joke and Laundry 52:34 - The Buper Soul</t>
        </is>
      </c>
      <c r="V969" s="47">
        <f>IF(AND(P969&gt;=Calendar!$K$2,P969&lt;EDATE(Calendar!$K$2,1),OR(Calendar!$K$4="*",N969=Calendar!$K$4)),P969*100+COUNTIFS($P$6:$P$3267,P969,$Q$6:$Q$3267,"&lt;="&amp;Q969,$N$6:$N$3267,Calendar!$K$4),"")</f>
        <v/>
      </c>
      <c r="W969" s="47">
        <f>IF(AND(B969=Queue!$C$4,OR(Queue!$K$4="*",N969=Queue!$K$4)),Q969,"")</f>
        <v/>
      </c>
    </row>
    <row r="970">
      <c r="A970" s="38">
        <f>IF(M970="","",HYPERLINK("https://www.youtube.com/watch?v="&amp;M970,"▶"))</f>
        <v/>
      </c>
      <c r="B970" s="39">
        <f>IF(C970&lt;&gt;"",C970,IF(P970&lt;=IFERROR(INDEX(tblChannels[Watched Through],MATCH(N970,tblChannels[Channel ID],0)),0),"Watched","Unwatched"))</f>
        <v/>
      </c>
      <c r="C970" s="40" t="n"/>
      <c r="D970" s="41" t="n"/>
      <c r="E970" s="42" t="n">
        <v>44973.70833333334</v>
      </c>
      <c r="F970" s="43" t="inlineStr">
        <is>
          <t>Popcorn Culture</t>
        </is>
      </c>
      <c r="G970" t="inlineStr">
        <is>
          <t>Ystävänpäivä Day | Popcorn Culture Episode 167 Teaser</t>
        </is>
      </c>
      <c r="H970" s="44" t="n">
        <v>0.004016203703703704</v>
      </c>
      <c r="I970" s="45" t="n">
        <v>1217</v>
      </c>
      <c r="J970" s="45" t="n">
        <v>92</v>
      </c>
      <c r="K970" s="45" t="n">
        <v>15</v>
      </c>
      <c r="L970" s="46" t="n"/>
      <c r="M970" s="47" t="n"/>
      <c r="N970" s="47" t="inlineStr">
        <is>
          <t>UCHfIbq9thHPC8yrKjAdJgDA</t>
        </is>
      </c>
      <c r="O970" s="48" t="n">
        <v>44973.91666666666</v>
      </c>
      <c r="P970" s="49" t="n">
        <v>44973</v>
      </c>
      <c r="Q970" s="47" t="n">
        <v>2298</v>
      </c>
      <c r="R970" s="47" t="inlineStr">
        <is>
          <t>No Video ID yet</t>
        </is>
      </c>
      <c r="S970" s="49" t="n"/>
      <c r="T970" s="49" t="n"/>
      <c r="U970" s="47" t="n"/>
      <c r="V970" s="47">
        <f>IF(AND(P970&gt;=Calendar!$K$2,P970&lt;EDATE(Calendar!$K$2,1),OR(Calendar!$K$4="*",N970=Calendar!$K$4)),P970*100+COUNTIFS($P$6:$P$3267,P970,$Q$6:$Q$3267,"&lt;="&amp;Q970,$N$6:$N$3267,Calendar!$K$4),"")</f>
        <v/>
      </c>
      <c r="W970" s="47">
        <f>IF(AND(B970=Queue!$C$4,OR(Queue!$K$4="*",N970=Queue!$K$4)),Q970,"")</f>
        <v/>
      </c>
    </row>
    <row r="971">
      <c r="A971" s="38">
        <f>IF(M971="","",HYPERLINK("https://www.youtube.com/watch?v="&amp;M971,"▶"))</f>
        <v/>
      </c>
      <c r="B971" s="39">
        <f>IF(C971&lt;&gt;"",C971,IF(P971&lt;=IFERROR(INDEX(tblChannels[Watched Through],MATCH(N971,tblChannels[Channel ID],0)),0),"Watched","Unwatched"))</f>
        <v/>
      </c>
      <c r="C971" s="40" t="n"/>
      <c r="D971" s="41" t="n"/>
      <c r="E971" s="42" t="n">
        <v>44972.75625</v>
      </c>
      <c r="F971" s="50" t="inlineStr">
        <is>
          <t>Super Carlin Brothers</t>
        </is>
      </c>
      <c r="G971" t="inlineStr">
        <is>
          <t>How Fantastic Beasts Should Have Ended  | Harry Potter Film Theory</t>
        </is>
      </c>
      <c r="H971" s="44" t="n">
        <v>0.01137731481481481</v>
      </c>
      <c r="I971" s="45" t="n">
        <v>228643</v>
      </c>
      <c r="J971" s="45" t="n">
        <v>9374</v>
      </c>
      <c r="K971" s="45" t="n">
        <v>779</v>
      </c>
      <c r="L971" s="46" t="n"/>
      <c r="M971" s="47" t="n"/>
      <c r="N971" s="47" t="inlineStr">
        <is>
          <t>UCKZo4N0lVPccBkSiuyVh4yg</t>
        </is>
      </c>
      <c r="O971" s="48" t="n">
        <v>44972.96458333333</v>
      </c>
      <c r="P971" s="49" t="n">
        <v>44972</v>
      </c>
      <c r="Q971" s="47" t="n">
        <v>2297</v>
      </c>
      <c r="R971" s="47" t="inlineStr">
        <is>
          <t>No Video ID yet</t>
        </is>
      </c>
      <c r="S971" s="49" t="n"/>
      <c r="T971" s="49" t="n"/>
      <c r="U971" s="47" t="inlineStr">
        <is>
          <t>This episode is sponsored by BetterHelp - go to to get started today Today J dives into the Wizarding World of Harry Potter to reveal how the presently paused Fantastic Beast Movies SHOULD have ended, and all the questions that still need resolving from the first 3 movies. #supercarlinbrothers #HarryPotter #FantasticBeasts Edited by :: Riley Murtagh and Ethan Edghill 0:00 Intro (Safe Content) 7:00 Mention of Child Loss (Content Warning) 8:15 Safe Content</t>
        </is>
      </c>
      <c r="V971" s="47">
        <f>IF(AND(P971&gt;=Calendar!$K$2,P971&lt;EDATE(Calendar!$K$2,1),OR(Calendar!$K$4="*",N971=Calendar!$K$4)),P971*100+COUNTIFS($P$6:$P$3267,P971,$Q$6:$Q$3267,"&lt;="&amp;Q971,$N$6:$N$3267,Calendar!$K$4),"")</f>
        <v/>
      </c>
      <c r="W971" s="47">
        <f>IF(AND(B971=Queue!$C$4,OR(Queue!$K$4="*",N971=Queue!$K$4)),Q971,"")</f>
        <v/>
      </c>
    </row>
    <row r="972">
      <c r="A972" s="38">
        <f>IF(M972="","",HYPERLINK("https://www.youtube.com/watch?v="&amp;M972,"▶"))</f>
        <v/>
      </c>
      <c r="B972" s="39">
        <f>IF(C972&lt;&gt;"",C972,IF(P972&lt;=IFERROR(INDEX(tblChannels[Watched Through],MATCH(N972,tblChannels[Channel ID],0)),0),"Watched","Unwatched"))</f>
        <v/>
      </c>
      <c r="C972" s="40" t="n"/>
      <c r="D972" s="41" t="n"/>
      <c r="E972" s="42" t="n">
        <v>44967.77916666667</v>
      </c>
      <c r="F972" s="50" t="inlineStr">
        <is>
          <t>Super Carlin Brothers</t>
        </is>
      </c>
      <c r="G972" t="inlineStr">
        <is>
          <t>How Frozen Solved a MURDER Mystery | Disney Film Theory</t>
        </is>
      </c>
      <c r="H972" s="44" t="n">
        <v>0.01289351851851852</v>
      </c>
      <c r="I972" s="45" t="n">
        <v>137278</v>
      </c>
      <c r="J972" s="45" t="n">
        <v>7349</v>
      </c>
      <c r="K972" s="45" t="n">
        <v>408</v>
      </c>
      <c r="L972" s="46" t="n"/>
      <c r="M972" s="47" t="n"/>
      <c r="N972" s="47" t="inlineStr">
        <is>
          <t>UCKZo4N0lVPccBkSiuyVh4yg</t>
        </is>
      </c>
      <c r="O972" s="48" t="n">
        <v>44967.9875</v>
      </c>
      <c r="P972" s="49" t="n">
        <v>44967</v>
      </c>
      <c r="Q972" s="47" t="n">
        <v>2296</v>
      </c>
      <c r="R972" s="47" t="inlineStr">
        <is>
          <t>No Video ID yet</t>
        </is>
      </c>
      <c r="S972" s="49" t="n"/>
      <c r="T972" s="49" t="n"/>
      <c r="U972" s="47" t="inlineStr">
        <is>
          <t>This episode is sponsored by BetterHelp - go to to get started today Go to and use code SUPER for 20% off your first box. Today Ben dives into the world of Disney’s Frozen to reveal how technology developed for the movie helped solve a 60 year old mystery about the unusual deaths of a party hiking in the Ural Mountains, better known as the: Dyatlov Pass Incident Read more about the Dyatlov Pass Incident: Has science solved one of history’s greatest adventure mysteries? Dyatlov Pass Incident :: Kholat Syakhl :: #supercarlinbrothers #Frozen #Disney Edited by :: Riley Murtagh and Ethan Edghill 0:00 - Betterhelp Ad 0:15 - Hey Brother 2:03 - Intro 2:12 - Content Warning 2:21 - Groundbreaking Movie Facts 6:20 - Bespoke Post Ad 8:16 - Dyatlov Pass Incident Explained 10:02 - Sensitive Content (Okay To Skip) 10:51 - Safe Content 10:58 - What We Think Happened 14:08 - How Frozen Is Involved</t>
        </is>
      </c>
      <c r="V972" s="47">
        <f>IF(AND(P972&gt;=Calendar!$K$2,P972&lt;EDATE(Calendar!$K$2,1),OR(Calendar!$K$4="*",N972=Calendar!$K$4)),P972*100+COUNTIFS($P$6:$P$3267,P972,$Q$6:$Q$3267,"&lt;="&amp;Q972,$N$6:$N$3267,Calendar!$K$4),"")</f>
        <v/>
      </c>
      <c r="W972" s="47">
        <f>IF(AND(B972=Queue!$C$4,OR(Queue!$K$4="*",N972=Queue!$K$4)),Q972,"")</f>
        <v/>
      </c>
    </row>
    <row r="973">
      <c r="A973" s="38">
        <f>IF(M973="","",HYPERLINK("https://www.youtube.com/watch?v="&amp;M973,"▶"))</f>
        <v/>
      </c>
      <c r="B973" s="39">
        <f>IF(C973&lt;&gt;"",C973,IF(P973&lt;=IFERROR(INDEX(tblChannels[Watched Through],MATCH(N973,tblChannels[Channel ID],0)),0),"Watched","Unwatched"))</f>
        <v/>
      </c>
      <c r="C973" s="40" t="n"/>
      <c r="D973" s="41" t="n"/>
      <c r="E973" s="42" t="n">
        <v>44967.41666666666</v>
      </c>
      <c r="F973" s="43" t="inlineStr">
        <is>
          <t>Popcorn Culture</t>
        </is>
      </c>
      <c r="G973" t="inlineStr">
        <is>
          <t>Sauna? You Know You Wanna | Popcorn Culture</t>
        </is>
      </c>
      <c r="H973" s="44" t="n">
        <v>0.05827546296296297</v>
      </c>
      <c r="I973" s="45" t="n">
        <v>6438</v>
      </c>
      <c r="J973" s="45" t="n">
        <v>289</v>
      </c>
      <c r="K973" s="45" t="n">
        <v>42</v>
      </c>
      <c r="L973" s="46" t="n"/>
      <c r="M973" s="47" t="n"/>
      <c r="N973" s="47" t="inlineStr">
        <is>
          <t>UCHfIbq9thHPC8yrKjAdJgDA</t>
        </is>
      </c>
      <c r="O973" s="48" t="n">
        <v>44967.625</v>
      </c>
      <c r="P973" s="49" t="n">
        <v>44967</v>
      </c>
      <c r="Q973" s="47" t="n">
        <v>2295</v>
      </c>
      <c r="R973" s="47" t="inlineStr">
        <is>
          <t>No Video ID yet</t>
        </is>
      </c>
      <c r="S973" s="49" t="n"/>
      <c r="T973" s="49" t="n"/>
      <c r="U973" s="47" t="inlineStr">
        <is>
          <t>In the 166th Episode of the pop Ben and J discuss: The Disney Trip, circadian rhythms, saunas, Luke’s First Coaster, pin collecting, and the Pokemon Tournament. Show Notes Down To Earth - Hot Ones - Benegade Addie’s Balloon Almost a Tilt-A-Whirl Go Grass Deck! 00:00 - Intro, NO NOTES 01:55 - The Disney Trip and Sauna Stories 1:06:50 - The Pokemon Regional Tournament</t>
        </is>
      </c>
      <c r="V973" s="47">
        <f>IF(AND(P973&gt;=Calendar!$K$2,P973&lt;EDATE(Calendar!$K$2,1),OR(Calendar!$K$4="*",N973=Calendar!$K$4)),P973*100+COUNTIFS($P$6:$P$3267,P973,$Q$6:$Q$3267,"&lt;="&amp;Q973,$N$6:$N$3267,Calendar!$K$4),"")</f>
        <v/>
      </c>
      <c r="W973" s="47">
        <f>IF(AND(B973=Queue!$C$4,OR(Queue!$K$4="*",N973=Queue!$K$4)),Q973,"")</f>
        <v/>
      </c>
    </row>
    <row r="974">
      <c r="A974" s="38">
        <f>IF(M974="","",HYPERLINK("https://www.youtube.com/watch?v="&amp;M974,"▶"))</f>
        <v/>
      </c>
      <c r="B974" s="39">
        <f>IF(C974&lt;&gt;"",C974,IF(P974&lt;=IFERROR(INDEX(tblChannels[Watched Through],MATCH(N974,tblChannels[Channel ID],0)),0),"Watched","Unwatched"))</f>
        <v/>
      </c>
      <c r="C974" s="40" t="n"/>
      <c r="D974" s="41" t="n"/>
      <c r="E974" s="42" t="n">
        <v>44966.70833333334</v>
      </c>
      <c r="F974" s="43" t="inlineStr">
        <is>
          <t>Popcorn Culture</t>
        </is>
      </c>
      <c r="G974" t="inlineStr">
        <is>
          <t>Hot Air Balloons Are Terrifying | Popcorn Culture Episode 166 Teaser</t>
        </is>
      </c>
      <c r="H974" s="44" t="n">
        <v>0.002164351851851852</v>
      </c>
      <c r="I974" s="45" t="n">
        <v>678</v>
      </c>
      <c r="J974" s="45" t="n">
        <v>52</v>
      </c>
      <c r="K974" s="45" t="n">
        <v>3</v>
      </c>
      <c r="L974" s="46" t="n"/>
      <c r="M974" s="47" t="n"/>
      <c r="N974" s="47" t="inlineStr">
        <is>
          <t>UCHfIbq9thHPC8yrKjAdJgDA</t>
        </is>
      </c>
      <c r="O974" s="48" t="n">
        <v>44966.91666666666</v>
      </c>
      <c r="P974" s="49" t="n">
        <v>44966</v>
      </c>
      <c r="Q974" s="47" t="n">
        <v>2294</v>
      </c>
      <c r="R974" s="47" t="inlineStr">
        <is>
          <t>No Video ID yet</t>
        </is>
      </c>
      <c r="S974" s="49" t="n"/>
      <c r="T974" s="49" t="n"/>
      <c r="U974" s="47" t="n"/>
      <c r="V974" s="47">
        <f>IF(AND(P974&gt;=Calendar!$K$2,P974&lt;EDATE(Calendar!$K$2,1),OR(Calendar!$K$4="*",N974=Calendar!$K$4)),P974*100+COUNTIFS($P$6:$P$3267,P974,$Q$6:$Q$3267,"&lt;="&amp;Q974,$N$6:$N$3267,Calendar!$K$4),"")</f>
        <v/>
      </c>
      <c r="W974" s="47">
        <f>IF(AND(B974=Queue!$C$4,OR(Queue!$K$4="*",N974=Queue!$K$4)),Q974,"")</f>
        <v/>
      </c>
    </row>
    <row r="975">
      <c r="A975" s="38">
        <f>IF(M975="","",HYPERLINK("https://www.youtube.com/watch?v="&amp;M975,"▶"))</f>
        <v/>
      </c>
      <c r="B975" s="39">
        <f>IF(C975&lt;&gt;"",C975,IF(P975&lt;=IFERROR(INDEX(tblChannels[Watched Through],MATCH(N975,tblChannels[Channel ID],0)),0),"Watched","Unwatched"))</f>
        <v/>
      </c>
      <c r="C975" s="40" t="n"/>
      <c r="D975" s="41" t="n"/>
      <c r="E975" s="42" t="n">
        <v>44965.77569444444</v>
      </c>
      <c r="F975" s="50" t="inlineStr">
        <is>
          <t>Super Carlin Brothers</t>
        </is>
      </c>
      <c r="G975" t="inlineStr">
        <is>
          <t>WALL-E is ACTUALLY The Little Mermaid | Disney Pixar Film Theory</t>
        </is>
      </c>
      <c r="H975" s="44" t="n">
        <v>0.00900462962962963</v>
      </c>
      <c r="I975" s="45" t="n">
        <v>107013</v>
      </c>
      <c r="J975" s="45" t="n">
        <v>5549</v>
      </c>
      <c r="K975" s="45" t="n">
        <v>435</v>
      </c>
      <c r="L975" s="46" t="n"/>
      <c r="M975" s="47" t="n"/>
      <c r="N975" s="47" t="inlineStr">
        <is>
          <t>UCKZo4N0lVPccBkSiuyVh4yg</t>
        </is>
      </c>
      <c r="O975" s="48" t="n">
        <v>44965.98402777778</v>
      </c>
      <c r="P975" s="49" t="n">
        <v>44965</v>
      </c>
      <c r="Q975" s="47" t="n">
        <v>2293</v>
      </c>
      <c r="R975" s="47" t="inlineStr">
        <is>
          <t>No Video ID yet</t>
        </is>
      </c>
      <c r="S975" s="49" t="n"/>
      <c r="T975" s="49" t="n"/>
      <c r="U975" s="47" t="inlineStr">
        <is>
          <t>Today J dives into the oceanic world of The Little Mermaid and the Trash filled world of Wall-E to reveal how Wall-E is actually just Ariel.. If she was a trash compacting robot from the future… Sign up for for 25% off our Royal Candles for the rest of the year - #supercarlinbrothers #HarryPotter #</t>
        </is>
      </c>
      <c r="V975" s="47">
        <f>IF(AND(P975&gt;=Calendar!$K$2,P975&lt;EDATE(Calendar!$K$2,1),OR(Calendar!$K$4="*",N975=Calendar!$K$4)),P975*100+COUNTIFS($P$6:$P$3267,P975,$Q$6:$Q$3267,"&lt;="&amp;Q975,$N$6:$N$3267,Calendar!$K$4),"")</f>
        <v/>
      </c>
      <c r="W975" s="47">
        <f>IF(AND(B975=Queue!$C$4,OR(Queue!$K$4="*",N975=Queue!$K$4)),Q975,"")</f>
        <v/>
      </c>
    </row>
    <row r="976">
      <c r="A976" s="38">
        <f>IF(M976="","",HYPERLINK("https://www.youtube.com/watch?v="&amp;M976,"▶"))</f>
        <v/>
      </c>
      <c r="B976" s="39">
        <f>IF(C976&lt;&gt;"",C976,IF(P976&lt;=IFERROR(INDEX(tblChannels[Watched Through],MATCH(N976,tblChannels[Channel ID],0)),0),"Watched","Unwatched"))</f>
        <v/>
      </c>
      <c r="C976" s="40" t="n"/>
      <c r="D976" s="41" t="n"/>
      <c r="E976" s="42" t="n">
        <v>44960.625</v>
      </c>
      <c r="F976" s="50" t="inlineStr">
        <is>
          <t>Super Carlin Brothers</t>
        </is>
      </c>
      <c r="G976" t="inlineStr">
        <is>
          <t>J vs Ben: ULTIMATE Weasley Burrow Harry Potter TRIVIA Quiz</t>
        </is>
      </c>
      <c r="H976" s="44" t="n">
        <v>0.0205787037037037</v>
      </c>
      <c r="I976" s="45" t="n">
        <v>205508</v>
      </c>
      <c r="J976" s="45" t="n">
        <v>6927</v>
      </c>
      <c r="K976" s="45" t="n">
        <v>574</v>
      </c>
      <c r="L976" s="46" t="n"/>
      <c r="M976" s="47" t="n"/>
      <c r="N976" s="47" t="inlineStr">
        <is>
          <t>UCKZo4N0lVPccBkSiuyVh4yg</t>
        </is>
      </c>
      <c r="O976" s="48" t="n">
        <v>44960.83333333334</v>
      </c>
      <c r="P976" s="49" t="n">
        <v>44960</v>
      </c>
      <c r="Q976" s="47" t="n">
        <v>2292</v>
      </c>
      <c r="R976" s="47" t="inlineStr">
        <is>
          <t>No Video ID yet</t>
        </is>
      </c>
      <c r="S976" s="49" t="n"/>
      <c r="T976" s="49" t="n"/>
      <c r="U976" s="47" t="inlineStr">
        <is>
          <t>Go to and use code jvsb50 to get 50% off your first box. Sign up for for 25% off our Royal Candles for the rest of the year - Play along with us: Today J and Ben face off once more to find out who knows more about the Wizarding World of Harry Potter and all that happens at the Weasley’s home: The Burrow. 01:42 - Where is the Burrow Located? 02:43 - What did the Burrow look like it had originally been? 05:00 - Which 3 families live near the Burrow? 07:08 - Who got married at the Burrow? 08:43 - What is the twins punishment for flying the car? 09:49 - What song did Molly and Arthur dance to? 11:51 - What type of car is the flying car? 12:31 - Where were the clock hands pointing when Voldemort returned? 15:18 - How many floors are there in the Burrow? 17:22 - What was living in the attic? 18:20 - Where is the talking mirror? 20:29 - What do the Weasleys use in Quidditch instead of a Quaffle? 23:22 - What creature do the Weasleys put on top of their Christmas tree? 24:28 - Which was not a cookbook Mrs. Weasley owned? 27:14 - What soup did Mrs. Weasley serve?</t>
        </is>
      </c>
      <c r="V976" s="47">
        <f>IF(AND(P976&gt;=Calendar!$K$2,P976&lt;EDATE(Calendar!$K$2,1),OR(Calendar!$K$4="*",N976=Calendar!$K$4)),P976*100+COUNTIFS($P$6:$P$3267,P976,$Q$6:$Q$3267,"&lt;="&amp;Q976,$N$6:$N$3267,Calendar!$K$4),"")</f>
        <v/>
      </c>
      <c r="W976" s="47">
        <f>IF(AND(B976=Queue!$C$4,OR(Queue!$K$4="*",N976=Queue!$K$4)),Q976,"")</f>
        <v/>
      </c>
    </row>
    <row r="977">
      <c r="A977" s="38">
        <f>IF(M977="","",HYPERLINK("https://www.youtube.com/watch?v="&amp;M977,"▶"))</f>
        <v/>
      </c>
      <c r="B977" s="39">
        <f>IF(C977&lt;&gt;"",C977,IF(P977&lt;=IFERROR(INDEX(tblChannels[Watched Through],MATCH(N977,tblChannels[Channel ID],0)),0),"Watched","Unwatched"))</f>
        <v/>
      </c>
      <c r="C977" s="40" t="n"/>
      <c r="D977" s="41" t="n"/>
      <c r="E977" s="42" t="n">
        <v>44960.41666666666</v>
      </c>
      <c r="F977" s="43" t="inlineStr">
        <is>
          <t>Popcorn Culture</t>
        </is>
      </c>
      <c r="G977" t="inlineStr">
        <is>
          <t>En Passant | Popcorn Culture</t>
        </is>
      </c>
      <c r="H977" s="44" t="n">
        <v>0.0470949074074074</v>
      </c>
      <c r="I977" s="45" t="n">
        <v>4842</v>
      </c>
      <c r="J977" s="45" t="n">
        <v>285</v>
      </c>
      <c r="K977" s="45" t="n">
        <v>28</v>
      </c>
      <c r="L977" s="46" t="n"/>
      <c r="M977" s="47" t="n"/>
      <c r="N977" s="47" t="inlineStr">
        <is>
          <t>UCHfIbq9thHPC8yrKjAdJgDA</t>
        </is>
      </c>
      <c r="O977" s="48" t="n">
        <v>44960.625</v>
      </c>
      <c r="P977" s="49" t="n">
        <v>44960</v>
      </c>
      <c r="Q977" s="47" t="n">
        <v>2291</v>
      </c>
      <c r="R977" s="47" t="inlineStr">
        <is>
          <t>No Video ID yet</t>
        </is>
      </c>
      <c r="S977" s="49" t="n"/>
      <c r="T977" s="49" t="n"/>
      <c r="U977" s="47" t="inlineStr">
        <is>
          <t>In the 165th episode of the pop, Ben and J discuss Shoot the Moon, the Fantastic Beasts franchise, past ways of thinking, Bop It, the llama update, games as kids and chess. Shoot the Moon Game - Home Alone 3 - Oils Well - J’s Wick of the Peek: Bop It - Stick to Your Roots Bubblegum AI The Slow Con Bop It! Burn It! 00:00 - Intro, J’s Birthday 03:02 - Fantastic Beasts Analysis 40:31 - J’s Wick of the Peek 50:51 - The Llama Update and Kids Games</t>
        </is>
      </c>
      <c r="V977" s="47">
        <f>IF(AND(P977&gt;=Calendar!$K$2,P977&lt;EDATE(Calendar!$K$2,1),OR(Calendar!$K$4="*",N977=Calendar!$K$4)),P977*100+COUNTIFS($P$6:$P$3267,P977,$Q$6:$Q$3267,"&lt;="&amp;Q977,$N$6:$N$3267,Calendar!$K$4),"")</f>
        <v/>
      </c>
      <c r="W977" s="47">
        <f>IF(AND(B977=Queue!$C$4,OR(Queue!$K$4="*",N977=Queue!$K$4)),Q977,"")</f>
        <v/>
      </c>
    </row>
    <row r="978">
      <c r="A978" s="38">
        <f>IF(M978="","",HYPERLINK("https://www.youtube.com/watch?v="&amp;M978,"▶"))</f>
        <v/>
      </c>
      <c r="B978" s="39">
        <f>IF(C978&lt;&gt;"",C978,IF(P978&lt;=IFERROR(INDEX(tblChannels[Watched Through],MATCH(N978,tblChannels[Channel ID],0)),0),"Watched","Unwatched"))</f>
        <v/>
      </c>
      <c r="C978" s="40" t="n"/>
      <c r="D978" s="41" t="n"/>
      <c r="E978" s="42" t="n">
        <v>44959.70833333334</v>
      </c>
      <c r="F978" s="43" t="inlineStr">
        <is>
          <t>Popcorn Culture</t>
        </is>
      </c>
      <c r="G978" t="inlineStr">
        <is>
          <t>BOP IT! BURN IT!! | Popcorn Culture Episode 165 Teaser</t>
        </is>
      </c>
      <c r="H978" s="44" t="n">
        <v>0.007245370370370371</v>
      </c>
      <c r="I978" s="45" t="n">
        <v>1160</v>
      </c>
      <c r="J978" s="45" t="n">
        <v>65</v>
      </c>
      <c r="K978" s="45" t="n">
        <v>8</v>
      </c>
      <c r="L978" s="46" t="n"/>
      <c r="M978" s="47" t="n"/>
      <c r="N978" s="47" t="inlineStr">
        <is>
          <t>UCHfIbq9thHPC8yrKjAdJgDA</t>
        </is>
      </c>
      <c r="O978" s="48" t="n">
        <v>44959.91666666666</v>
      </c>
      <c r="P978" s="49" t="n">
        <v>44959</v>
      </c>
      <c r="Q978" s="47" t="n">
        <v>2290</v>
      </c>
      <c r="R978" s="47" t="inlineStr">
        <is>
          <t>No Video ID yet</t>
        </is>
      </c>
      <c r="S978" s="49" t="n"/>
      <c r="T978" s="49" t="n"/>
      <c r="U978" s="47" t="n"/>
      <c r="V978" s="47">
        <f>IF(AND(P978&gt;=Calendar!$K$2,P978&lt;EDATE(Calendar!$K$2,1),OR(Calendar!$K$4="*",N978=Calendar!$K$4)),P978*100+COUNTIFS($P$6:$P$3267,P978,$Q$6:$Q$3267,"&lt;="&amp;Q978,$N$6:$N$3267,Calendar!$K$4),"")</f>
        <v/>
      </c>
      <c r="W978" s="47">
        <f>IF(AND(B978=Queue!$C$4,OR(Queue!$K$4="*",N978=Queue!$K$4)),Q978,"")</f>
        <v/>
      </c>
    </row>
    <row r="979">
      <c r="A979" s="38">
        <f>IF(M979="","",HYPERLINK("https://www.youtube.com/watch?v="&amp;M979,"▶"))</f>
        <v/>
      </c>
      <c r="B979" s="39">
        <f>IF(C979&lt;&gt;"",C979,IF(P979&lt;=IFERROR(INDEX(tblChannels[Watched Through],MATCH(N979,tblChannels[Channel ID],0)),0),"Watched","Unwatched"))</f>
        <v/>
      </c>
      <c r="C979" s="40" t="n"/>
      <c r="D979" s="41" t="n"/>
      <c r="E979" s="42" t="n">
        <v>44958.625</v>
      </c>
      <c r="F979" s="50" t="inlineStr">
        <is>
          <t>Super Carlin Brothers</t>
        </is>
      </c>
      <c r="G979" t="inlineStr">
        <is>
          <t>The TOP 5 Most Believable Moana Theories | Disney Film Theory</t>
        </is>
      </c>
      <c r="H979" s="44" t="n">
        <v>0.01162037037037037</v>
      </c>
      <c r="I979" s="45" t="n">
        <v>202683</v>
      </c>
      <c r="J979" s="45" t="n">
        <v>8149</v>
      </c>
      <c r="K979" s="45" t="n">
        <v>377</v>
      </c>
      <c r="L979" s="46" t="n"/>
      <c r="M979" s="47" t="n"/>
      <c r="N979" s="47" t="inlineStr">
        <is>
          <t>UCKZo4N0lVPccBkSiuyVh4yg</t>
        </is>
      </c>
      <c r="O979" s="48" t="n">
        <v>44958.83333333334</v>
      </c>
      <c r="P979" s="49" t="n">
        <v>44958</v>
      </c>
      <c r="Q979" s="47" t="n">
        <v>2289</v>
      </c>
      <c r="R979" s="47" t="inlineStr">
        <is>
          <t>No Video ID yet</t>
        </is>
      </c>
      <c r="S979" s="49" t="n"/>
      <c r="T979" s="49" t="n"/>
      <c r="U979" s="47" t="inlineStr">
        <is>
          <t>This episode is sponsored by BetterHelp - go to to get started today Go to to get PayPal Honey for free. Today J dives into the world of Disney’s Moana to count down SCB’s top 5 Moana Theories and reveal how Moana wasn't the chosen one, what her spirit animal was, how she’s connected to Rapunzel and MORE! #supercarlinbrothers #Moana #Disney</t>
        </is>
      </c>
      <c r="V979" s="47">
        <f>IF(AND(P979&gt;=Calendar!$K$2,P979&lt;EDATE(Calendar!$K$2,1),OR(Calendar!$K$4="*",N979=Calendar!$K$4)),P979*100+COUNTIFS($P$6:$P$3267,P979,$Q$6:$Q$3267,"&lt;="&amp;Q979,$N$6:$N$3267,Calendar!$K$4),"")</f>
        <v/>
      </c>
      <c r="W979" s="47">
        <f>IF(AND(B979=Queue!$C$4,OR(Queue!$K$4="*",N979=Queue!$K$4)),Q979,"")</f>
        <v/>
      </c>
    </row>
    <row r="980">
      <c r="A980" s="38">
        <f>IF(M980="","",HYPERLINK("https://www.youtube.com/watch?v="&amp;M980,"▶"))</f>
        <v/>
      </c>
      <c r="B980" s="39">
        <f>IF(C980&lt;&gt;"",C980,IF(P980&lt;=IFERROR(INDEX(tblChannels[Watched Through],MATCH(N980,tblChannels[Channel ID],0)),0),"Watched","Unwatched"))</f>
        <v/>
      </c>
      <c r="C980" s="40" t="n"/>
      <c r="D980" s="41" t="n"/>
      <c r="E980" s="42" t="n">
        <v>44957.625</v>
      </c>
      <c r="F980" s="52" t="inlineStr">
        <is>
          <t>Super Carlin Gaming</t>
        </is>
      </c>
      <c r="G980" t="inlineStr">
        <is>
          <t>The Fight For Last Place Heats UP | Carlin Brothers Box Breakers S3E7</t>
        </is>
      </c>
      <c r="H980" s="44" t="n">
        <v>0.02768518518518518</v>
      </c>
      <c r="I980" s="45" t="n">
        <v>2625</v>
      </c>
      <c r="J980" s="45" t="n">
        <v>148</v>
      </c>
      <c r="K980" s="45" t="n">
        <v>19</v>
      </c>
      <c r="L980" s="46" t="n"/>
      <c r="M980" s="47" t="n"/>
      <c r="N980" s="47" t="inlineStr">
        <is>
          <t>UCor_9jRnNNZVzTuQ92PKsaQ</t>
        </is>
      </c>
      <c r="O980" s="48" t="n">
        <v>44957.83333333334</v>
      </c>
      <c r="P980" s="49" t="n">
        <v>44957</v>
      </c>
      <c r="Q980" s="47" t="n">
        <v>2288</v>
      </c>
      <c r="R980" s="47" t="inlineStr">
        <is>
          <t>No Video ID yet</t>
        </is>
      </c>
      <c r="S980" s="49" t="n"/>
      <c r="T980" s="49" t="n"/>
      <c r="U980" s="47" t="inlineStr">
        <is>
          <t>This week we've got some NEW FACES in SILVER TEMPEST</t>
        </is>
      </c>
      <c r="V980" s="47">
        <f>IF(AND(P980&gt;=Calendar!$K$2,P980&lt;EDATE(Calendar!$K$2,1),OR(Calendar!$K$4="*",N980=Calendar!$K$4)),P980*100+COUNTIFS($P$6:$P$3267,P980,$Q$6:$Q$3267,"&lt;="&amp;Q980,$N$6:$N$3267,Calendar!$K$4),"")</f>
        <v/>
      </c>
      <c r="W980" s="47">
        <f>IF(AND(B980=Queue!$C$4,OR(Queue!$K$4="*",N980=Queue!$K$4)),Q980,"")</f>
        <v/>
      </c>
    </row>
    <row r="981">
      <c r="A981" s="38">
        <f>IF(M981="","",HYPERLINK("https://www.youtube.com/watch?v="&amp;M981,"▶"))</f>
        <v/>
      </c>
      <c r="B981" s="39">
        <f>IF(C981&lt;&gt;"",C981,IF(P981&lt;=IFERROR(INDEX(tblChannels[Watched Through],MATCH(N981,tblChannels[Channel ID],0)),0),"Watched","Unwatched"))</f>
        <v/>
      </c>
      <c r="C981" s="40" t="n"/>
      <c r="D981" s="41" t="n"/>
      <c r="E981" s="42" t="n">
        <v>44953.75</v>
      </c>
      <c r="F981" s="52" t="inlineStr">
        <is>
          <t>Super Carlin Gaming</t>
        </is>
      </c>
      <c r="G981" t="inlineStr">
        <is>
          <t>ROOKIE OF THE DAY | Carlin Brothers Box Breakers S3/E6</t>
        </is>
      </c>
      <c r="H981" s="44" t="n">
        <v>0.02599537037037037</v>
      </c>
      <c r="I981" s="45" t="n">
        <v>2259</v>
      </c>
      <c r="J981" s="45" t="n">
        <v>150</v>
      </c>
      <c r="K981" s="45" t="n">
        <v>16</v>
      </c>
      <c r="L981" s="46" t="n"/>
      <c r="M981" s="47" t="n"/>
      <c r="N981" s="47" t="inlineStr">
        <is>
          <t>UCor_9jRnNNZVzTuQ92PKsaQ</t>
        </is>
      </c>
      <c r="O981" s="48" t="n">
        <v>44953.95833333334</v>
      </c>
      <c r="P981" s="49" t="n">
        <v>44953</v>
      </c>
      <c r="Q981" s="47" t="n">
        <v>2287</v>
      </c>
      <c r="R981" s="47" t="inlineStr">
        <is>
          <t>No Video ID yet</t>
        </is>
      </c>
      <c r="S981" s="49" t="n"/>
      <c r="T981" s="49" t="n"/>
      <c r="U981" s="47" t="inlineStr">
        <is>
          <t>This week we've got some NEW FACES in SILVER TEMPEST</t>
        </is>
      </c>
      <c r="V981" s="47">
        <f>IF(AND(P981&gt;=Calendar!$K$2,P981&lt;EDATE(Calendar!$K$2,1),OR(Calendar!$K$4="*",N981=Calendar!$K$4)),P981*100+COUNTIFS($P$6:$P$3267,P981,$Q$6:$Q$3267,"&lt;="&amp;Q981,$N$6:$N$3267,Calendar!$K$4),"")</f>
        <v/>
      </c>
      <c r="W981" s="47">
        <f>IF(AND(B981=Queue!$C$4,OR(Queue!$K$4="*",N981=Queue!$K$4)),Q981,"")</f>
        <v/>
      </c>
    </row>
    <row r="982">
      <c r="A982" s="38">
        <f>IF(M982="","",HYPERLINK("https://www.youtube.com/watch?v="&amp;M982,"▶"))</f>
        <v/>
      </c>
      <c r="B982" s="39">
        <f>IF(C982&lt;&gt;"",C982,IF(P982&lt;=IFERROR(INDEX(tblChannels[Watched Through],MATCH(N982,tblChannels[Channel ID],0)),0),"Watched","Unwatched"))</f>
        <v/>
      </c>
      <c r="C982" s="40" t="n"/>
      <c r="D982" s="41" t="n"/>
      <c r="E982" s="42" t="n">
        <v>44953.625</v>
      </c>
      <c r="F982" s="50" t="inlineStr">
        <is>
          <t>Super Carlin Brothers</t>
        </is>
      </c>
      <c r="G982" t="inlineStr">
        <is>
          <t>Where Would DUDLEY Be Sorted!? | Harry Potter Film Theory</t>
        </is>
      </c>
      <c r="H982" s="44" t="n">
        <v>0.01217592592592593</v>
      </c>
      <c r="I982" s="45" t="n">
        <v>264467</v>
      </c>
      <c r="J982" s="45" t="n">
        <v>9487</v>
      </c>
      <c r="K982" s="45" t="n">
        <v>995</v>
      </c>
      <c r="L982" s="46" t="n"/>
      <c r="M982" s="47" t="n"/>
      <c r="N982" s="47" t="inlineStr">
        <is>
          <t>UCKZo4N0lVPccBkSiuyVh4yg</t>
        </is>
      </c>
      <c r="O982" s="48" t="n">
        <v>44953.83333333334</v>
      </c>
      <c r="P982" s="49" t="n">
        <v>44953</v>
      </c>
      <c r="Q982" s="47" t="n">
        <v>2286</v>
      </c>
      <c r="R982" s="47" t="inlineStr">
        <is>
          <t>No Video ID yet</t>
        </is>
      </c>
      <c r="S982" s="49" t="n"/>
      <c r="T982" s="49" t="n"/>
      <c r="U982" s="47" t="inlineStr">
        <is>
          <t>Go to to get 20% off when you’re ready to upgrade to Grammarly Premium. Today Ben Dives into the Wizarding World to find out which Hogwarts House Dudley Dursley would be sorted into… you know if he even had a single drop of magical blood which he is of course NOWHERE NEAR having… but it's fun to think about!</t>
        </is>
      </c>
      <c r="V982" s="47">
        <f>IF(AND(P982&gt;=Calendar!$K$2,P982&lt;EDATE(Calendar!$K$2,1),OR(Calendar!$K$4="*",N982=Calendar!$K$4)),P982*100+COUNTIFS($P$6:$P$3267,P982,$Q$6:$Q$3267,"&lt;="&amp;Q982,$N$6:$N$3267,Calendar!$K$4),"")</f>
        <v/>
      </c>
      <c r="W982" s="47">
        <f>IF(AND(B982=Queue!$C$4,OR(Queue!$K$4="*",N982=Queue!$K$4)),Q982,"")</f>
        <v/>
      </c>
    </row>
    <row r="983">
      <c r="A983" s="38">
        <f>IF(M983="","",HYPERLINK("https://www.youtube.com/watch?v="&amp;M983,"▶"))</f>
        <v/>
      </c>
      <c r="B983" s="39">
        <f>IF(C983&lt;&gt;"",C983,IF(P983&lt;=IFERROR(INDEX(tblChannels[Watched Through],MATCH(N983,tblChannels[Channel ID],0)),0),"Watched","Unwatched"))</f>
        <v/>
      </c>
      <c r="C983" s="40" t="n"/>
      <c r="D983" s="41" t="n"/>
      <c r="E983" s="42" t="n">
        <v>44953.41666666666</v>
      </c>
      <c r="F983" s="43" t="inlineStr">
        <is>
          <t>Popcorn Culture</t>
        </is>
      </c>
      <c r="G983" t="inlineStr">
        <is>
          <t>Zombies, Competition and Dystopia | Popcorn Culture</t>
        </is>
      </c>
      <c r="H983" s="44" t="n">
        <v>0.04565972222222222</v>
      </c>
      <c r="I983" s="45" t="n">
        <v>4903</v>
      </c>
      <c r="J983" s="45" t="n">
        <v>269</v>
      </c>
      <c r="K983" s="45" t="n">
        <v>44</v>
      </c>
      <c r="L983" s="46" t="n"/>
      <c r="M983" s="47" t="n"/>
      <c r="N983" s="47" t="inlineStr">
        <is>
          <t>UCHfIbq9thHPC8yrKjAdJgDA</t>
        </is>
      </c>
      <c r="O983" s="48" t="n">
        <v>44953.625</v>
      </c>
      <c r="P983" s="49" t="n">
        <v>44953</v>
      </c>
      <c r="Q983" s="47" t="n">
        <v>2285</v>
      </c>
      <c r="R983" s="47" t="inlineStr">
        <is>
          <t>No Video ID yet</t>
        </is>
      </c>
      <c r="S983" s="49" t="n"/>
      <c r="T983" s="49" t="n"/>
      <c r="U983" s="47" t="inlineStr">
        <is>
          <t>In the 164th episode of the Pop, Ben and J discuss their upcoming Disney trip plans, The Spartan Race, roller coasters, horror movies at Valentines, The Last of Us and The Walking Dead, pop culture depictions of the future, and Pokemon Regionals. Busch Gardens Williamsburg - The Ring - The Walking Dead - Miracle on Ice - J’s Wicks of the Peek - The Last of Us: Horror Movies and Roller Coasters Zoomed In View of Time BIGGEST Pokemon Regional Tournament 00:00 - Intro, Upcoming Disney Trip 07:00 - Roller Coasters 18:17 - J’s Wick of the Peek 38:13 - Pokemon Regionals</t>
        </is>
      </c>
      <c r="V983" s="47">
        <f>IF(AND(P983&gt;=Calendar!$K$2,P983&lt;EDATE(Calendar!$K$2,1),OR(Calendar!$K$4="*",N983=Calendar!$K$4)),P983*100+COUNTIFS($P$6:$P$3267,P983,$Q$6:$Q$3267,"&lt;="&amp;Q983,$N$6:$N$3267,Calendar!$K$4),"")</f>
        <v/>
      </c>
      <c r="W983" s="47">
        <f>IF(AND(B983=Queue!$C$4,OR(Queue!$K$4="*",N983=Queue!$K$4)),Q983,"")</f>
        <v/>
      </c>
    </row>
    <row r="984">
      <c r="A984" s="38">
        <f>IF(M984="","",HYPERLINK("https://www.youtube.com/watch?v="&amp;M984,"▶"))</f>
        <v/>
      </c>
      <c r="B984" s="39">
        <f>IF(C984&lt;&gt;"",C984,IF(P984&lt;=IFERROR(INDEX(tblChannels[Watched Through],MATCH(N984,tblChannels[Channel ID],0)),0),"Watched","Unwatched"))</f>
        <v/>
      </c>
      <c r="C984" s="40" t="n"/>
      <c r="D984" s="41" t="n"/>
      <c r="E984" s="42" t="n">
        <v>44952.70833333334</v>
      </c>
      <c r="F984" s="43" t="inlineStr">
        <is>
          <t>Popcorn Culture</t>
        </is>
      </c>
      <c r="G984" t="inlineStr">
        <is>
          <t>Why Do Horror Movies Come Out On Valentines Day | Popcorn Culture</t>
        </is>
      </c>
      <c r="H984" s="44" t="n">
        <v>0.002453703703703704</v>
      </c>
      <c r="I984" s="45" t="n">
        <v>1425</v>
      </c>
      <c r="J984" s="45" t="n">
        <v>87</v>
      </c>
      <c r="K984" s="45" t="n">
        <v>9</v>
      </c>
      <c r="L984" s="46" t="n"/>
      <c r="M984" s="47" t="n"/>
      <c r="N984" s="47" t="inlineStr">
        <is>
          <t>UCHfIbq9thHPC8yrKjAdJgDA</t>
        </is>
      </c>
      <c r="O984" s="48" t="n">
        <v>44952.91666666666</v>
      </c>
      <c r="P984" s="49" t="n">
        <v>44952</v>
      </c>
      <c r="Q984" s="47" t="n">
        <v>2284</v>
      </c>
      <c r="R984" s="47" t="inlineStr">
        <is>
          <t>No Video ID yet</t>
        </is>
      </c>
      <c r="S984" s="49" t="n"/>
      <c r="T984" s="49" t="n"/>
      <c r="U984" s="47" t="n"/>
      <c r="V984" s="47">
        <f>IF(AND(P984&gt;=Calendar!$K$2,P984&lt;EDATE(Calendar!$K$2,1),OR(Calendar!$K$4="*",N984=Calendar!$K$4)),P984*100+COUNTIFS($P$6:$P$3267,P984,$Q$6:$Q$3267,"&lt;="&amp;Q984,$N$6:$N$3267,Calendar!$K$4),"")</f>
        <v/>
      </c>
      <c r="W984" s="47">
        <f>IF(AND(B984=Queue!$C$4,OR(Queue!$K$4="*",N984=Queue!$K$4)),Q984,"")</f>
        <v/>
      </c>
    </row>
    <row r="985">
      <c r="A985" s="38">
        <f>IF(M985="","",HYPERLINK("https://www.youtube.com/watch?v="&amp;M985,"▶"))</f>
        <v/>
      </c>
      <c r="B985" s="39">
        <f>IF(C985&lt;&gt;"",C985,IF(P985&lt;=IFERROR(INDEX(tblChannels[Watched Through],MATCH(N985,tblChannels[Channel ID],0)),0),"Watched","Unwatched"))</f>
        <v/>
      </c>
      <c r="C985" s="40" t="n"/>
      <c r="D985" s="41" t="n"/>
      <c r="E985" s="42" t="n">
        <v>44951.56111111111</v>
      </c>
      <c r="F985" s="50" t="inlineStr">
        <is>
          <t>Super Carlin Brothers</t>
        </is>
      </c>
      <c r="G985" t="inlineStr">
        <is>
          <t>PROOF Voldemort Was BORN Evil | Harry Potter Film Theory</t>
        </is>
      </c>
      <c r="H985" s="44" t="n">
        <v>0.009988425925925927</v>
      </c>
      <c r="I985" s="45" t="n">
        <v>283122</v>
      </c>
      <c r="J985" s="45" t="n">
        <v>11365</v>
      </c>
      <c r="K985" s="45" t="n">
        <v>929</v>
      </c>
      <c r="L985" s="46" t="n"/>
      <c r="M985" s="47" t="n"/>
      <c r="N985" s="47" t="inlineStr">
        <is>
          <t>UCKZo4N0lVPccBkSiuyVh4yg</t>
        </is>
      </c>
      <c r="O985" s="48" t="n">
        <v>44951.76944444444</v>
      </c>
      <c r="P985" s="49" t="n">
        <v>44951</v>
      </c>
      <c r="Q985" s="47" t="n">
        <v>2283</v>
      </c>
      <c r="R985" s="47" t="inlineStr">
        <is>
          <t>No Video ID yet</t>
        </is>
      </c>
      <c r="S985" s="49" t="n"/>
      <c r="T985" s="49" t="n"/>
      <c r="U985" s="47" t="inlineStr">
        <is>
          <t>This episode is sponsored by BetterHelp - go to to get 10% off your first month Today J dives into the Wizarding World of Harry Potter to reveal how truly unsaveable and unredeemable Voldemort was - It’s not just that he became evil… its that he always was.</t>
        </is>
      </c>
      <c r="V985" s="47">
        <f>IF(AND(P985&gt;=Calendar!$K$2,P985&lt;EDATE(Calendar!$K$2,1),OR(Calendar!$K$4="*",N985=Calendar!$K$4)),P985*100+COUNTIFS($P$6:$P$3267,P985,$Q$6:$Q$3267,"&lt;="&amp;Q985,$N$6:$N$3267,Calendar!$K$4),"")</f>
        <v/>
      </c>
      <c r="W985" s="47">
        <f>IF(AND(B985=Queue!$C$4,OR(Queue!$K$4="*",N985=Queue!$K$4)),Q985,"")</f>
        <v/>
      </c>
    </row>
    <row r="986">
      <c r="A986" s="38">
        <f>IF(M986="","",HYPERLINK("https://www.youtube.com/watch?v="&amp;M986,"▶"))</f>
        <v/>
      </c>
      <c r="B986" s="39">
        <f>IF(C986&lt;&gt;"",C986,IF(P986&lt;=IFERROR(INDEX(tblChannels[Watched Through],MATCH(N986,tblChannels[Channel ID],0)),0),"Watched","Unwatched"))</f>
        <v/>
      </c>
      <c r="C986" s="40" t="n"/>
      <c r="D986" s="41" t="n"/>
      <c r="E986" s="42" t="n">
        <v>44946.77083333334</v>
      </c>
      <c r="F986" s="52" t="inlineStr">
        <is>
          <t>Super Carlin Gaming</t>
        </is>
      </c>
      <c r="G986" t="inlineStr">
        <is>
          <t>The Battle For 8th Place | Carlin Brothers Box Breakers S3/E5</t>
        </is>
      </c>
      <c r="H986" s="44" t="n">
        <v>0.02616898148148148</v>
      </c>
      <c r="I986" s="45" t="n">
        <v>2653</v>
      </c>
      <c r="J986" s="45" t="n">
        <v>151</v>
      </c>
      <c r="K986" s="45" t="n">
        <v>10</v>
      </c>
      <c r="L986" s="46" t="n"/>
      <c r="M986" s="47" t="n"/>
      <c r="N986" s="47" t="inlineStr">
        <is>
          <t>UCor_9jRnNNZVzTuQ92PKsaQ</t>
        </is>
      </c>
      <c r="O986" s="48" t="n">
        <v>44946.97916666666</v>
      </c>
      <c r="P986" s="49" t="n">
        <v>44946</v>
      </c>
      <c r="Q986" s="47" t="n">
        <v>2282</v>
      </c>
      <c r="R986" s="47" t="inlineStr">
        <is>
          <t>No Video ID yet</t>
        </is>
      </c>
      <c r="S986" s="49" t="n"/>
      <c r="T986" s="49" t="n"/>
      <c r="U986" s="47" t="inlineStr">
        <is>
          <t>This week SILVER TEMPEST KEEPS ON PULLING</t>
        </is>
      </c>
      <c r="V986" s="47">
        <f>IF(AND(P986&gt;=Calendar!$K$2,P986&lt;EDATE(Calendar!$K$2,1),OR(Calendar!$K$4="*",N986=Calendar!$K$4)),P986*100+COUNTIFS($P$6:$P$3267,P986,$Q$6:$Q$3267,"&lt;="&amp;Q986,$N$6:$N$3267,Calendar!$K$4),"")</f>
        <v/>
      </c>
      <c r="W986" s="47">
        <f>IF(AND(B986=Queue!$C$4,OR(Queue!$K$4="*",N986=Queue!$K$4)),Q986,"")</f>
        <v/>
      </c>
    </row>
    <row r="987">
      <c r="A987" s="38">
        <f>IF(M987="","",HYPERLINK("https://www.youtube.com/watch?v="&amp;M987,"▶"))</f>
        <v/>
      </c>
      <c r="B987" s="39">
        <f>IF(C987&lt;&gt;"",C987,IF(P987&lt;=IFERROR(INDEX(tblChannels[Watched Through],MATCH(N987,tblChannels[Channel ID],0)),0),"Watched","Unwatched"))</f>
        <v/>
      </c>
      <c r="C987" s="40" t="n"/>
      <c r="D987" s="41" t="n"/>
      <c r="E987" s="42" t="n">
        <v>44946.61666666667</v>
      </c>
      <c r="F987" s="50" t="inlineStr">
        <is>
          <t>Super Carlin Brothers</t>
        </is>
      </c>
      <c r="G987" t="inlineStr">
        <is>
          <t>J vs Ben: ULTIMATE Deathly Hallows Harry Potter TRIVIA Quiz</t>
        </is>
      </c>
      <c r="H987" s="44" t="n">
        <v>0.01847222222222222</v>
      </c>
      <c r="I987" s="45" t="n">
        <v>220526</v>
      </c>
      <c r="J987" s="45" t="n">
        <v>6945</v>
      </c>
      <c r="K987" s="45" t="n">
        <v>475</v>
      </c>
      <c r="L987" s="46" t="n"/>
      <c r="M987" s="47" t="n"/>
      <c r="N987" s="47" t="inlineStr">
        <is>
          <t>UCKZo4N0lVPccBkSiuyVh4yg</t>
        </is>
      </c>
      <c r="O987" s="48" t="n">
        <v>44946.825</v>
      </c>
      <c r="P987" s="49" t="n">
        <v>44946</v>
      </c>
      <c r="Q987" s="47" t="n">
        <v>2281</v>
      </c>
      <c r="R987" s="47" t="inlineStr">
        <is>
          <t>No Video ID yet</t>
        </is>
      </c>
      <c r="S987" s="49" t="n"/>
      <c r="T987" s="49" t="n"/>
      <c r="U987" s="47" t="inlineStr">
        <is>
          <t>Download the DoorDash app and use code JVSBEN for 50% off up to a $20 value, and $0 delivery fees. Go to to get 20% off your first order and free US shipping. Today J and Ben face off once more to find out who knows more about Harry Potter and the Wizarding World as they take on the ULTIMATE Deathly Hallows Quiz! Play Along with Us :: 00:57 - What is the name of the 7th book? 02:00 - What spell did Harry use that revealed himself as the true Harry? 03:05 - Which pair were supposed to arrive at the Burrow first? 04:26 - What did Umbridge claim the S on the locket stood for? 05:50 - Where did Harry see the silver doe? 07:06 - What riddle did Professor McGonagall solve at Ravenclaw Tower? 08:20 - Which death Eater was in Diagon Alley before they rob Gringotts? 08:57 - What fake name does Harry give? 14:51 - What is Kingsley's patronus? 15:26 - What does Hermione exclaim when she learns Snape is headmaster 16:15 - What wood was the wand Ron stole from Snatchers? 17:57 - What were the safe houses? 20:03 - Which goblin does Harry imperius? 21:02 - Who was dueling Bellatrix before Molly? 22:48 - Who do the Goblins say the Sword was stolen from? #harrypotter #supercarlinbrothers Super Carl</t>
        </is>
      </c>
      <c r="V987" s="47">
        <f>IF(AND(P987&gt;=Calendar!$K$2,P987&lt;EDATE(Calendar!$K$2,1),OR(Calendar!$K$4="*",N987=Calendar!$K$4)),P987*100+COUNTIFS($P$6:$P$3267,P987,$Q$6:$Q$3267,"&lt;="&amp;Q987,$N$6:$N$3267,Calendar!$K$4),"")</f>
        <v/>
      </c>
      <c r="W987" s="47">
        <f>IF(AND(B987=Queue!$C$4,OR(Queue!$K$4="*",N987=Queue!$K$4)),Q987,"")</f>
        <v/>
      </c>
    </row>
    <row r="988">
      <c r="A988" s="38">
        <f>IF(M988="","",HYPERLINK("https://www.youtube.com/watch?v="&amp;M988,"▶"))</f>
        <v/>
      </c>
      <c r="B988" s="39">
        <f>IF(C988&lt;&gt;"",C988,IF(P988&lt;=IFERROR(INDEX(tblChannels[Watched Through],MATCH(N988,tblChannels[Channel ID],0)),0),"Watched","Unwatched"))</f>
        <v/>
      </c>
      <c r="C988" s="40" t="n"/>
      <c r="D988" s="41" t="n"/>
      <c r="E988" s="42" t="n">
        <v>44946.41666666666</v>
      </c>
      <c r="F988" s="43" t="inlineStr">
        <is>
          <t>Popcorn Culture</t>
        </is>
      </c>
      <c r="G988" t="inlineStr">
        <is>
          <t>The Perfect Hotdog Ratio | Popcorn Culture</t>
        </is>
      </c>
      <c r="H988" s="44" t="n">
        <v>0.0427662037037037</v>
      </c>
      <c r="I988" s="45" t="n">
        <v>5183</v>
      </c>
      <c r="J988" s="45" t="n">
        <v>274</v>
      </c>
      <c r="K988" s="45" t="n">
        <v>22</v>
      </c>
      <c r="L988" s="46" t="n"/>
      <c r="M988" s="47" t="n"/>
      <c r="N988" s="47" t="inlineStr">
        <is>
          <t>UCHfIbq9thHPC8yrKjAdJgDA</t>
        </is>
      </c>
      <c r="O988" s="48" t="n">
        <v>44946.625</v>
      </c>
      <c r="P988" s="49" t="n">
        <v>44946</v>
      </c>
      <c r="Q988" s="47" t="n">
        <v>2280</v>
      </c>
      <c r="R988" s="47" t="inlineStr">
        <is>
          <t>No Video ID yet</t>
        </is>
      </c>
      <c r="S988" s="49" t="n"/>
      <c r="T988" s="49" t="n"/>
      <c r="U988" s="47" t="inlineStr">
        <is>
          <t>In the 163rd episode of the Pop, Ben and J discuss Macado's, new core memory, being a talker, thinking about nothing, being a learning robot, their upcoming Disney trip, fast passes and cold takes. Disney Vacation Club - Helpful Vandalism Sundae Core Memory Thoughts about Thoughts A Learning Robot Ice Cold Take 00:00 - Intro, J’s Epic Restaurant Experience 18:37 - Thoughts about Thoughts 49:23 - Upcoming Disney Trip!</t>
        </is>
      </c>
      <c r="V988" s="47">
        <f>IF(AND(P988&gt;=Calendar!$K$2,P988&lt;EDATE(Calendar!$K$2,1),OR(Calendar!$K$4="*",N988=Calendar!$K$4)),P988*100+COUNTIFS($P$6:$P$3267,P988,$Q$6:$Q$3267,"&lt;="&amp;Q988,$N$6:$N$3267,Calendar!$K$4),"")</f>
        <v/>
      </c>
      <c r="W988" s="47">
        <f>IF(AND(B988=Queue!$C$4,OR(Queue!$K$4="*",N988=Queue!$K$4)),Q988,"")</f>
        <v/>
      </c>
    </row>
    <row r="989">
      <c r="A989" s="38">
        <f>IF(M989="","",HYPERLINK("https://www.youtube.com/watch?v="&amp;M989,"▶"))</f>
        <v/>
      </c>
      <c r="B989" s="39">
        <f>IF(C989&lt;&gt;"",C989,IF(P989&lt;=IFERROR(INDEX(tblChannels[Watched Through],MATCH(N989,tblChannels[Channel ID],0)),0),"Watched","Unwatched"))</f>
        <v/>
      </c>
      <c r="C989" s="40" t="n"/>
      <c r="D989" s="41" t="n"/>
      <c r="E989" s="42" t="n">
        <v>44945.70833333334</v>
      </c>
      <c r="F989" s="43" t="inlineStr">
        <is>
          <t>Popcorn Culture</t>
        </is>
      </c>
      <c r="G989" t="inlineStr">
        <is>
          <t>New Core Memory | Popcorn Culture Episode 163 Teaser</t>
        </is>
      </c>
      <c r="H989" s="44" t="n">
        <v>0.002465277777777778</v>
      </c>
      <c r="I989" s="45" t="n">
        <v>1581</v>
      </c>
      <c r="J989" s="45" t="n">
        <v>108</v>
      </c>
      <c r="K989" s="45" t="n">
        <v>8</v>
      </c>
      <c r="L989" s="46" t="n"/>
      <c r="M989" s="47" t="n"/>
      <c r="N989" s="47" t="inlineStr">
        <is>
          <t>UCHfIbq9thHPC8yrKjAdJgDA</t>
        </is>
      </c>
      <c r="O989" s="48" t="n">
        <v>44945.91666666666</v>
      </c>
      <c r="P989" s="49" t="n">
        <v>44945</v>
      </c>
      <c r="Q989" s="47" t="n">
        <v>2279</v>
      </c>
      <c r="R989" s="47" t="inlineStr">
        <is>
          <t>No Video ID yet</t>
        </is>
      </c>
      <c r="S989" s="49" t="n"/>
      <c r="T989" s="49" t="n"/>
      <c r="U989" s="47" t="n"/>
      <c r="V989" s="47">
        <f>IF(AND(P989&gt;=Calendar!$K$2,P989&lt;EDATE(Calendar!$K$2,1),OR(Calendar!$K$4="*",N989=Calendar!$K$4)),P989*100+COUNTIFS($P$6:$P$3267,P989,$Q$6:$Q$3267,"&lt;="&amp;Q989,$N$6:$N$3267,Calendar!$K$4),"")</f>
        <v/>
      </c>
      <c r="W989" s="47">
        <f>IF(AND(B989=Queue!$C$4,OR(Queue!$K$4="*",N989=Queue!$K$4)),Q989,"")</f>
        <v/>
      </c>
    </row>
    <row r="990">
      <c r="A990" s="38">
        <f>IF(M990="","",HYPERLINK("https://www.youtube.com/watch?v="&amp;M990,"▶"))</f>
        <v/>
      </c>
      <c r="B990" s="39">
        <f>IF(C990&lt;&gt;"",C990,IF(P990&lt;=IFERROR(INDEX(tblChannels[Watched Through],MATCH(N990,tblChannels[Channel ID],0)),0),"Watched","Unwatched"))</f>
        <v/>
      </c>
      <c r="C990" s="40" t="n"/>
      <c r="D990" s="41" t="n"/>
      <c r="E990" s="42" t="n">
        <v>44944.71388888889</v>
      </c>
      <c r="F990" s="50" t="inlineStr">
        <is>
          <t>Super Carlin Brothers</t>
        </is>
      </c>
      <c r="G990" t="inlineStr">
        <is>
          <t>What If Petunia Was A Witch? | Harry Potter Film Theory</t>
        </is>
      </c>
      <c r="H990" s="44" t="n">
        <v>0.01755787037037037</v>
      </c>
      <c r="I990" s="45" t="n">
        <v>619411</v>
      </c>
      <c r="J990" s="45" t="n">
        <v>22996</v>
      </c>
      <c r="K990" s="45" t="n">
        <v>2585</v>
      </c>
      <c r="L990" s="46" t="n"/>
      <c r="M990" s="47" t="n"/>
      <c r="N990" s="47" t="inlineStr">
        <is>
          <t>UCKZo4N0lVPccBkSiuyVh4yg</t>
        </is>
      </c>
      <c r="O990" s="48" t="n">
        <v>44944.92222222222</v>
      </c>
      <c r="P990" s="49" t="n">
        <v>44944</v>
      </c>
      <c r="Q990" s="47" t="n">
        <v>2278</v>
      </c>
      <c r="R990" s="47" t="inlineStr">
        <is>
          <t>No Video ID yet</t>
        </is>
      </c>
      <c r="S990" s="49" t="n"/>
      <c r="T990" s="49" t="n"/>
      <c r="U990" s="47" t="inlineStr">
        <is>
          <t>This episode of Super Carlin Brothers is sponsored by BetterHelp — go to to get 10% off your first month. Go to to get 20% off your first order and free US shipping. Today J dives into the Wizarding World of Harry Potter to find out what might have happened if Petunia had been a witch and attended Hogwarts herself? Does she still hate Lily? How does Snape respond to both young Evans girls being magical? What house would she be in? And would Dudley ever be born?!</t>
        </is>
      </c>
      <c r="V990" s="47">
        <f>IF(AND(P990&gt;=Calendar!$K$2,P990&lt;EDATE(Calendar!$K$2,1),OR(Calendar!$K$4="*",N990=Calendar!$K$4)),P990*100+COUNTIFS($P$6:$P$3267,P990,$Q$6:$Q$3267,"&lt;="&amp;Q990,$N$6:$N$3267,Calendar!$K$4),"")</f>
        <v/>
      </c>
      <c r="W990" s="47">
        <f>IF(AND(B990=Queue!$C$4,OR(Queue!$K$4="*",N990=Queue!$K$4)),Q990,"")</f>
        <v/>
      </c>
    </row>
    <row r="991">
      <c r="A991" s="38">
        <f>IF(M991="","",HYPERLINK("https://www.youtube.com/watch?v="&amp;M991,"▶"))</f>
        <v/>
      </c>
      <c r="B991" s="39">
        <f>IF(C991&lt;&gt;"",C991,IF(P991&lt;=IFERROR(INDEX(tblChannels[Watched Through],MATCH(N991,tblChannels[Channel ID],0)),0),"Watched","Unwatched"))</f>
        <v/>
      </c>
      <c r="C991" s="40" t="n"/>
      <c r="D991" s="41" t="n"/>
      <c r="E991" s="42" t="n">
        <v>44942.625</v>
      </c>
      <c r="F991" s="52" t="inlineStr">
        <is>
          <t>Super Carlin Gaming</t>
        </is>
      </c>
      <c r="G991" t="inlineStr">
        <is>
          <t>THE MOONLIT FANG |  Pokémon Legends: Arceus Nuzlocke #26</t>
        </is>
      </c>
      <c r="H991" s="44" t="n">
        <v>0.02146990740740741</v>
      </c>
      <c r="I991" s="45" t="n">
        <v>4657</v>
      </c>
      <c r="J991" s="45" t="n">
        <v>237</v>
      </c>
      <c r="K991" s="45" t="n">
        <v>104</v>
      </c>
      <c r="L991" s="46" t="n"/>
      <c r="M991" s="47" t="n"/>
      <c r="N991" s="47" t="inlineStr">
        <is>
          <t>UCor_9jRnNNZVzTuQ92PKsaQ</t>
        </is>
      </c>
      <c r="O991" s="48" t="n">
        <v>44942.83333333334</v>
      </c>
      <c r="P991" s="49" t="n">
        <v>44942</v>
      </c>
      <c r="Q991" s="47" t="n">
        <v>2277</v>
      </c>
      <c r="R991" s="47" t="inlineStr">
        <is>
          <t>No Video ID yet</t>
        </is>
      </c>
      <c r="S991" s="49" t="n"/>
      <c r="T991" s="49" t="n"/>
      <c r="U991" s="47" t="inlineStr">
        <is>
          <t>J and the team trek toward Stone Portal to challenge Beni in a brutal battle. But a shocking discovery on the way will change their circumstances entirely...</t>
        </is>
      </c>
      <c r="V991" s="47">
        <f>IF(AND(P991&gt;=Calendar!$K$2,P991&lt;EDATE(Calendar!$K$2,1),OR(Calendar!$K$4="*",N991=Calendar!$K$4)),P991*100+COUNTIFS($P$6:$P$3267,P991,$Q$6:$Q$3267,"&lt;="&amp;Q991,$N$6:$N$3267,Calendar!$K$4),"")</f>
        <v/>
      </c>
      <c r="W991" s="47">
        <f>IF(AND(B991=Queue!$C$4,OR(Queue!$K$4="*",N991=Queue!$K$4)),Q991,"")</f>
        <v/>
      </c>
    </row>
    <row r="992">
      <c r="A992" s="38">
        <f>IF(M992="","",HYPERLINK("https://www.youtube.com/watch?v="&amp;M992,"▶"))</f>
        <v/>
      </c>
      <c r="B992" s="39">
        <f>IF(C992&lt;&gt;"",C992,IF(P992&lt;=IFERROR(INDEX(tblChannels[Watched Through],MATCH(N992,tblChannels[Channel ID],0)),0),"Watched","Unwatched"))</f>
        <v/>
      </c>
      <c r="C992" s="40" t="n"/>
      <c r="D992" s="41" t="n"/>
      <c r="E992" s="42" t="n">
        <v>44940.77083333334</v>
      </c>
      <c r="F992" s="52" t="inlineStr">
        <is>
          <t>Super Carlin Gaming</t>
        </is>
      </c>
      <c r="G992" t="inlineStr">
        <is>
          <t>Season 3 Starts HEATING UP | Carlin Brothers Box Breakers S3/E4</t>
        </is>
      </c>
      <c r="H992" s="44" t="n">
        <v>0.03055555555555555</v>
      </c>
      <c r="I992" s="45" t="n">
        <v>2897</v>
      </c>
      <c r="J992" s="45" t="n">
        <v>160</v>
      </c>
      <c r="K992" s="45" t="n">
        <v>16</v>
      </c>
      <c r="L992" s="46" t="n"/>
      <c r="M992" s="47" t="n"/>
      <c r="N992" s="47" t="inlineStr">
        <is>
          <t>UCor_9jRnNNZVzTuQ92PKsaQ</t>
        </is>
      </c>
      <c r="O992" s="48" t="n">
        <v>44940.97916666666</v>
      </c>
      <c r="P992" s="49" t="n">
        <v>44940</v>
      </c>
      <c r="Q992" s="47" t="n">
        <v>2276</v>
      </c>
      <c r="R992" s="47" t="inlineStr">
        <is>
          <t>No Video ID yet</t>
        </is>
      </c>
      <c r="S992" s="49" t="n"/>
      <c r="T992" s="49" t="n"/>
      <c r="U992" s="47" t="inlineStr">
        <is>
          <t>This week SILVER TEMPEST KEEPS ON PULLING</t>
        </is>
      </c>
      <c r="V992" s="47">
        <f>IF(AND(P992&gt;=Calendar!$K$2,P992&lt;EDATE(Calendar!$K$2,1),OR(Calendar!$K$4="*",N992=Calendar!$K$4)),P992*100+COUNTIFS($P$6:$P$3267,P992,$Q$6:$Q$3267,"&lt;="&amp;Q992,$N$6:$N$3267,Calendar!$K$4),"")</f>
        <v/>
      </c>
      <c r="W992" s="47">
        <f>IF(AND(B992=Queue!$C$4,OR(Queue!$K$4="*",N992=Queue!$K$4)),Q992,"")</f>
        <v/>
      </c>
    </row>
    <row r="993">
      <c r="A993" s="38">
        <f>IF(M993="","",HYPERLINK("https://www.youtube.com/watch?v="&amp;M993,"▶"))</f>
        <v/>
      </c>
      <c r="B993" s="39">
        <f>IF(C993&lt;&gt;"",C993,IF(P993&lt;=IFERROR(INDEX(tblChannels[Watched Through],MATCH(N993,tblChannels[Channel ID],0)),0),"Watched","Unwatched"))</f>
        <v/>
      </c>
      <c r="C993" s="40" t="n"/>
      <c r="D993" s="41" t="n"/>
      <c r="E993" s="42" t="n">
        <v>44939.67847222222</v>
      </c>
      <c r="F993" s="50" t="inlineStr">
        <is>
          <t>Super Carlin Brothers</t>
        </is>
      </c>
      <c r="G993" t="inlineStr">
        <is>
          <t>The TRUTH About Woody’s Holster | Toy Story Pixar Film Theory</t>
        </is>
      </c>
      <c r="H993" s="44" t="n">
        <v>0.009594907407407408</v>
      </c>
      <c r="I993" s="45" t="n">
        <v>328449</v>
      </c>
      <c r="J993" s="45" t="n">
        <v>10548</v>
      </c>
      <c r="K993" s="45" t="n">
        <v>758</v>
      </c>
      <c r="L993" s="46" t="n"/>
      <c r="M993" s="47" t="n"/>
      <c r="N993" s="47" t="inlineStr">
        <is>
          <t>UCKZo4N0lVPccBkSiuyVh4yg</t>
        </is>
      </c>
      <c r="O993" s="48" t="n">
        <v>44939.88680555556</v>
      </c>
      <c r="P993" s="49" t="n">
        <v>44939</v>
      </c>
      <c r="Q993" s="47" t="n">
        <v>2275</v>
      </c>
      <c r="R993" s="47" t="inlineStr">
        <is>
          <t>No Video ID yet</t>
        </is>
      </c>
      <c r="S993" s="49" t="n"/>
      <c r="T993" s="49" t="n"/>
      <c r="U993" s="47" t="inlineStr">
        <is>
          <t>Download the FREE Upside App and use promo code supercarlin to get an extra $.25 back for every gallon on your first tank of gas. Today Ben dives into the world of Pixar to discuss why Woody in Toy Story has holster but, not gun. Did Andy just lose it? Did Al not know Woody was supposed to have it? Does it stand for something more? #supercarlinbrothers #ToyStory</t>
        </is>
      </c>
      <c r="V993" s="47">
        <f>IF(AND(P993&gt;=Calendar!$K$2,P993&lt;EDATE(Calendar!$K$2,1),OR(Calendar!$K$4="*",N993=Calendar!$K$4)),P993*100+COUNTIFS($P$6:$P$3267,P993,$Q$6:$Q$3267,"&lt;="&amp;Q993,$N$6:$N$3267,Calendar!$K$4),"")</f>
        <v/>
      </c>
      <c r="W993" s="47">
        <f>IF(AND(B993=Queue!$C$4,OR(Queue!$K$4="*",N993=Queue!$K$4)),Q993,"")</f>
        <v/>
      </c>
    </row>
    <row r="994">
      <c r="A994" s="38">
        <f>IF(M994="","",HYPERLINK("https://www.youtube.com/watch?v="&amp;M994,"▶"))</f>
        <v/>
      </c>
      <c r="B994" s="39">
        <f>IF(C994&lt;&gt;"",C994,IF(P994&lt;=IFERROR(INDEX(tblChannels[Watched Through],MATCH(N994,tblChannels[Channel ID],0)),0),"Watched","Unwatched"))</f>
        <v/>
      </c>
      <c r="C994" s="40" t="n"/>
      <c r="D994" s="41" t="n"/>
      <c r="E994" s="42" t="n">
        <v>44939.41666666666</v>
      </c>
      <c r="F994" s="43" t="inlineStr">
        <is>
          <t>Popcorn Culture</t>
        </is>
      </c>
      <c r="G994" t="inlineStr">
        <is>
          <t>Post-Christmas Card Conundrum | Popcorn Culture</t>
        </is>
      </c>
      <c r="H994" s="44" t="n">
        <v>0.04636574074074074</v>
      </c>
      <c r="I994" s="45" t="n">
        <v>5067</v>
      </c>
      <c r="J994" s="45" t="n">
        <v>283</v>
      </c>
      <c r="K994" s="45" t="n">
        <v>45</v>
      </c>
      <c r="L994" s="46" t="n"/>
      <c r="M994" s="47" t="n"/>
      <c r="N994" s="47" t="inlineStr">
        <is>
          <t>UCHfIbq9thHPC8yrKjAdJgDA</t>
        </is>
      </c>
      <c r="O994" s="48" t="n">
        <v>44939.625</v>
      </c>
      <c r="P994" s="49" t="n">
        <v>44939</v>
      </c>
      <c r="Q994" s="47" t="n">
        <v>2274</v>
      </c>
      <c r="R994" s="47" t="inlineStr">
        <is>
          <t>No Video ID yet</t>
        </is>
      </c>
      <c r="S994" s="49" t="n"/>
      <c r="T994" s="49" t="n"/>
      <c r="U994" s="47" t="inlineStr">
        <is>
          <t>In the 162nd episode of the Pop, Ben and J discuss the show White Lotus, the Three Caballeros, voice acting, reactions to experiences, Christmas cards, binders, bad habits, elementary school knowledge and the alphabet. White Lotus - The Russo Brothers - Patrick Rothfuss - John Williams - J’s Wick of the Peek: Legend of the Three Caballeros - Bluey’s Very High Brow Everyone Knows the Caballeros Does Experience Demand Reaction? Thank You for the Thank You Fond Binder Memories 00:00 - Intro, White Lotus 07:58 - Kids Cartoons 25:08 - Experience and Reaction 41:31 - Boredom Habits 51:31 - Are You Smarter Than A Fifth Grader</t>
        </is>
      </c>
      <c r="V994" s="47">
        <f>IF(AND(P994&gt;=Calendar!$K$2,P994&lt;EDATE(Calendar!$K$2,1),OR(Calendar!$K$4="*",N994=Calendar!$K$4)),P994*100+COUNTIFS($P$6:$P$3267,P994,$Q$6:$Q$3267,"&lt;="&amp;Q994,$N$6:$N$3267,Calendar!$K$4),"")</f>
        <v/>
      </c>
      <c r="W994" s="47">
        <f>IF(AND(B994=Queue!$C$4,OR(Queue!$K$4="*",N994=Queue!$K$4)),Q994,"")</f>
        <v/>
      </c>
    </row>
    <row r="995">
      <c r="A995" s="38">
        <f>IF(M995="","",HYPERLINK("https://www.youtube.com/watch?v="&amp;M995,"▶"))</f>
        <v/>
      </c>
      <c r="B995" s="39">
        <f>IF(C995&lt;&gt;"",C995,IF(P995&lt;=IFERROR(INDEX(tblChannels[Watched Through],MATCH(N995,tblChannels[Channel ID],0)),0),"Watched","Unwatched"))</f>
        <v/>
      </c>
      <c r="C995" s="40" t="n"/>
      <c r="D995" s="41" t="n"/>
      <c r="E995" s="42" t="n">
        <v>44938.70833333334</v>
      </c>
      <c r="F995" s="43" t="inlineStr">
        <is>
          <t>Popcorn Culture</t>
        </is>
      </c>
      <c r="G995" t="inlineStr">
        <is>
          <t>Can You Say The Alphabet Backwards? | Popcorn Culture Episode 162 Teaser</t>
        </is>
      </c>
      <c r="H995" s="44" t="n">
        <v>0.003553240740740741</v>
      </c>
      <c r="I995" s="45" t="n">
        <v>2167</v>
      </c>
      <c r="J995" s="45" t="n">
        <v>148</v>
      </c>
      <c r="K995" s="45" t="n">
        <v>19</v>
      </c>
      <c r="L995" s="46" t="n"/>
      <c r="M995" s="47" t="n"/>
      <c r="N995" s="47" t="inlineStr">
        <is>
          <t>UCHfIbq9thHPC8yrKjAdJgDA</t>
        </is>
      </c>
      <c r="O995" s="48" t="n">
        <v>44938.91666666666</v>
      </c>
      <c r="P995" s="49" t="n">
        <v>44938</v>
      </c>
      <c r="Q995" s="47" t="n">
        <v>2273</v>
      </c>
      <c r="R995" s="47" t="inlineStr">
        <is>
          <t>No Video ID yet</t>
        </is>
      </c>
      <c r="S995" s="49" t="n"/>
      <c r="T995" s="49" t="n"/>
      <c r="U995" s="47" t="n"/>
      <c r="V995" s="47">
        <f>IF(AND(P995&gt;=Calendar!$K$2,P995&lt;EDATE(Calendar!$K$2,1),OR(Calendar!$K$4="*",N995=Calendar!$K$4)),P995*100+COUNTIFS($P$6:$P$3267,P995,$Q$6:$Q$3267,"&lt;="&amp;Q995,$N$6:$N$3267,Calendar!$K$4),"")</f>
        <v/>
      </c>
      <c r="W995" s="47">
        <f>IF(AND(B995=Queue!$C$4,OR(Queue!$K$4="*",N995=Queue!$K$4)),Q995,"")</f>
        <v/>
      </c>
    </row>
    <row r="996">
      <c r="A996" s="38">
        <f>IF(M996="","",HYPERLINK("https://www.youtube.com/watch?v="&amp;M996,"▶"))</f>
        <v/>
      </c>
      <c r="B996" s="39">
        <f>IF(C996&lt;&gt;"",C996,IF(P996&lt;=IFERROR(INDEX(tblChannels[Watched Through],MATCH(N996,tblChannels[Channel ID],0)),0),"Watched","Unwatched"))</f>
        <v/>
      </c>
      <c r="C996" s="40" t="n"/>
      <c r="D996" s="41" t="n"/>
      <c r="E996" s="42" t="n">
        <v>44937.65486111111</v>
      </c>
      <c r="F996" s="50" t="inlineStr">
        <is>
          <t>Super Carlin Brothers</t>
        </is>
      </c>
      <c r="G996" t="inlineStr">
        <is>
          <t>What If Harry Never Called The Knight Bus? | Harry Potter Film Theory</t>
        </is>
      </c>
      <c r="H996" s="44" t="n">
        <v>0.01390046296296296</v>
      </c>
      <c r="I996" s="45" t="n">
        <v>889138</v>
      </c>
      <c r="J996" s="45" t="n">
        <v>22398</v>
      </c>
      <c r="K996" s="45" t="n">
        <v>1853</v>
      </c>
      <c r="L996" s="46" t="n"/>
      <c r="M996" s="47" t="n"/>
      <c r="N996" s="47" t="inlineStr">
        <is>
          <t>UCKZo4N0lVPccBkSiuyVh4yg</t>
        </is>
      </c>
      <c r="O996" s="48" t="n">
        <v>44937.86319444444</v>
      </c>
      <c r="P996" s="49" t="n">
        <v>44937</v>
      </c>
      <c r="Q996" s="47" t="n">
        <v>2272</v>
      </c>
      <c r="R996" s="47" t="inlineStr">
        <is>
          <t>No Video ID yet</t>
        </is>
      </c>
      <c r="S996" s="49" t="n"/>
      <c r="T996" s="49" t="n"/>
      <c r="U996" s="47" t="inlineStr">
        <is>
          <t>Go to and use code SUPER for 20% off your first box. This episode of Super Carlin Brothers is sponsored by BetterHelp — go to to get 10% off your first month. What If Harry Potter Never called the Knight Bus and Sirius had been able to explain everything to him that night? Would Peter have been arrested? Would Voldemort still rise? Would Harry still learn the Patronus? #supercarlinbrothers #harrypotter #WhatIf</t>
        </is>
      </c>
      <c r="V996" s="47">
        <f>IF(AND(P996&gt;=Calendar!$K$2,P996&lt;EDATE(Calendar!$K$2,1),OR(Calendar!$K$4="*",N996=Calendar!$K$4)),P996*100+COUNTIFS($P$6:$P$3267,P996,$Q$6:$Q$3267,"&lt;="&amp;Q996,$N$6:$N$3267,Calendar!$K$4),"")</f>
        <v/>
      </c>
      <c r="W996" s="47">
        <f>IF(AND(B996=Queue!$C$4,OR(Queue!$K$4="*",N996=Queue!$K$4)),Q996,"")</f>
        <v/>
      </c>
    </row>
    <row r="997">
      <c r="A997" s="38">
        <f>IF(M997="","",HYPERLINK("https://www.youtube.com/watch?v="&amp;M997,"▶"))</f>
        <v/>
      </c>
      <c r="B997" s="39">
        <f>IF(C997&lt;&gt;"",C997,IF(P997&lt;=IFERROR(INDEX(tblChannels[Watched Through],MATCH(N997,tblChannels[Channel ID],0)),0),"Watched","Unwatched"))</f>
        <v/>
      </c>
      <c r="C997" s="40" t="n"/>
      <c r="D997" s="41" t="n"/>
      <c r="E997" s="42" t="n">
        <v>44935.625</v>
      </c>
      <c r="F997" s="52" t="inlineStr">
        <is>
          <t>Super Carlin Gaming</t>
        </is>
      </c>
      <c r="G997" t="inlineStr">
        <is>
          <t>GIANT SPIKY BALL! |  Pokémon Legends: Arceus Nuzlocke #25</t>
        </is>
      </c>
      <c r="H997" s="44" t="n">
        <v>0.02510416666666667</v>
      </c>
      <c r="I997" s="45" t="n">
        <v>3738</v>
      </c>
      <c r="J997" s="45" t="n">
        <v>226</v>
      </c>
      <c r="K997" s="45" t="n">
        <v>33</v>
      </c>
      <c r="L997" s="46" t="n"/>
      <c r="M997" s="47" t="n"/>
      <c r="N997" s="47" t="inlineStr">
        <is>
          <t>UCor_9jRnNNZVzTuQ92PKsaQ</t>
        </is>
      </c>
      <c r="O997" s="48" t="n">
        <v>44935.83333333334</v>
      </c>
      <c r="P997" s="49" t="n">
        <v>44935</v>
      </c>
      <c r="Q997" s="47" t="n">
        <v>2271</v>
      </c>
      <c r="R997" s="47" t="inlineStr">
        <is>
          <t>No Video ID yet</t>
        </is>
      </c>
      <c r="S997" s="49" t="n"/>
      <c r="T997" s="49" t="n"/>
      <c r="U997" s="47" t="inlineStr">
        <is>
          <t>Lamenting the loss of Storm, J adds a new member to the team to prepare for an epic showdown in the cavern at Lake Valor.</t>
        </is>
      </c>
      <c r="V997" s="47">
        <f>IF(AND(P997&gt;=Calendar!$K$2,P997&lt;EDATE(Calendar!$K$2,1),OR(Calendar!$K$4="*",N997=Calendar!$K$4)),P997*100+COUNTIFS($P$6:$P$3267,P997,$Q$6:$Q$3267,"&lt;="&amp;Q997,$N$6:$N$3267,Calendar!$K$4),"")</f>
        <v/>
      </c>
      <c r="W997" s="47">
        <f>IF(AND(B997=Queue!$C$4,OR(Queue!$K$4="*",N997=Queue!$K$4)),Q997,"")</f>
        <v/>
      </c>
    </row>
    <row r="998">
      <c r="A998" s="38">
        <f>IF(M998="","",HYPERLINK("https://www.youtube.com/watch?v="&amp;M998,"▶"))</f>
        <v/>
      </c>
      <c r="B998" s="39">
        <f>IF(C998&lt;&gt;"",C998,IF(P998&lt;=IFERROR(INDEX(tblChannels[Watched Through],MATCH(N998,tblChannels[Channel ID],0)),0),"Watched","Unwatched"))</f>
        <v/>
      </c>
      <c r="C998" s="40" t="n"/>
      <c r="D998" s="41" t="n"/>
      <c r="E998" s="42" t="n">
        <v>44932.64930555555</v>
      </c>
      <c r="F998" s="50" t="inlineStr">
        <is>
          <t>Super Carlin Brothers</t>
        </is>
      </c>
      <c r="G998" t="inlineStr">
        <is>
          <t>J vs Ben: ULTIMATE Half-Blood Prince Harry Potter TRIVIA Quiz</t>
        </is>
      </c>
      <c r="H998" s="44" t="n">
        <v>0.0212962962962963</v>
      </c>
      <c r="I998" s="45" t="n">
        <v>226256</v>
      </c>
      <c r="J998" s="45" t="n">
        <v>7177</v>
      </c>
      <c r="K998" s="45" t="n">
        <v>562</v>
      </c>
      <c r="L998" s="46" t="n"/>
      <c r="M998" s="47" t="n"/>
      <c r="N998" s="47" t="inlineStr">
        <is>
          <t>UCKZo4N0lVPccBkSiuyVh4yg</t>
        </is>
      </c>
      <c r="O998" s="48" t="n">
        <v>44932.85763888889</v>
      </c>
      <c r="P998" s="49" t="n">
        <v>44932</v>
      </c>
      <c r="Q998" s="47" t="n">
        <v>2270</v>
      </c>
      <c r="R998" s="47" t="inlineStr">
        <is>
          <t>No Video ID yet</t>
        </is>
      </c>
      <c r="S998" s="49" t="n"/>
      <c r="T998" s="49" t="n"/>
      <c r="U998" s="47" t="inlineStr">
        <is>
          <t>Go to to get PayPal Honey for free. Go to to get 3 extra months free with a 12-month plan. Today Ben and J face off once more to find out who knows more about Harry Potter and the Half-Blood Prince! Play along with us: #supercarlinbrothers #harrypotter #jvsben 01:56 - What is the name of the 6th Harry Potter book? 02:55 - Who is Ginny dating? 05:10 - Who does Hermione not ask to the Christmas Party? 06:17 - What drink does Dumbledore offer the Dursleys? 08:29 - Who is Ron’s quidditch tryout competition? 09:33 - Where are the muggles vacationing when Slughorn is in their house? 10:38 - What does the Weasleys’ Wizard Wheezes poster advertise? 16:14 - What book mentions horcruxes? 18:21 - What are the three D’s of apparition? 19:29 - What color are Slughorn’s pj’s? 21:36 - Which Ministry employee’s memory do we see? 23:07 - Who did Hagrid and Slughorn sing about? 24:34 - What is Snape’s mother’s name? 25:09 - Who was the orphanage matron? 26:00 - What did Fred and George charge Ron at WWW?</t>
        </is>
      </c>
      <c r="V998" s="47">
        <f>IF(AND(P998&gt;=Calendar!$K$2,P998&lt;EDATE(Calendar!$K$2,1),OR(Calendar!$K$4="*",N998=Calendar!$K$4)),P998*100+COUNTIFS($P$6:$P$3267,P998,$Q$6:$Q$3267,"&lt;="&amp;Q998,$N$6:$N$3267,Calendar!$K$4),"")</f>
        <v/>
      </c>
      <c r="W998" s="47">
        <f>IF(AND(B998=Queue!$C$4,OR(Queue!$K$4="*",N998=Queue!$K$4)),Q998,"")</f>
        <v/>
      </c>
    </row>
    <row r="999">
      <c r="A999" s="38">
        <f>IF(M999="","",HYPERLINK("https://www.youtube.com/watch?v="&amp;M999,"▶"))</f>
        <v/>
      </c>
      <c r="B999" s="39">
        <f>IF(C999&lt;&gt;"",C999,IF(P999&lt;=IFERROR(INDEX(tblChannels[Watched Through],MATCH(N999,tblChannels[Channel ID],0)),0),"Watched","Unwatched"))</f>
        <v/>
      </c>
      <c r="C999" s="40" t="n"/>
      <c r="D999" s="41" t="n"/>
      <c r="E999" s="42" t="n">
        <v>44932.41666666666</v>
      </c>
      <c r="F999" s="43" t="inlineStr">
        <is>
          <t>Popcorn Culture</t>
        </is>
      </c>
      <c r="G999" t="inlineStr">
        <is>
          <t>How I Burned A Hole In A Llama | Popcorn Culture</t>
        </is>
      </c>
      <c r="H999" s="44" t="n">
        <v>0.04774305555555555</v>
      </c>
      <c r="I999" s="45" t="n">
        <v>6478</v>
      </c>
      <c r="J999" s="45" t="n">
        <v>325</v>
      </c>
      <c r="K999" s="45" t="n">
        <v>36</v>
      </c>
      <c r="L999" s="46" t="n"/>
      <c r="M999" s="47" t="n"/>
      <c r="N999" s="47" t="inlineStr">
        <is>
          <t>UCHfIbq9thHPC8yrKjAdJgDA</t>
        </is>
      </c>
      <c r="O999" s="48" t="n">
        <v>44932.625</v>
      </c>
      <c r="P999" s="49" t="n">
        <v>44932</v>
      </c>
      <c r="Q999" s="47" t="n">
        <v>2269</v>
      </c>
      <c r="R999" s="47" t="inlineStr">
        <is>
          <t>No Video ID yet</t>
        </is>
      </c>
      <c r="S999" s="49" t="n"/>
      <c r="T999" s="49" t="n"/>
      <c r="U999" s="47" t="inlineStr">
        <is>
          <t>In the 161st episode of the Pop, Ben and J discuss the start of the new year, live music, other YouTubers we know, going to the movies, a new word, J’s connection to biking, skiing and Pokemon, weird things they “invented”, and llama burn holes. Dragula - School’s Out For Summer - Good Mythical Morning - The Gregory Brothers - The Pixar Theory Song - The Matrix - The Mummy - The Giver - Thoughts From Places: Snowshoe - Elyse’s Frozen Water Tik Tok - Stuffication Biking, Skiing and Pokemon Microwave Adventures 00:00 - Intro, The New Year 1:41 - Live Music 12:51 - The Matrix and The Giver 21:35 - Stuffication 30:19 - Biking, Skiing, and Pokemon 53:18 - Burning a Hole in a Llama</t>
        </is>
      </c>
      <c r="V999" s="47">
        <f>IF(AND(P999&gt;=Calendar!$K$2,P999&lt;EDATE(Calendar!$K$2,1),OR(Calendar!$K$4="*",N999=Calendar!$K$4)),P999*100+COUNTIFS($P$6:$P$3267,P999,$Q$6:$Q$3267,"&lt;="&amp;Q999,$N$6:$N$3267,Calendar!$K$4),"")</f>
        <v/>
      </c>
      <c r="W999" s="47">
        <f>IF(AND(B999=Queue!$C$4,OR(Queue!$K$4="*",N999=Queue!$K$4)),Q999,"")</f>
        <v/>
      </c>
    </row>
    <row r="1000">
      <c r="A1000" s="38">
        <f>IF(M1000="","",HYPERLINK("https://www.youtube.com/watch?v="&amp;M1000,"▶"))</f>
        <v/>
      </c>
      <c r="B1000" s="39">
        <f>IF(C1000&lt;&gt;"",C1000,IF(P1000&lt;=IFERROR(INDEX(tblChannels[Watched Through],MATCH(N1000,tblChannels[Channel ID],0)),0),"Watched","Unwatched"))</f>
        <v/>
      </c>
      <c r="C1000" s="40" t="n"/>
      <c r="D1000" s="41" t="n"/>
      <c r="E1000" s="42" t="n">
        <v>44930.58055555556</v>
      </c>
      <c r="F1000" s="50" t="inlineStr">
        <is>
          <t>Super Carlin Brothers</t>
        </is>
      </c>
      <c r="G1000" t="inlineStr">
        <is>
          <t>Grindelwald’s SECRET Horcrux | Harry Potter Film Theory</t>
        </is>
      </c>
      <c r="H1000" s="44" t="n">
        <v>0.01202546296296296</v>
      </c>
      <c r="I1000" s="45" t="n">
        <v>210045</v>
      </c>
      <c r="J1000" s="45" t="n">
        <v>8158</v>
      </c>
      <c r="K1000" s="45" t="n">
        <v>534</v>
      </c>
      <c r="L1000" s="46" t="n"/>
      <c r="M1000" s="47" t="n"/>
      <c r="N1000" s="47" t="inlineStr">
        <is>
          <t>UCKZo4N0lVPccBkSiuyVh4yg</t>
        </is>
      </c>
      <c r="O1000" s="48" t="n">
        <v>44930.78888888889</v>
      </c>
      <c r="P1000" s="49" t="n">
        <v>44930</v>
      </c>
      <c r="Q1000" s="47" t="n">
        <v>2268</v>
      </c>
      <c r="R1000" s="47" t="inlineStr">
        <is>
          <t>No Video ID yet</t>
        </is>
      </c>
      <c r="S1000" s="49" t="n"/>
      <c r="T1000" s="49" t="n"/>
      <c r="U1000" s="47" t="inlineStr">
        <is>
          <t>This episode of Super Carlin Brothers is sponsored by BetterHelp — go to to get 10% off your first month. Today J dives into the Wizarding World of Harry Potter and Fantastic Beasts to discover if Gellert Grindelwald made a secret horcrux, and what it was! #supercarlinbrothers #harrypotter #filmtheory</t>
        </is>
      </c>
      <c r="V1000" s="47">
        <f>IF(AND(P1000&gt;=Calendar!$K$2,P1000&lt;EDATE(Calendar!$K$2,1),OR(Calendar!$K$4="*",N1000=Calendar!$K$4)),P1000*100+COUNTIFS($P$6:$P$3267,P1000,$Q$6:$Q$3267,"&lt;="&amp;Q1000,$N$6:$N$3267,Calendar!$K$4),"")</f>
        <v/>
      </c>
      <c r="W1000" s="47">
        <f>IF(AND(B1000=Queue!$C$4,OR(Queue!$K$4="*",N1000=Queue!$K$4)),Q1000,"")</f>
        <v/>
      </c>
    </row>
    <row r="1001">
      <c r="A1001" s="38">
        <f>IF(M1001="","",HYPERLINK("https://www.youtube.com/watch?v="&amp;M1001,"▶"))</f>
        <v/>
      </c>
      <c r="B1001" s="39">
        <f>IF(C1001&lt;&gt;"",C1001,IF(P1001&lt;=IFERROR(INDEX(tblChannels[Watched Through],MATCH(N1001,tblChannels[Channel ID],0)),0),"Watched","Unwatched"))</f>
        <v/>
      </c>
      <c r="C1001" s="40" t="n"/>
      <c r="D1001" s="41" t="n"/>
      <c r="E1001" s="42" t="n">
        <v>44925.41666666666</v>
      </c>
      <c r="F1001" s="43" t="inlineStr">
        <is>
          <t>Popcorn Culture</t>
        </is>
      </c>
      <c r="G1001" t="inlineStr">
        <is>
          <t>FOUR POUNDS OF BEEF JERKY AND ONE ROMAN CANDLE | Popcorn Culture</t>
        </is>
      </c>
      <c r="H1001" s="44" t="n">
        <v>0.05186342592592592</v>
      </c>
      <c r="I1001" s="45" t="n">
        <v>5986</v>
      </c>
      <c r="J1001" s="45" t="n">
        <v>308</v>
      </c>
      <c r="K1001" s="45" t="n">
        <v>36</v>
      </c>
      <c r="L1001" s="46" t="n"/>
      <c r="M1001" s="47" t="n"/>
      <c r="N1001" s="47" t="inlineStr">
        <is>
          <t>UCHfIbq9thHPC8yrKjAdJgDA</t>
        </is>
      </c>
      <c r="O1001" s="48" t="n">
        <v>44925.625</v>
      </c>
      <c r="P1001" s="49" t="n">
        <v>44925</v>
      </c>
      <c r="Q1001" s="47" t="n">
        <v>2267</v>
      </c>
      <c r="R1001" s="47" t="inlineStr">
        <is>
          <t>No Video ID yet</t>
        </is>
      </c>
      <c r="S1001" s="49" t="n"/>
      <c r="T1001" s="49" t="n"/>
      <c r="U1001" s="47" t="inlineStr">
        <is>
          <t>In this super special 160th New Years Episode, Ben and J answer these questions from our friends over on Discord: What is the process for coming up with video ideas? How has podcasting impacted your communication? Favorite SCB/Pop related thing of the year? Any fun experiences with fireworks? Wotso Videos - The TRUTH About Thor’s New Eye - Avatar - Avatar: The Way of Water - 19 Inch Diameter Biceps Tupperware Container Brain Definitely Not a Cult 2:06 - Coming Up With Video Ideas 24:11 - Impact Podcasting Has on Communication 45:54 - Favorite Thing This Year 55:18 - FIREWORKS!</t>
        </is>
      </c>
      <c r="V1001" s="47">
        <f>IF(AND(P1001&gt;=Calendar!$K$2,P1001&lt;EDATE(Calendar!$K$2,1),OR(Calendar!$K$4="*",N1001=Calendar!$K$4)),P1001*100+COUNTIFS($P$6:$P$3267,P1001,$Q$6:$Q$3267,"&lt;="&amp;Q1001,$N$6:$N$3267,Calendar!$K$4),"")</f>
        <v/>
      </c>
      <c r="W1001" s="47">
        <f>IF(AND(B1001=Queue!$C$4,OR(Queue!$K$4="*",N1001=Queue!$K$4)),Q1001,"")</f>
        <v/>
      </c>
    </row>
    <row r="1002">
      <c r="A1002" s="38">
        <f>IF(M1002="","",HYPERLINK("https://www.youtube.com/watch?v="&amp;M1002,"▶"))</f>
        <v/>
      </c>
      <c r="B1002" s="39">
        <f>IF(C1002&lt;&gt;"",C1002,IF(P1002&lt;=IFERROR(INDEX(tblChannels[Watched Through],MATCH(N1002,tblChannels[Channel ID],0)),0),"Watched","Unwatched"))</f>
        <v/>
      </c>
      <c r="C1002" s="40" t="n"/>
      <c r="D1002" s="41" t="n"/>
      <c r="E1002" s="42" t="n">
        <v>44923.625</v>
      </c>
      <c r="F1002" s="50" t="inlineStr">
        <is>
          <t>Super Carlin Brothers</t>
        </is>
      </c>
      <c r="G1002" t="inlineStr">
        <is>
          <t>J vs Ben: ULTIMATE Ludo Bagman Harry Potter TRIVIA Quiz feat. Mike Schubert</t>
        </is>
      </c>
      <c r="H1002" s="44" t="n">
        <v>0.02454861111111111</v>
      </c>
      <c r="I1002" s="45" t="n">
        <v>136805</v>
      </c>
      <c r="J1002" s="45" t="n">
        <v>5753</v>
      </c>
      <c r="K1002" s="45" t="n">
        <v>882</v>
      </c>
      <c r="L1002" s="46" t="n"/>
      <c r="M1002" s="47" t="n"/>
      <c r="N1002" s="47" t="inlineStr">
        <is>
          <t>UCKZo4N0lVPccBkSiuyVh4yg</t>
        </is>
      </c>
      <c r="O1002" s="48" t="n">
        <v>44923.83333333334</v>
      </c>
      <c r="P1002" s="49" t="n">
        <v>44923</v>
      </c>
      <c r="Q1002" s="47" t="n">
        <v>2266</v>
      </c>
      <c r="R1002" s="47" t="inlineStr">
        <is>
          <t>No Video ID yet</t>
        </is>
      </c>
      <c r="S1002" s="49" t="n"/>
      <c r="T1002" s="49" t="n"/>
      <c r="U1002" s="47" t="inlineStr">
        <is>
          <t>Today J and Ben are joined by Mike Schubert from the Potterless Podcast and The Newest Olympian to find out who knows the most about the Wizarding World's biggest gambler: Ludo Bagman! Check out Mike’s Podcasts :: Potterless Pod: The Newest Olympian:</t>
        </is>
      </c>
      <c r="V1002" s="47">
        <f>IF(AND(P1002&gt;=Calendar!$K$2,P1002&lt;EDATE(Calendar!$K$2,1),OR(Calendar!$K$4="*",N1002=Calendar!$K$4)),P1002*100+COUNTIFS($P$6:$P$3267,P1002,$Q$6:$Q$3267,"&lt;="&amp;Q1002,$N$6:$N$3267,Calendar!$K$4),"")</f>
        <v/>
      </c>
      <c r="W1002" s="47">
        <f>IF(AND(B1002=Queue!$C$4,OR(Queue!$K$4="*",N1002=Queue!$K$4)),Q1002,"")</f>
        <v/>
      </c>
    </row>
    <row r="1003">
      <c r="A1003" s="38">
        <f>IF(M1003="","",HYPERLINK("https://www.youtube.com/watch?v="&amp;M1003,"▶"))</f>
        <v/>
      </c>
      <c r="B1003" s="39">
        <f>IF(C1003&lt;&gt;"",C1003,IF(P1003&lt;=IFERROR(INDEX(tblChannels[Watched Through],MATCH(N1003,tblChannels[Channel ID],0)),0),"Watched","Unwatched"))</f>
        <v/>
      </c>
      <c r="C1003" s="40" t="n"/>
      <c r="D1003" s="41" t="n"/>
      <c r="E1003" s="42" t="n">
        <v>44918.72083333333</v>
      </c>
      <c r="F1003" s="50" t="inlineStr">
        <is>
          <t>Super Carlin Brothers</t>
        </is>
      </c>
      <c r="G1003" t="inlineStr">
        <is>
          <t>The TRUTH About Kiri’s Father | Avatar The Way of Water</t>
        </is>
      </c>
      <c r="H1003" s="44" t="n">
        <v>0.01028935185185185</v>
      </c>
      <c r="I1003" s="45" t="n">
        <v>72627</v>
      </c>
      <c r="J1003" s="45" t="n">
        <v>4132</v>
      </c>
      <c r="K1003" s="45" t="n">
        <v>413</v>
      </c>
      <c r="L1003" s="46" t="n"/>
      <c r="M1003" s="47" t="n"/>
      <c r="N1003" s="47" t="inlineStr">
        <is>
          <t>UCKZo4N0lVPccBkSiuyVh4yg</t>
        </is>
      </c>
      <c r="O1003" s="48" t="n">
        <v>44918.92916666667</v>
      </c>
      <c r="P1003" s="49" t="n">
        <v>44918</v>
      </c>
      <c r="Q1003" s="47" t="n">
        <v>2265</v>
      </c>
      <c r="R1003" s="47" t="inlineStr">
        <is>
          <t>No Video ID yet</t>
        </is>
      </c>
      <c r="S1003" s="49" t="n"/>
      <c r="T1003" s="49" t="n"/>
      <c r="U1003" s="47" t="inlineStr">
        <is>
          <t>Today, J dives into the underwater world of Pandora and Avatar: The Way of Water to discuss one of the movie's biggest questions: What's the truth about Kiri's Father? Where did she come from? Is she from Eywa? This episode of Super Carlin Brothers is sponsored by BetterHelp — go to to get 10% off your first month. Go to to get 20% off your first monthly box #supercarlinbrothers #Avatar #TheWayOfWater #avatarfireandash</t>
        </is>
      </c>
      <c r="V1003" s="47">
        <f>IF(AND(P1003&gt;=Calendar!$K$2,P1003&lt;EDATE(Calendar!$K$2,1),OR(Calendar!$K$4="*",N1003=Calendar!$K$4)),P1003*100+COUNTIFS($P$6:$P$3267,P1003,$Q$6:$Q$3267,"&lt;="&amp;Q1003,$N$6:$N$3267,Calendar!$K$4),"")</f>
        <v/>
      </c>
      <c r="W1003" s="47">
        <f>IF(AND(B1003=Queue!$C$4,OR(Queue!$K$4="*",N1003=Queue!$K$4)),Q1003,"")</f>
        <v/>
      </c>
    </row>
    <row r="1004">
      <c r="A1004" s="38">
        <f>IF(M1004="","",HYPERLINK("https://www.youtube.com/watch?v="&amp;M1004,"▶"))</f>
        <v/>
      </c>
      <c r="B1004" s="39">
        <f>IF(C1004&lt;&gt;"",C1004,IF(P1004&lt;=IFERROR(INDEX(tblChannels[Watched Through],MATCH(N1004,tblChannels[Channel ID],0)),0),"Watched","Unwatched"))</f>
        <v/>
      </c>
      <c r="C1004" s="40" t="n"/>
      <c r="D1004" s="41" t="n"/>
      <c r="E1004" s="42" t="n">
        <v>44918.41666666666</v>
      </c>
      <c r="F1004" s="43" t="inlineStr">
        <is>
          <t>Popcorn Culture</t>
        </is>
      </c>
      <c r="G1004" t="inlineStr">
        <is>
          <t>Will AI Replace Art? | Popcorn Culture</t>
        </is>
      </c>
      <c r="H1004" s="44" t="n">
        <v>0.04369212962962963</v>
      </c>
      <c r="I1004" s="45" t="n">
        <v>5957</v>
      </c>
      <c r="J1004" s="45" t="n">
        <v>301</v>
      </c>
      <c r="K1004" s="45" t="n">
        <v>32</v>
      </c>
      <c r="L1004" s="46" t="n"/>
      <c r="M1004" s="47" t="n"/>
      <c r="N1004" s="47" t="inlineStr">
        <is>
          <t>UCHfIbq9thHPC8yrKjAdJgDA</t>
        </is>
      </c>
      <c r="O1004" s="48" t="n">
        <v>44918.625</v>
      </c>
      <c r="P1004" s="49" t="n">
        <v>44918</v>
      </c>
      <c r="Q1004" s="47" t="n">
        <v>2264</v>
      </c>
      <c r="R1004" s="47" t="inlineStr">
        <is>
          <t>No Video ID yet</t>
        </is>
      </c>
      <c r="S1004" s="49" t="n"/>
      <c r="T1004" s="49" t="n"/>
      <c r="U1004" s="47" t="inlineStr">
        <is>
          <t>In the 159th episode of the Pop, Ben and J discuss the last two years since starting the Pop, go-karting, influential people, the impact of AI art and cool articles from this year. MKBHD Video - Lensa - Roanoker 40 Under 40 Edition - Virginia Tech Article - Happy Anniversary! The Go-Kart Principle Way More Miley 00:00 - Intro, 2 Year Popiversary 03:30 - The Go-Kart Principle 10:17 - Pivot Moments 36:34 - AI Art 54:06 - J’s Great PR Week</t>
        </is>
      </c>
      <c r="V1004" s="47">
        <f>IF(AND(P1004&gt;=Calendar!$K$2,P1004&lt;EDATE(Calendar!$K$2,1),OR(Calendar!$K$4="*",N1004=Calendar!$K$4)),P1004*100+COUNTIFS($P$6:$P$3267,P1004,$Q$6:$Q$3267,"&lt;="&amp;Q1004,$N$6:$N$3267,Calendar!$K$4),"")</f>
        <v/>
      </c>
      <c r="W1004" s="47">
        <f>IF(AND(B1004=Queue!$C$4,OR(Queue!$K$4="*",N1004=Queue!$K$4)),Q1004,"")</f>
        <v/>
      </c>
    </row>
    <row r="1005">
      <c r="A1005" s="38">
        <f>IF(M1005="","",HYPERLINK("https://www.youtube.com/watch?v="&amp;M1005,"▶"))</f>
        <v/>
      </c>
      <c r="B1005" s="39">
        <f>IF(C1005&lt;&gt;"",C1005,IF(P1005&lt;=IFERROR(INDEX(tblChannels[Watched Through],MATCH(N1005,tblChannels[Channel ID],0)),0),"Watched","Unwatched"))</f>
        <v/>
      </c>
      <c r="C1005" s="40" t="n"/>
      <c r="D1005" s="41" t="n"/>
      <c r="E1005" s="42" t="n">
        <v>44916.71041666667</v>
      </c>
      <c r="F1005" s="50" t="inlineStr">
        <is>
          <t>Super Carlin Brothers</t>
        </is>
      </c>
      <c r="G1005" t="inlineStr">
        <is>
          <t>J vs Ben: HARDEST Order of the Phoenix Harry Potter TRIVIA Quiz</t>
        </is>
      </c>
      <c r="H1005" s="44" t="n">
        <v>0.02255787037037037</v>
      </c>
      <c r="I1005" s="45" t="n">
        <v>289491</v>
      </c>
      <c r="J1005" s="45" t="n">
        <v>8654</v>
      </c>
      <c r="K1005" s="45" t="n">
        <v>674</v>
      </c>
      <c r="L1005" s="46" t="n"/>
      <c r="M1005" s="47" t="n"/>
      <c r="N1005" s="47" t="inlineStr">
        <is>
          <t>UCKZo4N0lVPccBkSiuyVh4yg</t>
        </is>
      </c>
      <c r="O1005" s="48" t="n">
        <v>44916.91875</v>
      </c>
      <c r="P1005" s="49" t="n">
        <v>44916</v>
      </c>
      <c r="Q1005" s="47" t="n">
        <v>2263</v>
      </c>
      <c r="R1005" s="47" t="inlineStr">
        <is>
          <t>No Video ID yet</t>
        </is>
      </c>
      <c r="S1005" s="49" t="n"/>
      <c r="T1005" s="49" t="n"/>
      <c r="U1005" s="47" t="inlineStr">
        <is>
          <t>Get your Warm Hugs Royal Candle here :: Go to to get 20% off your first order and free shipping. Today J and Ben face off once more to find out who knows more about the Wizarding World of Harry Potter and all the crazy things that happen during Harry’s fifth year in Order of the Phoenix! 01:41 - What is the name of the 5th book? 02:39 - Where is the headquarters for the Order of the Phoenix 03:51 - Who still writes Lockhart every week? 04:34 - Who's patronus is a swan? 05:49 - Who told Harry about the Room of Requirement? 06:41 - Who did Molly's boggart turn into? 08:40 - Who is the author of Defensive Magical Theory? 11:22 - What color robes was Dumbledore wearing at Harry's hearing? 17:23 - How many Death Eaters broke out of Azkaban? 19:44 - Where did the Dementors attack Harry and Dudley? 22:03 - Who was Harry's Charms practical examiner? 24:26 - What did Neville's mother give him at the hospital? 25:01 - What was educational decree number 23? 26:42 - What is the entrance to St. Mungos? 28:39 - Which portrait headmasters checked on Arthur when he was attacked?</t>
        </is>
      </c>
      <c r="V1005" s="47">
        <f>IF(AND(P1005&gt;=Calendar!$K$2,P1005&lt;EDATE(Calendar!$K$2,1),OR(Calendar!$K$4="*",N1005=Calendar!$K$4)),P1005*100+COUNTIFS($P$6:$P$3267,P1005,$Q$6:$Q$3267,"&lt;="&amp;Q1005,$N$6:$N$3267,Calendar!$K$4),"")</f>
        <v/>
      </c>
      <c r="W1005" s="47">
        <f>IF(AND(B1005=Queue!$C$4,OR(Queue!$K$4="*",N1005=Queue!$K$4)),Q1005,"")</f>
        <v/>
      </c>
    </row>
    <row r="1006">
      <c r="A1006" s="38">
        <f>IF(M1006="","",HYPERLINK("https://www.youtube.com/watch?v="&amp;M1006,"▶"))</f>
        <v/>
      </c>
      <c r="B1006" s="39">
        <f>IF(C1006&lt;&gt;"",C1006,IF(P1006&lt;=IFERROR(INDEX(tblChannels[Watched Through],MATCH(N1006,tblChannels[Channel ID],0)),0),"Watched","Unwatched"))</f>
        <v/>
      </c>
      <c r="C1006" s="40" t="n"/>
      <c r="D1006" s="41" t="n"/>
      <c r="E1006" s="42" t="n">
        <v>44915.72916666666</v>
      </c>
      <c r="F1006" s="52" t="inlineStr">
        <is>
          <t>Super Carlin Gaming</t>
        </is>
      </c>
      <c r="G1006" t="inlineStr">
        <is>
          <t>SILVER TEMPEST DELIVERS | Carlin Brothers Box Breakers S3/E3</t>
        </is>
      </c>
      <c r="H1006" s="44" t="n">
        <v>0.02747685185185185</v>
      </c>
      <c r="I1006" s="45" t="n">
        <v>3638</v>
      </c>
      <c r="J1006" s="45" t="n">
        <v>192</v>
      </c>
      <c r="K1006" s="45" t="n">
        <v>10</v>
      </c>
      <c r="L1006" s="46" t="n"/>
      <c r="M1006" s="47" t="n"/>
      <c r="N1006" s="47" t="inlineStr">
        <is>
          <t>UCor_9jRnNNZVzTuQ92PKsaQ</t>
        </is>
      </c>
      <c r="O1006" s="48" t="n">
        <v>44915.9375</v>
      </c>
      <c r="P1006" s="49" t="n">
        <v>44915</v>
      </c>
      <c r="Q1006" s="47" t="n">
        <v>2262</v>
      </c>
      <c r="R1006" s="47" t="inlineStr">
        <is>
          <t>No Video ID yet</t>
        </is>
      </c>
      <c r="S1006" s="49" t="n"/>
      <c r="T1006" s="49" t="n"/>
      <c r="U1006" s="47" t="inlineStr">
        <is>
          <t>This week SILVER TEMPEST DELIVERS THE GOOD PULLS</t>
        </is>
      </c>
      <c r="V1006" s="47">
        <f>IF(AND(P1006&gt;=Calendar!$K$2,P1006&lt;EDATE(Calendar!$K$2,1),OR(Calendar!$K$4="*",N1006=Calendar!$K$4)),P1006*100+COUNTIFS($P$6:$P$3267,P1006,$Q$6:$Q$3267,"&lt;="&amp;Q1006,$N$6:$N$3267,Calendar!$K$4),"")</f>
        <v/>
      </c>
      <c r="W1006" s="47">
        <f>IF(AND(B1006=Queue!$C$4,OR(Queue!$K$4="*",N1006=Queue!$K$4)),Q1006,"")</f>
        <v/>
      </c>
    </row>
    <row r="1007">
      <c r="A1007" s="38">
        <f>IF(M1007="","",HYPERLINK("https://www.youtube.com/watch?v="&amp;M1007,"▶"))</f>
        <v/>
      </c>
      <c r="B1007" s="39">
        <f>IF(C1007&lt;&gt;"",C1007,IF(P1007&lt;=IFERROR(INDEX(tblChannels[Watched Through],MATCH(N1007,tblChannels[Channel ID],0)),0),"Watched","Unwatched"))</f>
        <v/>
      </c>
      <c r="C1007" s="40" t="n"/>
      <c r="D1007" s="41" t="n"/>
      <c r="E1007" s="42" t="n">
        <v>44914.57638888889</v>
      </c>
      <c r="F1007" s="50" t="inlineStr">
        <is>
          <t>Super Carlin Brothers</t>
        </is>
      </c>
      <c r="G1007" t="inlineStr">
        <is>
          <t>J vs Ben: World’s BEST Butterbeer Latte | Harry Potter Food</t>
        </is>
      </c>
      <c r="H1007" s="44" t="n">
        <v>0.02103009259259259</v>
      </c>
      <c r="I1007" s="45" t="n">
        <v>85885</v>
      </c>
      <c r="J1007" s="45" t="n">
        <v>4751</v>
      </c>
      <c r="K1007" s="45" t="n">
        <v>293</v>
      </c>
      <c r="L1007" s="46" t="n"/>
      <c r="M1007" s="47" t="n"/>
      <c r="N1007" s="47" t="inlineStr">
        <is>
          <t>UCKZo4N0lVPccBkSiuyVh4yg</t>
        </is>
      </c>
      <c r="O1007" s="48" t="n">
        <v>44914.78472222222</v>
      </c>
      <c r="P1007" s="49" t="n">
        <v>44914</v>
      </c>
      <c r="Q1007" s="47" t="n">
        <v>2261</v>
      </c>
      <c r="R1007" s="47" t="inlineStr">
        <is>
          <t>No Video ID yet</t>
        </is>
      </c>
      <c r="S1007" s="49" t="n"/>
      <c r="T1007" s="49" t="n"/>
      <c r="U1007" s="47" t="inlineStr">
        <is>
          <t>Today J and Ben join forces to try and recreate the world’s BEST Butterbeer Latte with the assistance of Quincy Randolph of Roasters Next Door in Downtown Roanoke Carlin Brothers Coffee Holiday Blend :: Check out RND at Full Instructions: Super Butterbeer Latte Dark Butterscotch: 1/2c Dark Brown Sugar 1.5oz butter 1/4t apple cider vinegar 1/4t vanilla extract 1oz heavy cream pinch salt Method: In a saucepan combine butter and sugar over medium heat and cook until sugar has melted completely and the mixture has taken on a thick frothy appearance, 5 to 10 minutes. Whisk in cream, vanilla, vinegar, and salt. Remove from heat. Cream Soda Foam: 3oz cream soda 2oz brown sugar 1oz cream -Whipped Cream Maker -Whipped Cream Chargers Garnishes: Salt &amp; rum extract Method: Add brown sugar and cream soda to a saucepan. Reduce on high heat until light syrup consistency. Add cream, and remove from heat. Transfer to whipped cream maker, and charge with two chargers. Finishing The Beverage: Add ~1oz of butterscotch to the bottom of your mug. Pull a standard double shot of espresso, and then pour that on top of your butterscotch. Stir with a spoon, and then steam your milk. Steam latte milk in the s</t>
        </is>
      </c>
      <c r="V1007" s="47">
        <f>IF(AND(P1007&gt;=Calendar!$K$2,P1007&lt;EDATE(Calendar!$K$2,1),OR(Calendar!$K$4="*",N1007=Calendar!$K$4)),P1007*100+COUNTIFS($P$6:$P$3267,P1007,$Q$6:$Q$3267,"&lt;="&amp;Q1007,$N$6:$N$3267,Calendar!$K$4),"")</f>
        <v/>
      </c>
      <c r="W1007" s="47">
        <f>IF(AND(B1007=Queue!$C$4,OR(Queue!$K$4="*",N1007=Queue!$K$4)),Q1007,"")</f>
        <v/>
      </c>
    </row>
    <row r="1008">
      <c r="A1008" s="38">
        <f>IF(M1008="","",HYPERLINK("https://www.youtube.com/watch?v="&amp;M1008,"▶"))</f>
        <v/>
      </c>
      <c r="B1008" s="39">
        <f>IF(C1008&lt;&gt;"",C1008,IF(P1008&lt;=IFERROR(INDEX(tblChannels[Watched Through],MATCH(N1008,tblChannels[Channel ID],0)),0),"Watched","Unwatched"))</f>
        <v/>
      </c>
      <c r="C1008" s="40" t="n"/>
      <c r="D1008" s="41" t="n"/>
      <c r="E1008" s="42" t="n">
        <v>44912.625</v>
      </c>
      <c r="F1008" s="50" t="inlineStr">
        <is>
          <t>Super Carlin Brothers</t>
        </is>
      </c>
      <c r="G1008" t="inlineStr">
        <is>
          <t>Avatar: The Way of Water Spoiler REVIEW</t>
        </is>
      </c>
      <c r="H1008" s="44" t="n">
        <v>0.03603009259259259</v>
      </c>
      <c r="I1008" s="45" t="n">
        <v>94062</v>
      </c>
      <c r="J1008" s="45" t="n">
        <v>3579</v>
      </c>
      <c r="K1008" s="45" t="n">
        <v>575</v>
      </c>
      <c r="L1008" s="46" t="n"/>
      <c r="M1008" s="47" t="n"/>
      <c r="N1008" s="47" t="inlineStr">
        <is>
          <t>UCKZo4N0lVPccBkSiuyVh4yg</t>
        </is>
      </c>
      <c r="O1008" s="48" t="n">
        <v>44912.83333333334</v>
      </c>
      <c r="P1008" s="49" t="n">
        <v>44912</v>
      </c>
      <c r="Q1008" s="47" t="n">
        <v>2260</v>
      </c>
      <c r="R1008" s="47" t="inlineStr">
        <is>
          <t>No Video ID yet</t>
        </is>
      </c>
      <c r="S1008" s="49" t="n"/>
      <c r="T1008" s="49" t="n"/>
      <c r="U1008" s="47" t="inlineStr">
        <is>
          <t>Today J and Ben dive into the immersive world of Pandora to give their full spoiler review of Avatar: The Way of Water Spoiler Review! How does it hold up to the original? Is it any good? Maybe the craziest movie experience of your life?</t>
        </is>
      </c>
      <c r="V1008" s="47">
        <f>IF(AND(P1008&gt;=Calendar!$K$2,P1008&lt;EDATE(Calendar!$K$2,1),OR(Calendar!$K$4="*",N1008=Calendar!$K$4)),P1008*100+COUNTIFS($P$6:$P$3267,P1008,$Q$6:$Q$3267,"&lt;="&amp;Q1008,$N$6:$N$3267,Calendar!$K$4),"")</f>
        <v/>
      </c>
      <c r="W1008" s="47">
        <f>IF(AND(B1008=Queue!$C$4,OR(Queue!$K$4="*",N1008=Queue!$K$4)),Q1008,"")</f>
        <v/>
      </c>
    </row>
    <row r="1009">
      <c r="A1009" s="38">
        <f>IF(M1009="","",HYPERLINK("https://www.youtube.com/watch?v="&amp;M1009,"▶"))</f>
        <v/>
      </c>
      <c r="B1009" s="39">
        <f>IF(C1009&lt;&gt;"",C1009,IF(P1009&lt;=IFERROR(INDEX(tblChannels[Watched Through],MATCH(N1009,tblChannels[Channel ID],0)),0),"Watched","Unwatched"))</f>
        <v/>
      </c>
      <c r="C1009" s="40" t="n"/>
      <c r="D1009" s="41" t="n"/>
      <c r="E1009" s="42" t="n">
        <v>44911.74652777778</v>
      </c>
      <c r="F1009" s="50" t="inlineStr">
        <is>
          <t>Super Carlin Brothers</t>
        </is>
      </c>
      <c r="G1009" t="inlineStr">
        <is>
          <t>Every Character We HATE More Than Voldemort, Ranked | Harry Potter Film Theory</t>
        </is>
      </c>
      <c r="H1009" s="44" t="n">
        <v>0.01578703703703704</v>
      </c>
      <c r="I1009" s="45" t="n">
        <v>514336</v>
      </c>
      <c r="J1009" s="45" t="n">
        <v>14676</v>
      </c>
      <c r="K1009" s="45" t="n">
        <v>2093</v>
      </c>
      <c r="L1009" s="46" t="n"/>
      <c r="M1009" s="47" t="n"/>
      <c r="N1009" s="47" t="inlineStr">
        <is>
          <t>UCKZo4N0lVPccBkSiuyVh4yg</t>
        </is>
      </c>
      <c r="O1009" s="48" t="n">
        <v>44911.95486111111</v>
      </c>
      <c r="P1009" s="49" t="n">
        <v>44911</v>
      </c>
      <c r="Q1009" s="47" t="n">
        <v>2259</v>
      </c>
      <c r="R1009" s="47" t="inlineStr">
        <is>
          <t>No Video ID yet</t>
        </is>
      </c>
      <c r="S1009" s="49" t="n"/>
      <c r="T1009" s="49" t="n"/>
      <c r="U1009" s="47" t="inlineStr">
        <is>
          <t>This episode of Super Carlin Brothers is sponsored by BetterHelp — go to to get 10% off your first month. Get a 4-week trial, free postage, and a digital scale at Thanks to Stamps.com for sponsoring the show! Today Ben dives into the Wizarding World of Harry Potter to rank all the characters we hate more than Voldemort.. Not because they are more evil but because they are THE WORST.. Ya know? Take viewer survey here:</t>
        </is>
      </c>
      <c r="V1009" s="47">
        <f>IF(AND(P1009&gt;=Calendar!$K$2,P1009&lt;EDATE(Calendar!$K$2,1),OR(Calendar!$K$4="*",N1009=Calendar!$K$4)),P1009*100+COUNTIFS($P$6:$P$3267,P1009,$Q$6:$Q$3267,"&lt;="&amp;Q1009,$N$6:$N$3267,Calendar!$K$4),"")</f>
        <v/>
      </c>
      <c r="W1009" s="47">
        <f>IF(AND(B1009=Queue!$C$4,OR(Queue!$K$4="*",N1009=Queue!$K$4)),Q1009,"")</f>
        <v/>
      </c>
    </row>
    <row r="1010">
      <c r="A1010" s="38">
        <f>IF(M1010="","",HYPERLINK("https://www.youtube.com/watch?v="&amp;M1010,"▶"))</f>
        <v/>
      </c>
      <c r="B1010" s="39">
        <f>IF(C1010&lt;&gt;"",C1010,IF(P1010&lt;=IFERROR(INDEX(tblChannels[Watched Through],MATCH(N1010,tblChannels[Channel ID],0)),0),"Watched","Unwatched"))</f>
        <v/>
      </c>
      <c r="C1010" s="40" t="n"/>
      <c r="D1010" s="41" t="n"/>
      <c r="E1010" s="42" t="n">
        <v>44911.41666666666</v>
      </c>
      <c r="F1010" s="43" t="inlineStr">
        <is>
          <t>Popcorn Culture</t>
        </is>
      </c>
      <c r="G1010" t="inlineStr">
        <is>
          <t>Me, My Brain and Avatar | Popcorn Culture</t>
        </is>
      </c>
      <c r="H1010" s="44" t="n">
        <v>0.04775462962962963</v>
      </c>
      <c r="I1010" s="45" t="n">
        <v>5857</v>
      </c>
      <c r="J1010" s="45" t="n">
        <v>294</v>
      </c>
      <c r="K1010" s="45" t="n">
        <v>33</v>
      </c>
      <c r="L1010" s="46" t="n"/>
      <c r="M1010" s="47" t="n"/>
      <c r="N1010" s="47" t="inlineStr">
        <is>
          <t>UCHfIbq9thHPC8yrKjAdJgDA</t>
        </is>
      </c>
      <c r="O1010" s="48" t="n">
        <v>44911.625</v>
      </c>
      <c r="P1010" s="49" t="n">
        <v>44911</v>
      </c>
      <c r="Q1010" s="47" t="n">
        <v>2258</v>
      </c>
      <c r="R1010" s="47" t="inlineStr">
        <is>
          <t>No Video ID yet</t>
        </is>
      </c>
      <c r="S1010" s="49" t="n"/>
      <c r="T1010" s="49" t="n"/>
      <c r="U1010" s="47" t="inlineStr">
        <is>
          <t>In the 158th episode of the Pop, Ben and J discuss sneezing, homework, DIP class, the Frozen quiz punishment, the implications of AI chat bots, and the new Avatar movie. Sharon Says So - Frozen Challenge SCB Vid - Smarter Child - Open AI - Her - Avatar - Avatar: The Way of Water - We Get It, You’ve Got Kids Sneezing is Fun A Place For Mosquitoes To Live It’s Good Enough For Fish Waste Gloops Applesolutely Giant Silver Tub 00:00 - Intro, Sneezes 06:12 - Homework and Boredom 15:33 - Polar Plunge 28:18 - AI Chat Bots 54:33 - Avatar: the Way of Water</t>
        </is>
      </c>
      <c r="V1010" s="47">
        <f>IF(AND(P1010&gt;=Calendar!$K$2,P1010&lt;EDATE(Calendar!$K$2,1),OR(Calendar!$K$4="*",N1010=Calendar!$K$4)),P1010*100+COUNTIFS($P$6:$P$3267,P1010,$Q$6:$Q$3267,"&lt;="&amp;Q1010,$N$6:$N$3267,Calendar!$K$4),"")</f>
        <v/>
      </c>
      <c r="W1010" s="47">
        <f>IF(AND(B1010=Queue!$C$4,OR(Queue!$K$4="*",N1010=Queue!$K$4)),Q1010,"")</f>
        <v/>
      </c>
    </row>
    <row r="1011">
      <c r="A1011" s="38">
        <f>IF(M1011="","",HYPERLINK("https://www.youtube.com/watch?v="&amp;M1011,"▶"))</f>
        <v/>
      </c>
      <c r="B1011" s="39">
        <f>IF(C1011&lt;&gt;"",C1011,IF(P1011&lt;=IFERROR(INDEX(tblChannels[Watched Through],MATCH(N1011,tblChannels[Channel ID],0)),0),"Watched","Unwatched"))</f>
        <v/>
      </c>
      <c r="C1011" s="40" t="n"/>
      <c r="D1011" s="41" t="n"/>
      <c r="E1011" s="42" t="n">
        <v>44909.63958333333</v>
      </c>
      <c r="F1011" s="50" t="inlineStr">
        <is>
          <t>Super Carlin Brothers</t>
        </is>
      </c>
      <c r="G1011" t="inlineStr">
        <is>
          <t>What If Dumbledore NEVER Put On The Ring? | Harry Potter Film Theory</t>
        </is>
      </c>
      <c r="H1011" s="44" t="n">
        <v>0.02018518518518518</v>
      </c>
      <c r="I1011" s="45" t="n">
        <v>1139169</v>
      </c>
      <c r="J1011" s="45" t="n">
        <v>24912</v>
      </c>
      <c r="K1011" s="45" t="n">
        <v>2360</v>
      </c>
      <c r="L1011" s="46" t="n"/>
      <c r="M1011" s="47" t="n"/>
      <c r="N1011" s="47" t="inlineStr">
        <is>
          <t>UCKZo4N0lVPccBkSiuyVh4yg</t>
        </is>
      </c>
      <c r="O1011" s="48" t="n">
        <v>44909.84791666667</v>
      </c>
      <c r="P1011" s="49" t="n">
        <v>44909</v>
      </c>
      <c r="Q1011" s="47" t="n">
        <v>2257</v>
      </c>
      <c r="R1011" s="47" t="inlineStr">
        <is>
          <t>No Video ID yet</t>
        </is>
      </c>
      <c r="S1011" s="49" t="n"/>
      <c r="T1011" s="49" t="n"/>
      <c r="U1011" s="47" t="inlineStr">
        <is>
          <t>This episode of Super Carlin Brothers is sponsored by BetterHelp — go to to get 10% off your first month. Go to to get 3 months free when you buy any 3-month Mint Mobile plan. Today J dives into the Wizarding World of Harry Potter to explore how the story might have changed if Dumbledore had never put on the Ring, that cursed him to die a year later. Would Snape have committed to the unbreakable vow without prior instructions to kill Dumbledore anyway? Does Dumbledore survive Half-Blood Prince? And what happens to Draco? Take viewer survey here: #supercarlinbrothers #WhatIf #HarryPotter</t>
        </is>
      </c>
      <c r="V1011" s="47">
        <f>IF(AND(P1011&gt;=Calendar!$K$2,P1011&lt;EDATE(Calendar!$K$2,1),OR(Calendar!$K$4="*",N1011=Calendar!$K$4)),P1011*100+COUNTIFS($P$6:$P$3267,P1011,$Q$6:$Q$3267,"&lt;="&amp;Q1011,$N$6:$N$3267,Calendar!$K$4),"")</f>
        <v/>
      </c>
      <c r="W1011" s="47">
        <f>IF(AND(B1011=Queue!$C$4,OR(Queue!$K$4="*",N1011=Queue!$K$4)),Q1011,"")</f>
        <v/>
      </c>
    </row>
    <row r="1012">
      <c r="A1012" s="38">
        <f>IF(M1012="","",HYPERLINK("https://www.youtube.com/watch?v="&amp;M1012,"▶"))</f>
        <v/>
      </c>
      <c r="B1012" s="39">
        <f>IF(C1012&lt;&gt;"",C1012,IF(P1012&lt;=IFERROR(INDEX(tblChannels[Watched Through],MATCH(N1012,tblChannels[Channel ID],0)),0),"Watched","Unwatched"))</f>
        <v/>
      </c>
      <c r="C1012" s="40" t="n"/>
      <c r="D1012" s="41" t="n"/>
      <c r="E1012" s="42" t="n">
        <v>44908.72916666666</v>
      </c>
      <c r="F1012" s="52" t="inlineStr">
        <is>
          <t>Super Carlin Gaming</t>
        </is>
      </c>
      <c r="G1012" t="inlineStr">
        <is>
          <t>Type Advantage Is EVERYTHING | Carlin Brothers Box Breakers S3/E2</t>
        </is>
      </c>
      <c r="H1012" s="44" t="n">
        <v>0.03012731481481482</v>
      </c>
      <c r="I1012" s="45" t="n">
        <v>3265</v>
      </c>
      <c r="J1012" s="45" t="n">
        <v>176</v>
      </c>
      <c r="K1012" s="45" t="n">
        <v>19</v>
      </c>
      <c r="L1012" s="46" t="n"/>
      <c r="M1012" s="47" t="n"/>
      <c r="N1012" s="47" t="inlineStr">
        <is>
          <t>UCor_9jRnNNZVzTuQ92PKsaQ</t>
        </is>
      </c>
      <c r="O1012" s="48" t="n">
        <v>44908.9375</v>
      </c>
      <c r="P1012" s="49" t="n">
        <v>44908</v>
      </c>
      <c r="Q1012" s="47" t="n">
        <v>2256</v>
      </c>
      <c r="R1012" s="47" t="inlineStr">
        <is>
          <t>No Video ID yet</t>
        </is>
      </c>
      <c r="S1012" s="49" t="n"/>
      <c r="T1012" s="49" t="n"/>
      <c r="U1012" s="47" t="inlineStr">
        <is>
          <t>This week SILVER TEMPEST DELIVERS THE GOOD PULLS</t>
        </is>
      </c>
      <c r="V1012" s="47">
        <f>IF(AND(P1012&gt;=Calendar!$K$2,P1012&lt;EDATE(Calendar!$K$2,1),OR(Calendar!$K$4="*",N1012=Calendar!$K$4)),P1012*100+COUNTIFS($P$6:$P$3267,P1012,$Q$6:$Q$3267,"&lt;="&amp;Q1012,$N$6:$N$3267,Calendar!$K$4),"")</f>
        <v/>
      </c>
      <c r="W1012" s="47">
        <f>IF(AND(B1012=Queue!$C$4,OR(Queue!$K$4="*",N1012=Queue!$K$4)),Q1012,"")</f>
        <v/>
      </c>
    </row>
    <row r="1013">
      <c r="A1013" s="38">
        <f>IF(M1013="","",HYPERLINK("https://www.youtube.com/watch?v="&amp;M1013,"▶"))</f>
        <v/>
      </c>
      <c r="B1013" s="39">
        <f>IF(C1013&lt;&gt;"",C1013,IF(P1013&lt;=IFERROR(INDEX(tblChannels[Watched Through],MATCH(N1013,tblChannels[Channel ID],0)),0),"Watched","Unwatched"))</f>
        <v/>
      </c>
      <c r="C1013" s="40" t="n"/>
      <c r="D1013" s="41" t="n"/>
      <c r="E1013" s="42" t="n">
        <v>44906.625</v>
      </c>
      <c r="F1013" s="50" t="inlineStr">
        <is>
          <t>Super Carlin Brothers</t>
        </is>
      </c>
      <c r="G1013" t="inlineStr">
        <is>
          <t>What If Harry Was In Slytherin - FULL STORY 5-7 | Harry Potter Film Theory</t>
        </is>
      </c>
      <c r="H1013" s="44" t="n">
        <v>0.1153472222222222</v>
      </c>
      <c r="I1013" s="45" t="n">
        <v>2652837</v>
      </c>
      <c r="J1013" s="45" t="n">
        <v>37595</v>
      </c>
      <c r="K1013" s="45" t="n">
        <v>3964</v>
      </c>
      <c r="L1013" s="46" t="n"/>
      <c r="M1013" s="47" t="n"/>
      <c r="N1013" s="47" t="inlineStr">
        <is>
          <t>UCKZo4N0lVPccBkSiuyVh4yg</t>
        </is>
      </c>
      <c r="O1013" s="48" t="n">
        <v>44906.83333333334</v>
      </c>
      <c r="P1013" s="49" t="n">
        <v>44906</v>
      </c>
      <c r="Q1013" s="47" t="n">
        <v>2255</v>
      </c>
      <c r="R1013" s="47" t="inlineStr">
        <is>
          <t>No Video ID yet</t>
        </is>
      </c>
      <c r="S1013" s="49" t="n"/>
      <c r="T1013" s="49" t="n"/>
      <c r="U1013" s="47" t="inlineStr">
        <is>
          <t>What if Harry Potter had been sorted into Slytherin like the sorting hat wanted, instead of Gryffindor where he ended up? We've stitched together all of our main videos covering this topic into two big parts! Part 2 includes everything from Order of the Phoenix through Deathly Hallows!</t>
        </is>
      </c>
      <c r="V1013" s="47">
        <f>IF(AND(P1013&gt;=Calendar!$K$2,P1013&lt;EDATE(Calendar!$K$2,1),OR(Calendar!$K$4="*",N1013=Calendar!$K$4)),P1013*100+COUNTIFS($P$6:$P$3267,P1013,$Q$6:$Q$3267,"&lt;="&amp;Q1013,$N$6:$N$3267,Calendar!$K$4),"")</f>
        <v/>
      </c>
      <c r="W1013" s="47">
        <f>IF(AND(B1013=Queue!$C$4,OR(Queue!$K$4="*",N1013=Queue!$K$4)),Q1013,"")</f>
        <v/>
      </c>
    </row>
    <row r="1014">
      <c r="A1014" s="38">
        <f>IF(M1014="","",HYPERLINK("https://www.youtube.com/watch?v="&amp;M1014,"▶"))</f>
        <v/>
      </c>
      <c r="B1014" s="39">
        <f>IF(C1014&lt;&gt;"",C1014,IF(P1014&lt;=IFERROR(INDEX(tblChannels[Watched Through],MATCH(N1014,tblChannels[Channel ID],0)),0),"Watched","Unwatched"))</f>
        <v/>
      </c>
      <c r="C1014" s="40" t="n"/>
      <c r="D1014" s="41" t="n"/>
      <c r="E1014" s="42" t="n">
        <v>44905.625</v>
      </c>
      <c r="F1014" s="50" t="inlineStr">
        <is>
          <t>Super Carlin Brothers</t>
        </is>
      </c>
      <c r="G1014" t="inlineStr">
        <is>
          <t>What If Harry Was In Slytherin - FULL STORY 1-4</t>
        </is>
      </c>
      <c r="H1014" s="44" t="n">
        <v>0.07238425925925926</v>
      </c>
      <c r="I1014" s="45" t="n">
        <v>3240574</v>
      </c>
      <c r="J1014" s="45" t="n">
        <v>54706</v>
      </c>
      <c r="K1014" s="45" t="n">
        <v>3204</v>
      </c>
      <c r="L1014" s="46" t="n"/>
      <c r="M1014" s="47" t="n"/>
      <c r="N1014" s="47" t="inlineStr">
        <is>
          <t>UCKZo4N0lVPccBkSiuyVh4yg</t>
        </is>
      </c>
      <c r="O1014" s="48" t="n">
        <v>44905.83333333334</v>
      </c>
      <c r="P1014" s="49" t="n">
        <v>44905</v>
      </c>
      <c r="Q1014" s="47" t="n">
        <v>2254</v>
      </c>
      <c r="R1014" s="47" t="inlineStr">
        <is>
          <t>No Video ID yet</t>
        </is>
      </c>
      <c r="S1014" s="49" t="n"/>
      <c r="T1014" s="49" t="n"/>
      <c r="U1014" s="47" t="inlineStr">
        <is>
          <t>What if Harry Potter had been sorted into Slytherin like the sorting hat wanted, instead of Gryffindor where he ended up? We've stitched together all of our main videos covering this topic into two big parts! Part 1 includes everything from Philosopher's Stone through Goblet of Fire! Enjoy!</t>
        </is>
      </c>
      <c r="V1014" s="47">
        <f>IF(AND(P1014&gt;=Calendar!$K$2,P1014&lt;EDATE(Calendar!$K$2,1),OR(Calendar!$K$4="*",N1014=Calendar!$K$4)),P1014*100+COUNTIFS($P$6:$P$3267,P1014,$Q$6:$Q$3267,"&lt;="&amp;Q1014,$N$6:$N$3267,Calendar!$K$4),"")</f>
        <v/>
      </c>
      <c r="W1014" s="47">
        <f>IF(AND(B1014=Queue!$C$4,OR(Queue!$K$4="*",N1014=Queue!$K$4)),Q1014,"")</f>
        <v/>
      </c>
    </row>
    <row r="1015">
      <c r="A1015" s="38">
        <f>IF(M1015="","",HYPERLINK("https://www.youtube.com/watch?v="&amp;M1015,"▶"))</f>
        <v/>
      </c>
      <c r="B1015" s="39">
        <f>IF(C1015&lt;&gt;"",C1015,IF(P1015&lt;=IFERROR(INDEX(tblChannels[Watched Through],MATCH(N1015,tblChannels[Channel ID],0)),0),"Watched","Unwatched"))</f>
        <v/>
      </c>
      <c r="C1015" s="40" t="n"/>
      <c r="D1015" s="41" t="n"/>
      <c r="E1015" s="42" t="n">
        <v>44904.79791666667</v>
      </c>
      <c r="F1015" s="50" t="inlineStr">
        <is>
          <t>Super Carlin Brothers</t>
        </is>
      </c>
      <c r="G1015" t="inlineStr">
        <is>
          <t>J vs Ben: HARDEST Frozen Trivia Quiz | POLAR PLUNGE PUNISHMENT</t>
        </is>
      </c>
      <c r="H1015" s="44" t="n">
        <v>0.01993055555555556</v>
      </c>
      <c r="I1015" s="45" t="n">
        <v>166563</v>
      </c>
      <c r="J1015" s="45" t="n">
        <v>7709</v>
      </c>
      <c r="K1015" s="45" t="n">
        <v>453</v>
      </c>
      <c r="L1015" s="46" t="n"/>
      <c r="M1015" s="47" t="n"/>
      <c r="N1015" s="47" t="inlineStr">
        <is>
          <t>UCKZo4N0lVPccBkSiuyVh4yg</t>
        </is>
      </c>
      <c r="O1015" s="48" t="n">
        <v>44905.00625</v>
      </c>
      <c r="P1015" s="49" t="n">
        <v>44904</v>
      </c>
      <c r="Q1015" s="47" t="n">
        <v>2253</v>
      </c>
      <c r="R1015" s="47" t="inlineStr">
        <is>
          <t>No Video ID yet</t>
        </is>
      </c>
      <c r="S1015" s="49" t="n"/>
      <c r="T1015" s="49" t="n"/>
      <c r="U1015" s="47" t="inlineStr">
        <is>
          <t>Go to to get PayPal Honey for free. Get your Warm Hugs Royal Candle at Take viewer survey here: Play along with us: Today J and Ben face off once more to find out who knows more about Disney’s Frozen and there is a lot on the line.. The more questions you miss, the longer you have to endure the FROZEN POLAR PLUNGE in our Rooftop Plunge Tanks… 03:38 - What does Kristoff do for a living? 04:36 - Finish the line: "Oh look at that, I've been..." 05:26 - What is the name of the trading post? 07:06 - During which season does Frozen 2 take place? 08:33 - Who's act of true love saves Anna? 09:37 - Which Disney princess attended Elsa's coronation? 10:04 - What does Olaf name the wind spirit? 14:18 - What happens to Anna before she meets Hans? 15:42 - Who is Mattias' love interest? 16:35 - Who does Anna tell to "hang in there"? 17:00 - Which element malfunctions first when Elsa awakens the spirit? 18:18 - Which other Disney movie inspired the Enchanted Forest? 19:52 - What animal does Olaf dance with in a gazebo? 21:18 - What was Anna's word for charades? 23:07 - How long was the mist over the Enchanted Forest? #supercarlinbrothers #Frozen #Disney #JvsBen</t>
        </is>
      </c>
      <c r="V1015" s="47">
        <f>IF(AND(P1015&gt;=Calendar!$K$2,P1015&lt;EDATE(Calendar!$K$2,1),OR(Calendar!$K$4="*",N1015=Calendar!$K$4)),P1015*100+COUNTIFS($P$6:$P$3267,P1015,$Q$6:$Q$3267,"&lt;="&amp;Q1015,$N$6:$N$3267,Calendar!$K$4),"")</f>
        <v/>
      </c>
      <c r="W1015" s="47">
        <f>IF(AND(B1015=Queue!$C$4,OR(Queue!$K$4="*",N1015=Queue!$K$4)),Q1015,"")</f>
        <v/>
      </c>
    </row>
    <row r="1016">
      <c r="A1016" s="38">
        <f>IF(M1016="","",HYPERLINK("https://www.youtube.com/watch?v="&amp;M1016,"▶"))</f>
        <v/>
      </c>
      <c r="B1016" s="39">
        <f>IF(C1016&lt;&gt;"",C1016,IF(P1016&lt;=IFERROR(INDEX(tblChannels[Watched Through],MATCH(N1016,tblChannels[Channel ID],0)),0),"Watched","Unwatched"))</f>
        <v/>
      </c>
      <c r="C1016" s="40" t="n"/>
      <c r="D1016" s="41" t="n"/>
      <c r="E1016" s="42" t="n">
        <v>44904.41666666666</v>
      </c>
      <c r="F1016" s="43" t="inlineStr">
        <is>
          <t>Popcorn Culture</t>
        </is>
      </c>
      <c r="G1016" t="inlineStr">
        <is>
          <t>The Jingle Bell Curve | Popcorn Culture</t>
        </is>
      </c>
      <c r="H1016" s="44" t="n">
        <v>0.04864583333333333</v>
      </c>
      <c r="I1016" s="45" t="n">
        <v>6264</v>
      </c>
      <c r="J1016" s="45" t="n">
        <v>272</v>
      </c>
      <c r="K1016" s="45" t="n">
        <v>28</v>
      </c>
      <c r="L1016" s="46" t="n"/>
      <c r="M1016" s="47" t="n"/>
      <c r="N1016" s="47" t="inlineStr">
        <is>
          <t>UCHfIbq9thHPC8yrKjAdJgDA</t>
        </is>
      </c>
      <c r="O1016" s="48" t="n">
        <v>44904.625</v>
      </c>
      <c r="P1016" s="49" t="n">
        <v>44904</v>
      </c>
      <c r="Q1016" s="47" t="n">
        <v>2252</v>
      </c>
      <c r="R1016" s="47" t="inlineStr">
        <is>
          <t>No Video ID yet</t>
        </is>
      </c>
      <c r="S1016" s="49" t="n"/>
      <c r="T1016" s="49" t="n"/>
      <c r="U1016" s="47" t="inlineStr">
        <is>
          <t>In the 157th Episode of the Pop, Ben and J discuss the cycle of sickness, Addie bein’ a lil grump, Ben fighting people pleasing-ness, Wednesday, Welcome to Wrexham, understanding sports fandom, ugly Christmas sweaters, mugs and trucks, the problem with Friends, and J’s progress with Marvel Snap. J’s Wick of the Peek: Wednesday - Ben’s Wick of the Peek: Welcome to Wrexham - Gwendoline Christie - Catherine Zeta Jones (side note: we definitely haven’t heard her name in years, the last big thing she did was in 2013) - Ryan Reynolds - Rob McElhenney - Friends - Marvel Snap - Shout Out to Therapy! Skeleton Aesthetic Philadelphia is in America The Problem with Friends Find Your Small Pond 00:00 - Intro, The Cycle Continues 03:49 - Grumpiness 12:20 - Wicks of the Peek 42:26 - Ugly Christmas Sweaters 52:04 - Ben’s Truck and Mr. C 57:04 - Friends 1:01:17 - Marvel Snap</t>
        </is>
      </c>
      <c r="V1016" s="47">
        <f>IF(AND(P1016&gt;=Calendar!$K$2,P1016&lt;EDATE(Calendar!$K$2,1),OR(Calendar!$K$4="*",N1016=Calendar!$K$4)),P1016*100+COUNTIFS($P$6:$P$3267,P1016,$Q$6:$Q$3267,"&lt;="&amp;Q1016,$N$6:$N$3267,Calendar!$K$4),"")</f>
        <v/>
      </c>
      <c r="W1016" s="47">
        <f>IF(AND(B1016=Queue!$C$4,OR(Queue!$K$4="*",N1016=Queue!$K$4)),Q1016,"")</f>
        <v/>
      </c>
    </row>
    <row r="1017">
      <c r="A1017" s="38">
        <f>IF(M1017="","",HYPERLINK("https://www.youtube.com/watch?v="&amp;M1017,"▶"))</f>
        <v/>
      </c>
      <c r="B1017" s="39">
        <f>IF(C1017&lt;&gt;"",C1017,IF(P1017&lt;=IFERROR(INDEX(tblChannels[Watched Through],MATCH(N1017,tblChannels[Channel ID],0)),0),"Watched","Unwatched"))</f>
        <v/>
      </c>
      <c r="C1017" s="40" t="n"/>
      <c r="D1017" s="41" t="n"/>
      <c r="E1017" s="42" t="n">
        <v>44902.55972222222</v>
      </c>
      <c r="F1017" s="50" t="inlineStr">
        <is>
          <t>Super Carlin Brothers</t>
        </is>
      </c>
      <c r="G1017" t="inlineStr">
        <is>
          <t>The TRUTH About Kristoff’s Parents | Frozen Film Theory</t>
        </is>
      </c>
      <c r="H1017" s="44" t="n">
        <v>0.01021990740740741</v>
      </c>
      <c r="I1017" s="45" t="n">
        <v>122754</v>
      </c>
      <c r="J1017" s="45" t="n">
        <v>6490</v>
      </c>
      <c r="K1017" s="45" t="n">
        <v>250</v>
      </c>
      <c r="L1017" s="46" t="n"/>
      <c r="M1017" s="47" t="n"/>
      <c r="N1017" s="47" t="inlineStr">
        <is>
          <t>UCKZo4N0lVPccBkSiuyVh4yg</t>
        </is>
      </c>
      <c r="O1017" s="48" t="n">
        <v>44902.76805555556</v>
      </c>
      <c r="P1017" s="49" t="n">
        <v>44902</v>
      </c>
      <c r="Q1017" s="47" t="n">
        <v>2251</v>
      </c>
      <c r="R1017" s="47" t="inlineStr">
        <is>
          <t>No Video ID yet</t>
        </is>
      </c>
      <c r="S1017" s="49" t="n"/>
      <c r="T1017" s="49" t="n"/>
      <c r="U1017" s="47" t="inlineStr">
        <is>
          <t>This episode of Super Carlin Brothers is sponsored by BetterHelp — go to to get 10% off your first month. Go to to get 20% off your first order and free shipping. Take viewer survey here: Today J takes a polar plunge into the magical world of Disney’s Frozen to find out the TRUTH about what happened to Kristoff’s parents - are they dead? Forgotten.. Or maybe just.. LOST IN THE WOODS *insert epic 80’s rock ballad music* #supercarlinbrothers #Frozen #Disney</t>
        </is>
      </c>
      <c r="V1017" s="47">
        <f>IF(AND(P1017&gt;=Calendar!$K$2,P1017&lt;EDATE(Calendar!$K$2,1),OR(Calendar!$K$4="*",N1017=Calendar!$K$4)),P1017*100+COUNTIFS($P$6:$P$3267,P1017,$Q$6:$Q$3267,"&lt;="&amp;Q1017,$N$6:$N$3267,Calendar!$K$4),"")</f>
        <v/>
      </c>
      <c r="W1017" s="47">
        <f>IF(AND(B1017=Queue!$C$4,OR(Queue!$K$4="*",N1017=Queue!$K$4)),Q1017,"")</f>
        <v/>
      </c>
    </row>
    <row r="1018">
      <c r="A1018" s="38">
        <f>IF(M1018="","",HYPERLINK("https://www.youtube.com/watch?v="&amp;M1018,"▶"))</f>
        <v/>
      </c>
      <c r="B1018" s="39">
        <f>IF(C1018&lt;&gt;"",C1018,IF(P1018&lt;=IFERROR(INDEX(tblChannels[Watched Through],MATCH(N1018,tblChannels[Channel ID],0)),0),"Watched","Unwatched"))</f>
        <v/>
      </c>
      <c r="C1018" s="40" t="n"/>
      <c r="D1018" s="41" t="n"/>
      <c r="E1018" s="42" t="n">
        <v>44901.72916666666</v>
      </c>
      <c r="F1018" s="52" t="inlineStr">
        <is>
          <t>Super Carlin Gaming</t>
        </is>
      </c>
      <c r="G1018" t="inlineStr">
        <is>
          <t>SILVER TEMPEST BEGINS |  Carlin Brothers Box Breakers S3/E1</t>
        </is>
      </c>
      <c r="H1018" s="44" t="n">
        <v>0.02967592592592593</v>
      </c>
      <c r="I1018" s="45" t="n">
        <v>3816</v>
      </c>
      <c r="J1018" s="45" t="n">
        <v>175</v>
      </c>
      <c r="K1018" s="45" t="n">
        <v>22</v>
      </c>
      <c r="L1018" s="46" t="n"/>
      <c r="M1018" s="47" t="n"/>
      <c r="N1018" s="47" t="inlineStr">
        <is>
          <t>UCor_9jRnNNZVzTuQ92PKsaQ</t>
        </is>
      </c>
      <c r="O1018" s="48" t="n">
        <v>44901.9375</v>
      </c>
      <c r="P1018" s="49" t="n">
        <v>44901</v>
      </c>
      <c r="Q1018" s="47" t="n">
        <v>2250</v>
      </c>
      <c r="R1018" s="47" t="inlineStr">
        <is>
          <t>No Video ID yet</t>
        </is>
      </c>
      <c r="S1018" s="49" t="n"/>
      <c r="T1018" s="49" t="n"/>
      <c r="U1018" s="47" t="inlineStr">
        <is>
          <t>This week we dive into the first box of Silver Tempest</t>
        </is>
      </c>
      <c r="V1018" s="47">
        <f>IF(AND(P1018&gt;=Calendar!$K$2,P1018&lt;EDATE(Calendar!$K$2,1),OR(Calendar!$K$4="*",N1018=Calendar!$K$4)),P1018*100+COUNTIFS($P$6:$P$3267,P1018,$Q$6:$Q$3267,"&lt;="&amp;Q1018,$N$6:$N$3267,Calendar!$K$4),"")</f>
        <v/>
      </c>
      <c r="W1018" s="47">
        <f>IF(AND(B1018=Queue!$C$4,OR(Queue!$K$4="*",N1018=Queue!$K$4)),Q1018,"")</f>
        <v/>
      </c>
    </row>
    <row r="1019">
      <c r="A1019" s="38">
        <f>IF(M1019="","",HYPERLINK("https://www.youtube.com/watch?v="&amp;M1019,"▶"))</f>
        <v/>
      </c>
      <c r="B1019" s="39">
        <f>IF(C1019&lt;&gt;"",C1019,IF(P1019&lt;=IFERROR(INDEX(tblChannels[Watched Through],MATCH(N1019,tblChannels[Channel ID],0)),0),"Watched","Unwatched"))</f>
        <v/>
      </c>
      <c r="C1019" s="40" t="n"/>
      <c r="D1019" s="41" t="n"/>
      <c r="E1019" s="42" t="n">
        <v>44897.67361111111</v>
      </c>
      <c r="F1019" s="50" t="inlineStr">
        <is>
          <t>Super Carlin Brothers</t>
        </is>
      </c>
      <c r="G1019" t="inlineStr">
        <is>
          <t>What If Lupin NEVER Became A Werewolf? | Harry Potter Film Theory</t>
        </is>
      </c>
      <c r="H1019" s="44" t="n">
        <v>0.01334490740740741</v>
      </c>
      <c r="I1019" s="45" t="n">
        <v>368403</v>
      </c>
      <c r="J1019" s="45" t="n">
        <v>12404</v>
      </c>
      <c r="K1019" s="45" t="n">
        <v>1107</v>
      </c>
      <c r="L1019" s="46" t="n"/>
      <c r="M1019" s="47" t="n"/>
      <c r="N1019" s="47" t="inlineStr">
        <is>
          <t>UCKZo4N0lVPccBkSiuyVh4yg</t>
        </is>
      </c>
      <c r="O1019" s="48" t="n">
        <v>44897.88194444445</v>
      </c>
      <c r="P1019" s="49" t="n">
        <v>44897</v>
      </c>
      <c r="Q1019" s="47" t="n">
        <v>2249</v>
      </c>
      <c r="R1019" s="47" t="inlineStr">
        <is>
          <t>No Video ID yet</t>
        </is>
      </c>
      <c r="S1019" s="49" t="n"/>
      <c r="T1019" s="49" t="n"/>
      <c r="U1019" s="47" t="inlineStr">
        <is>
          <t>Get 20% off your first monthly box when you sign up at Take our survey here: Today Ben dives into the Wizarding World of Harry Potter to ask What If Remus Lupin never got bit as a child by Fenrir Greyback and never became a werewolf. Would the Mauraders still become Animangus? Would they even still be friends? Would Sirius Kill Peter? Would Voldemort never rise? #supercarlinbrothers #WhatIf #HarryPotter</t>
        </is>
      </c>
      <c r="V1019" s="47">
        <f>IF(AND(P1019&gt;=Calendar!$K$2,P1019&lt;EDATE(Calendar!$K$2,1),OR(Calendar!$K$4="*",N1019=Calendar!$K$4)),P1019*100+COUNTIFS($P$6:$P$3267,P1019,$Q$6:$Q$3267,"&lt;="&amp;Q1019,$N$6:$N$3267,Calendar!$K$4),"")</f>
        <v/>
      </c>
      <c r="W1019" s="47">
        <f>IF(AND(B1019=Queue!$C$4,OR(Queue!$K$4="*",N1019=Queue!$K$4)),Q1019,"")</f>
        <v/>
      </c>
    </row>
    <row r="1020">
      <c r="A1020" s="38">
        <f>IF(M1020="","",HYPERLINK("https://www.youtube.com/watch?v="&amp;M1020,"▶"))</f>
        <v/>
      </c>
      <c r="B1020" s="39">
        <f>IF(C1020&lt;&gt;"",C1020,IF(P1020&lt;=IFERROR(INDEX(tblChannels[Watched Through],MATCH(N1020,tblChannels[Channel ID],0)),0),"Watched","Unwatched"))</f>
        <v/>
      </c>
      <c r="C1020" s="40" t="n"/>
      <c r="D1020" s="41" t="n"/>
      <c r="E1020" s="42" t="n">
        <v>44897.41666666666</v>
      </c>
      <c r="F1020" s="43" t="inlineStr">
        <is>
          <t>Popcorn Culture</t>
        </is>
      </c>
      <c r="G1020" t="inlineStr">
        <is>
          <t>Turn the Dark Off | Popcorn Culture</t>
        </is>
      </c>
      <c r="H1020" s="44" t="n">
        <v>0.04694444444444444</v>
      </c>
      <c r="I1020" s="45" t="n">
        <v>5030</v>
      </c>
      <c r="J1020" s="45" t="n">
        <v>267</v>
      </c>
      <c r="K1020" s="45" t="n">
        <v>36</v>
      </c>
      <c r="L1020" s="46" t="n"/>
      <c r="M1020" s="47" t="n"/>
      <c r="N1020" s="47" t="inlineStr">
        <is>
          <t>UCHfIbq9thHPC8yrKjAdJgDA</t>
        </is>
      </c>
      <c r="O1020" s="48" t="n">
        <v>44897.625</v>
      </c>
      <c r="P1020" s="49" t="n">
        <v>44897</v>
      </c>
      <c r="Q1020" s="47" t="n">
        <v>2248</v>
      </c>
      <c r="R1020" s="47" t="inlineStr">
        <is>
          <t>No Video ID yet</t>
        </is>
      </c>
      <c r="S1020" s="49" t="n"/>
      <c r="T1020" s="49" t="n"/>
      <c r="U1020" s="47" t="inlineStr">
        <is>
          <t>In the 156th episode of the Pop, Ben and J discuss literally everyone everywhere being sick this week, Thanksgiving shenanigans, Christmas plans, Luke turning 5, monster trucks, Build-a-Bear, gift giving, diversity in an ABC store, Personal Construct Theory, and a funny Luke quote. Onward - John Cena - Bud Light Commercial - Personal Construct Theory - How ‘bout “Yo Yo!” Everyone We Know Is Sick Medium Damp Turkey Wibbly Wobbly Traditions Laremy 00:00 - Intro, Yo-Yos, The Yuck 04:39 - Thanksgiving Shenanigans 19:53 - Luke’s Birthday and Monster Trucks 37:57 - Changing Shopping Traditions 48:57 - Libations 54:32 - Personal Construct Theory 1:02:36 - Flashlights</t>
        </is>
      </c>
      <c r="V1020" s="47">
        <f>IF(AND(P1020&gt;=Calendar!$K$2,P1020&lt;EDATE(Calendar!$K$2,1),OR(Calendar!$K$4="*",N1020=Calendar!$K$4)),P1020*100+COUNTIFS($P$6:$P$3267,P1020,$Q$6:$Q$3267,"&lt;="&amp;Q1020,$N$6:$N$3267,Calendar!$K$4),"")</f>
        <v/>
      </c>
      <c r="W1020" s="47">
        <f>IF(AND(B1020=Queue!$C$4,OR(Queue!$K$4="*",N1020=Queue!$K$4)),Q1020,"")</f>
        <v/>
      </c>
    </row>
    <row r="1021">
      <c r="A1021" s="38">
        <f>IF(M1021="","",HYPERLINK("https://www.youtube.com/watch?v="&amp;M1021,"▶"))</f>
        <v/>
      </c>
      <c r="B1021" s="39">
        <f>IF(C1021&lt;&gt;"",C1021,IF(P1021&lt;=IFERROR(INDEX(tblChannels[Watched Through],MATCH(N1021,tblChannels[Channel ID],0)),0),"Watched","Unwatched"))</f>
        <v/>
      </c>
      <c r="C1021" s="40" t="n"/>
      <c r="D1021" s="41" t="n"/>
      <c r="E1021" s="42" t="n">
        <v>44895.81875</v>
      </c>
      <c r="F1021" s="50" t="inlineStr">
        <is>
          <t>Super Carlin Brothers</t>
        </is>
      </c>
      <c r="G1021" t="inlineStr">
        <is>
          <t>The COMPLETE Pixar Theory 2022</t>
        </is>
      </c>
      <c r="H1021" s="44" t="n">
        <v>0.03328703703703704</v>
      </c>
      <c r="I1021" s="45" t="n">
        <v>2540193</v>
      </c>
      <c r="J1021" s="45" t="n">
        <v>65151</v>
      </c>
      <c r="K1021" s="45" t="n">
        <v>2719</v>
      </c>
      <c r="L1021" s="46" t="n"/>
      <c r="M1021" s="47" t="n"/>
      <c r="N1021" s="47" t="inlineStr">
        <is>
          <t>UCKZo4N0lVPccBkSiuyVh4yg</t>
        </is>
      </c>
      <c r="O1021" s="48" t="n">
        <v>44896.02708333333</v>
      </c>
      <c r="P1021" s="49" t="n">
        <v>44895</v>
      </c>
      <c r="Q1021" s="47" t="n">
        <v>2247</v>
      </c>
      <c r="R1021" s="47" t="inlineStr">
        <is>
          <t>No Video ID yet</t>
        </is>
      </c>
      <c r="S1021" s="49" t="n"/>
      <c r="T1021" s="49" t="n"/>
      <c r="U1021" s="47" t="inlineStr">
        <is>
          <t>This episode of Super Carlin Brothers is sponsored by BetterHelp — go to to get 10% off your first month. Pixar Theory Song on iTunes :: Today J dives back into the ever growing Pixar Universe to give a full breakdown of the ENTIRE Pixar Theory, from Toy Story ALL THE WAY THROUGH Lightyear, this is how it all fits together. This is the Pixar Theory #supercarlinbrothers #Pixar #PixarTheory</t>
        </is>
      </c>
      <c r="V1021" s="47">
        <f>IF(AND(P1021&gt;=Calendar!$K$2,P1021&lt;EDATE(Calendar!$K$2,1),OR(Calendar!$K$4="*",N1021=Calendar!$K$4)),P1021*100+COUNTIFS($P$6:$P$3267,P1021,$Q$6:$Q$3267,"&lt;="&amp;Q1021,$N$6:$N$3267,Calendar!$K$4),"")</f>
        <v/>
      </c>
      <c r="W1021" s="47">
        <f>IF(AND(B1021=Queue!$C$4,OR(Queue!$K$4="*",N1021=Queue!$K$4)),Q1021,"")</f>
        <v/>
      </c>
    </row>
    <row r="1022">
      <c r="A1022" s="38">
        <f>IF(M1022="","",HYPERLINK("https://www.youtube.com/watch?v="&amp;M1022,"▶"))</f>
        <v/>
      </c>
      <c r="B1022" s="39">
        <f>IF(C1022&lt;&gt;"",C1022,IF(P1022&lt;=IFERROR(INDEX(tblChannels[Watched Through],MATCH(N1022,tblChannels[Channel ID],0)),0),"Watched","Unwatched"))</f>
        <v/>
      </c>
      <c r="C1022" s="40" t="n"/>
      <c r="D1022" s="41" t="n"/>
      <c r="E1022" s="42" t="n">
        <v>44891.33333333334</v>
      </c>
      <c r="F1022" s="52" t="inlineStr">
        <is>
          <t>Super Carlin Gaming</t>
        </is>
      </c>
      <c r="G1022" t="inlineStr">
        <is>
          <t>CHAIN CUP CHAMPIONS | Bonus Gaming Preview</t>
        </is>
      </c>
      <c r="H1022" s="44" t="n">
        <v>0.0290162037037037</v>
      </c>
      <c r="I1022" s="45" t="n">
        <v>2136</v>
      </c>
      <c r="J1022" s="45" t="n">
        <v>106</v>
      </c>
      <c r="K1022" s="45" t="n">
        <v>12</v>
      </c>
      <c r="L1022" s="46" t="n"/>
      <c r="M1022" s="47" t="n"/>
      <c r="N1022" s="47" t="inlineStr">
        <is>
          <t>UCor_9jRnNNZVzTuQ92PKsaQ</t>
        </is>
      </c>
      <c r="O1022" s="48" t="n">
        <v>44891.54166666666</v>
      </c>
      <c r="P1022" s="49" t="n">
        <v>44891</v>
      </c>
      <c r="Q1022" s="47" t="n">
        <v>2246</v>
      </c>
      <c r="R1022" s="47" t="inlineStr">
        <is>
          <t>No Video ID yet</t>
        </is>
      </c>
      <c r="S1022" s="49" t="n"/>
      <c r="T1022" s="49" t="n"/>
      <c r="U1022" s="47" t="inlineStr">
        <is>
          <t>Hey Everybody! Happy Thanksgiving weekend! We normally do this show every Saturday over on patreon but we decided it was too good to keep under lock and key. So here's a little holiday treat! If you want get more bonus gaming head over to:</t>
        </is>
      </c>
      <c r="V1022" s="47">
        <f>IF(AND(P1022&gt;=Calendar!$K$2,P1022&lt;EDATE(Calendar!$K$2,1),OR(Calendar!$K$4="*",N1022=Calendar!$K$4)),P1022*100+COUNTIFS($P$6:$P$3267,P1022,$Q$6:$Q$3267,"&lt;="&amp;Q1022,$N$6:$N$3267,Calendar!$K$4),"")</f>
        <v/>
      </c>
      <c r="W1022" s="47">
        <f>IF(AND(B1022=Queue!$C$4,OR(Queue!$K$4="*",N1022=Queue!$K$4)),Q1022,"")</f>
        <v/>
      </c>
    </row>
    <row r="1023">
      <c r="A1023" s="38">
        <f>IF(M1023="","",HYPERLINK("https://www.youtube.com/watch?v="&amp;M1023,"▶"))</f>
        <v/>
      </c>
      <c r="B1023" s="39">
        <f>IF(C1023&lt;&gt;"",C1023,IF(P1023&lt;=IFERROR(INDEX(tblChannels[Watched Through],MATCH(N1023,tblChannels[Channel ID],0)),0),"Watched","Unwatched"))</f>
        <v/>
      </c>
      <c r="C1023" s="40" t="n"/>
      <c r="D1023" s="41" t="n"/>
      <c r="E1023" s="42" t="n">
        <v>44890.41666666666</v>
      </c>
      <c r="F1023" s="43" t="inlineStr">
        <is>
          <t>Popcorn Culture</t>
        </is>
      </c>
      <c r="G1023" t="inlineStr">
        <is>
          <t>Brain Crack | Popcorn Culture</t>
        </is>
      </c>
      <c r="H1023" s="44" t="n">
        <v>0.04668981481481482</v>
      </c>
      <c r="I1023" s="45" t="n">
        <v>4468</v>
      </c>
      <c r="J1023" s="45" t="n">
        <v>247</v>
      </c>
      <c r="K1023" s="45" t="n">
        <v>17</v>
      </c>
      <c r="L1023" s="46" t="n"/>
      <c r="M1023" s="47" t="n"/>
      <c r="N1023" s="47" t="inlineStr">
        <is>
          <t>UCHfIbq9thHPC8yrKjAdJgDA</t>
        </is>
      </c>
      <c r="O1023" s="48" t="n">
        <v>44890.625</v>
      </c>
      <c r="P1023" s="49" t="n">
        <v>44890</v>
      </c>
      <c r="Q1023" s="47" t="n">
        <v>2245</v>
      </c>
      <c r="R1023" s="47" t="inlineStr">
        <is>
          <t>No Video ID yet</t>
        </is>
      </c>
      <c r="S1023" s="49" t="n"/>
      <c r="T1023" s="49" t="n"/>
      <c r="U1023" s="47" t="inlineStr">
        <is>
          <t>In the 155th episode of the Pop, Ben and J discuss differences in workout effects, brain crack, supporting your partner, keeping up with all the content, con artists, and the civilization of humanity. She Hulk - Andor - WandaVision - Strange World - Wakanda Forever - Avatar: The Way of Water - Inventing Anna - Catch Me If You Can - Al Capone - USA v England FIFA - Side Note: Ben did a day later realize the word he was looking for was “precocious.” The Full Body Soreness Give It a Lunge A Little On The Gloop Gumption?? 00:00 - Intro, Effects of Workouts 15:39 - Keeping Up With Content 35:12 - Inventing Anna 59:53 - What It Means for Humanity to be Civilized</t>
        </is>
      </c>
      <c r="V1023" s="47">
        <f>IF(AND(P1023&gt;=Calendar!$K$2,P1023&lt;EDATE(Calendar!$K$2,1),OR(Calendar!$K$4="*",N1023=Calendar!$K$4)),P1023*100+COUNTIFS($P$6:$P$3267,P1023,$Q$6:$Q$3267,"&lt;="&amp;Q1023,$N$6:$N$3267,Calendar!$K$4),"")</f>
        <v/>
      </c>
      <c r="W1023" s="47">
        <f>IF(AND(B1023=Queue!$C$4,OR(Queue!$K$4="*",N1023=Queue!$K$4)),Q1023,"")</f>
        <v/>
      </c>
    </row>
    <row r="1024">
      <c r="A1024" s="38">
        <f>IF(M1024="","",HYPERLINK("https://www.youtube.com/watch?v="&amp;M1024,"▶"))</f>
        <v/>
      </c>
      <c r="B1024" s="39">
        <f>IF(C1024&lt;&gt;"",C1024,IF(P1024&lt;=IFERROR(INDEX(tblChannels[Watched Through],MATCH(N1024,tblChannels[Channel ID],0)),0),"Watched","Unwatched"))</f>
        <v/>
      </c>
      <c r="C1024" s="40" t="n"/>
      <c r="D1024" s="41" t="n"/>
      <c r="E1024" s="42" t="n">
        <v>44889.625</v>
      </c>
      <c r="F1024" s="50" t="inlineStr">
        <is>
          <t>Super Carlin Brothers</t>
        </is>
      </c>
      <c r="G1024" t="inlineStr">
        <is>
          <t>J vs Ben: HARDEST Goblet of Fire Harry Potter Trivia | PSYCHO HOT SAUCE PUNISHMENT</t>
        </is>
      </c>
      <c r="H1024" s="44" t="n">
        <v>0.02416666666666667</v>
      </c>
      <c r="I1024" s="45" t="n">
        <v>257761</v>
      </c>
      <c r="J1024" s="45" t="n">
        <v>12102</v>
      </c>
      <c r="K1024" s="45" t="n">
        <v>701</v>
      </c>
      <c r="L1024" s="46" t="n"/>
      <c r="M1024" s="47" t="n"/>
      <c r="N1024" s="47" t="inlineStr">
        <is>
          <t>UCKZo4N0lVPccBkSiuyVh4yg</t>
        </is>
      </c>
      <c r="O1024" s="48" t="n">
        <v>44889.83333333334</v>
      </c>
      <c r="P1024" s="49" t="n">
        <v>44889</v>
      </c>
      <c r="Q1024" s="47" t="n">
        <v>2244</v>
      </c>
      <c r="R1024" s="47" t="inlineStr">
        <is>
          <t>No Video ID yet</t>
        </is>
      </c>
      <c r="S1024" s="49" t="n"/>
      <c r="T1024" s="49" t="n"/>
      <c r="U1024" s="47" t="inlineStr">
        <is>
          <t>Go to to buy one annual membership and get one free! Today J and Ben faceoff once again to find out who knows more about the wizarding world, but this time every time they get a question wrong they are punished with 666,000 scoville level hotsauce… HAPPY THANKSGIVING! 02:03 - What is the name of the 4th book? 03:03 - What is the name of Barty Crouch's house elf? 04:13 - How much did Fred and George bet Ludo Bagman? 05:16 - What creature did Moody turn Malfoy into? 06:16 - Who was the Riddle's gardener? 08:19 - How long did Dudley's tongue get before Arthur shrunk it? 11:16 - Which dragon did Krum get? 12:20 - What was Rita Skeeter's animagus? 12:58 - What was not in Moody's trunk? 15:46 - What attacked Fleur in the second task? 17:11 - Who was not a player on the Bulgarian Quidditch team? 17:58 - How much did Dumbledore offer Dobby to work in the kitchens? 22:59 - What robes did Bagman wear to the Yule Ball? 26:24 - What was the answer to the Sphinx's riddle? 27:26 - What was the name of the pub in Little Hangleton? #supercarlinbrothers #HarryPotter #HotOnes</t>
        </is>
      </c>
      <c r="V1024" s="47">
        <f>IF(AND(P1024&gt;=Calendar!$K$2,P1024&lt;EDATE(Calendar!$K$2,1),OR(Calendar!$K$4="*",N1024=Calendar!$K$4)),P1024*100+COUNTIFS($P$6:$P$3267,P1024,$Q$6:$Q$3267,"&lt;="&amp;Q1024,$N$6:$N$3267,Calendar!$K$4),"")</f>
        <v/>
      </c>
      <c r="W1024" s="47">
        <f>IF(AND(B1024=Queue!$C$4,OR(Queue!$K$4="*",N1024=Queue!$K$4)),Q1024,"")</f>
        <v/>
      </c>
    </row>
    <row r="1025">
      <c r="A1025" s="38">
        <f>IF(M1025="","",HYPERLINK("https://www.youtube.com/watch?v="&amp;M1025,"▶"))</f>
        <v/>
      </c>
      <c r="B1025" s="39">
        <f>IF(C1025&lt;&gt;"",C1025,IF(P1025&lt;=IFERROR(INDEX(tblChannels[Watched Through],MATCH(N1025,tblChannels[Channel ID],0)),0),"Watched","Unwatched"))</f>
        <v/>
      </c>
      <c r="C1025" s="40" t="n"/>
      <c r="D1025" s="41" t="n"/>
      <c r="E1025" s="42" t="n">
        <v>44888.575</v>
      </c>
      <c r="F1025" s="50" t="inlineStr">
        <is>
          <t>Super Carlin Brothers</t>
        </is>
      </c>
      <c r="G1025" t="inlineStr">
        <is>
          <t>Will Hogwarts Legacy Be CANON? | Harry Potter Game Theory</t>
        </is>
      </c>
      <c r="H1025" s="44" t="n">
        <v>0.01273148148148148</v>
      </c>
      <c r="I1025" s="45" t="n">
        <v>240958</v>
      </c>
      <c r="J1025" s="45" t="n">
        <v>9316</v>
      </c>
      <c r="K1025" s="45" t="n">
        <v>989</v>
      </c>
      <c r="L1025" s="46" t="n"/>
      <c r="M1025" s="47" t="n"/>
      <c r="N1025" s="47" t="inlineStr">
        <is>
          <t>UCKZo4N0lVPccBkSiuyVh4yg</t>
        </is>
      </c>
      <c r="O1025" s="48" t="n">
        <v>44888.78333333333</v>
      </c>
      <c r="P1025" s="49" t="n">
        <v>44888</v>
      </c>
      <c r="Q1025" s="47" t="n">
        <v>2243</v>
      </c>
      <c r="R1025" s="47" t="inlineStr">
        <is>
          <t>No Video ID yet</t>
        </is>
      </c>
      <c r="S1025" s="49" t="n"/>
      <c r="T1025" s="49" t="n"/>
      <c r="U1025" s="47" t="inlineStr">
        <is>
          <t>This episode of Super Carlin Brothers is sponsored by BetterHelp — go to to get 10% off your first month. Today J dives into the Wizarding World of Harry Potter to discuss what counts as canon and if the upcoming video game: Hogwarts Legacy will add to the canon too! #supercarlinbrothers #HarryPotter #HogwartsLegacy</t>
        </is>
      </c>
      <c r="V1025" s="47">
        <f>IF(AND(P1025&gt;=Calendar!$K$2,P1025&lt;EDATE(Calendar!$K$2,1),OR(Calendar!$K$4="*",N1025=Calendar!$K$4)),P1025*100+COUNTIFS($P$6:$P$3267,P1025,$Q$6:$Q$3267,"&lt;="&amp;Q1025,$N$6:$N$3267,Calendar!$K$4),"")</f>
        <v/>
      </c>
      <c r="W1025" s="47">
        <f>IF(AND(B1025=Queue!$C$4,OR(Queue!$K$4="*",N1025=Queue!$K$4)),Q1025,"")</f>
        <v/>
      </c>
    </row>
    <row r="1026">
      <c r="A1026" s="38">
        <f>IF(M1026="","",HYPERLINK("https://www.youtube.com/watch?v="&amp;M1026,"▶"))</f>
        <v/>
      </c>
      <c r="B1026" s="39">
        <f>IF(C1026&lt;&gt;"",C1026,IF(P1026&lt;=IFERROR(INDEX(tblChannels[Watched Through],MATCH(N1026,tblChannels[Channel ID],0)),0),"Watched","Unwatched"))</f>
        <v/>
      </c>
      <c r="C1026" s="40" t="n"/>
      <c r="D1026" s="41" t="n"/>
      <c r="E1026" s="42" t="n">
        <v>44887.58333333334</v>
      </c>
      <c r="F1026" s="52" t="inlineStr">
        <is>
          <t>Super Carlin Gaming</t>
        </is>
      </c>
      <c r="G1026" t="inlineStr">
        <is>
          <t>Who Will Win an Entire Booster Box!? | Box Breakers Season 2 Finale</t>
        </is>
      </c>
      <c r="H1026" s="44" t="n">
        <v>0.03788194444444445</v>
      </c>
      <c r="I1026" s="45" t="n">
        <v>3135</v>
      </c>
      <c r="J1026" s="45" t="n">
        <v>148</v>
      </c>
      <c r="K1026" s="45" t="n">
        <v>23</v>
      </c>
      <c r="L1026" s="46" t="n"/>
      <c r="M1026" s="47" t="n"/>
      <c r="N1026" s="47" t="inlineStr">
        <is>
          <t>UCor_9jRnNNZVzTuQ92PKsaQ</t>
        </is>
      </c>
      <c r="O1026" s="48" t="n">
        <v>44887.79166666666</v>
      </c>
      <c r="P1026" s="49" t="n">
        <v>44887</v>
      </c>
      <c r="Q1026" s="47" t="n">
        <v>2242</v>
      </c>
      <c r="R1026" s="47" t="inlineStr">
        <is>
          <t>No Video ID yet</t>
        </is>
      </c>
      <c r="S1026" s="49" t="n"/>
      <c r="T1026" s="49" t="n"/>
      <c r="U1026" s="47" t="inlineStr">
        <is>
          <t>This week we continue our unboxing of Lost Origin! Who will grab today's top pull?! Who will make best use of the type advantage?!</t>
        </is>
      </c>
      <c r="V1026" s="47">
        <f>IF(AND(P1026&gt;=Calendar!$K$2,P1026&lt;EDATE(Calendar!$K$2,1),OR(Calendar!$K$4="*",N1026=Calendar!$K$4)),P1026*100+COUNTIFS($P$6:$P$3267,P1026,$Q$6:$Q$3267,"&lt;="&amp;Q1026,$N$6:$N$3267,Calendar!$K$4),"")</f>
        <v/>
      </c>
      <c r="W1026" s="47">
        <f>IF(AND(B1026=Queue!$C$4,OR(Queue!$K$4="*",N1026=Queue!$K$4)),Q1026,"")</f>
        <v/>
      </c>
    </row>
    <row r="1027">
      <c r="A1027" s="38">
        <f>IF(M1027="","",HYPERLINK("https://www.youtube.com/watch?v="&amp;M1027,"▶"))</f>
        <v/>
      </c>
      <c r="B1027" s="39">
        <f>IF(C1027&lt;&gt;"",C1027,IF(P1027&lt;=IFERROR(INDEX(tblChannels[Watched Through],MATCH(N1027,tblChannels[Channel ID],0)),0),"Watched","Unwatched"))</f>
        <v/>
      </c>
      <c r="C1027" s="40" t="n"/>
      <c r="D1027" s="41" t="n"/>
      <c r="E1027" s="42" t="n">
        <v>44883.60138888889</v>
      </c>
      <c r="F1027" s="50" t="inlineStr">
        <is>
          <t>Super Carlin Brothers</t>
        </is>
      </c>
      <c r="G1027" t="inlineStr">
        <is>
          <t>PROOF That Severus Snape Is A Vampire | Harry Potter Film Theory</t>
        </is>
      </c>
      <c r="H1027" s="44" t="n">
        <v>0.01107638888888889</v>
      </c>
      <c r="I1027" s="45" t="n">
        <v>453439</v>
      </c>
      <c r="J1027" s="45" t="n">
        <v>17353</v>
      </c>
      <c r="K1027" s="45" t="n">
        <v>2012</v>
      </c>
      <c r="L1027" s="46" t="n"/>
      <c r="M1027" s="47" t="n"/>
      <c r="N1027" s="47" t="inlineStr">
        <is>
          <t>UCKZo4N0lVPccBkSiuyVh4yg</t>
        </is>
      </c>
      <c r="O1027" s="48" t="n">
        <v>44883.80972222222</v>
      </c>
      <c r="P1027" s="49" t="n">
        <v>44883</v>
      </c>
      <c r="Q1027" s="47" t="n">
        <v>2241</v>
      </c>
      <c r="R1027" s="47" t="inlineStr">
        <is>
          <t>No Video ID yet</t>
        </is>
      </c>
      <c r="S1027" s="49" t="n"/>
      <c r="T1027" s="49" t="n"/>
      <c r="U1027" s="47" t="inlineStr">
        <is>
          <t>This episode is sponsored by BetterHelp - go to to get 10% off your first month. Get 20% off your first monthly box when you sign up at . Today Ben dives into the Wizarding World of Harry Potter to discuss everyone’s favorite potions master: Severus Snape to PROVE that he is in fact a Vampire! #supercarlinbrothers #HarryPotter #SeverusSnapeIsAVampire</t>
        </is>
      </c>
      <c r="V1027" s="47">
        <f>IF(AND(P1027&gt;=Calendar!$K$2,P1027&lt;EDATE(Calendar!$K$2,1),OR(Calendar!$K$4="*",N1027=Calendar!$K$4)),P1027*100+COUNTIFS($P$6:$P$3267,P1027,$Q$6:$Q$3267,"&lt;="&amp;Q1027,$N$6:$N$3267,Calendar!$K$4),"")</f>
        <v/>
      </c>
      <c r="W1027" s="47">
        <f>IF(AND(B1027=Queue!$C$4,OR(Queue!$K$4="*",N1027=Queue!$K$4)),Q1027,"")</f>
        <v/>
      </c>
    </row>
    <row r="1028">
      <c r="A1028" s="38">
        <f>IF(M1028="","",HYPERLINK("https://www.youtube.com/watch?v="&amp;M1028,"▶"))</f>
        <v/>
      </c>
      <c r="B1028" s="39">
        <f>IF(C1028&lt;&gt;"",C1028,IF(P1028&lt;=IFERROR(INDEX(tblChannels[Watched Through],MATCH(N1028,tblChannels[Channel ID],0)),0),"Watched","Unwatched"))</f>
        <v/>
      </c>
      <c r="C1028" s="40" t="n"/>
      <c r="D1028" s="41" t="n"/>
      <c r="E1028" s="42" t="n">
        <v>44883.41666666666</v>
      </c>
      <c r="F1028" s="43" t="inlineStr">
        <is>
          <t>Popcorn Culture</t>
        </is>
      </c>
      <c r="G1028" t="inlineStr">
        <is>
          <t>FIREDUCK | Popcorn Culture</t>
        </is>
      </c>
      <c r="H1028" s="44" t="n">
        <v>0.04606481481481482</v>
      </c>
      <c r="I1028" s="45" t="n">
        <v>5301</v>
      </c>
      <c r="J1028" s="45" t="n">
        <v>271</v>
      </c>
      <c r="K1028" s="45" t="n">
        <v>36</v>
      </c>
      <c r="L1028" s="46" t="n"/>
      <c r="M1028" s="47" t="n"/>
      <c r="N1028" s="47" t="inlineStr">
        <is>
          <t>UCHfIbq9thHPC8yrKjAdJgDA</t>
        </is>
      </c>
      <c r="O1028" s="48" t="n">
        <v>44883.625</v>
      </c>
      <c r="P1028" s="49" t="n">
        <v>44883</v>
      </c>
      <c r="Q1028" s="47" t="n">
        <v>2240</v>
      </c>
      <c r="R1028" s="47" t="inlineStr">
        <is>
          <t>No Video ID yet</t>
        </is>
      </c>
      <c r="S1028" s="49" t="n"/>
      <c r="T1028" s="49" t="n"/>
      <c r="U1028" s="47" t="inlineStr">
        <is>
          <t>In the 154th episode of the Pop, Ben and J discuss downtime, football, brain calm, the creation of games, Elon Musk taking over Twitter, and J and Ben’s new duck game, coming to a Kickstarter near you, maybe. Marvel Snap - Remember the Titans -</t>
        </is>
      </c>
      <c r="V1028" s="47">
        <f>IF(AND(P1028&gt;=Calendar!$K$2,P1028&lt;EDATE(Calendar!$K$2,1),OR(Calendar!$K$4="*",N1028=Calendar!$K$4)),P1028*100+COUNTIFS($P$6:$P$3267,P1028,$Q$6:$Q$3267,"&lt;="&amp;Q1028,$N$6:$N$3267,Calendar!$K$4),"")</f>
        <v/>
      </c>
      <c r="W1028" s="47">
        <f>IF(AND(B1028=Queue!$C$4,OR(Queue!$K$4="*",N1028=Queue!$K$4)),Q1028,"")</f>
        <v/>
      </c>
    </row>
    <row r="1029">
      <c r="A1029" s="38">
        <f>IF(M1029="","",HYPERLINK("https://www.youtube.com/watch?v="&amp;M1029,"▶"))</f>
        <v/>
      </c>
      <c r="B1029" s="39">
        <f>IF(C1029&lt;&gt;"",C1029,IF(P1029&lt;=IFERROR(INDEX(tblChannels[Watched Through],MATCH(N1029,tblChannels[Channel ID],0)),0),"Watched","Unwatched"))</f>
        <v/>
      </c>
      <c r="C1029" s="40" t="n"/>
      <c r="D1029" s="41" t="n"/>
      <c r="E1029" s="42" t="n">
        <v>44882.625</v>
      </c>
      <c r="F1029" s="52" t="inlineStr">
        <is>
          <t>Super Carlin Gaming</t>
        </is>
      </c>
      <c r="G1029" t="inlineStr">
        <is>
          <t>The Imperfect Storm |  Pokémon Legends: Arceus Nuzlocke #24</t>
        </is>
      </c>
      <c r="H1029" s="44" t="n">
        <v>0.02548611111111111</v>
      </c>
      <c r="I1029" s="45" t="n">
        <v>4124</v>
      </c>
      <c r="J1029" s="45" t="n">
        <v>235</v>
      </c>
      <c r="K1029" s="45" t="n">
        <v>49</v>
      </c>
      <c r="L1029" s="46" t="n"/>
      <c r="M1029" s="47" t="n"/>
      <c r="N1029" s="47" t="inlineStr">
        <is>
          <t>UCor_9jRnNNZVzTuQ92PKsaQ</t>
        </is>
      </c>
      <c r="O1029" s="48" t="n">
        <v>44882.83333333334</v>
      </c>
      <c r="P1029" s="49" t="n">
        <v>44882</v>
      </c>
      <c r="Q1029" s="47" t="n">
        <v>2239</v>
      </c>
      <c r="R1029" s="47" t="inlineStr">
        <is>
          <t>No Video ID yet</t>
        </is>
      </c>
      <c r="S1029" s="49" t="n"/>
      <c r="T1029" s="49" t="n"/>
      <c r="U1029" s="47" t="inlineStr">
        <is>
          <t>J and the team continue to forge their way to the end of their epic quest - but first must face off against some of the toughest fully-evolved Hisuian Pokémon yet.</t>
        </is>
      </c>
      <c r="V1029" s="47">
        <f>IF(AND(P1029&gt;=Calendar!$K$2,P1029&lt;EDATE(Calendar!$K$2,1),OR(Calendar!$K$4="*",N1029=Calendar!$K$4)),P1029*100+COUNTIFS($P$6:$P$3267,P1029,$Q$6:$Q$3267,"&lt;="&amp;Q1029,$N$6:$N$3267,Calendar!$K$4),"")</f>
        <v/>
      </c>
      <c r="W1029" s="47">
        <f>IF(AND(B1029=Queue!$C$4,OR(Queue!$K$4="*",N1029=Queue!$K$4)),Q1029,"")</f>
        <v/>
      </c>
    </row>
    <row r="1030">
      <c r="A1030" s="38">
        <f>IF(M1030="","",HYPERLINK("https://www.youtube.com/watch?v="&amp;M1030,"▶"))</f>
        <v/>
      </c>
      <c r="B1030" s="39">
        <f>IF(C1030&lt;&gt;"",C1030,IF(P1030&lt;=IFERROR(INDEX(tblChannels[Watched Through],MATCH(N1030,tblChannels[Channel ID],0)),0),"Watched","Unwatched"))</f>
        <v/>
      </c>
      <c r="C1030" s="40" t="n"/>
      <c r="D1030" s="41" t="n"/>
      <c r="E1030" s="42" t="n">
        <v>44881.725</v>
      </c>
      <c r="F1030" s="50" t="inlineStr">
        <is>
          <t>Super Carlin Brothers</t>
        </is>
      </c>
      <c r="G1030" t="inlineStr">
        <is>
          <t>Top UNANSWERED Questions From Wakanda Forever | Black Panther Marvel Film Theory</t>
        </is>
      </c>
      <c r="H1030" s="44" t="n">
        <v>0.01168981481481481</v>
      </c>
      <c r="I1030" s="45" t="n">
        <v>60510</v>
      </c>
      <c r="J1030" s="45" t="n">
        <v>2917</v>
      </c>
      <c r="K1030" s="45" t="n">
        <v>242</v>
      </c>
      <c r="L1030" s="46" t="n"/>
      <c r="M1030" s="47" t="n"/>
      <c r="N1030" s="47" t="inlineStr">
        <is>
          <t>UCKZo4N0lVPccBkSiuyVh4yg</t>
        </is>
      </c>
      <c r="O1030" s="48" t="n">
        <v>44881.93333333333</v>
      </c>
      <c r="P1030" s="49" t="n">
        <v>44881</v>
      </c>
      <c r="Q1030" s="47" t="n">
        <v>2238</v>
      </c>
      <c r="R1030" s="47" t="inlineStr">
        <is>
          <t>No Video ID yet</t>
        </is>
      </c>
      <c r="S1030" s="49" t="n"/>
      <c r="T1030" s="49" t="n"/>
      <c r="U1030" s="47" t="inlineStr">
        <is>
          <t>Get a 4-week trial, free postage, and a digital scale at Thanks to Stamps.com for sponsoring the show! Today Ben dives into the Marvel Cinematic Universe to answer all of the Top Unanswered Questions from Black Panther Wakanda Forever! Is Shuri Immortal? Is M’baku king of Wakanda? Is Namor a God? And what about Val and the Thunderbolts? #supercarlinbrothers #WakandaForever #Marvel</t>
        </is>
      </c>
      <c r="V1030" s="47">
        <f>IF(AND(P1030&gt;=Calendar!$K$2,P1030&lt;EDATE(Calendar!$K$2,1),OR(Calendar!$K$4="*",N1030=Calendar!$K$4)),P1030*100+COUNTIFS($P$6:$P$3267,P1030,$Q$6:$Q$3267,"&lt;="&amp;Q1030,$N$6:$N$3267,Calendar!$K$4),"")</f>
        <v/>
      </c>
      <c r="W1030" s="47">
        <f>IF(AND(B1030=Queue!$C$4,OR(Queue!$K$4="*",N1030=Queue!$K$4)),Q1030,"")</f>
        <v/>
      </c>
    </row>
    <row r="1031">
      <c r="A1031" s="38">
        <f>IF(M1031="","",HYPERLINK("https://www.youtube.com/watch?v="&amp;M1031,"▶"))</f>
        <v/>
      </c>
      <c r="B1031" s="39">
        <f>IF(C1031&lt;&gt;"",C1031,IF(P1031&lt;=IFERROR(INDEX(tblChannels[Watched Through],MATCH(N1031,tblChannels[Channel ID],0)),0),"Watched","Unwatched"))</f>
        <v/>
      </c>
      <c r="C1031" s="40" t="n"/>
      <c r="D1031" s="41" t="n"/>
      <c r="E1031" s="42" t="n">
        <v>44877.67152777778</v>
      </c>
      <c r="F1031" s="50" t="inlineStr">
        <is>
          <t>Super Carlin Brothers</t>
        </is>
      </c>
      <c r="G1031" t="inlineStr">
        <is>
          <t>REVIEW: Why You NEED To See Black Panther Wakanda Forever</t>
        </is>
      </c>
      <c r="H1031" s="44" t="n">
        <v>0.04402777777777778</v>
      </c>
      <c r="I1031" s="45" t="n">
        <v>66132</v>
      </c>
      <c r="J1031" s="45" t="n">
        <v>2687</v>
      </c>
      <c r="K1031" s="45" t="n">
        <v>434</v>
      </c>
      <c r="L1031" s="46" t="n"/>
      <c r="M1031" s="47" t="n"/>
      <c r="N1031" s="47" t="inlineStr">
        <is>
          <t>UCKZo4N0lVPccBkSiuyVh4yg</t>
        </is>
      </c>
      <c r="O1031" s="48" t="n">
        <v>44877.87986111111</v>
      </c>
      <c r="P1031" s="49" t="n">
        <v>44877</v>
      </c>
      <c r="Q1031" s="47" t="n">
        <v>2237</v>
      </c>
      <c r="R1031" s="47" t="inlineStr">
        <is>
          <t>No Video ID yet</t>
        </is>
      </c>
      <c r="S1031" s="49" t="n"/>
      <c r="T1031" s="49" t="n"/>
      <c r="U1031" s="47" t="inlineStr">
        <is>
          <t>Today J and Ben dive into the Marvel Cinematic Universe to discuss the final movie of phase 4: Black Panther Wakanda Forever. Easily one of the most emotional Marvel movies ever, but is that enough to carry the plot?</t>
        </is>
      </c>
      <c r="V1031" s="47">
        <f>IF(AND(P1031&gt;=Calendar!$K$2,P1031&lt;EDATE(Calendar!$K$2,1),OR(Calendar!$K$4="*",N1031=Calendar!$K$4)),P1031*100+COUNTIFS($P$6:$P$3267,P1031,$Q$6:$Q$3267,"&lt;="&amp;Q1031,$N$6:$N$3267,Calendar!$K$4),"")</f>
        <v/>
      </c>
      <c r="W1031" s="47">
        <f>IF(AND(B1031=Queue!$C$4,OR(Queue!$K$4="*",N1031=Queue!$K$4)),Q1031,"")</f>
        <v/>
      </c>
    </row>
    <row r="1032">
      <c r="A1032" s="38">
        <f>IF(M1032="","",HYPERLINK("https://www.youtube.com/watch?v="&amp;M1032,"▶"))</f>
        <v/>
      </c>
      <c r="B1032" s="39">
        <f>IF(C1032&lt;&gt;"",C1032,IF(P1032&lt;=IFERROR(INDEX(tblChannels[Watched Through],MATCH(N1032,tblChannels[Channel ID],0)),0),"Watched","Unwatched"))</f>
        <v/>
      </c>
      <c r="C1032" s="40" t="n"/>
      <c r="D1032" s="41" t="n"/>
      <c r="E1032" s="42" t="n">
        <v>44876.57638888889</v>
      </c>
      <c r="F1032" s="50" t="inlineStr">
        <is>
          <t>Super Carlin Brothers</t>
        </is>
      </c>
      <c r="G1032" t="inlineStr">
        <is>
          <t>J vs Ben: ULTIMATE Black Panther Marvel TRIVIA Quiz</t>
        </is>
      </c>
      <c r="H1032" s="44" t="n">
        <v>0.02215277777777778</v>
      </c>
      <c r="I1032" s="45" t="n">
        <v>52680</v>
      </c>
      <c r="J1032" s="45" t="n">
        <v>2370</v>
      </c>
      <c r="K1032" s="45" t="n">
        <v>210</v>
      </c>
      <c r="L1032" s="46" t="n"/>
      <c r="M1032" s="47" t="n"/>
      <c r="N1032" s="47" t="inlineStr">
        <is>
          <t>UCKZo4N0lVPccBkSiuyVh4yg</t>
        </is>
      </c>
      <c r="O1032" s="48" t="n">
        <v>44876.78472222222</v>
      </c>
      <c r="P1032" s="49" t="n">
        <v>44876</v>
      </c>
      <c r="Q1032" s="47" t="n">
        <v>2236</v>
      </c>
      <c r="R1032" s="47" t="inlineStr">
        <is>
          <t>No Video ID yet</t>
        </is>
      </c>
      <c r="S1032" s="49" t="n"/>
      <c r="T1032" s="49" t="n"/>
      <c r="U1032" s="47" t="inlineStr">
        <is>
          <t>Go to to get an extra 3 months free. Go to to cut your wireless bill to $15 a month. Today J and Ben face off once more to see who knows more about the Marvel Cinematic Universe and the hidden city of Wakana: Home of the Black Panther! 02:34 - Who challenges T'Challa at his coronation? 03:50 - What advice does Okoye give T'challa at the beginning of the movie? 06:43 - What is Stan Lee's cameo? 09:16 - What item does Klaue steal from the museum? 11:24 - Where is the casino located? 12:23 - What military branch was Ross previously in? 14:04 - What energy does the Black Panther suit store? 18:48 - What was Klaue's disguise when robbing the museum? 20:06 - Who is Killmonger's father? 21:08 - Where did Killmonger grow up? 22:17 - What are the names of the Wakandan tribes? 23:31 - What is Nakia's tribe? 24:01 - What is the name of the panther goddess? 24:54 - What is the name of the beads Wakandans wear? 26:31 - What is Shuri referring to when she says "What are thoooose?" #supercarlinbrothers #WakandaForever #Marvel</t>
        </is>
      </c>
      <c r="V1032" s="47">
        <f>IF(AND(P1032&gt;=Calendar!$K$2,P1032&lt;EDATE(Calendar!$K$2,1),OR(Calendar!$K$4="*",N1032=Calendar!$K$4)),P1032*100+COUNTIFS($P$6:$P$3267,P1032,$Q$6:$Q$3267,"&lt;="&amp;Q1032,$N$6:$N$3267,Calendar!$K$4),"")</f>
        <v/>
      </c>
      <c r="W1032" s="47">
        <f>IF(AND(B1032=Queue!$C$4,OR(Queue!$K$4="*",N1032=Queue!$K$4)),Q1032,"")</f>
        <v/>
      </c>
    </row>
    <row r="1033">
      <c r="A1033" s="38">
        <f>IF(M1033="","",HYPERLINK("https://www.youtube.com/watch?v="&amp;M1033,"▶"))</f>
        <v/>
      </c>
      <c r="B1033" s="39">
        <f>IF(C1033&lt;&gt;"",C1033,IF(P1033&lt;=IFERROR(INDEX(tblChannels[Watched Through],MATCH(N1033,tblChannels[Channel ID],0)),0),"Watched","Unwatched"))</f>
        <v/>
      </c>
      <c r="C1033" s="40" t="n"/>
      <c r="D1033" s="41" t="n"/>
      <c r="E1033" s="42" t="n">
        <v>44876.41666666666</v>
      </c>
      <c r="F1033" s="43" t="inlineStr">
        <is>
          <t>Popcorn Culture</t>
        </is>
      </c>
      <c r="G1033" t="inlineStr">
        <is>
          <t>You Look GOURD-geous | Popcorn Culture</t>
        </is>
      </c>
      <c r="H1033" s="44" t="n">
        <v>0.04775462962962963</v>
      </c>
      <c r="I1033" s="45" t="n">
        <v>5198</v>
      </c>
      <c r="J1033" s="45" t="n">
        <v>288</v>
      </c>
      <c r="K1033" s="45" t="n">
        <v>28</v>
      </c>
      <c r="L1033" s="46" t="n"/>
      <c r="M1033" s="47" t="n"/>
      <c r="N1033" s="47" t="inlineStr">
        <is>
          <t>UCHfIbq9thHPC8yrKjAdJgDA</t>
        </is>
      </c>
      <c r="O1033" s="48" t="n">
        <v>44876.625</v>
      </c>
      <c r="P1033" s="49" t="n">
        <v>44876</v>
      </c>
      <c r="Q1033" s="47" t="n">
        <v>2235</v>
      </c>
      <c r="R1033" s="47" t="inlineStr">
        <is>
          <t>No Video ID yet</t>
        </is>
      </c>
      <c r="S1033" s="49" t="n"/>
      <c r="T1033" s="49" t="n"/>
      <c r="U1033" s="47" t="inlineStr">
        <is>
          <t>In the 153rd episode of the Pop, Ben and J discuss Ben’s wedding sickness, Vegas, Weird Al, the Hokies bad season, front row seats, surprise bean plants, and Ben’s special pepper. Ocean’s Eleven - Weird Al - Albuquerque - Weird Al Biopic - Grunge Princess Did I Just Bellagio This Guy? Dive Bomb the Cellery Luke’s First Hokie Game So Now We’re Bean Farmers… You Got Pepper Jacked 00:00 - Intro, Pre-COVID Wedding Covid 07:31 - The When We Were Young Music Festival 23:40 - Weird Al Concert 31:41 - Hokie Game with Dad 53:15 - Gardening</t>
        </is>
      </c>
      <c r="V1033" s="47">
        <f>IF(AND(P1033&gt;=Calendar!$K$2,P1033&lt;EDATE(Calendar!$K$2,1),OR(Calendar!$K$4="*",N1033=Calendar!$K$4)),P1033*100+COUNTIFS($P$6:$P$3267,P1033,$Q$6:$Q$3267,"&lt;="&amp;Q1033,$N$6:$N$3267,Calendar!$K$4),"")</f>
        <v/>
      </c>
      <c r="W1033" s="47">
        <f>IF(AND(B1033=Queue!$C$4,OR(Queue!$K$4="*",N1033=Queue!$K$4)),Q1033,"")</f>
        <v/>
      </c>
    </row>
    <row r="1034">
      <c r="A1034" s="38">
        <f>IF(M1034="","",HYPERLINK("https://www.youtube.com/watch?v="&amp;M1034,"▶"))</f>
        <v/>
      </c>
      <c r="B1034" s="39">
        <f>IF(C1034&lt;&gt;"",C1034,IF(P1034&lt;=IFERROR(INDEX(tblChannels[Watched Through],MATCH(N1034,tblChannels[Channel ID],0)),0),"Watched","Unwatched"))</f>
        <v/>
      </c>
      <c r="C1034" s="40" t="n"/>
      <c r="D1034" s="41" t="n"/>
      <c r="E1034" s="42" t="n">
        <v>44875.625</v>
      </c>
      <c r="F1034" s="52" t="inlineStr">
        <is>
          <t>Super Carlin Gaming</t>
        </is>
      </c>
      <c r="G1034" t="inlineStr">
        <is>
          <t>The Most DEADLY Avalugg! |  Pokémon Legends: Arceus Nuzlocke #23</t>
        </is>
      </c>
      <c r="H1034" s="44" t="n">
        <v>0.02887731481481481</v>
      </c>
      <c r="I1034" s="45" t="n">
        <v>4360</v>
      </c>
      <c r="J1034" s="45" t="n">
        <v>253</v>
      </c>
      <c r="K1034" s="45" t="n">
        <v>47</v>
      </c>
      <c r="L1034" s="46" t="n"/>
      <c r="M1034" s="47" t="n"/>
      <c r="N1034" s="47" t="inlineStr">
        <is>
          <t>UCor_9jRnNNZVzTuQ92PKsaQ</t>
        </is>
      </c>
      <c r="O1034" s="48" t="n">
        <v>44875.83333333334</v>
      </c>
      <c r="P1034" s="49" t="n">
        <v>44875</v>
      </c>
      <c r="Q1034" s="47" t="n">
        <v>2234</v>
      </c>
      <c r="R1034" s="47" t="inlineStr">
        <is>
          <t>No Video ID yet</t>
        </is>
      </c>
      <c r="S1034" s="49" t="n"/>
      <c r="T1034" s="49" t="n"/>
      <c r="U1034" s="47" t="inlineStr">
        <is>
          <t>In today's episode, J takes on Lord of the Tundra Avalugg in an epic, icy battle that is SURE to be costly.</t>
        </is>
      </c>
      <c r="V1034" s="47">
        <f>IF(AND(P1034&gt;=Calendar!$K$2,P1034&lt;EDATE(Calendar!$K$2,1),OR(Calendar!$K$4="*",N1034=Calendar!$K$4)),P1034*100+COUNTIFS($P$6:$P$3267,P1034,$Q$6:$Q$3267,"&lt;="&amp;Q1034,$N$6:$N$3267,Calendar!$K$4),"")</f>
        <v/>
      </c>
      <c r="W1034" s="47">
        <f>IF(AND(B1034=Queue!$C$4,OR(Queue!$K$4="*",N1034=Queue!$K$4)),Q1034,"")</f>
        <v/>
      </c>
    </row>
    <row r="1035">
      <c r="A1035" s="38">
        <f>IF(M1035="","",HYPERLINK("https://www.youtube.com/watch?v="&amp;M1035,"▶"))</f>
        <v/>
      </c>
      <c r="B1035" s="39">
        <f>IF(C1035&lt;&gt;"",C1035,IF(P1035&lt;=IFERROR(INDEX(tblChannels[Watched Through],MATCH(N1035,tblChannels[Channel ID],0)),0),"Watched","Unwatched"))</f>
        <v/>
      </c>
      <c r="C1035" s="40" t="n"/>
      <c r="D1035" s="41" t="n"/>
      <c r="E1035" s="42" t="n">
        <v>44874.64097222222</v>
      </c>
      <c r="F1035" s="50" t="inlineStr">
        <is>
          <t>Super Carlin Brothers</t>
        </is>
      </c>
      <c r="G1035" t="inlineStr">
        <is>
          <t>The Movies FAILED Ron Weasley | Harry Potter Film Theory</t>
        </is>
      </c>
      <c r="H1035" s="44" t="n">
        <v>0.01178240740740741</v>
      </c>
      <c r="I1035" s="45" t="n">
        <v>346042</v>
      </c>
      <c r="J1035" s="45" t="n">
        <v>15781</v>
      </c>
      <c r="K1035" s="45" t="n">
        <v>1858</v>
      </c>
      <c r="L1035" s="46" t="n"/>
      <c r="M1035" s="47" t="n"/>
      <c r="N1035" s="47" t="inlineStr">
        <is>
          <t>UCKZo4N0lVPccBkSiuyVh4yg</t>
        </is>
      </c>
      <c r="O1035" s="48" t="n">
        <v>44874.84930555556</v>
      </c>
      <c r="P1035" s="49" t="n">
        <v>44874</v>
      </c>
      <c r="Q1035" s="47" t="n">
        <v>2233</v>
      </c>
      <c r="R1035" s="47" t="inlineStr">
        <is>
          <t>No Video ID yet</t>
        </is>
      </c>
      <c r="S1035" s="49" t="n"/>
      <c r="T1035" s="49" t="n"/>
      <c r="U1035" s="47" t="inlineStr">
        <is>
          <t>Go to to cut your wireless bill to $15 a month. Today J dives into the Wizarding World of Harry Potter to reveal how the Harry Potter movies completely and utterly failed Ron Weasley.</t>
        </is>
      </c>
      <c r="V1035" s="47">
        <f>IF(AND(P1035&gt;=Calendar!$K$2,P1035&lt;EDATE(Calendar!$K$2,1),OR(Calendar!$K$4="*",N1035=Calendar!$K$4)),P1035*100+COUNTIFS($P$6:$P$3267,P1035,$Q$6:$Q$3267,"&lt;="&amp;Q1035,$N$6:$N$3267,Calendar!$K$4),"")</f>
        <v/>
      </c>
      <c r="W1035" s="47">
        <f>IF(AND(B1035=Queue!$C$4,OR(Queue!$K$4="*",N1035=Queue!$K$4)),Q1035,"")</f>
        <v/>
      </c>
    </row>
    <row r="1036">
      <c r="A1036" s="38">
        <f>IF(M1036="","",HYPERLINK("https://www.youtube.com/watch?v="&amp;M1036,"▶"))</f>
        <v/>
      </c>
      <c r="B1036" s="39">
        <f>IF(C1036&lt;&gt;"",C1036,IF(P1036&lt;=IFERROR(INDEX(tblChannels[Watched Through],MATCH(N1036,tblChannels[Channel ID],0)),0),"Watched","Unwatched"))</f>
        <v/>
      </c>
      <c r="C1036" s="40" t="n"/>
      <c r="D1036" s="41" t="n"/>
      <c r="E1036" s="42" t="n">
        <v>44873.58333333334</v>
      </c>
      <c r="F1036" s="52" t="inlineStr">
        <is>
          <t>Super Carlin Gaming</t>
        </is>
      </c>
      <c r="G1036" t="inlineStr">
        <is>
          <t>ALT ART  PERRSERKER PULL| Carlin Brothers Box Breakers S2/E4</t>
        </is>
      </c>
      <c r="H1036" s="44" t="n">
        <v>0.03719907407407407</v>
      </c>
      <c r="I1036" s="45" t="n">
        <v>3422</v>
      </c>
      <c r="J1036" s="45" t="n">
        <v>186</v>
      </c>
      <c r="K1036" s="45" t="n">
        <v>18</v>
      </c>
      <c r="L1036" s="46" t="n"/>
      <c r="M1036" s="47" t="n"/>
      <c r="N1036" s="47" t="inlineStr">
        <is>
          <t>UCor_9jRnNNZVzTuQ92PKsaQ</t>
        </is>
      </c>
      <c r="O1036" s="48" t="n">
        <v>44873.79166666666</v>
      </c>
      <c r="P1036" s="49" t="n">
        <v>44873</v>
      </c>
      <c r="Q1036" s="47" t="n">
        <v>2232</v>
      </c>
      <c r="R1036" s="47" t="inlineStr">
        <is>
          <t>No Video ID yet</t>
        </is>
      </c>
      <c r="S1036" s="49" t="n"/>
      <c r="T1036" s="49" t="n"/>
      <c r="U1036" s="47" t="inlineStr">
        <is>
          <t>This week we continue our unboxing of Lost Origin! Who will grab today's top pull?! Who will make best use of the type advantage?!</t>
        </is>
      </c>
      <c r="V1036" s="47">
        <f>IF(AND(P1036&gt;=Calendar!$K$2,P1036&lt;EDATE(Calendar!$K$2,1),OR(Calendar!$K$4="*",N1036=Calendar!$K$4)),P1036*100+COUNTIFS($P$6:$P$3267,P1036,$Q$6:$Q$3267,"&lt;="&amp;Q1036,$N$6:$N$3267,Calendar!$K$4),"")</f>
        <v/>
      </c>
      <c r="W1036" s="47">
        <f>IF(AND(B1036=Queue!$C$4,OR(Queue!$K$4="*",N1036=Queue!$K$4)),Q1036,"")</f>
        <v/>
      </c>
    </row>
    <row r="1037">
      <c r="A1037" s="38">
        <f>IF(M1037="","",HYPERLINK("https://www.youtube.com/watch?v="&amp;M1037,"▶"))</f>
        <v/>
      </c>
      <c r="B1037" s="39">
        <f>IF(C1037&lt;&gt;"",C1037,IF(P1037&lt;=IFERROR(INDEX(tblChannels[Watched Through],MATCH(N1037,tblChannels[Channel ID],0)),0),"Watched","Unwatched"))</f>
        <v/>
      </c>
      <c r="C1037" s="40" t="n"/>
      <c r="D1037" s="41" t="n"/>
      <c r="E1037" s="42" t="n">
        <v>44869.84583333333</v>
      </c>
      <c r="F1037" s="50" t="inlineStr">
        <is>
          <t>Super Carlin Brothers</t>
        </is>
      </c>
      <c r="G1037" t="inlineStr">
        <is>
          <t>ALL FANDOM TRIVIA - November 2022</t>
        </is>
      </c>
      <c r="H1037" s="44" t="n">
        <v>0.09358796296296296</v>
      </c>
      <c r="I1037" s="45" t="n">
        <v>29121</v>
      </c>
      <c r="J1037" s="45" t="n">
        <v>728</v>
      </c>
      <c r="K1037" s="45" t="n">
        <v>47</v>
      </c>
      <c r="L1037" s="46" t="n"/>
      <c r="M1037" s="47" t="n"/>
      <c r="N1037" s="47" t="inlineStr">
        <is>
          <t>UCKZo4N0lVPccBkSiuyVh4yg</t>
        </is>
      </c>
      <c r="O1037" s="48" t="n">
        <v>44870.0125</v>
      </c>
      <c r="P1037" s="49" t="n">
        <v>44869</v>
      </c>
      <c r="Q1037" s="47" t="n">
        <v>2231</v>
      </c>
      <c r="R1037" s="47" t="inlineStr">
        <is>
          <t>No Video ID yet</t>
        </is>
      </c>
      <c r="S1037" s="49" t="n"/>
      <c r="T1037" s="49" t="n"/>
      <c r="U1037" s="47" t="inlineStr">
        <is>
          <t>Get excited for some super fun CBC product announcements! Come join us and test your knowledge of Disney, Pixar, Star Wars, Marvel, Harry Potter and Avatar the Last Airbender! If you were one of the top 5 winners email secretcarlinbrothers@gmail.com. First place winners get a choice of one animal mug. 2nd-5th place winners get a $10 gift card to Holiday Blend: Animal Mug: Crest Tankard: Chocolate Covered Oranges:</t>
        </is>
      </c>
      <c r="V1037" s="47">
        <f>IF(AND(P1037&gt;=Calendar!$K$2,P1037&lt;EDATE(Calendar!$K$2,1),OR(Calendar!$K$4="*",N1037=Calendar!$K$4)),P1037*100+COUNTIFS($P$6:$P$3267,P1037,$Q$6:$Q$3267,"&lt;="&amp;Q1037,$N$6:$N$3267,Calendar!$K$4),"")</f>
        <v/>
      </c>
      <c r="W1037" s="47">
        <f>IF(AND(B1037=Queue!$C$4,OR(Queue!$K$4="*",N1037=Queue!$K$4)),Q1037,"")</f>
        <v/>
      </c>
    </row>
    <row r="1038">
      <c r="A1038" s="38">
        <f>IF(M1038="","",HYPERLINK("https://www.youtube.com/watch?v="&amp;M1038,"▶"))</f>
        <v/>
      </c>
      <c r="B1038" s="39">
        <f>IF(C1038&lt;&gt;"",C1038,IF(P1038&lt;=IFERROR(INDEX(tblChannels[Watched Through],MATCH(N1038,tblChannels[Channel ID],0)),0),"Watched","Unwatched"))</f>
        <v/>
      </c>
      <c r="C1038" s="40" t="n"/>
      <c r="D1038" s="41" t="n"/>
      <c r="E1038" s="42" t="n">
        <v>44869.55763888889</v>
      </c>
      <c r="F1038" s="50" t="inlineStr">
        <is>
          <t>Super Carlin Brothers</t>
        </is>
      </c>
      <c r="G1038" t="inlineStr">
        <is>
          <t>Does Lightyear Prove Wall-E NEVER Happened? | Pixar Film Theory</t>
        </is>
      </c>
      <c r="H1038" s="44" t="n">
        <v>0.01087962962962963</v>
      </c>
      <c r="I1038" s="45" t="n">
        <v>115255</v>
      </c>
      <c r="J1038" s="45" t="n">
        <v>5421</v>
      </c>
      <c r="K1038" s="45" t="n">
        <v>529</v>
      </c>
      <c r="L1038" s="46" t="n"/>
      <c r="M1038" s="47" t="n"/>
      <c r="N1038" s="47" t="inlineStr">
        <is>
          <t>UCKZo4N0lVPccBkSiuyVh4yg</t>
        </is>
      </c>
      <c r="O1038" s="48" t="n">
        <v>44869.72430555556</v>
      </c>
      <c r="P1038" s="49" t="n">
        <v>44869</v>
      </c>
      <c r="Q1038" s="47" t="n">
        <v>2230</v>
      </c>
      <c r="R1038" s="47" t="inlineStr">
        <is>
          <t>No Video ID yet</t>
        </is>
      </c>
      <c r="S1038" s="49" t="n"/>
      <c r="T1038" s="49" t="n"/>
      <c r="U1038" s="47" t="inlineStr">
        <is>
          <t>Get 20% off your first monthly box when you sign up at Today dives into the world of the Pixar Theory and examines every Easter Egg in Lightyear to try and figure out if any other movies in the universe were actually just movies inside of movies! #supercarlinbrothers #Pixar #PixarTheory</t>
        </is>
      </c>
      <c r="V1038" s="47">
        <f>IF(AND(P1038&gt;=Calendar!$K$2,P1038&lt;EDATE(Calendar!$K$2,1),OR(Calendar!$K$4="*",N1038=Calendar!$K$4)),P1038*100+COUNTIFS($P$6:$P$3267,P1038,$Q$6:$Q$3267,"&lt;="&amp;Q1038,$N$6:$N$3267,Calendar!$K$4),"")</f>
        <v/>
      </c>
      <c r="W1038" s="47">
        <f>IF(AND(B1038=Queue!$C$4,OR(Queue!$K$4="*",N1038=Queue!$K$4)),Q1038,"")</f>
        <v/>
      </c>
    </row>
    <row r="1039">
      <c r="A1039" s="38">
        <f>IF(M1039="","",HYPERLINK("https://www.youtube.com/watch?v="&amp;M1039,"▶"))</f>
        <v/>
      </c>
      <c r="B1039" s="39">
        <f>IF(C1039&lt;&gt;"",C1039,IF(P1039&lt;=IFERROR(INDEX(tblChannels[Watched Through],MATCH(N1039,tblChannels[Channel ID],0)),0),"Watched","Unwatched"))</f>
        <v/>
      </c>
      <c r="C1039" s="40" t="n"/>
      <c r="D1039" s="41" t="n"/>
      <c r="E1039" s="42" t="n">
        <v>44869.42013888889</v>
      </c>
      <c r="F1039" s="43" t="inlineStr">
        <is>
          <t>Popcorn Culture</t>
        </is>
      </c>
      <c r="G1039" t="inlineStr">
        <is>
          <t>Memory Lane | Popcorn Culture</t>
        </is>
      </c>
      <c r="H1039" s="44" t="n">
        <v>0.03987268518518518</v>
      </c>
      <c r="I1039" s="45" t="n">
        <v>6597</v>
      </c>
      <c r="J1039" s="45" t="n">
        <v>357</v>
      </c>
      <c r="K1039" s="45" t="n">
        <v>36</v>
      </c>
      <c r="L1039" s="46" t="n"/>
      <c r="M1039" s="47" t="n"/>
      <c r="N1039" s="47" t="inlineStr">
        <is>
          <t>UCHfIbq9thHPC8yrKjAdJgDA</t>
        </is>
      </c>
      <c r="O1039" s="48" t="n">
        <v>44869.58680555555</v>
      </c>
      <c r="P1039" s="49" t="n">
        <v>44869</v>
      </c>
      <c r="Q1039" s="47" t="n">
        <v>2229</v>
      </c>
      <c r="R1039" s="47" t="inlineStr">
        <is>
          <t>No Video ID yet</t>
        </is>
      </c>
      <c r="S1039" s="49" t="n"/>
      <c r="T1039" s="49" t="n"/>
      <c r="U1039" s="47" t="inlineStr">
        <is>
          <t>In the 152nd episode of the Pop Ben and J discuss... well nothing because Ben is unexpectedly out of office! In the meantime, please enjoy this walk down memory lane with some of our favorite moments of Popcorn Culture over the last year. 00:00 Intros 06:54 Hand Farts 09:33 Walmart Batman 14:21 Full Contact Sledding 16:24 I Don’t Have Any Penguins 18:06 Straw to Space 20:50 The Speggi And Meatballs Diet 22:12 The Truth about Kim K 26:12 Stabbed Pretending to be a Snowman 31:47 Knocking Over A Bounce House 37:59 CROCS 42:28 Lukes Deductive Reasoning 46:20 THE KEY TO THE ODYSSEY 50:12 The Washington Dinosaurs 56:00 Fpoon 56:56 Outro</t>
        </is>
      </c>
      <c r="V1039" s="47">
        <f>IF(AND(P1039&gt;=Calendar!$K$2,P1039&lt;EDATE(Calendar!$K$2,1),OR(Calendar!$K$4="*",N1039=Calendar!$K$4)),P1039*100+COUNTIFS($P$6:$P$3267,P1039,$Q$6:$Q$3267,"&lt;="&amp;Q1039,$N$6:$N$3267,Calendar!$K$4),"")</f>
        <v/>
      </c>
      <c r="W1039" s="47">
        <f>IF(AND(B1039=Queue!$C$4,OR(Queue!$K$4="*",N1039=Queue!$K$4)),Q1039,"")</f>
        <v/>
      </c>
    </row>
    <row r="1040">
      <c r="A1040" s="38">
        <f>IF(M1040="","",HYPERLINK("https://www.youtube.com/watch?v="&amp;M1040,"▶"))</f>
        <v/>
      </c>
      <c r="B1040" s="39">
        <f>IF(C1040&lt;&gt;"",C1040,IF(P1040&lt;=IFERROR(INDEX(tblChannels[Watched Through],MATCH(N1040,tblChannels[Channel ID],0)),0),"Watched","Unwatched"))</f>
        <v/>
      </c>
      <c r="C1040" s="40" t="n"/>
      <c r="D1040" s="41" t="n"/>
      <c r="E1040" s="42" t="n">
        <v>44867.64513888889</v>
      </c>
      <c r="F1040" s="50" t="inlineStr">
        <is>
          <t>Super Carlin Brothers</t>
        </is>
      </c>
      <c r="G1040" t="inlineStr">
        <is>
          <t>The TRUTH About Emperor Zurg | Pixar Film Theory</t>
        </is>
      </c>
      <c r="H1040" s="44" t="n">
        <v>0.01010416666666667</v>
      </c>
      <c r="I1040" s="45" t="n">
        <v>137548</v>
      </c>
      <c r="J1040" s="45" t="n">
        <v>6753</v>
      </c>
      <c r="K1040" s="45" t="n">
        <v>495</v>
      </c>
      <c r="L1040" s="46" t="n"/>
      <c r="M1040" s="47" t="n"/>
      <c r="N1040" s="47" t="inlineStr">
        <is>
          <t>UCKZo4N0lVPccBkSiuyVh4yg</t>
        </is>
      </c>
      <c r="O1040" s="48" t="n">
        <v>44867.81180555555</v>
      </c>
      <c r="P1040" s="49" t="n">
        <v>44867</v>
      </c>
      <c r="Q1040" s="47" t="n">
        <v>2228</v>
      </c>
      <c r="R1040" s="47" t="inlineStr">
        <is>
          <t>No Video ID yet</t>
        </is>
      </c>
      <c r="S1040" s="49" t="n"/>
      <c r="T1040" s="49" t="n"/>
      <c r="U1040" s="47" t="inlineStr">
        <is>
          <t>Go to to get 20% off plus free shipping. Today J dives into the ever expanding world of the Pixar Theory to reveal the stunning truth about Lightyear’s infamous Villain: Evil Emperor Zurg! #supercarlinbrothers #Pixar #PixarTheory</t>
        </is>
      </c>
      <c r="V1040" s="47">
        <f>IF(AND(P1040&gt;=Calendar!$K$2,P1040&lt;EDATE(Calendar!$K$2,1),OR(Calendar!$K$4="*",N1040=Calendar!$K$4)),P1040*100+COUNTIFS($P$6:$P$3267,P1040,$Q$6:$Q$3267,"&lt;="&amp;Q1040,$N$6:$N$3267,Calendar!$K$4),"")</f>
        <v/>
      </c>
      <c r="W1040" s="47">
        <f>IF(AND(B1040=Queue!$C$4,OR(Queue!$K$4="*",N1040=Queue!$K$4)),Q1040,"")</f>
        <v/>
      </c>
    </row>
    <row r="1041">
      <c r="A1041" s="38">
        <f>IF(M1041="","",HYPERLINK("https://www.youtube.com/watch?v="&amp;M1041,"▶"))</f>
        <v/>
      </c>
      <c r="B1041" s="39">
        <f>IF(C1041&lt;&gt;"",C1041,IF(P1041&lt;=IFERROR(INDEX(tblChannels[Watched Through],MATCH(N1041,tblChannels[Channel ID],0)),0),"Watched","Unwatched"))</f>
        <v/>
      </c>
      <c r="C1041" s="40" t="n"/>
      <c r="D1041" s="41" t="n"/>
      <c r="E1041" s="42" t="n">
        <v>44867.625</v>
      </c>
      <c r="F1041" s="52" t="inlineStr">
        <is>
          <t>Super Carlin Gaming</t>
        </is>
      </c>
      <c r="G1041" t="inlineStr">
        <is>
          <t>The Great Golem of Snowpoint Temple |  Pokémon Legends: Arceus Nuzlocke #22</t>
        </is>
      </c>
      <c r="H1041" s="44" t="n">
        <v>0.02136574074074074</v>
      </c>
      <c r="I1041" s="45" t="n">
        <v>3311</v>
      </c>
      <c r="J1041" s="45" t="n">
        <v>247</v>
      </c>
      <c r="K1041" s="45" t="n">
        <v>71</v>
      </c>
      <c r="L1041" s="46" t="n"/>
      <c r="M1041" s="47" t="n"/>
      <c r="N1041" s="47" t="inlineStr">
        <is>
          <t>UCor_9jRnNNZVzTuQ92PKsaQ</t>
        </is>
      </c>
      <c r="O1041" s="48" t="n">
        <v>44867.79166666666</v>
      </c>
      <c r="P1041" s="49" t="n">
        <v>44867</v>
      </c>
      <c r="Q1041" s="47" t="n">
        <v>2227</v>
      </c>
      <c r="R1041" s="47" t="inlineStr">
        <is>
          <t>No Video ID yet</t>
        </is>
      </c>
      <c r="S1041" s="49" t="n"/>
      <c r="T1041" s="49" t="n"/>
      <c r="U1041" s="47" t="inlineStr">
        <is>
          <t>Led by their fearless Golem Gneiss, J and the team make their way through Snowpoint Temple and attempt to get to Braviary. But will an unexpected young foe halt the entire quest?</t>
        </is>
      </c>
      <c r="V1041" s="47">
        <f>IF(AND(P1041&gt;=Calendar!$K$2,P1041&lt;EDATE(Calendar!$K$2,1),OR(Calendar!$K$4="*",N1041=Calendar!$K$4)),P1041*100+COUNTIFS($P$6:$P$3267,P1041,$Q$6:$Q$3267,"&lt;="&amp;Q1041,$N$6:$N$3267,Calendar!$K$4),"")</f>
        <v/>
      </c>
      <c r="W1041" s="47">
        <f>IF(AND(B1041=Queue!$C$4,OR(Queue!$K$4="*",N1041=Queue!$K$4)),Q1041,"")</f>
        <v/>
      </c>
    </row>
    <row r="1042">
      <c r="A1042" s="38">
        <f>IF(M1042="","",HYPERLINK("https://www.youtube.com/watch?v="&amp;M1042,"▶"))</f>
        <v/>
      </c>
      <c r="B1042" s="39">
        <f>IF(C1042&lt;&gt;"",C1042,IF(P1042&lt;=IFERROR(INDEX(tblChannels[Watched Through],MATCH(N1042,tblChannels[Channel ID],0)),0),"Watched","Unwatched"))</f>
        <v/>
      </c>
      <c r="C1042" s="40" t="n"/>
      <c r="D1042" s="41" t="n"/>
      <c r="E1042" s="42" t="n">
        <v>44862.70694444444</v>
      </c>
      <c r="F1042" s="50" t="inlineStr">
        <is>
          <t>Super Carlin Brothers</t>
        </is>
      </c>
      <c r="G1042" t="inlineStr">
        <is>
          <t>PROOF That Carl Just Imagined Everything in Up | Pixar Film Theory</t>
        </is>
      </c>
      <c r="H1042" s="44" t="n">
        <v>0.01321759259259259</v>
      </c>
      <c r="I1042" s="45" t="n">
        <v>217126</v>
      </c>
      <c r="J1042" s="45" t="n">
        <v>9194</v>
      </c>
      <c r="K1042" s="45" t="n">
        <v>803</v>
      </c>
      <c r="L1042" s="46" t="n"/>
      <c r="M1042" s="47" t="n"/>
      <c r="N1042" s="47" t="inlineStr">
        <is>
          <t>UCKZo4N0lVPccBkSiuyVh4yg</t>
        </is>
      </c>
      <c r="O1042" s="48" t="n">
        <v>44862.87361111111</v>
      </c>
      <c r="P1042" s="49" t="n">
        <v>44862</v>
      </c>
      <c r="Q1042" s="47" t="n">
        <v>2226</v>
      </c>
      <c r="R1042" s="47" t="inlineStr">
        <is>
          <t>No Video ID yet</t>
        </is>
      </c>
      <c r="S1042" s="49" t="n"/>
      <c r="T1042" s="49" t="n"/>
      <c r="U1042" s="47" t="inlineStr">
        <is>
          <t>Today J dives into the ever expanding world of the Pixar Theory to reveal how a blink and you miss it easter egg in Turning Red confirms an old theory that Carl from Up was just imagining the entire trip to Paradise Falls. #supercarlinbrothers #Pixar #PixarTheory</t>
        </is>
      </c>
      <c r="V1042" s="47">
        <f>IF(AND(P1042&gt;=Calendar!$K$2,P1042&lt;EDATE(Calendar!$K$2,1),OR(Calendar!$K$4="*",N1042=Calendar!$K$4)),P1042*100+COUNTIFS($P$6:$P$3267,P1042,$Q$6:$Q$3267,"&lt;="&amp;Q1042,$N$6:$N$3267,Calendar!$K$4),"")</f>
        <v/>
      </c>
      <c r="W1042" s="47">
        <f>IF(AND(B1042=Queue!$C$4,OR(Queue!$K$4="*",N1042=Queue!$K$4)),Q1042,"")</f>
        <v/>
      </c>
    </row>
    <row r="1043">
      <c r="A1043" s="38">
        <f>IF(M1043="","",HYPERLINK("https://www.youtube.com/watch?v="&amp;M1043,"▶"))</f>
        <v/>
      </c>
      <c r="B1043" s="39">
        <f>IF(C1043&lt;&gt;"",C1043,IF(P1043&lt;=IFERROR(INDEX(tblChannels[Watched Through],MATCH(N1043,tblChannels[Channel ID],0)),0),"Watched","Unwatched"))</f>
        <v/>
      </c>
      <c r="C1043" s="40" t="n"/>
      <c r="D1043" s="41" t="n"/>
      <c r="E1043" s="42" t="n">
        <v>44862.67708333334</v>
      </c>
      <c r="F1043" s="52" t="inlineStr">
        <is>
          <t>Super Carlin Gaming</t>
        </is>
      </c>
      <c r="G1043" t="inlineStr">
        <is>
          <t>SOMEONE STRIKES GOLD | Box Breakers S2/E3</t>
        </is>
      </c>
      <c r="H1043" s="44" t="n">
        <v>0.03298611111111111</v>
      </c>
      <c r="I1043" s="45" t="n">
        <v>3274</v>
      </c>
      <c r="J1043" s="45" t="n">
        <v>169</v>
      </c>
      <c r="K1043" s="45" t="n">
        <v>26</v>
      </c>
      <c r="L1043" s="46" t="n"/>
      <c r="M1043" s="47" t="n"/>
      <c r="N1043" s="47" t="inlineStr">
        <is>
          <t>UCor_9jRnNNZVzTuQ92PKsaQ</t>
        </is>
      </c>
      <c r="O1043" s="48" t="n">
        <v>44862.84375</v>
      </c>
      <c r="P1043" s="49" t="n">
        <v>44862</v>
      </c>
      <c r="Q1043" s="47" t="n">
        <v>2225</v>
      </c>
      <c r="R1043" s="47" t="inlineStr">
        <is>
          <t>No Video ID yet</t>
        </is>
      </c>
      <c r="S1043" s="49" t="n"/>
      <c r="T1043" s="49" t="n"/>
      <c r="U1043" s="47" t="inlineStr">
        <is>
          <t>This week we continue our unboxing of Lost Origin! Who will grab today's top pull?! Who will make best use of the type advantage?!</t>
        </is>
      </c>
      <c r="V1043" s="47">
        <f>IF(AND(P1043&gt;=Calendar!$K$2,P1043&lt;EDATE(Calendar!$K$2,1),OR(Calendar!$K$4="*",N1043=Calendar!$K$4)),P1043*100+COUNTIFS($P$6:$P$3267,P1043,$Q$6:$Q$3267,"&lt;="&amp;Q1043,$N$6:$N$3267,Calendar!$K$4),"")</f>
        <v/>
      </c>
      <c r="W1043" s="47">
        <f>IF(AND(B1043=Queue!$C$4,OR(Queue!$K$4="*",N1043=Queue!$K$4)),Q1043,"")</f>
        <v/>
      </c>
    </row>
    <row r="1044">
      <c r="A1044" s="38">
        <f>IF(M1044="","",HYPERLINK("https://www.youtube.com/watch?v="&amp;M1044,"▶"))</f>
        <v/>
      </c>
      <c r="B1044" s="39">
        <f>IF(C1044&lt;&gt;"",C1044,IF(P1044&lt;=IFERROR(INDEX(tblChannels[Watched Through],MATCH(N1044,tblChannels[Channel ID],0)),0),"Watched","Unwatched"))</f>
        <v/>
      </c>
      <c r="C1044" s="40" t="n"/>
      <c r="D1044" s="41" t="n"/>
      <c r="E1044" s="42" t="n">
        <v>44862.41666666666</v>
      </c>
      <c r="F1044" s="43" t="inlineStr">
        <is>
          <t>Popcorn Culture</t>
        </is>
      </c>
      <c r="G1044" t="inlineStr">
        <is>
          <t>The Tale of Tweet Tweet | Popcorn Culture</t>
        </is>
      </c>
      <c r="H1044" s="44" t="n">
        <v>0.05096064814814815</v>
      </c>
      <c r="I1044" s="45" t="n">
        <v>7553</v>
      </c>
      <c r="J1044" s="45" t="n">
        <v>344</v>
      </c>
      <c r="K1044" s="45" t="n">
        <v>38</v>
      </c>
      <c r="L1044" s="46" t="n"/>
      <c r="M1044" s="47" t="n"/>
      <c r="N1044" s="47" t="inlineStr">
        <is>
          <t>UCHfIbq9thHPC8yrKjAdJgDA</t>
        </is>
      </c>
      <c r="O1044" s="48" t="n">
        <v>44862.58333333334</v>
      </c>
      <c r="P1044" s="49" t="n">
        <v>44862</v>
      </c>
      <c r="Q1044" s="47" t="n">
        <v>2224</v>
      </c>
      <c r="R1044" s="47" t="inlineStr">
        <is>
          <t>No Video ID yet</t>
        </is>
      </c>
      <c r="S1044" s="49" t="n"/>
      <c r="T1044" s="49" t="n"/>
      <c r="U1044" s="47" t="inlineStr">
        <is>
          <t>In the 151st episode of the Pop, Ben and J discuss being in your 30s, ATVs, snorkeling regulations, conferences, Addy’s birthday, sleeping mind emotions, crossword puzzles, Weird Al, naming the Berglund, When We Were Young, TekDeks, and Luke’s bird story. Cute Addy Video - Try Guys Crossword Puzzle Video - Inside Out - Weird Al - Coolio - When We Were Young - Extremely Goofy Movie - Dirty Thirties But What If There Are Sharks? 20 MPH High Five Crossword Brain “I Wanna Write a Bible” 00:00 - Intro, Ben’s Birthday, ATVs and Other Adventures 22:34 - Addy’s 1st Birthday 43:41 - Concerts and Music Festivals 1:05:09 - Tweet Tweet</t>
        </is>
      </c>
      <c r="V1044" s="47">
        <f>IF(AND(P1044&gt;=Calendar!$K$2,P1044&lt;EDATE(Calendar!$K$2,1),OR(Calendar!$K$4="*",N1044=Calendar!$K$4)),P1044*100+COUNTIFS($P$6:$P$3267,P1044,$Q$6:$Q$3267,"&lt;="&amp;Q1044,$N$6:$N$3267,Calendar!$K$4),"")</f>
        <v/>
      </c>
      <c r="W1044" s="47">
        <f>IF(AND(B1044=Queue!$C$4,OR(Queue!$K$4="*",N1044=Queue!$K$4)),Q1044,"")</f>
        <v/>
      </c>
    </row>
    <row r="1045">
      <c r="A1045" s="38">
        <f>IF(M1045="","",HYPERLINK("https://www.youtube.com/watch?v="&amp;M1045,"▶"))</f>
        <v/>
      </c>
      <c r="B1045" s="39">
        <f>IF(C1045&lt;&gt;"",C1045,IF(P1045&lt;=IFERROR(INDEX(tblChannels[Watched Through],MATCH(N1045,tblChannels[Channel ID],0)),0),"Watched","Unwatched"))</f>
        <v/>
      </c>
      <c r="C1045" s="40" t="n"/>
      <c r="D1045" s="41" t="n"/>
      <c r="E1045" s="42" t="n">
        <v>44861.58333333334</v>
      </c>
      <c r="F1045" s="53" t="inlineStr">
        <is>
          <t>Jonathan Carlin</t>
        </is>
      </c>
      <c r="G1045" t="inlineStr">
        <is>
          <t>Beth Runs the Chicago Marathon!</t>
        </is>
      </c>
      <c r="H1045" s="44" t="n">
        <v>0.0112962962962963</v>
      </c>
      <c r="I1045" s="45" t="n">
        <v>10951</v>
      </c>
      <c r="J1045" s="45" t="n">
        <v>640</v>
      </c>
      <c r="K1045" s="45" t="n">
        <v>57</v>
      </c>
      <c r="L1045" s="46" t="n"/>
      <c r="M1045" s="47" t="n"/>
      <c r="N1045" s="47" t="inlineStr">
        <is>
          <t>UCYPKFe86e6nm4TVUYKLsFUQ</t>
        </is>
      </c>
      <c r="O1045" s="48" t="n">
        <v>44861.75</v>
      </c>
      <c r="P1045" s="49" t="n">
        <v>44861</v>
      </c>
      <c r="Q1045" s="47" t="n">
        <v>2223</v>
      </c>
      <c r="R1045" s="47" t="inlineStr">
        <is>
          <t>No Video ID yet</t>
        </is>
      </c>
      <c r="S1045" s="49" t="n"/>
      <c r="T1045" s="49" t="n"/>
      <c r="U1045" s="47" t="inlineStr">
        <is>
          <t>This week Beth and J head to Chicago and Beth runs her first ever Marathon!! We also check out an architecture tour, a food tour, eat lots of food and J goes exploring Edited by Ethan Edghill</t>
        </is>
      </c>
      <c r="V1045" s="47">
        <f>IF(AND(P1045&gt;=Calendar!$K$2,P1045&lt;EDATE(Calendar!$K$2,1),OR(Calendar!$K$4="*",N1045=Calendar!$K$4)),P1045*100+COUNTIFS($P$6:$P$3267,P1045,$Q$6:$Q$3267,"&lt;="&amp;Q1045,$N$6:$N$3267,Calendar!$K$4),"")</f>
        <v/>
      </c>
      <c r="W1045" s="47">
        <f>IF(AND(B1045=Queue!$C$4,OR(Queue!$K$4="*",N1045=Queue!$K$4)),Q1045,"")</f>
        <v/>
      </c>
    </row>
    <row r="1046">
      <c r="A1046" s="38">
        <f>IF(M1046="","",HYPERLINK("https://www.youtube.com/watch?v="&amp;M1046,"▶"))</f>
        <v/>
      </c>
      <c r="B1046" s="39">
        <f>IF(C1046&lt;&gt;"",C1046,IF(P1046&lt;=IFERROR(INDEX(tblChannels[Watched Through],MATCH(N1046,tblChannels[Channel ID],0)),0),"Watched","Unwatched"))</f>
        <v/>
      </c>
      <c r="C1046" s="40" t="n"/>
      <c r="D1046" s="41" t="n"/>
      <c r="E1046" s="42" t="n">
        <v>44859.79861111111</v>
      </c>
      <c r="F1046" s="50" t="inlineStr">
        <is>
          <t>Super Carlin Brothers</t>
        </is>
      </c>
      <c r="G1046" t="inlineStr">
        <is>
          <t>J vs Ben: ULTIMATE Disney Villain Trivia Quiz | BEAN BOOZLED PUNISHMENT</t>
        </is>
      </c>
      <c r="H1046" s="44" t="n">
        <v>0.03391203703703704</v>
      </c>
      <c r="I1046" s="45" t="n">
        <v>235879</v>
      </c>
      <c r="J1046" s="45" t="n">
        <v>7536</v>
      </c>
      <c r="K1046" s="45" t="n">
        <v>934</v>
      </c>
      <c r="L1046" s="46" t="n"/>
      <c r="M1046" s="47" t="n"/>
      <c r="N1046" s="47" t="inlineStr">
        <is>
          <t>UCKZo4N0lVPccBkSiuyVh4yg</t>
        </is>
      </c>
      <c r="O1046" s="48" t="n">
        <v>44859.96527777778</v>
      </c>
      <c r="P1046" s="49" t="n">
        <v>44859</v>
      </c>
      <c r="Q1046" s="47" t="n">
        <v>2222</v>
      </c>
      <c r="R1046" s="47" t="inlineStr">
        <is>
          <t>No Video ID yet</t>
        </is>
      </c>
      <c r="S1046" s="49" t="n"/>
      <c r="T1046" s="49" t="n"/>
      <c r="U1046" s="47" t="inlineStr">
        <is>
          <t>Go to to get Honey for Free! Get your single flavor beans today! Today J and Ben face off once more to find out who knows the most about Disney’s most notorious characters and villains BUT if they get a question wrong, they have to eat a bean from the dreaded Bean Boozled Box! 02:57 - Who repeatedly exclaims "Off with their heads"? 04:29 - Who are Lady Tremaine's daughters? 08:55 - What is Scar's original name? 14:49 - Who is the leader of the Hun army? 17:26 - Who does not die by falling? 22:49 - What were Jafar's four wishes? 25:46 - Which Disney villain sang the lyrics "I admit..." (ff)? 26:48 - What was Jafar's title? 28:53 - What is the name of Cruella De Vil's house? 34:43 - What does Hades give to baby Hercules? 38:00 - What name is Dr. Facilier commonly know as? 39:41 - Which song needed two voice actors for the same character? 40:44 - What dish does Mother Gothel say she's going to make for Rapunzel's birthday? 42:37 - What is the name of Governor Ratcliffe's pug? 43:47 - Who is "scary beyond all reason"? #supercarlinbrothers #Disney #</t>
        </is>
      </c>
      <c r="V1046" s="47">
        <f>IF(AND(P1046&gt;=Calendar!$K$2,P1046&lt;EDATE(Calendar!$K$2,1),OR(Calendar!$K$4="*",N1046=Calendar!$K$4)),P1046*100+COUNTIFS($P$6:$P$3267,P1046,$Q$6:$Q$3267,"&lt;="&amp;Q1046,$N$6:$N$3267,Calendar!$K$4),"")</f>
        <v/>
      </c>
      <c r="W1046" s="47">
        <f>IF(AND(B1046=Queue!$C$4,OR(Queue!$K$4="*",N1046=Queue!$K$4)),Q1046,"")</f>
        <v/>
      </c>
    </row>
    <row r="1047">
      <c r="A1047" s="38">
        <f>IF(M1047="","",HYPERLINK("https://www.youtube.com/watch?v="&amp;M1047,"▶"))</f>
        <v/>
      </c>
      <c r="B1047" s="39">
        <f>IF(C1047&lt;&gt;"",C1047,IF(P1047&lt;=IFERROR(INDEX(tblChannels[Watched Through],MATCH(N1047,tblChannels[Channel ID],0)),0),"Watched","Unwatched"))</f>
        <v/>
      </c>
      <c r="C1047" s="40" t="n"/>
      <c r="D1047" s="41" t="n"/>
      <c r="E1047" s="42" t="n">
        <v>44855.83194444444</v>
      </c>
      <c r="F1047" s="50" t="inlineStr">
        <is>
          <t>Super Carlin Brothers</t>
        </is>
      </c>
      <c r="G1047" t="inlineStr">
        <is>
          <t>ALL FANDOM TRIVIA - October 2022</t>
        </is>
      </c>
      <c r="H1047" s="44" t="n">
        <v>0.07718750000000001</v>
      </c>
      <c r="I1047" s="45" t="n">
        <v>30399</v>
      </c>
      <c r="J1047" s="45" t="n">
        <v>843</v>
      </c>
      <c r="K1047" s="45" t="n">
        <v>48</v>
      </c>
      <c r="L1047" s="46" t="n"/>
      <c r="M1047" s="47" t="n"/>
      <c r="N1047" s="47" t="inlineStr">
        <is>
          <t>UCKZo4N0lVPccBkSiuyVh4yg</t>
        </is>
      </c>
      <c r="O1047" s="48" t="n">
        <v>44855.99861111111</v>
      </c>
      <c r="P1047" s="49" t="n">
        <v>44855</v>
      </c>
      <c r="Q1047" s="47" t="n">
        <v>2221</v>
      </c>
      <c r="R1047" s="47" t="inlineStr">
        <is>
          <t>No Video ID yet</t>
        </is>
      </c>
      <c r="S1047" s="49" t="n"/>
      <c r="T1047" s="49" t="n"/>
      <c r="U1047" s="47" t="inlineStr">
        <is>
          <t>Come join us and test your knowledge of Disney, Pixar, Star Wars, Marvel, Harry Potter and Avatar the Last Airbender! If you were one of the top 5 winners email secretcarlinbrothers@gmail.com.</t>
        </is>
      </c>
      <c r="V1047" s="47">
        <f>IF(AND(P1047&gt;=Calendar!$K$2,P1047&lt;EDATE(Calendar!$K$2,1),OR(Calendar!$K$4="*",N1047=Calendar!$K$4)),P1047*100+COUNTIFS($P$6:$P$3267,P1047,$Q$6:$Q$3267,"&lt;="&amp;Q1047,$N$6:$N$3267,Calendar!$K$4),"")</f>
        <v/>
      </c>
      <c r="W1047" s="47">
        <f>IF(AND(B1047=Queue!$C$4,OR(Queue!$K$4="*",N1047=Queue!$K$4)),Q1047,"")</f>
        <v/>
      </c>
    </row>
    <row r="1048">
      <c r="A1048" s="38">
        <f>IF(M1048="","",HYPERLINK("https://www.youtube.com/watch?v="&amp;M1048,"▶"))</f>
        <v/>
      </c>
      <c r="B1048" s="39">
        <f>IF(C1048&lt;&gt;"",C1048,IF(P1048&lt;=IFERROR(INDEX(tblChannels[Watched Through],MATCH(N1048,tblChannels[Channel ID],0)),0),"Watched","Unwatched"))</f>
        <v/>
      </c>
      <c r="C1048" s="40" t="n"/>
      <c r="D1048" s="41" t="n"/>
      <c r="E1048" s="42" t="n">
        <v>44855.69583333333</v>
      </c>
      <c r="F1048" s="50" t="inlineStr">
        <is>
          <t>Super Carlin Brothers</t>
        </is>
      </c>
      <c r="G1048" t="inlineStr">
        <is>
          <t>Mr. Incredible VS Luisa - Who's More Powerful? | Disney Film Theory</t>
        </is>
      </c>
      <c r="H1048" s="44" t="n">
        <v>0.01511574074074074</v>
      </c>
      <c r="I1048" s="45" t="n">
        <v>114935</v>
      </c>
      <c r="J1048" s="45" t="n">
        <v>5813</v>
      </c>
      <c r="K1048" s="45" t="n">
        <v>786</v>
      </c>
      <c r="L1048" s="46" t="n"/>
      <c r="M1048" s="47" t="n"/>
      <c r="N1048" s="47" t="inlineStr">
        <is>
          <t>UCKZo4N0lVPccBkSiuyVh4yg</t>
        </is>
      </c>
      <c r="O1048" s="48" t="n">
        <v>44855.8625</v>
      </c>
      <c r="P1048" s="49" t="n">
        <v>44855</v>
      </c>
      <c r="Q1048" s="47" t="n">
        <v>2220</v>
      </c>
      <c r="R1048" s="47" t="inlineStr">
        <is>
          <t>No Video ID yet</t>
        </is>
      </c>
      <c r="S1048" s="49" t="n"/>
      <c r="T1048" s="49" t="n"/>
      <c r="U1048" s="47" t="inlineStr">
        <is>
          <t>This episode is sponsored by BetterHelp — go to to get started with Betterhelp today. Carlin Brothers Single Flavor Beans! Today Ben dives into the world of Pixar’s Incredibles and Disney’s Encanto to find out who has the MOST SUPER Super Strength: Mr. Incredible or Luisa? #supercarlinbrothers #Disney #pixar</t>
        </is>
      </c>
      <c r="V1048" s="47">
        <f>IF(AND(P1048&gt;=Calendar!$K$2,P1048&lt;EDATE(Calendar!$K$2,1),OR(Calendar!$K$4="*",N1048=Calendar!$K$4)),P1048*100+COUNTIFS($P$6:$P$3267,P1048,$Q$6:$Q$3267,"&lt;="&amp;Q1048,$N$6:$N$3267,Calendar!$K$4),"")</f>
        <v/>
      </c>
      <c r="W1048" s="47">
        <f>IF(AND(B1048=Queue!$C$4,OR(Queue!$K$4="*",N1048=Queue!$K$4)),Q1048,"")</f>
        <v/>
      </c>
    </row>
    <row r="1049">
      <c r="A1049" s="38">
        <f>IF(M1049="","",HYPERLINK("https://www.youtube.com/watch?v="&amp;M1049,"▶"))</f>
        <v/>
      </c>
      <c r="B1049" s="39">
        <f>IF(C1049&lt;&gt;"",C1049,IF(P1049&lt;=IFERROR(INDEX(tblChannels[Watched Through],MATCH(N1049,tblChannels[Channel ID],0)),0),"Watched","Unwatched"))</f>
        <v/>
      </c>
      <c r="C1049" s="40" t="n"/>
      <c r="D1049" s="41" t="n"/>
      <c r="E1049" s="42" t="n">
        <v>44855.58333333334</v>
      </c>
      <c r="F1049" s="52" t="inlineStr">
        <is>
          <t>Super Carlin Gaming</t>
        </is>
      </c>
      <c r="G1049" t="inlineStr">
        <is>
          <t>BIG NESSA PULL FTW | Box Breakers S2/E2</t>
        </is>
      </c>
      <c r="H1049" s="44" t="n">
        <v>0.02923611111111111</v>
      </c>
      <c r="I1049" s="45" t="n">
        <v>3210</v>
      </c>
      <c r="J1049" s="45" t="n">
        <v>180</v>
      </c>
      <c r="K1049" s="45" t="n">
        <v>9</v>
      </c>
      <c r="L1049" s="46" t="n"/>
      <c r="M1049" s="47" t="n"/>
      <c r="N1049" s="47" t="inlineStr">
        <is>
          <t>UCor_9jRnNNZVzTuQ92PKsaQ</t>
        </is>
      </c>
      <c r="O1049" s="48" t="n">
        <v>44855.75</v>
      </c>
      <c r="P1049" s="49" t="n">
        <v>44855</v>
      </c>
      <c r="Q1049" s="47" t="n">
        <v>2219</v>
      </c>
      <c r="R1049" s="47" t="inlineStr">
        <is>
          <t>No Video ID yet</t>
        </is>
      </c>
      <c r="S1049" s="49" t="n"/>
      <c r="T1049" s="49" t="n"/>
      <c r="U1049" s="47" t="inlineStr">
        <is>
          <t>This week we continue our unboxing of Lost Origin! Who will grab today's top pull?! Who will make best use of the type advantage?!</t>
        </is>
      </c>
      <c r="V1049" s="47">
        <f>IF(AND(P1049&gt;=Calendar!$K$2,P1049&lt;EDATE(Calendar!$K$2,1),OR(Calendar!$K$4="*",N1049=Calendar!$K$4)),P1049*100+COUNTIFS($P$6:$P$3267,P1049,$Q$6:$Q$3267,"&lt;="&amp;Q1049,$N$6:$N$3267,Calendar!$K$4),"")</f>
        <v/>
      </c>
      <c r="W1049" s="47">
        <f>IF(AND(B1049=Queue!$C$4,OR(Queue!$K$4="*",N1049=Queue!$K$4)),Q1049,"")</f>
        <v/>
      </c>
    </row>
    <row r="1050">
      <c r="A1050" s="38">
        <f>IF(M1050="","",HYPERLINK("https://www.youtube.com/watch?v="&amp;M1050,"▶"))</f>
        <v/>
      </c>
      <c r="B1050" s="39">
        <f>IF(C1050&lt;&gt;"",C1050,IF(P1050&lt;=IFERROR(INDEX(tblChannels[Watched Through],MATCH(N1050,tblChannels[Channel ID],0)),0),"Watched","Unwatched"))</f>
        <v/>
      </c>
      <c r="C1050" s="40" t="n"/>
      <c r="D1050" s="41" t="n"/>
      <c r="E1050" s="42" t="n">
        <v>44855.41666666666</v>
      </c>
      <c r="F1050" s="43" t="inlineStr">
        <is>
          <t>Popcorn Culture</t>
        </is>
      </c>
      <c r="G1050" t="inlineStr">
        <is>
          <t>The LIVE Pop! | Popcorn Culture</t>
        </is>
      </c>
      <c r="H1050" s="44" t="n">
        <v>0.03789351851851852</v>
      </c>
      <c r="I1050" s="45" t="n">
        <v>6486</v>
      </c>
      <c r="J1050" s="45" t="n">
        <v>509</v>
      </c>
      <c r="K1050" s="45" t="n">
        <v>46</v>
      </c>
      <c r="L1050" s="46" t="n"/>
      <c r="M1050" s="47" t="n"/>
      <c r="N1050" s="47" t="inlineStr">
        <is>
          <t>UCHfIbq9thHPC8yrKjAdJgDA</t>
        </is>
      </c>
      <c r="O1050" s="48" t="n">
        <v>44855.58333333334</v>
      </c>
      <c r="P1050" s="49" t="n">
        <v>44855</v>
      </c>
      <c r="Q1050" s="47" t="n">
        <v>2218</v>
      </c>
      <c r="R1050" s="47" t="inlineStr">
        <is>
          <t>No Video ID yet</t>
        </is>
      </c>
      <c r="S1050" s="49" t="n"/>
      <c r="T1050" s="49" t="n"/>
      <c r="U1050" s="47" t="inlineStr">
        <is>
          <t>On the 150th (could not have planned that better) episode of the Pop, Ben and J LIVE discuss J’s camping chair, crocs and socks, J’s sushi, why we adventure, the mustard and ketchup shirt, the word game, talking to podcasts, gut health, “What If” research, Ben’s tattoo, Inside Out Emotions, Ducks and Dragons, and of course, Ducks in Cups. Riley’s New Emotions - Hero Forge - Thank you Go- Fest and Mast General Store for giving us the opportunity to do a live show! Disclaimer: this was called the “Fireside Stage” and as such there was a fire pit next to us, so that is where the smoke that you see is coming from. I Brought a Chair Untoppable Element of Surprise Abomination of All Foods Jushi Froze Like Ice Cream Duck Calls 00:00 - Intro, 3:55 - Linville Gorge Trip and J’s Bag of Tricks 40:33 - Q&amp;A</t>
        </is>
      </c>
      <c r="V1050" s="47">
        <f>IF(AND(P1050&gt;=Calendar!$K$2,P1050&lt;EDATE(Calendar!$K$2,1),OR(Calendar!$K$4="*",N1050=Calendar!$K$4)),P1050*100+COUNTIFS($P$6:$P$3267,P1050,$Q$6:$Q$3267,"&lt;="&amp;Q1050,$N$6:$N$3267,Calendar!$K$4),"")</f>
        <v/>
      </c>
      <c r="W1050" s="47">
        <f>IF(AND(B1050=Queue!$C$4,OR(Queue!$K$4="*",N1050=Queue!$K$4)),Q1050,"")</f>
        <v/>
      </c>
    </row>
    <row r="1051">
      <c r="A1051" s="38">
        <f>IF(M1051="","",HYPERLINK("https://www.youtube.com/watch?v="&amp;M1051,"▶"))</f>
        <v/>
      </c>
      <c r="B1051" s="39">
        <f>IF(C1051&lt;&gt;"",C1051,IF(P1051&lt;=IFERROR(INDEX(tblChannels[Watched Through],MATCH(N1051,tblChannels[Channel ID],0)),0),"Watched","Unwatched"))</f>
        <v/>
      </c>
      <c r="C1051" s="40" t="n"/>
      <c r="D1051" s="41" t="n"/>
      <c r="E1051" s="42" t="n">
        <v>44853.69027777778</v>
      </c>
      <c r="F1051" s="50" t="inlineStr">
        <is>
          <t>Super Carlin Brothers</t>
        </is>
      </c>
      <c r="G1051" t="inlineStr">
        <is>
          <t>Proof That Dumbledore NEVER Liked Snape | Harry Potter Film Theory</t>
        </is>
      </c>
      <c r="H1051" s="44" t="n">
        <v>0.01086805555555556</v>
      </c>
      <c r="I1051" s="45" t="n">
        <v>470261</v>
      </c>
      <c r="J1051" s="45" t="n">
        <v>16938</v>
      </c>
      <c r="K1051" s="45" t="n">
        <v>1661</v>
      </c>
      <c r="L1051" s="46" t="n"/>
      <c r="M1051" s="47" t="n"/>
      <c r="N1051" s="47" t="inlineStr">
        <is>
          <t>UCKZo4N0lVPccBkSiuyVh4yg</t>
        </is>
      </c>
      <c r="O1051" s="48" t="n">
        <v>44853.85694444444</v>
      </c>
      <c r="P1051" s="49" t="n">
        <v>44853</v>
      </c>
      <c r="Q1051" s="47" t="n">
        <v>2217</v>
      </c>
      <c r="R1051" s="47" t="inlineStr">
        <is>
          <t>No Video ID yet</t>
        </is>
      </c>
      <c r="S1051" s="49" t="n"/>
      <c r="T1051" s="49" t="n"/>
      <c r="U1051" s="47" t="inlineStr">
        <is>
          <t>This episode is sponsored by BetterHelp — go to to get started with Betterhelp today. Go to to get a 4-week trial, free postage, and a digital scale. Today J dives into the Wizarding World of Harry Potter to find out if Dumbledore ever really like Snape, or just respected his abilities as a Wizard and used him as a tool.</t>
        </is>
      </c>
      <c r="V1051" s="47">
        <f>IF(AND(P1051&gt;=Calendar!$K$2,P1051&lt;EDATE(Calendar!$K$2,1),OR(Calendar!$K$4="*",N1051=Calendar!$K$4)),P1051*100+COUNTIFS($P$6:$P$3267,P1051,$Q$6:$Q$3267,"&lt;="&amp;Q1051,$N$6:$N$3267,Calendar!$K$4),"")</f>
        <v/>
      </c>
      <c r="W1051" s="47">
        <f>IF(AND(B1051=Queue!$C$4,OR(Queue!$K$4="*",N1051=Queue!$K$4)),Q1051,"")</f>
        <v/>
      </c>
    </row>
    <row r="1052">
      <c r="A1052" s="38">
        <f>IF(M1052="","",HYPERLINK("https://www.youtube.com/watch?v="&amp;M1052,"▶"))</f>
        <v/>
      </c>
      <c r="B1052" s="39">
        <f>IF(C1052&lt;&gt;"",C1052,IF(P1052&lt;=IFERROR(INDEX(tblChannels[Watched Through],MATCH(N1052,tblChannels[Channel ID],0)),0),"Watched","Unwatched"))</f>
        <v/>
      </c>
      <c r="C1052" s="40" t="n"/>
      <c r="D1052" s="41" t="n"/>
      <c r="E1052" s="42" t="n">
        <v>44848.41666666666</v>
      </c>
      <c r="F1052" s="43" t="inlineStr">
        <is>
          <t>Popcorn Culture</t>
        </is>
      </c>
      <c r="G1052" t="inlineStr">
        <is>
          <t>Going Full Twain | Popcorn Culture</t>
        </is>
      </c>
      <c r="H1052" s="44" t="n">
        <v>0.0525462962962963</v>
      </c>
      <c r="I1052" s="45" t="n">
        <v>5530</v>
      </c>
      <c r="J1052" s="45" t="n">
        <v>270</v>
      </c>
      <c r="K1052" s="45" t="n">
        <v>30</v>
      </c>
      <c r="L1052" s="46" t="n"/>
      <c r="M1052" s="47" t="n"/>
      <c r="N1052" s="47" t="inlineStr">
        <is>
          <t>UCHfIbq9thHPC8yrKjAdJgDA</t>
        </is>
      </c>
      <c r="O1052" s="48" t="n">
        <v>44848.58333333334</v>
      </c>
      <c r="P1052" s="49" t="n">
        <v>44848</v>
      </c>
      <c r="Q1052" s="47" t="n">
        <v>2216</v>
      </c>
      <c r="R1052" s="47" t="inlineStr">
        <is>
          <t>No Video ID yet</t>
        </is>
      </c>
      <c r="S1052" s="49" t="n"/>
      <c r="T1052" s="49" t="n"/>
      <c r="U1052" s="47" t="inlineStr">
        <is>
          <t>On the 149th episode of the Pop Ben and J discuss Brad Pitt and Matt Damon, their terrible music education, cycle of cleaning, negative splits, sponges streak, running motivation, intelligence vs forgetfulness, and long form jokes. Go Fest Info - A FREE outdoor festival here in Roanoke on Oct. 14th-16th. We will be doing a live show Saturday the 15th at 2:00pm on the Fireside stage. Carlin Brothers Coffee will also have a booth where we will be selling coffee, candles and other goodies for the whole weekend. After the show (Saturday around 3:00) we will be hosting a meet and greet at the booth (location TBD) for a little while. We hope you can make it and can’t wait to meet you! Brad Pitt - Matt Damon - Good Will Hunting - Shania Twain Bops - Patsy Cline Biopic - Signs of Intelligence - More Bits and Bobs Organizational Optimism Sponges Streak Just Look It Up Signs of Intelligence With Fronds Like These… 00:00 - Intro, A-List Celebrities 09:51 - De-Cluttering 18:56 - Chicago Marathon Trip 25:46 - Just Look It Up 37:34 - Motivation 42:43 - Memory and Intelligence 1:06:49 - Speaking of Aquariums…</t>
        </is>
      </c>
      <c r="V1052" s="47">
        <f>IF(AND(P1052&gt;=Calendar!$K$2,P1052&lt;EDATE(Calendar!$K$2,1),OR(Calendar!$K$4="*",N1052=Calendar!$K$4)),P1052*100+COUNTIFS($P$6:$P$3267,P1052,$Q$6:$Q$3267,"&lt;="&amp;Q1052,$N$6:$N$3267,Calendar!$K$4),"")</f>
        <v/>
      </c>
      <c r="W1052" s="47">
        <f>IF(AND(B1052=Queue!$C$4,OR(Queue!$K$4="*",N1052=Queue!$K$4)),Q1052,"")</f>
        <v/>
      </c>
    </row>
    <row r="1053">
      <c r="A1053" s="38">
        <f>IF(M1053="","",HYPERLINK("https://www.youtube.com/watch?v="&amp;M1053,"▶"))</f>
        <v/>
      </c>
      <c r="B1053" s="39">
        <f>IF(C1053&lt;&gt;"",C1053,IF(P1053&lt;=IFERROR(INDEX(tblChannels[Watched Through],MATCH(N1053,tblChannels[Channel ID],0)),0),"Watched","Unwatched"))</f>
        <v/>
      </c>
      <c r="C1053" s="40" t="n"/>
      <c r="D1053" s="41" t="n"/>
      <c r="E1053" s="42" t="n">
        <v>44847.68055555555</v>
      </c>
      <c r="F1053" s="50" t="inlineStr">
        <is>
          <t>Super Carlin Brothers</t>
        </is>
      </c>
      <c r="G1053" t="inlineStr">
        <is>
          <t>What If Diary Riddle Came Back? | Harry Potter Film Theory</t>
        </is>
      </c>
      <c r="H1053" s="44" t="n">
        <v>0.01626157407407407</v>
      </c>
      <c r="I1053" s="45" t="n">
        <v>593156</v>
      </c>
      <c r="J1053" s="45" t="n">
        <v>16375</v>
      </c>
      <c r="K1053" s="45" t="n">
        <v>1696</v>
      </c>
      <c r="L1053" s="46" t="n"/>
      <c r="M1053" s="47" t="n"/>
      <c r="N1053" s="47" t="inlineStr">
        <is>
          <t>UCKZo4N0lVPccBkSiuyVh4yg</t>
        </is>
      </c>
      <c r="O1053" s="48" t="n">
        <v>44847.84722222222</v>
      </c>
      <c r="P1053" s="49" t="n">
        <v>44847</v>
      </c>
      <c r="Q1053" s="47" t="n">
        <v>2215</v>
      </c>
      <c r="R1053" s="47" t="inlineStr">
        <is>
          <t>No Video ID yet</t>
        </is>
      </c>
      <c r="S1053" s="49" t="n"/>
      <c r="T1053" s="49" t="n"/>
      <c r="U1053" s="47" t="inlineStr">
        <is>
          <t>This episode is sponsored by BetterHelp — go to to get started with Betterhelp today. Go to to get a 4-week trial, free postage, and a digital scale. Today Ben dives into the Wizarding World of Harry Potter to find out what would have happened if Tom Riddle had fully reformed in Chamber of Secrets! Would there be 2 Voldemorts? Could Harry still have defeated him? Would Tom destroy his other self?</t>
        </is>
      </c>
      <c r="V1053" s="47">
        <f>IF(AND(P1053&gt;=Calendar!$K$2,P1053&lt;EDATE(Calendar!$K$2,1),OR(Calendar!$K$4="*",N1053=Calendar!$K$4)),P1053*100+COUNTIFS($P$6:$P$3267,P1053,$Q$6:$Q$3267,"&lt;="&amp;Q1053,$N$6:$N$3267,Calendar!$K$4),"")</f>
        <v/>
      </c>
      <c r="W1053" s="47">
        <f>IF(AND(B1053=Queue!$C$4,OR(Queue!$K$4="*",N1053=Queue!$K$4)),Q1053,"")</f>
        <v/>
      </c>
    </row>
    <row r="1054">
      <c r="A1054" s="38">
        <f>IF(M1054="","",HYPERLINK("https://www.youtube.com/watch?v="&amp;M1054,"▶"))</f>
        <v/>
      </c>
      <c r="B1054" s="39">
        <f>IF(C1054&lt;&gt;"",C1054,IF(P1054&lt;=IFERROR(INDEX(tblChannels[Watched Through],MATCH(N1054,tblChannels[Channel ID],0)),0),"Watched","Unwatched"))</f>
        <v/>
      </c>
      <c r="C1054" s="40" t="n"/>
      <c r="D1054" s="41" t="n"/>
      <c r="E1054" s="42" t="n">
        <v>44846.625</v>
      </c>
      <c r="F1054" s="52" t="inlineStr">
        <is>
          <t>Super Carlin Gaming</t>
        </is>
      </c>
      <c r="G1054" t="inlineStr">
        <is>
          <t>Rise of the Dark Fox |  Pokémon Legends: Arceus Nuzlocke #21</t>
        </is>
      </c>
      <c r="H1054" s="44" t="n">
        <v>0.02837962962962963</v>
      </c>
      <c r="I1054" s="45" t="n">
        <v>5005</v>
      </c>
      <c r="J1054" s="45" t="n">
        <v>284</v>
      </c>
      <c r="K1054" s="45" t="n">
        <v>65</v>
      </c>
      <c r="L1054" s="46" t="n"/>
      <c r="M1054" s="47" t="n"/>
      <c r="N1054" s="47" t="inlineStr">
        <is>
          <t>UCor_9jRnNNZVzTuQ92PKsaQ</t>
        </is>
      </c>
      <c r="O1054" s="48" t="n">
        <v>44846.79166666666</v>
      </c>
      <c r="P1054" s="49" t="n">
        <v>44846</v>
      </c>
      <c r="Q1054" s="47" t="n">
        <v>2214</v>
      </c>
      <c r="R1054" s="47" t="inlineStr">
        <is>
          <t>No Video ID yet</t>
        </is>
      </c>
      <c r="S1054" s="49" t="n"/>
      <c r="T1054" s="49" t="n"/>
      <c r="U1054" s="47" t="inlineStr">
        <is>
          <t>J recruits MASTER NAMER BEN to help welcome some new team members as J and the team make their way across the Icelands...</t>
        </is>
      </c>
      <c r="V1054" s="47">
        <f>IF(AND(P1054&gt;=Calendar!$K$2,P1054&lt;EDATE(Calendar!$K$2,1),OR(Calendar!$K$4="*",N1054=Calendar!$K$4)),P1054*100+COUNTIFS($P$6:$P$3267,P1054,$Q$6:$Q$3267,"&lt;="&amp;Q1054,$N$6:$N$3267,Calendar!$K$4),"")</f>
        <v/>
      </c>
      <c r="W1054" s="47">
        <f>IF(AND(B1054=Queue!$C$4,OR(Queue!$K$4="*",N1054=Queue!$K$4)),Q1054,"")</f>
        <v/>
      </c>
    </row>
    <row r="1055">
      <c r="A1055" s="38">
        <f>IF(M1055="","",HYPERLINK("https://www.youtube.com/watch?v="&amp;M1055,"▶"))</f>
        <v/>
      </c>
      <c r="B1055" s="39">
        <f>IF(C1055&lt;&gt;"",C1055,IF(P1055&lt;=IFERROR(INDEX(tblChannels[Watched Through],MATCH(N1055,tblChannels[Channel ID],0)),0),"Watched","Unwatched"))</f>
        <v/>
      </c>
      <c r="C1055" s="40" t="n"/>
      <c r="D1055" s="41" t="n"/>
      <c r="E1055" s="42" t="n">
        <v>44845.68263888889</v>
      </c>
      <c r="F1055" s="50" t="inlineStr">
        <is>
          <t>Super Carlin Brothers</t>
        </is>
      </c>
      <c r="G1055" t="inlineStr">
        <is>
          <t>J vs Ben: ULTIMATE Prisoner of Azkaban Harry Potter TRIVIA Quiz</t>
        </is>
      </c>
      <c r="H1055" s="44" t="n">
        <v>0.02153935185185185</v>
      </c>
      <c r="I1055" s="45" t="n">
        <v>319989</v>
      </c>
      <c r="J1055" s="45" t="n">
        <v>8715</v>
      </c>
      <c r="K1055" s="45" t="n">
        <v>565</v>
      </c>
      <c r="L1055" s="46" t="n"/>
      <c r="M1055" s="47" t="n"/>
      <c r="N1055" s="47" t="inlineStr">
        <is>
          <t>UCKZo4N0lVPccBkSiuyVh4yg</t>
        </is>
      </c>
      <c r="O1055" s="48" t="n">
        <v>44845.84930555556</v>
      </c>
      <c r="P1055" s="49" t="n">
        <v>44845</v>
      </c>
      <c r="Q1055" s="47" t="n">
        <v>2213</v>
      </c>
      <c r="R1055" s="47" t="inlineStr">
        <is>
          <t>No Video ID yet</t>
        </is>
      </c>
      <c r="S1055" s="49" t="n"/>
      <c r="T1055" s="49" t="n"/>
      <c r="U1055" s="47" t="inlineStr">
        <is>
          <t>The first 200 people to sign up for an annual premium subscription at get 20% off. Listen to The Sandman: Act III on Audible now. Today J and Ben face off once more to find out who knows the most about Harry Potter and the Prisoner of Azkaban as they take on another ultimate trivia quiz! 02:40 - What is the name of the third book? 03:52 - What incantation banishes a Boggart? 04:36 - What insult did "Mr. Prongs" use against Snape via the Marauders map? 07:05 - Where did the Weasleys go for their summer holiday? 08:57 - What is Harry's patronus? 09:41 - Who did Aunt Marge leave her dogs with? 13:52 - What page did Snape say to turn to in the DADA class? 14:30 - Who was supposed to execute Buckbeak? 19:21 - How much does Harry pay to ride the Knight Bus? 22:26 - Which Marauder was Lupin? 22:54 - What was at the entrance to the secret passage to Honeydukes? 24:18 - What was the spell to get past said entrance? 25:44 - What was inside Dumbledore/Snape's Christmas cracker? 27:12 - What color was Scabbers' Rat tonic bottle? 27:59 - Who faces the boggart after Neville and what was the boggart?</t>
        </is>
      </c>
      <c r="V1055" s="47">
        <f>IF(AND(P1055&gt;=Calendar!$K$2,P1055&lt;EDATE(Calendar!$K$2,1),OR(Calendar!$K$4="*",N1055=Calendar!$K$4)),P1055*100+COUNTIFS($P$6:$P$3267,P1055,$Q$6:$Q$3267,"&lt;="&amp;Q1055,$N$6:$N$3267,Calendar!$K$4),"")</f>
        <v/>
      </c>
      <c r="W1055" s="47">
        <f>IF(AND(B1055=Queue!$C$4,OR(Queue!$K$4="*",N1055=Queue!$K$4)),Q1055,"")</f>
        <v/>
      </c>
    </row>
    <row r="1056">
      <c r="A1056" s="38">
        <f>IF(M1056="","",HYPERLINK("https://www.youtube.com/watch?v="&amp;M1056,"▶"))</f>
        <v/>
      </c>
      <c r="B1056" s="39">
        <f>IF(C1056&lt;&gt;"",C1056,IF(P1056&lt;=IFERROR(INDEX(tblChannels[Watched Through],MATCH(N1056,tblChannels[Channel ID],0)),0),"Watched","Unwatched"))</f>
        <v/>
      </c>
      <c r="C1056" s="40" t="n"/>
      <c r="D1056" s="41" t="n"/>
      <c r="E1056" s="42" t="n">
        <v>44841.41666666666</v>
      </c>
      <c r="F1056" s="43" t="inlineStr">
        <is>
          <t>Popcorn Culture</t>
        </is>
      </c>
      <c r="G1056" t="inlineStr">
        <is>
          <t>The Key to the Odyssey | Popcorn Culture</t>
        </is>
      </c>
      <c r="H1056" s="44" t="n">
        <v>0.04297453703703704</v>
      </c>
      <c r="I1056" s="45" t="n">
        <v>4915</v>
      </c>
      <c r="J1056" s="45" t="n">
        <v>297</v>
      </c>
      <c r="K1056" s="45" t="n">
        <v>44</v>
      </c>
      <c r="L1056" s="46" t="n"/>
      <c r="M1056" s="47" t="n"/>
      <c r="N1056" s="47" t="inlineStr">
        <is>
          <t>UCHfIbq9thHPC8yrKjAdJgDA</t>
        </is>
      </c>
      <c r="O1056" s="48" t="n">
        <v>44841.58333333334</v>
      </c>
      <c r="P1056" s="49" t="n">
        <v>44841</v>
      </c>
      <c r="Q1056" s="47" t="n">
        <v>2212</v>
      </c>
      <c r="R1056" s="47" t="inlineStr">
        <is>
          <t>No Video ID yet</t>
        </is>
      </c>
      <c r="S1056" s="49" t="n"/>
      <c r="T1056" s="49" t="n"/>
      <c r="U1056" s="47" t="inlineStr">
        <is>
          <t>In the 148th episode of the Pop, Ben and J discuss school pictures, the weirdness of taxes, block schedules, weird food combinations, weight lifting, quarterly merch announcement, J’s luckiest dice roll, Ben’s special key and other trinkets. Go Fest Info - A FREE outdoor festival here in Roanoke on Oct. 14th-16th. We will be doing a live show Saturday the 15th at 2:00pm on the Fireside stage. Carlin Brothers Coffee will also have a booth where we will be selling coffee, candles and other goodies for the whole weekend. After the show (Saturday around 3:00) we will be hosting a meet and greet at the booth (location TBD) for a little while. We hope you can make it and can’t wait to meet you! The Golden Ratio - Katniss’s Mocking Jay Pin - Quasi-Fashion Podcast The Picture Day Shirt Why Do We Do Things? Peanut Butter Pepperoni Pizza Roll Up Dirt Don’t Hurt Ducks and Dragons 00:00 - Intro, Picture Day and Taxes 21:36 - More Hiking Trip Shenanigans 37:48 - Q4 Patreon Perk 46:26 - J’s Luckiest Dice Roll and Fun Trinkets</t>
        </is>
      </c>
      <c r="V1056" s="47">
        <f>IF(AND(P1056&gt;=Calendar!$K$2,P1056&lt;EDATE(Calendar!$K$2,1),OR(Calendar!$K$4="*",N1056=Calendar!$K$4)),P1056*100+COUNTIFS($P$6:$P$3267,P1056,$Q$6:$Q$3267,"&lt;="&amp;Q1056,$N$6:$N$3267,Calendar!$K$4),"")</f>
        <v/>
      </c>
      <c r="W1056" s="47">
        <f>IF(AND(B1056=Queue!$C$4,OR(Queue!$K$4="*",N1056=Queue!$K$4)),Q1056,"")</f>
        <v/>
      </c>
    </row>
    <row r="1057">
      <c r="A1057" s="38">
        <f>IF(M1057="","",HYPERLINK("https://www.youtube.com/watch?v="&amp;M1057,"▶"))</f>
        <v/>
      </c>
      <c r="B1057" s="39">
        <f>IF(C1057&lt;&gt;"",C1057,IF(P1057&lt;=IFERROR(INDEX(tblChannels[Watched Through],MATCH(N1057,tblChannels[Channel ID],0)),0),"Watched","Unwatched"))</f>
        <v/>
      </c>
      <c r="C1057" s="40" t="n"/>
      <c r="D1057" s="41" t="n"/>
      <c r="E1057" s="42" t="n">
        <v>44840.70347222222</v>
      </c>
      <c r="F1057" s="50" t="inlineStr">
        <is>
          <t>Super Carlin Brothers</t>
        </is>
      </c>
      <c r="G1057" t="inlineStr">
        <is>
          <t>The TRUTH About the Night Voldemort Attacked - FULL TIMELINE | Harry Potter Film Theory</t>
        </is>
      </c>
      <c r="H1057" s="44" t="n">
        <v>0.01608796296296296</v>
      </c>
      <c r="I1057" s="45" t="n">
        <v>667313</v>
      </c>
      <c r="J1057" s="45" t="n">
        <v>17697</v>
      </c>
      <c r="K1057" s="45" t="n">
        <v>1810</v>
      </c>
      <c r="L1057" s="46" t="n"/>
      <c r="M1057" s="47" t="n"/>
      <c r="N1057" s="47" t="inlineStr">
        <is>
          <t>UCKZo4N0lVPccBkSiuyVh4yg</t>
        </is>
      </c>
      <c r="O1057" s="48" t="n">
        <v>44840.87013888889</v>
      </c>
      <c r="P1057" s="49" t="n">
        <v>44840</v>
      </c>
      <c r="Q1057" s="47" t="n">
        <v>2211</v>
      </c>
      <c r="R1057" s="47" t="inlineStr">
        <is>
          <t>No Video ID yet</t>
        </is>
      </c>
      <c r="S1057" s="49" t="n"/>
      <c r="T1057" s="49" t="n"/>
      <c r="U1057" s="47" t="inlineStr">
        <is>
          <t>This episode is sponsored by BetterHelp — go to to get started with Betterhelp today. Go to and use code SUPER for 20% off your first box. Today Ben dives into the Wizarding World of Harry Potter to try and figure out exactly what happened the night Harry was attacked by Voldemort - Who all showed up at the Potter's house? How did word spread so quickly? And when exactly did the Fidelius Charm actually get put on the Potters</t>
        </is>
      </c>
      <c r="V1057" s="47">
        <f>IF(AND(P1057&gt;=Calendar!$K$2,P1057&lt;EDATE(Calendar!$K$2,1),OR(Calendar!$K$4="*",N1057=Calendar!$K$4)),P1057*100+COUNTIFS($P$6:$P$3267,P1057,$Q$6:$Q$3267,"&lt;="&amp;Q1057,$N$6:$N$3267,Calendar!$K$4),"")</f>
        <v/>
      </c>
      <c r="W1057" s="47">
        <f>IF(AND(B1057=Queue!$C$4,OR(Queue!$K$4="*",N1057=Queue!$K$4)),Q1057,"")</f>
        <v/>
      </c>
    </row>
    <row r="1058">
      <c r="A1058" s="38">
        <f>IF(M1058="","",HYPERLINK("https://www.youtube.com/watch?v="&amp;M1058,"▶"))</f>
        <v/>
      </c>
      <c r="B1058" s="39">
        <f>IF(C1058&lt;&gt;"",C1058,IF(P1058&lt;=IFERROR(INDEX(tblChannels[Watched Through],MATCH(N1058,tblChannels[Channel ID],0)),0),"Watched","Unwatched"))</f>
        <v/>
      </c>
      <c r="C1058" s="40" t="n"/>
      <c r="D1058" s="41" t="n"/>
      <c r="E1058" s="42" t="n">
        <v>44839.625</v>
      </c>
      <c r="F1058" s="52" t="inlineStr">
        <is>
          <t>Super Carlin Gaming</t>
        </is>
      </c>
      <c r="G1058" t="inlineStr">
        <is>
          <t>THE GREAT SCORPION HUNT... CONTINUES?? |  Pokémon Legends: Arceus Nuzlocke #20</t>
        </is>
      </c>
      <c r="H1058" s="44" t="n">
        <v>0.0309375</v>
      </c>
      <c r="I1058" s="45" t="n">
        <v>5032</v>
      </c>
      <c r="J1058" s="45" t="n">
        <v>293</v>
      </c>
      <c r="K1058" s="45" t="n">
        <v>64</v>
      </c>
      <c r="L1058" s="46" t="n"/>
      <c r="M1058" s="47" t="n"/>
      <c r="N1058" s="47" t="inlineStr">
        <is>
          <t>UCor_9jRnNNZVzTuQ92PKsaQ</t>
        </is>
      </c>
      <c r="O1058" s="48" t="n">
        <v>44839.79166666666</v>
      </c>
      <c r="P1058" s="49" t="n">
        <v>44839</v>
      </c>
      <c r="Q1058" s="47" t="n">
        <v>2210</v>
      </c>
      <c r="R1058" s="47" t="inlineStr">
        <is>
          <t>No Video ID yet</t>
        </is>
      </c>
      <c r="S1058" s="49" t="n"/>
      <c r="T1058" s="49" t="n"/>
      <c r="U1058" s="47" t="inlineStr">
        <is>
          <t>This week J and the team work toward their next star rank AND J makes a bold return to Castaway Shore to encounter an old foe...</t>
        </is>
      </c>
      <c r="V1058" s="47">
        <f>IF(AND(P1058&gt;=Calendar!$K$2,P1058&lt;EDATE(Calendar!$K$2,1),OR(Calendar!$K$4="*",N1058=Calendar!$K$4)),P1058*100+COUNTIFS($P$6:$P$3267,P1058,$Q$6:$Q$3267,"&lt;="&amp;Q1058,$N$6:$N$3267,Calendar!$K$4),"")</f>
        <v/>
      </c>
      <c r="W1058" s="47">
        <f>IF(AND(B1058=Queue!$C$4,OR(Queue!$K$4="*",N1058=Queue!$K$4)),Q1058,"")</f>
        <v/>
      </c>
    </row>
    <row r="1059">
      <c r="A1059" s="38">
        <f>IF(M1059="","",HYPERLINK("https://www.youtube.com/watch?v="&amp;M1059,"▶"))</f>
        <v/>
      </c>
      <c r="B1059" s="39">
        <f>IF(C1059&lt;&gt;"",C1059,IF(P1059&lt;=IFERROR(INDEX(tblChannels[Watched Through],MATCH(N1059,tblChannels[Channel ID],0)),0),"Watched","Unwatched"))</f>
        <v/>
      </c>
      <c r="C1059" s="40" t="n"/>
      <c r="D1059" s="41" t="n"/>
      <c r="E1059" s="42" t="n">
        <v>44838.70763888889</v>
      </c>
      <c r="F1059" s="50" t="inlineStr">
        <is>
          <t>Super Carlin Brothers</t>
        </is>
      </c>
      <c r="G1059" t="inlineStr">
        <is>
          <t>Elsa VS Pepa - Who is More POWERFUL? | Disney Film Theory</t>
        </is>
      </c>
      <c r="H1059" s="44" t="n">
        <v>0.01119212962962963</v>
      </c>
      <c r="I1059" s="45" t="n">
        <v>100861</v>
      </c>
      <c r="J1059" s="45" t="n">
        <v>5522</v>
      </c>
      <c r="K1059" s="45" t="n">
        <v>606</v>
      </c>
      <c r="L1059" s="46" t="n"/>
      <c r="M1059" s="47" t="n"/>
      <c r="N1059" s="47" t="inlineStr">
        <is>
          <t>UCKZo4N0lVPccBkSiuyVh4yg</t>
        </is>
      </c>
      <c r="O1059" s="48" t="n">
        <v>44838.87430555555</v>
      </c>
      <c r="P1059" s="49" t="n">
        <v>44838</v>
      </c>
      <c r="Q1059" s="47" t="n">
        <v>2209</v>
      </c>
      <c r="R1059" s="47" t="inlineStr">
        <is>
          <t>No Video ID yet</t>
        </is>
      </c>
      <c r="S1059" s="49" t="n"/>
      <c r="T1059" s="49" t="n"/>
      <c r="U1059" s="47" t="inlineStr">
        <is>
          <t>This episode is sponsored by BetterHelp — go to to get started with Betterhelp today. Go to for 20% off your first order and free shipping. Today J dives into the magical world of Disney to find out who is more powerful: Elsa from Frozen or Pepa from Encanto! Both can wield the weather, but Elsa can only access ice while Pepa can control any element at all! #supercarlinbrothers #Disney #Encanto #Frozen</t>
        </is>
      </c>
      <c r="V1059" s="47">
        <f>IF(AND(P1059&gt;=Calendar!$K$2,P1059&lt;EDATE(Calendar!$K$2,1),OR(Calendar!$K$4="*",N1059=Calendar!$K$4)),P1059*100+COUNTIFS($P$6:$P$3267,P1059,$Q$6:$Q$3267,"&lt;="&amp;Q1059,$N$6:$N$3267,Calendar!$K$4),"")</f>
        <v/>
      </c>
      <c r="W1059" s="47">
        <f>IF(AND(B1059=Queue!$C$4,OR(Queue!$K$4="*",N1059=Queue!$K$4)),Q1059,"")</f>
        <v/>
      </c>
    </row>
    <row r="1060">
      <c r="A1060" s="38">
        <f>IF(M1060="","",HYPERLINK("https://www.youtube.com/watch?v="&amp;M1060,"▶"))</f>
        <v/>
      </c>
      <c r="B1060" s="39">
        <f>IF(C1060&lt;&gt;"",C1060,IF(P1060&lt;=IFERROR(INDEX(tblChannels[Watched Through],MATCH(N1060,tblChannels[Channel ID],0)),0),"Watched","Unwatched"))</f>
        <v/>
      </c>
      <c r="C1060" s="40" t="n"/>
      <c r="D1060" s="41" t="n"/>
      <c r="E1060" s="42" t="n">
        <v>44835.625</v>
      </c>
      <c r="F1060" s="52" t="inlineStr">
        <is>
          <t>Super Carlin Gaming</t>
        </is>
      </c>
      <c r="G1060" t="inlineStr">
        <is>
          <t>ENTER LOST ORIGIN! | Box Breakers S2/E1</t>
        </is>
      </c>
      <c r="H1060" s="44" t="n">
        <v>0.03966435185185185</v>
      </c>
      <c r="I1060" s="45" t="n">
        <v>4971</v>
      </c>
      <c r="J1060" s="45" t="n">
        <v>234</v>
      </c>
      <c r="K1060" s="45" t="n">
        <v>25</v>
      </c>
      <c r="L1060" s="46" t="n"/>
      <c r="M1060" s="47" t="n"/>
      <c r="N1060" s="47" t="inlineStr">
        <is>
          <t>UCor_9jRnNNZVzTuQ92PKsaQ</t>
        </is>
      </c>
      <c r="O1060" s="48" t="n">
        <v>44835.79166666666</v>
      </c>
      <c r="P1060" s="49" t="n">
        <v>44835</v>
      </c>
      <c r="Q1060" s="47" t="n">
        <v>2208</v>
      </c>
      <c r="R1060" s="47" t="inlineStr">
        <is>
          <t>No Video ID yet</t>
        </is>
      </c>
      <c r="S1060" s="49" t="n"/>
      <c r="T1060" s="49" t="n"/>
      <c r="U1060" s="47" t="inlineStr">
        <is>
          <t>This week we kick off season 2 of Box Breakers with a BRAND NEW SET: LOST ORIGIN!</t>
        </is>
      </c>
      <c r="V1060" s="47">
        <f>IF(AND(P1060&gt;=Calendar!$K$2,P1060&lt;EDATE(Calendar!$K$2,1),OR(Calendar!$K$4="*",N1060=Calendar!$K$4)),P1060*100+COUNTIFS($P$6:$P$3267,P1060,$Q$6:$Q$3267,"&lt;="&amp;Q1060,$N$6:$N$3267,Calendar!$K$4),"")</f>
        <v/>
      </c>
      <c r="W1060" s="47">
        <f>IF(AND(B1060=Queue!$C$4,OR(Queue!$K$4="*",N1060=Queue!$K$4)),Q1060,"")</f>
        <v/>
      </c>
    </row>
    <row r="1061">
      <c r="A1061" s="38">
        <f>IF(M1061="","",HYPERLINK("https://www.youtube.com/watch?v="&amp;M1061,"▶"))</f>
        <v/>
      </c>
      <c r="B1061" s="39">
        <f>IF(C1061&lt;&gt;"",C1061,IF(P1061&lt;=IFERROR(INDEX(tblChannels[Watched Through],MATCH(N1061,tblChannels[Channel ID],0)),0),"Watched","Unwatched"))</f>
        <v/>
      </c>
      <c r="C1061" s="40" t="n"/>
      <c r="D1061" s="41" t="n"/>
      <c r="E1061" s="42" t="n">
        <v>44834.41666666666</v>
      </c>
      <c r="F1061" s="43" t="inlineStr">
        <is>
          <t>Popcorn Culture</t>
        </is>
      </c>
      <c r="G1061" t="inlineStr">
        <is>
          <t>Bear Attack!! | Popcorn Culture</t>
        </is>
      </c>
      <c r="H1061" s="44" t="n">
        <v>0.04332175925925926</v>
      </c>
      <c r="I1061" s="45" t="n">
        <v>5473</v>
      </c>
      <c r="J1061" s="45" t="n">
        <v>319</v>
      </c>
      <c r="K1061" s="45" t="n">
        <v>24</v>
      </c>
      <c r="L1061" s="46" t="n"/>
      <c r="M1061" s="47" t="n"/>
      <c r="N1061" s="47" t="inlineStr">
        <is>
          <t>UCHfIbq9thHPC8yrKjAdJgDA</t>
        </is>
      </c>
      <c r="O1061" s="48" t="n">
        <v>44834.58333333334</v>
      </c>
      <c r="P1061" s="49" t="n">
        <v>44834</v>
      </c>
      <c r="Q1061" s="47" t="n">
        <v>2207</v>
      </c>
      <c r="R1061" s="47" t="inlineStr">
        <is>
          <t>No Video ID yet</t>
        </is>
      </c>
      <c r="S1061" s="49" t="n"/>
      <c r="T1061" s="49" t="n"/>
      <c r="U1061" s="47" t="inlineStr">
        <is>
          <t>In the 147th episode of the Pop, Ben and J discuss their hike with the GMA, crocs, go fest (see below), reality TV, conflict resolution, and Name of the Windvember. Go Fest Info - A FREE outdoor festival here in Roanoke on Oct. 14th-16th. We will be doing a live show Saturday the 15th at 2:00pm on the Fireside stage. Carlin Brothers Coffee will also have a booth where we will be selling coffee, candles and other goodies for the whole weekend. After the show (Saturday around 3:00) we will be hosting a meet and greet at the booth (location TBD) for a little while. We hope you can make it and can’t wait to meet you! Crocs: Go Fest: Join the Go Fest discord server: Love Island: Name of the Wind: Ben’s Wick of the Peek - Reality TV Lessons J’s Wick of the Peek - Bachelor In Paradise: The GMA Adventure Waterfalling The Advil Break Our Worlds Have Been Croc’d Everything You Do Is Wrong Reality TV Wisdom The Freshest Ground 00:00 - Intro, The GMA adventure 35:45 - Reality TV Wisdom</t>
        </is>
      </c>
      <c r="V1061" s="47">
        <f>IF(AND(P1061&gt;=Calendar!$K$2,P1061&lt;EDATE(Calendar!$K$2,1),OR(Calendar!$K$4="*",N1061=Calendar!$K$4)),P1061*100+COUNTIFS($P$6:$P$3267,P1061,$Q$6:$Q$3267,"&lt;="&amp;Q1061,$N$6:$N$3267,Calendar!$K$4),"")</f>
        <v/>
      </c>
      <c r="W1061" s="47">
        <f>IF(AND(B1061=Queue!$C$4,OR(Queue!$K$4="*",N1061=Queue!$K$4)),Q1061,"")</f>
        <v/>
      </c>
    </row>
    <row r="1062">
      <c r="A1062" s="38">
        <f>IF(M1062="","",HYPERLINK("https://www.youtube.com/watch?v="&amp;M1062,"▶"))</f>
        <v/>
      </c>
      <c r="B1062" s="39">
        <f>IF(C1062&lt;&gt;"",C1062,IF(P1062&lt;=IFERROR(INDEX(tblChannels[Watched Through],MATCH(N1062,tblChannels[Channel ID],0)),0),"Watched","Unwatched"))</f>
        <v/>
      </c>
      <c r="C1062" s="40" t="n"/>
      <c r="D1062" s="41" t="n"/>
      <c r="E1062" s="42" t="n">
        <v>44833.63541666666</v>
      </c>
      <c r="F1062" s="50" t="inlineStr">
        <is>
          <t>Super Carlin Brothers</t>
        </is>
      </c>
      <c r="G1062" t="inlineStr">
        <is>
          <t>What If Mirabel Never Hugged Isabela? | Encanto Film Theory</t>
        </is>
      </c>
      <c r="H1062" s="44" t="n">
        <v>0.01063657407407407</v>
      </c>
      <c r="I1062" s="45" t="n">
        <v>191849</v>
      </c>
      <c r="J1062" s="45" t="n">
        <v>6988</v>
      </c>
      <c r="K1062" s="45" t="n">
        <v>531</v>
      </c>
      <c r="L1062" s="46" t="n"/>
      <c r="M1062" s="47" t="n"/>
      <c r="N1062" s="47" t="inlineStr">
        <is>
          <t>UCKZo4N0lVPccBkSiuyVh4yg</t>
        </is>
      </c>
      <c r="O1062" s="48" t="n">
        <v>44833.80208333334</v>
      </c>
      <c r="P1062" s="49" t="n">
        <v>44833</v>
      </c>
      <c r="Q1062" s="47" t="n">
        <v>2206</v>
      </c>
      <c r="R1062" s="47" t="inlineStr">
        <is>
          <t>No Video ID yet</t>
        </is>
      </c>
      <c r="S1062" s="49" t="n"/>
      <c r="T1062" s="49" t="n"/>
      <c r="U1062" s="47" t="inlineStr">
        <is>
          <t>This episode is sponsored by BetterHelp — go to to get started with BetterHelp today. Today Ben dives into the fantastical and magical world of the Family Madrigal and Disney’s Encanto to find out what would happen if Mirabel never embraced Isabela to try and save the Miracle! Would Casita ever fall? Would it ever recover? Would Abuela be happy? #supercarlinbrothers #WhatIf #Encanto</t>
        </is>
      </c>
      <c r="V1062" s="47">
        <f>IF(AND(P1062&gt;=Calendar!$K$2,P1062&lt;EDATE(Calendar!$K$2,1),OR(Calendar!$K$4="*",N1062=Calendar!$K$4)),P1062*100+COUNTIFS($P$6:$P$3267,P1062,$Q$6:$Q$3267,"&lt;="&amp;Q1062,$N$6:$N$3267,Calendar!$K$4),"")</f>
        <v/>
      </c>
      <c r="W1062" s="47">
        <f>IF(AND(B1062=Queue!$C$4,OR(Queue!$K$4="*",N1062=Queue!$K$4)),Q1062,"")</f>
        <v/>
      </c>
    </row>
    <row r="1063">
      <c r="A1063" s="38">
        <f>IF(M1063="","",HYPERLINK("https://www.youtube.com/watch?v="&amp;M1063,"▶"))</f>
        <v/>
      </c>
      <c r="B1063" s="39">
        <f>IF(C1063&lt;&gt;"",C1063,IF(P1063&lt;=IFERROR(INDEX(tblChannels[Watched Through],MATCH(N1063,tblChannels[Channel ID],0)),0),"Watched","Unwatched"))</f>
        <v/>
      </c>
      <c r="C1063" s="40" t="n"/>
      <c r="D1063" s="41" t="n"/>
      <c r="E1063" s="42" t="n">
        <v>44832.625</v>
      </c>
      <c r="F1063" s="52" t="inlineStr">
        <is>
          <t>Super Carlin Gaming</t>
        </is>
      </c>
      <c r="G1063" t="inlineStr">
        <is>
          <t>WE FOUND A SHINY!!! |  Pokémon Legends: Arceus Nuzlocke #19</t>
        </is>
      </c>
      <c r="H1063" s="44" t="n">
        <v>0.02700231481481482</v>
      </c>
      <c r="I1063" s="45" t="n">
        <v>5233</v>
      </c>
      <c r="J1063" s="45" t="n">
        <v>308</v>
      </c>
      <c r="K1063" s="45" t="n">
        <v>58</v>
      </c>
      <c r="L1063" s="46" t="n"/>
      <c r="M1063" s="47" t="n"/>
      <c r="N1063" s="47" t="inlineStr">
        <is>
          <t>UCor_9jRnNNZVzTuQ92PKsaQ</t>
        </is>
      </c>
      <c r="O1063" s="48" t="n">
        <v>44832.79166666666</v>
      </c>
      <c r="P1063" s="49" t="n">
        <v>44832</v>
      </c>
      <c r="Q1063" s="47" t="n">
        <v>2205</v>
      </c>
      <c r="R1063" s="47" t="inlineStr">
        <is>
          <t>No Video ID yet</t>
        </is>
      </c>
      <c r="S1063" s="49" t="n"/>
      <c r="T1063" s="49" t="n"/>
      <c r="U1063" s="47" t="inlineStr">
        <is>
          <t>J and the team continue checking off research tasks when --wait -- wha?!? COULD IT BE?!? FINALLY A SHINY?!? Praise be, Arceus!!! Edited by:: Riley Murtagh</t>
        </is>
      </c>
      <c r="V1063" s="47">
        <f>IF(AND(P1063&gt;=Calendar!$K$2,P1063&lt;EDATE(Calendar!$K$2,1),OR(Calendar!$K$4="*",N1063=Calendar!$K$4)),P1063*100+COUNTIFS($P$6:$P$3267,P1063,$Q$6:$Q$3267,"&lt;="&amp;Q1063,$N$6:$N$3267,Calendar!$K$4),"")</f>
        <v/>
      </c>
      <c r="W1063" s="47">
        <f>IF(AND(B1063=Queue!$C$4,OR(Queue!$K$4="*",N1063=Queue!$K$4)),Q1063,"")</f>
        <v/>
      </c>
    </row>
    <row r="1064">
      <c r="A1064" s="38">
        <f>IF(M1064="","",HYPERLINK("https://www.youtube.com/watch?v="&amp;M1064,"▶"))</f>
        <v/>
      </c>
      <c r="B1064" s="39">
        <f>IF(C1064&lt;&gt;"",C1064,IF(P1064&lt;=IFERROR(INDEX(tblChannels[Watched Through],MATCH(N1064,tblChannels[Channel ID],0)),0),"Watched","Unwatched"))</f>
        <v/>
      </c>
      <c r="C1064" s="40" t="n"/>
      <c r="D1064" s="41" t="n"/>
      <c r="E1064" s="42" t="n">
        <v>44831.66736111111</v>
      </c>
      <c r="F1064" s="50" t="inlineStr">
        <is>
          <t>Super Carlin Brothers</t>
        </is>
      </c>
      <c r="G1064" t="inlineStr">
        <is>
          <t>J vs Ben: ULTIMATE Chamber of Secrets Harry Potter TRIVIA Quiz</t>
        </is>
      </c>
      <c r="H1064" s="44" t="n">
        <v>0.02178240740740741</v>
      </c>
      <c r="I1064" s="45" t="n">
        <v>284768</v>
      </c>
      <c r="J1064" s="45" t="n">
        <v>8340</v>
      </c>
      <c r="K1064" s="45" t="n">
        <v>790</v>
      </c>
      <c r="L1064" s="46" t="n"/>
      <c r="M1064" s="47" t="n"/>
      <c r="N1064" s="47" t="inlineStr">
        <is>
          <t>UCKZo4N0lVPccBkSiuyVh4yg</t>
        </is>
      </c>
      <c r="O1064" s="48" t="n">
        <v>44831.83402777778</v>
      </c>
      <c r="P1064" s="49" t="n">
        <v>44831</v>
      </c>
      <c r="Q1064" s="47" t="n">
        <v>2204</v>
      </c>
      <c r="R1064" s="47" t="inlineStr">
        <is>
          <t>No Video ID yet</t>
        </is>
      </c>
      <c r="S1064" s="49" t="n"/>
      <c r="T1064" s="49" t="n"/>
      <c r="U1064" s="47" t="inlineStr">
        <is>
          <t>Go to to get Honey for Free! Try our new Coffee! Carlin Brothers Bike Blend :: Today J and Ben face off once more to find out who knows the most about Harry Potter and the Chamber of Secrets! 01:40 - What is the name of the second book? 02:53 - Who is the house elf? 05:40 - Which Lockhart book was Hermione reading when Ron got the Howler? 07:12 - Which founder created the Chamber of Secrets? 08:34 - What pudding did Petunia make for the Masons? 11:25 - When did Nearly Headless Nick die? 13:42 - What is Aragog's wife's name? 18:46 - What item of clothing set Dobby free? 20:09 - What comic book does Ron have in his room? 22:28 - Who was petrified at the same time as Hermione? 23:25 - Which floor is the girls' bathroom on where Myrtle lives? 24:34 - What did Professor Sinstra teach? 25:11 - What is Lockhart's favorite color? 25:42 - What does the singing Valentine compare Harry's eyes to? 27:50 - Who made fun of Myrtle's glasses? #supercarlinbrothers #JvsBen #HarryPotter Edited by :: Riley Murtagh &amp; Ethan Edghill</t>
        </is>
      </c>
      <c r="V1064" s="47">
        <f>IF(AND(P1064&gt;=Calendar!$K$2,P1064&lt;EDATE(Calendar!$K$2,1),OR(Calendar!$K$4="*",N1064=Calendar!$K$4)),P1064*100+COUNTIFS($P$6:$P$3267,P1064,$Q$6:$Q$3267,"&lt;="&amp;Q1064,$N$6:$N$3267,Calendar!$K$4),"")</f>
        <v/>
      </c>
      <c r="W1064" s="47">
        <f>IF(AND(B1064=Queue!$C$4,OR(Queue!$K$4="*",N1064=Queue!$K$4)),Q1064,"")</f>
        <v/>
      </c>
    </row>
    <row r="1065">
      <c r="A1065" s="38">
        <f>IF(M1065="","",HYPERLINK("https://www.youtube.com/watch?v="&amp;M1065,"▶"))</f>
        <v/>
      </c>
      <c r="B1065" s="39">
        <f>IF(C1065&lt;&gt;"",C1065,IF(P1065&lt;=IFERROR(INDEX(tblChannels[Watched Through],MATCH(N1065,tblChannels[Channel ID],0)),0),"Watched","Unwatched"))</f>
        <v/>
      </c>
      <c r="C1065" s="40" t="n"/>
      <c r="D1065" s="41" t="n"/>
      <c r="E1065" s="42" t="n">
        <v>44829.58333333334</v>
      </c>
      <c r="F1065" s="50" t="inlineStr">
        <is>
          <t>Super Carlin Brothers</t>
        </is>
      </c>
      <c r="G1065" t="inlineStr">
        <is>
          <t>Dumbledore's Big Plan - FULL STORY 1-7</t>
        </is>
      </c>
      <c r="H1065" s="44" t="n">
        <v>0.07887731481481482</v>
      </c>
      <c r="I1065" s="45" t="n">
        <v>5062206</v>
      </c>
      <c r="J1065" s="45" t="n">
        <v>60618</v>
      </c>
      <c r="K1065" s="45" t="n">
        <v>4298</v>
      </c>
      <c r="L1065" s="46" t="n"/>
      <c r="M1065" s="47" t="n"/>
      <c r="N1065" s="47" t="inlineStr">
        <is>
          <t>UCKZo4N0lVPccBkSiuyVh4yg</t>
        </is>
      </c>
      <c r="O1065" s="48" t="n">
        <v>44829.75</v>
      </c>
      <c r="P1065" s="49" t="n">
        <v>44829</v>
      </c>
      <c r="Q1065" s="47" t="n">
        <v>2203</v>
      </c>
      <c r="R1065" s="47" t="inlineStr">
        <is>
          <t>No Video ID yet</t>
        </is>
      </c>
      <c r="S1065" s="49" t="n"/>
      <c r="T1065" s="49" t="n"/>
      <c r="U1065" s="47" t="inlineStr">
        <is>
          <t>Was Albus Dumbledore secretly pulling the strings behind EVERYTHING in Harry's life every single year? We've stitched together all 7 of our main videos covering this topic from Philosopher's Stone to Deathly Hallows. Enjoy!</t>
        </is>
      </c>
      <c r="V1065" s="47">
        <f>IF(AND(P1065&gt;=Calendar!$K$2,P1065&lt;EDATE(Calendar!$K$2,1),OR(Calendar!$K$4="*",N1065=Calendar!$K$4)),P1065*100+COUNTIFS($P$6:$P$3267,P1065,$Q$6:$Q$3267,"&lt;="&amp;Q1065,$N$6:$N$3267,Calendar!$K$4),"")</f>
        <v/>
      </c>
      <c r="W1065" s="47">
        <f>IF(AND(B1065=Queue!$C$4,OR(Queue!$K$4="*",N1065=Queue!$K$4)),Q1065,"")</f>
        <v/>
      </c>
    </row>
    <row r="1066">
      <c r="A1066" s="38">
        <f>IF(M1066="","",HYPERLINK("https://www.youtube.com/watch?v="&amp;M1066,"▶"))</f>
        <v/>
      </c>
      <c r="B1066" s="39">
        <f>IF(C1066&lt;&gt;"",C1066,IF(P1066&lt;=IFERROR(INDEX(tblChannels[Watched Through],MATCH(N1066,tblChannels[Channel ID],0)),0),"Watched","Unwatched"))</f>
        <v/>
      </c>
      <c r="C1066" s="40" t="n"/>
      <c r="D1066" s="41" t="n"/>
      <c r="E1066" s="42" t="n">
        <v>44827.41666666666</v>
      </c>
      <c r="F1066" s="43" t="inlineStr">
        <is>
          <t>Popcorn Culture</t>
        </is>
      </c>
      <c r="G1066" t="inlineStr">
        <is>
          <t>Locust of Control | Popcorn Culture</t>
        </is>
      </c>
      <c r="H1066" s="44" t="n">
        <v>0.04672453703703704</v>
      </c>
      <c r="I1066" s="45" t="n">
        <v>5525</v>
      </c>
      <c r="J1066" s="45" t="n">
        <v>279</v>
      </c>
      <c r="K1066" s="45" t="n">
        <v>21</v>
      </c>
      <c r="L1066" s="46" t="n"/>
      <c r="M1066" s="47" t="n"/>
      <c r="N1066" s="47" t="inlineStr">
        <is>
          <t>UCHfIbq9thHPC8yrKjAdJgDA</t>
        </is>
      </c>
      <c r="O1066" s="48" t="n">
        <v>44827.58333333334</v>
      </c>
      <c r="P1066" s="49" t="n">
        <v>44827</v>
      </c>
      <c r="Q1066" s="47" t="n">
        <v>2202</v>
      </c>
      <c r="R1066" s="47" t="inlineStr">
        <is>
          <t>No Video ID yet</t>
        </is>
      </c>
      <c r="S1066" s="49" t="n"/>
      <c r="T1066" s="49" t="n"/>
      <c r="U1066" s="47" t="inlineStr">
        <is>
          <t>In the 146th episode of the Pop, Ben and J discuss an awesome new fan site for the Pop, English class, Tim Burton, referential humor, Spider-Man, internal and external Locus of Control, strategy, Fantasy Football, and Hike Prep. New Fan Site for Popcorn Culture - The Nightmare Before Christmas - Tim Burton - Spider-Man: No Way Home - Spider-Man: Into the Spiderverse - Locus of Control - Queen’s Gambit - Fantasy Football - Lincoln Logs Sky Pirate I Couldn’t Even Tell You What King Lear Is About Tim Burton: Fish Out of Water Titanium Spork 00:00 - Intro, Lincoln Logs 07:48 - English Class 14:14 - Referential Media and Spider Man 23:39 - Locus of Control and Strategy 46:10 - Hike Prep!!!!!!!</t>
        </is>
      </c>
      <c r="V1066" s="47">
        <f>IF(AND(P1066&gt;=Calendar!$K$2,P1066&lt;EDATE(Calendar!$K$2,1),OR(Calendar!$K$4="*",N1066=Calendar!$K$4)),P1066*100+COUNTIFS($P$6:$P$3267,P1066,$Q$6:$Q$3267,"&lt;="&amp;Q1066,$N$6:$N$3267,Calendar!$K$4),"")</f>
        <v/>
      </c>
      <c r="W1066" s="47">
        <f>IF(AND(B1066=Queue!$C$4,OR(Queue!$K$4="*",N1066=Queue!$K$4)),Q1066,"")</f>
        <v/>
      </c>
    </row>
    <row r="1067">
      <c r="A1067" s="38">
        <f>IF(M1067="","",HYPERLINK("https://www.youtube.com/watch?v="&amp;M1067,"▶"))</f>
        <v/>
      </c>
      <c r="B1067" s="39">
        <f>IF(C1067&lt;&gt;"",C1067,IF(P1067&lt;=IFERROR(INDEX(tblChannels[Watched Through],MATCH(N1067,tblChannels[Channel ID],0)),0),"Watched","Unwatched"))</f>
        <v/>
      </c>
      <c r="C1067" s="40" t="n"/>
      <c r="D1067" s="41" t="n"/>
      <c r="E1067" s="42" t="n">
        <v>44826.71388888889</v>
      </c>
      <c r="F1067" s="50" t="inlineStr">
        <is>
          <t>Super Carlin Brothers</t>
        </is>
      </c>
      <c r="G1067" t="inlineStr">
        <is>
          <t>Top 10 MOST Embarrassing Moments in Pixar Movies</t>
        </is>
      </c>
      <c r="H1067" s="44" t="n">
        <v>0.01263888888888889</v>
      </c>
      <c r="I1067" s="45" t="n">
        <v>120814</v>
      </c>
      <c r="J1067" s="45" t="n">
        <v>5885</v>
      </c>
      <c r="K1067" s="45" t="n">
        <v>407</v>
      </c>
      <c r="L1067" s="46" t="n"/>
      <c r="M1067" s="47" t="n"/>
      <c r="N1067" s="47" t="inlineStr">
        <is>
          <t>UCKZo4N0lVPccBkSiuyVh4yg</t>
        </is>
      </c>
      <c r="O1067" s="48" t="n">
        <v>44826.88055555556</v>
      </c>
      <c r="P1067" s="49" t="n">
        <v>44826</v>
      </c>
      <c r="Q1067" s="47" t="n">
        <v>2201</v>
      </c>
      <c r="R1067" s="47" t="inlineStr">
        <is>
          <t>No Video ID yet</t>
        </is>
      </c>
      <c r="S1067" s="49" t="n"/>
      <c r="T1067" s="49" t="n"/>
      <c r="U1067" s="47" t="inlineStr">
        <is>
          <t>This episode is sponsored by BetterHelp — go to to get started with BetterHelp today. Go to and use code SUPER for 20% off your first box. Today Ben dives into the world of Pixar to reveal the top 10 most embarrassing moments in all of Pixar’s movies. Pixar always knows how to hit you square in the feels and while some moments make us laugh others make us cringe and others are just down right emotionally shattering - it all comes down to humiliation. #supercarlinbrothers #Pixar</t>
        </is>
      </c>
      <c r="V1067" s="47">
        <f>IF(AND(P1067&gt;=Calendar!$K$2,P1067&lt;EDATE(Calendar!$K$2,1),OR(Calendar!$K$4="*",N1067=Calendar!$K$4)),P1067*100+COUNTIFS($P$6:$P$3267,P1067,$Q$6:$Q$3267,"&lt;="&amp;Q1067,$N$6:$N$3267,Calendar!$K$4),"")</f>
        <v/>
      </c>
      <c r="W1067" s="47">
        <f>IF(AND(B1067=Queue!$C$4,OR(Queue!$K$4="*",N1067=Queue!$K$4)),Q1067,"")</f>
        <v/>
      </c>
    </row>
    <row r="1068">
      <c r="A1068" s="38">
        <f>IF(M1068="","",HYPERLINK("https://www.youtube.com/watch?v="&amp;M1068,"▶"))</f>
        <v/>
      </c>
      <c r="B1068" s="39">
        <f>IF(C1068&lt;&gt;"",C1068,IF(P1068&lt;=IFERROR(INDEX(tblChannels[Watched Through],MATCH(N1068,tblChannels[Channel ID],0)),0),"Watched","Unwatched"))</f>
        <v/>
      </c>
      <c r="C1068" s="40" t="n"/>
      <c r="D1068" s="41" t="n"/>
      <c r="E1068" s="42" t="n">
        <v>44825.625</v>
      </c>
      <c r="F1068" s="52" t="inlineStr">
        <is>
          <t>Super Carlin Gaming</t>
        </is>
      </c>
      <c r="G1068" t="inlineStr">
        <is>
          <t>ELECTRODE AND THE DORK |  Pokémon Legends: Arceus Nuzlocke #18</t>
        </is>
      </c>
      <c r="H1068" s="44" t="n">
        <v>0.03050925925925926</v>
      </c>
      <c r="I1068" s="45" t="n">
        <v>5033</v>
      </c>
      <c r="J1068" s="45" t="n">
        <v>323</v>
      </c>
      <c r="K1068" s="45" t="n">
        <v>63</v>
      </c>
      <c r="L1068" s="46" t="n"/>
      <c r="M1068" s="47" t="n"/>
      <c r="N1068" s="47" t="inlineStr">
        <is>
          <t>UCor_9jRnNNZVzTuQ92PKsaQ</t>
        </is>
      </c>
      <c r="O1068" s="48" t="n">
        <v>44825.79166666666</v>
      </c>
      <c r="P1068" s="49" t="n">
        <v>44825</v>
      </c>
      <c r="Q1068" s="47" t="n">
        <v>2200</v>
      </c>
      <c r="R1068" s="47" t="inlineStr">
        <is>
          <t>No Video ID yet</t>
        </is>
      </c>
      <c r="S1068" s="49" t="n"/>
      <c r="T1068" s="49" t="n"/>
      <c r="U1068" s="47" t="inlineStr">
        <is>
          <t>1. Can ONLY KEEP the FIRST Pokemon you catch in a new area.</t>
        </is>
      </c>
      <c r="V1068" s="47">
        <f>IF(AND(P1068&gt;=Calendar!$K$2,P1068&lt;EDATE(Calendar!$K$2,1),OR(Calendar!$K$4="*",N1068=Calendar!$K$4)),P1068*100+COUNTIFS($P$6:$P$3267,P1068,$Q$6:$Q$3267,"&lt;="&amp;Q1068,$N$6:$N$3267,Calendar!$K$4),"")</f>
        <v/>
      </c>
      <c r="W1068" s="47">
        <f>IF(AND(B1068=Queue!$C$4,OR(Queue!$K$4="*",N1068=Queue!$K$4)),Q1068,"")</f>
        <v/>
      </c>
    </row>
    <row r="1069">
      <c r="A1069" s="38">
        <f>IF(M1069="","",HYPERLINK("https://www.youtube.com/watch?v="&amp;M1069,"▶"))</f>
        <v/>
      </c>
      <c r="B1069" s="39">
        <f>IF(C1069&lt;&gt;"",C1069,IF(P1069&lt;=IFERROR(INDEX(tblChannels[Watched Through],MATCH(N1069,tblChannels[Channel ID],0)),0),"Watched","Unwatched"))</f>
        <v/>
      </c>
      <c r="C1069" s="40" t="n"/>
      <c r="D1069" s="41" t="n"/>
      <c r="E1069" s="42" t="n">
        <v>44824.66875</v>
      </c>
      <c r="F1069" s="50" t="inlineStr">
        <is>
          <t>Super Carlin Brothers</t>
        </is>
      </c>
      <c r="G1069" t="inlineStr">
        <is>
          <t>Why Does Dumbledore Trust Hagrid So Much? | Harry Potter Film Theory</t>
        </is>
      </c>
      <c r="H1069" s="44" t="n">
        <v>0.009814814814814814</v>
      </c>
      <c r="I1069" s="45" t="n">
        <v>356134</v>
      </c>
      <c r="J1069" s="45" t="n">
        <v>13015</v>
      </c>
      <c r="K1069" s="45" t="n">
        <v>869</v>
      </c>
      <c r="L1069" s="46" t="n"/>
      <c r="M1069" s="47" t="n"/>
      <c r="N1069" s="47" t="inlineStr">
        <is>
          <t>UCKZo4N0lVPccBkSiuyVh4yg</t>
        </is>
      </c>
      <c r="O1069" s="48" t="n">
        <v>44824.83541666667</v>
      </c>
      <c r="P1069" s="49" t="n">
        <v>44824</v>
      </c>
      <c r="Q1069" s="47" t="n">
        <v>2199</v>
      </c>
      <c r="R1069" s="47" t="inlineStr">
        <is>
          <t>No Video ID yet</t>
        </is>
      </c>
      <c r="S1069" s="49" t="n"/>
      <c r="T1069" s="49" t="n"/>
      <c r="U1069" s="47" t="inlineStr">
        <is>
          <t>This episode is sponsored by BetterHelp — go to to get started with BetterHelp today. Go to and use code SUPERCARLIN to get a 4-week trial, free postage and a free digital scale. Today J dives into the Wizarding World of Harry Potter to uncover why Dumbledore seems to trust Hagrid with such iron clad resolve in the same way he seems to trust Snape - Did Hagrid make a great confession of love? Did he save his life? Why does Hagrid’s wand still function in his umbrella if it was snapped in half?! #supercarlinbrothers #HarryPotter #Swagrid</t>
        </is>
      </c>
      <c r="V1069" s="47">
        <f>IF(AND(P1069&gt;=Calendar!$K$2,P1069&lt;EDATE(Calendar!$K$2,1),OR(Calendar!$K$4="*",N1069=Calendar!$K$4)),P1069*100+COUNTIFS($P$6:$P$3267,P1069,$Q$6:$Q$3267,"&lt;="&amp;Q1069,$N$6:$N$3267,Calendar!$K$4),"")</f>
        <v/>
      </c>
      <c r="W1069" s="47">
        <f>IF(AND(B1069=Queue!$C$4,OR(Queue!$K$4="*",N1069=Queue!$K$4)),Q1069,"")</f>
        <v/>
      </c>
    </row>
    <row r="1070">
      <c r="A1070" s="38">
        <f>IF(M1070="","",HYPERLINK("https://www.youtube.com/watch?v="&amp;M1070,"▶"))</f>
        <v/>
      </c>
      <c r="B1070" s="39">
        <f>IF(C1070&lt;&gt;"",C1070,IF(P1070&lt;=IFERROR(INDEX(tblChannels[Watched Through],MATCH(N1070,tblChannels[Channel ID],0)),0),"Watched","Unwatched"))</f>
        <v/>
      </c>
      <c r="C1070" s="40" t="n"/>
      <c r="D1070" s="41" t="n"/>
      <c r="E1070" s="42" t="n">
        <v>44824.45833333334</v>
      </c>
      <c r="F1070" s="52" t="inlineStr">
        <is>
          <t>Super Carlin Gaming</t>
        </is>
      </c>
      <c r="G1070" t="inlineStr">
        <is>
          <t>Season 1 Finale! BEST Astral Radiance Pull YET | Box Breakers S1/E2</t>
        </is>
      </c>
      <c r="H1070" s="44" t="n">
        <v>0.04458333333333334</v>
      </c>
      <c r="I1070" s="45" t="n">
        <v>4443</v>
      </c>
      <c r="J1070" s="45" t="n">
        <v>223</v>
      </c>
      <c r="K1070" s="45" t="n">
        <v>27</v>
      </c>
      <c r="L1070" s="46" t="n"/>
      <c r="M1070" s="47" t="n"/>
      <c r="N1070" s="47" t="inlineStr">
        <is>
          <t>UCor_9jRnNNZVzTuQ92PKsaQ</t>
        </is>
      </c>
      <c r="O1070" s="48" t="n">
        <v>44824.625</v>
      </c>
      <c r="P1070" s="49" t="n">
        <v>44824</v>
      </c>
      <c r="Q1070" s="47" t="n">
        <v>2198</v>
      </c>
      <c r="R1070" s="47" t="inlineStr">
        <is>
          <t>No Video ID yet</t>
        </is>
      </c>
      <c r="S1070" s="49" t="n"/>
      <c r="T1070" s="49" t="n"/>
      <c r="U1070" s="47" t="n"/>
      <c r="V1070" s="47">
        <f>IF(AND(P1070&gt;=Calendar!$K$2,P1070&lt;EDATE(Calendar!$K$2,1),OR(Calendar!$K$4="*",N1070=Calendar!$K$4)),P1070*100+COUNTIFS($P$6:$P$3267,P1070,$Q$6:$Q$3267,"&lt;="&amp;Q1070,$N$6:$N$3267,Calendar!$K$4),"")</f>
        <v/>
      </c>
      <c r="W1070" s="47">
        <f>IF(AND(B1070=Queue!$C$4,OR(Queue!$K$4="*",N1070=Queue!$K$4)),Q1070,"")</f>
        <v/>
      </c>
    </row>
    <row r="1071">
      <c r="A1071" s="38">
        <f>IF(M1071="","",HYPERLINK("https://www.youtube.com/watch?v="&amp;M1071,"▶"))</f>
        <v/>
      </c>
      <c r="B1071" s="39">
        <f>IF(C1071&lt;&gt;"",C1071,IF(P1071&lt;=IFERROR(INDEX(tblChannels[Watched Through],MATCH(N1071,tblChannels[Channel ID],0)),0),"Watched","Unwatched"))</f>
        <v/>
      </c>
      <c r="C1071" s="40" t="n"/>
      <c r="D1071" s="41" t="n"/>
      <c r="E1071" s="42" t="n">
        <v>44823.58333333334</v>
      </c>
      <c r="F1071" s="53" t="inlineStr">
        <is>
          <t>Jonathan Carlin</t>
        </is>
      </c>
      <c r="G1071" t="inlineStr">
        <is>
          <t>Nick &amp; Nate Discover the Ocean and LOVE IT!</t>
        </is>
      </c>
      <c r="H1071" s="44" t="n">
        <v>0.008738425925925926</v>
      </c>
      <c r="I1071" s="45" t="n">
        <v>9295</v>
      </c>
      <c r="J1071" s="45" t="n">
        <v>591</v>
      </c>
      <c r="K1071" s="45" t="n">
        <v>47</v>
      </c>
      <c r="L1071" s="46" t="n"/>
      <c r="M1071" s="47" t="n"/>
      <c r="N1071" s="47" t="inlineStr">
        <is>
          <t>UCYPKFe86e6nm4TVUYKLsFUQ</t>
        </is>
      </c>
      <c r="O1071" s="48" t="n">
        <v>44823.75</v>
      </c>
      <c r="P1071" s="49" t="n">
        <v>44823</v>
      </c>
      <c r="Q1071" s="47" t="n">
        <v>2197</v>
      </c>
      <c r="R1071" s="47" t="inlineStr">
        <is>
          <t>No Video ID yet</t>
        </is>
      </c>
      <c r="S1071" s="49" t="n"/>
      <c r="T1071" s="49" t="n"/>
      <c r="U1071" s="47" t="inlineStr">
        <is>
          <t>This week J and the family head to Kure Beach in North Carolina and enjoy the sun, waves, rocks and family!</t>
        </is>
      </c>
      <c r="V1071" s="47">
        <f>IF(AND(P1071&gt;=Calendar!$K$2,P1071&lt;EDATE(Calendar!$K$2,1),OR(Calendar!$K$4="*",N1071=Calendar!$K$4)),P1071*100+COUNTIFS($P$6:$P$3267,P1071,$Q$6:$Q$3267,"&lt;="&amp;Q1071,$N$6:$N$3267,Calendar!$K$4),"")</f>
        <v/>
      </c>
      <c r="W1071" s="47">
        <f>IF(AND(B1071=Queue!$C$4,OR(Queue!$K$4="*",N1071=Queue!$K$4)),Q1071,"")</f>
        <v/>
      </c>
    </row>
    <row r="1072">
      <c r="A1072" s="38">
        <f>IF(M1072="","",HYPERLINK("https://www.youtube.com/watch?v="&amp;M1072,"▶"))</f>
        <v/>
      </c>
      <c r="B1072" s="39">
        <f>IF(C1072&lt;&gt;"",C1072,IF(P1072&lt;=IFERROR(INDEX(tblChannels[Watched Through],MATCH(N1072,tblChannels[Channel ID],0)),0),"Watched","Unwatched"))</f>
        <v/>
      </c>
      <c r="C1072" s="40" t="n"/>
      <c r="D1072" s="41" t="n"/>
      <c r="E1072" s="42" t="n">
        <v>44820.68888888889</v>
      </c>
      <c r="F1072" s="50" t="inlineStr">
        <is>
          <t>Super Carlin Brothers</t>
        </is>
      </c>
      <c r="G1072" t="inlineStr">
        <is>
          <t>What If Harry Was In Slytherin? - The Deathly Hallows - Part 2</t>
        </is>
      </c>
      <c r="H1072" s="44" t="n">
        <v>0.02929398148148148</v>
      </c>
      <c r="I1072" s="45" t="n">
        <v>317718</v>
      </c>
      <c r="J1072" s="45" t="n">
        <v>19603</v>
      </c>
      <c r="K1072" s="45" t="n">
        <v>3055</v>
      </c>
      <c r="L1072" s="46" t="n"/>
      <c r="M1072" s="47" t="n"/>
      <c r="N1072" s="47" t="inlineStr">
        <is>
          <t>UCKZo4N0lVPccBkSiuyVh4yg</t>
        </is>
      </c>
      <c r="O1072" s="48" t="n">
        <v>44820.85555555556</v>
      </c>
      <c r="P1072" s="49" t="n">
        <v>44820</v>
      </c>
      <c r="Q1072" s="47" t="n">
        <v>2196</v>
      </c>
      <c r="R1072" s="47" t="inlineStr">
        <is>
          <t>No Video ID yet</t>
        </is>
      </c>
      <c r="S1072" s="49" t="n"/>
      <c r="T1072" s="49" t="n"/>
      <c r="U1072" s="47" t="inlineStr">
        <is>
          <t>Go to for 20% off your first order and free shipping. Today J dives into the Wizarding World of Harry Potter to finally find out what happens in year 7 if Harry was Sorted into Slytherin! How will the Basilisk affect the final battle? What of all the Silver wounds on the death eaters? How will Harry find the Room of Requirement? AND what wand is Snape now using?</t>
        </is>
      </c>
      <c r="V1072" s="47">
        <f>IF(AND(P1072&gt;=Calendar!$K$2,P1072&lt;EDATE(Calendar!$K$2,1),OR(Calendar!$K$4="*",N1072=Calendar!$K$4)),P1072*100+COUNTIFS($P$6:$P$3267,P1072,$Q$6:$Q$3267,"&lt;="&amp;Q1072,$N$6:$N$3267,Calendar!$K$4),"")</f>
        <v/>
      </c>
      <c r="W1072" s="47">
        <f>IF(AND(B1072=Queue!$C$4,OR(Queue!$K$4="*",N1072=Queue!$K$4)),Q1072,"")</f>
        <v/>
      </c>
    </row>
    <row r="1073">
      <c r="A1073" s="38">
        <f>IF(M1073="","",HYPERLINK("https://www.youtube.com/watch?v="&amp;M1073,"▶"))</f>
        <v/>
      </c>
      <c r="B1073" s="39">
        <f>IF(C1073&lt;&gt;"",C1073,IF(P1073&lt;=IFERROR(INDEX(tblChannels[Watched Through],MATCH(N1073,tblChannels[Channel ID],0)),0),"Watched","Unwatched"))</f>
        <v/>
      </c>
      <c r="C1073" s="40" t="n"/>
      <c r="D1073" s="41" t="n"/>
      <c r="E1073" s="42" t="n">
        <v>44820.41666666666</v>
      </c>
      <c r="F1073" s="43" t="inlineStr">
        <is>
          <t>Popcorn Culture</t>
        </is>
      </c>
      <c r="G1073" t="inlineStr">
        <is>
          <t>Planning for Bears | Popcorn Culture</t>
        </is>
      </c>
      <c r="H1073" s="44" t="n">
        <v>0.05096064814814815</v>
      </c>
      <c r="I1073" s="45" t="n">
        <v>5522</v>
      </c>
      <c r="J1073" s="45" t="n">
        <v>275</v>
      </c>
      <c r="K1073" s="45" t="n">
        <v>27</v>
      </c>
      <c r="L1073" s="46" t="n"/>
      <c r="M1073" s="47" t="n"/>
      <c r="N1073" s="47" t="inlineStr">
        <is>
          <t>UCHfIbq9thHPC8yrKjAdJgDA</t>
        </is>
      </c>
      <c r="O1073" s="48" t="n">
        <v>44820.58333333334</v>
      </c>
      <c r="P1073" s="49" t="n">
        <v>44820</v>
      </c>
      <c r="Q1073" s="47" t="n">
        <v>2195</v>
      </c>
      <c r="R1073" s="47" t="inlineStr">
        <is>
          <t>No Video ID yet</t>
        </is>
      </c>
      <c r="S1073" s="49" t="n"/>
      <c r="T1073" s="49" t="n"/>
      <c r="U1073" s="47" t="inlineStr">
        <is>
          <t>J and Ben discuss: their upcoming hike, minimalism, future trips, Go Fest, bears, paracord, eras of the Pop, leg day, survivorship bias, optical illusions, Twitter doomscrolling, and Luke’s deductive reasoning. Go Fest - Paracord Bracelets - Survivorship Bias - Box Breakers - Hike Training at Disney Don’t Skip Leg Day The General Contractor Twitter Doomscrolling: A One Man Show Misread the Ammunition of a Four Year Old 00:00 - Intro, Hostmanship 01:56 - Hike Prep 28:49 - Go Fest 32:35 - Bear Planning 45:32 - Survivorship Bias 58:50 - Luke’s Deductive Reasoning</t>
        </is>
      </c>
      <c r="V1073" s="47">
        <f>IF(AND(P1073&gt;=Calendar!$K$2,P1073&lt;EDATE(Calendar!$K$2,1),OR(Calendar!$K$4="*",N1073=Calendar!$K$4)),P1073*100+COUNTIFS($P$6:$P$3267,P1073,$Q$6:$Q$3267,"&lt;="&amp;Q1073,$N$6:$N$3267,Calendar!$K$4),"")</f>
        <v/>
      </c>
      <c r="W1073" s="47">
        <f>IF(AND(B1073=Queue!$C$4,OR(Queue!$K$4="*",N1073=Queue!$K$4)),Q1073,"")</f>
        <v/>
      </c>
    </row>
    <row r="1074">
      <c r="A1074" s="38">
        <f>IF(M1074="","",HYPERLINK("https://www.youtube.com/watch?v="&amp;M1074,"▶"))</f>
        <v/>
      </c>
      <c r="B1074" s="39">
        <f>IF(C1074&lt;&gt;"",C1074,IF(P1074&lt;=IFERROR(INDEX(tblChannels[Watched Through],MATCH(N1074,tblChannels[Channel ID],0)),0),"Watched","Unwatched"))</f>
        <v/>
      </c>
      <c r="C1074" s="40" t="n"/>
      <c r="D1074" s="41" t="n"/>
      <c r="E1074" s="42" t="n">
        <v>44817.71388888889</v>
      </c>
      <c r="F1074" s="50" t="inlineStr">
        <is>
          <t>Super Carlin Brothers</t>
        </is>
      </c>
      <c r="G1074" t="inlineStr">
        <is>
          <t>J vs Ben: HARDEST Sorting Hat Harry Potter TRIVIA Quiz</t>
        </is>
      </c>
      <c r="H1074" s="44" t="n">
        <v>0.02049768518518518</v>
      </c>
      <c r="I1074" s="45" t="n">
        <v>226155</v>
      </c>
      <c r="J1074" s="45" t="n">
        <v>7884</v>
      </c>
      <c r="K1074" s="45" t="n">
        <v>626</v>
      </c>
      <c r="L1074" s="46" t="n"/>
      <c r="M1074" s="47" t="n"/>
      <c r="N1074" s="47" t="inlineStr">
        <is>
          <t>UCKZo4N0lVPccBkSiuyVh4yg</t>
        </is>
      </c>
      <c r="O1074" s="48" t="n">
        <v>44817.88055555556</v>
      </c>
      <c r="P1074" s="49" t="n">
        <v>44817</v>
      </c>
      <c r="Q1074" s="47" t="n">
        <v>2194</v>
      </c>
      <c r="R1074" s="47" t="inlineStr">
        <is>
          <t>No Video ID yet</t>
        </is>
      </c>
      <c r="S1074" s="49" t="n"/>
      <c r="T1074" s="49" t="n"/>
      <c r="U1074" s="47" t="inlineStr">
        <is>
          <t>Go to to get 3 months for free The first 200 people to sign up for an annual premium subscription at get 20% off! Today J and Ben face off once more to find out who knows more about the Wizarding World of Harry Potter and one of its most iconic relics: The Sorting Hat!</t>
        </is>
      </c>
      <c r="V1074" s="47">
        <f>IF(AND(P1074&gt;=Calendar!$K$2,P1074&lt;EDATE(Calendar!$K$2,1),OR(Calendar!$K$4="*",N1074=Calendar!$K$4)),P1074*100+COUNTIFS($P$6:$P$3267,P1074,$Q$6:$Q$3267,"&lt;="&amp;Q1074,$N$6:$N$3267,Calendar!$K$4),"")</f>
        <v/>
      </c>
      <c r="W1074" s="47">
        <f>IF(AND(B1074=Queue!$C$4,OR(Queue!$K$4="*",N1074=Queue!$K$4)),Q1074,"")</f>
        <v/>
      </c>
    </row>
    <row r="1075">
      <c r="A1075" s="38">
        <f>IF(M1075="","",HYPERLINK("https://www.youtube.com/watch?v="&amp;M1075,"▶"))</f>
        <v/>
      </c>
      <c r="B1075" s="39">
        <f>IF(C1075&lt;&gt;"",C1075,IF(P1075&lt;=IFERROR(INDEX(tblChannels[Watched Through],MATCH(N1075,tblChannels[Channel ID],0)),0),"Watched","Unwatched"))</f>
        <v/>
      </c>
      <c r="C1075" s="40" t="n"/>
      <c r="D1075" s="41" t="n"/>
      <c r="E1075" s="42" t="n">
        <v>44813.78194444445</v>
      </c>
      <c r="F1075" s="50" t="inlineStr">
        <is>
          <t>Super Carlin Brothers</t>
        </is>
      </c>
      <c r="G1075" t="inlineStr">
        <is>
          <t>What if Harry Was In Slytherin - The Deathly Hallows Part 1 | Harry Potter Film Theory</t>
        </is>
      </c>
      <c r="H1075" s="44" t="n">
        <v>0.02923611111111111</v>
      </c>
      <c r="I1075" s="45" t="n">
        <v>375916</v>
      </c>
      <c r="J1075" s="45" t="n">
        <v>16323</v>
      </c>
      <c r="K1075" s="45" t="n">
        <v>1542</v>
      </c>
      <c r="L1075" s="46" t="n"/>
      <c r="M1075" s="47" t="n"/>
      <c r="N1075" s="47" t="inlineStr">
        <is>
          <t>UCKZo4N0lVPccBkSiuyVh4yg</t>
        </is>
      </c>
      <c r="O1075" s="48" t="n">
        <v>44813.94861111111</v>
      </c>
      <c r="P1075" s="49" t="n">
        <v>44813</v>
      </c>
      <c r="Q1075" s="47" t="n">
        <v>2193</v>
      </c>
      <c r="R1075" s="47" t="inlineStr">
        <is>
          <t>No Video ID yet</t>
        </is>
      </c>
      <c r="S1075" s="49" t="n"/>
      <c r="T1075" s="49" t="n"/>
      <c r="U1075" s="47" t="inlineStr">
        <is>
          <t>Go to to get up to 20% off your first box. Today J dives back into the Wizarding World of Harry Potter to discover what would happen if Harry had been sorted into Slytherin for his final year in the war against Voldemort!</t>
        </is>
      </c>
      <c r="V1075" s="47">
        <f>IF(AND(P1075&gt;=Calendar!$K$2,P1075&lt;EDATE(Calendar!$K$2,1),OR(Calendar!$K$4="*",N1075=Calendar!$K$4)),P1075*100+COUNTIFS($P$6:$P$3267,P1075,$Q$6:$Q$3267,"&lt;="&amp;Q1075,$N$6:$N$3267,Calendar!$K$4),"")</f>
        <v/>
      </c>
      <c r="W1075" s="47">
        <f>IF(AND(B1075=Queue!$C$4,OR(Queue!$K$4="*",N1075=Queue!$K$4)),Q1075,"")</f>
        <v/>
      </c>
    </row>
    <row r="1076">
      <c r="A1076" s="38">
        <f>IF(M1076="","",HYPERLINK("https://www.youtube.com/watch?v="&amp;M1076,"▶"))</f>
        <v/>
      </c>
      <c r="B1076" s="39">
        <f>IF(C1076&lt;&gt;"",C1076,IF(P1076&lt;=IFERROR(INDEX(tblChannels[Watched Through],MATCH(N1076,tblChannels[Channel ID],0)),0),"Watched","Unwatched"))</f>
        <v/>
      </c>
      <c r="C1076" s="40" t="n"/>
      <c r="D1076" s="41" t="n"/>
      <c r="E1076" s="42" t="n">
        <v>44813.69791666666</v>
      </c>
      <c r="F1076" s="43" t="inlineStr">
        <is>
          <t>Popcorn Culture</t>
        </is>
      </c>
      <c r="G1076" t="inlineStr">
        <is>
          <t>Party Duck | Popcorn Culture</t>
        </is>
      </c>
      <c r="H1076" s="44" t="n">
        <v>0.04855324074074074</v>
      </c>
      <c r="I1076" s="45" t="n">
        <v>6461</v>
      </c>
      <c r="J1076" s="45" t="n">
        <v>290</v>
      </c>
      <c r="K1076" s="45" t="n">
        <v>30</v>
      </c>
      <c r="L1076" s="46" t="n"/>
      <c r="M1076" s="47" t="n"/>
      <c r="N1076" s="47" t="inlineStr">
        <is>
          <t>UCHfIbq9thHPC8yrKjAdJgDA</t>
        </is>
      </c>
      <c r="O1076" s="48" t="n">
        <v>44813.86458333334</v>
      </c>
      <c r="P1076" s="49" t="n">
        <v>44813</v>
      </c>
      <c r="Q1076" s="47" t="n">
        <v>2192</v>
      </c>
      <c r="R1076" s="47" t="inlineStr">
        <is>
          <t>No Video ID yet</t>
        </is>
      </c>
      <c r="S1076" s="49" t="n"/>
      <c r="T1076" s="49" t="n"/>
      <c r="U1076" s="47" t="inlineStr">
        <is>
          <t>In the 144th episode of the Pop, J and Ben discuss LotR and The Rings of Power, calendars are hard, Labor Day fun times, Nick and Nate starting pre-school, ideal thinking, water skiing, and moats. The Rings of Power - House of the Dragon - SCB What If Series - J’s Biggest Weakness - Calendars It’s a Lot of Work to Have Fun Toxic Idealism Pooh and Eeyore You CAN Water Ski How Is a Moat Filled with Water? 00:00 - Intro, Fantasy Shows 16:52 - Labor Day and Calendars 29:59 - Preschool and Toxic Idealism 52:31 - Water Skiing</t>
        </is>
      </c>
      <c r="V1076" s="47">
        <f>IF(AND(P1076&gt;=Calendar!$K$2,P1076&lt;EDATE(Calendar!$K$2,1),OR(Calendar!$K$4="*",N1076=Calendar!$K$4)),P1076*100+COUNTIFS($P$6:$P$3267,P1076,$Q$6:$Q$3267,"&lt;="&amp;Q1076,$N$6:$N$3267,Calendar!$K$4),"")</f>
        <v/>
      </c>
      <c r="W1076" s="47">
        <f>IF(AND(B1076=Queue!$C$4,OR(Queue!$K$4="*",N1076=Queue!$K$4)),Q1076,"")</f>
        <v/>
      </c>
    </row>
    <row r="1077">
      <c r="A1077" s="38">
        <f>IF(M1077="","",HYPERLINK("https://www.youtube.com/watch?v="&amp;M1077,"▶"))</f>
        <v/>
      </c>
      <c r="B1077" s="39">
        <f>IF(C1077&lt;&gt;"",C1077,IF(P1077&lt;=IFERROR(INDEX(tblChannels[Watched Through],MATCH(N1077,tblChannels[Channel ID],0)),0),"Watched","Unwatched"))</f>
        <v/>
      </c>
      <c r="C1077" s="40" t="n"/>
      <c r="D1077" s="41" t="n"/>
      <c r="E1077" s="42" t="n">
        <v>44810.68888888889</v>
      </c>
      <c r="F1077" s="50" t="inlineStr">
        <is>
          <t>Super Carlin Brothers</t>
        </is>
      </c>
      <c r="G1077" t="inlineStr">
        <is>
          <t>The Trace Makes NO SENSE | Harry Potter Film Theory</t>
        </is>
      </c>
      <c r="H1077" s="44" t="n">
        <v>0.01277777777777778</v>
      </c>
      <c r="I1077" s="45" t="n">
        <v>629945</v>
      </c>
      <c r="J1077" s="45" t="n">
        <v>19024</v>
      </c>
      <c r="K1077" s="45" t="n">
        <v>2234</v>
      </c>
      <c r="L1077" s="46" t="n"/>
      <c r="M1077" s="47" t="n"/>
      <c r="N1077" s="47" t="inlineStr">
        <is>
          <t>UCKZo4N0lVPccBkSiuyVh4yg</t>
        </is>
      </c>
      <c r="O1077" s="48" t="n">
        <v>44810.85555555556</v>
      </c>
      <c r="P1077" s="49" t="n">
        <v>44810</v>
      </c>
      <c r="Q1077" s="47" t="n">
        <v>2191</v>
      </c>
      <c r="R1077" s="47" t="inlineStr">
        <is>
          <t>No Video ID yet</t>
        </is>
      </c>
      <c r="S1077" s="49" t="n"/>
      <c r="T1077" s="49" t="n"/>
      <c r="U1077" s="47" t="inlineStr">
        <is>
          <t>Go to for 20% off your first order and free shipping. Today Ben dives into the Wizarding World of Harry Potter to examine one of its most inconsistent rules: The Trace! Why is so much underage wizardy allowed near Harry? Why do they enforce this rule at all and when is it put on you?</t>
        </is>
      </c>
      <c r="V1077" s="47">
        <f>IF(AND(P1077&gt;=Calendar!$K$2,P1077&lt;EDATE(Calendar!$K$2,1),OR(Calendar!$K$4="*",N1077=Calendar!$K$4)),P1077*100+COUNTIFS($P$6:$P$3267,P1077,$Q$6:$Q$3267,"&lt;="&amp;Q1077,$N$6:$N$3267,Calendar!$K$4),"")</f>
        <v/>
      </c>
      <c r="W1077" s="47">
        <f>IF(AND(B1077=Queue!$C$4,OR(Queue!$K$4="*",N1077=Queue!$K$4)),Q1077,"")</f>
        <v/>
      </c>
    </row>
    <row r="1078">
      <c r="A1078" s="38">
        <f>IF(M1078="","",HYPERLINK("https://www.youtube.com/watch?v="&amp;M1078,"▶"))</f>
        <v/>
      </c>
      <c r="B1078" s="39">
        <f>IF(C1078&lt;&gt;"",C1078,IF(P1078&lt;=IFERROR(INDEX(tblChannels[Watched Through],MATCH(N1078,tblChannels[Channel ID],0)),0),"Watched","Unwatched"))</f>
        <v/>
      </c>
      <c r="C1078" s="40" t="n"/>
      <c r="D1078" s="41" t="n"/>
      <c r="E1078" s="42" t="n">
        <v>44806.67986111111</v>
      </c>
      <c r="F1078" s="50" t="inlineStr">
        <is>
          <t>Super Carlin Brothers</t>
        </is>
      </c>
      <c r="G1078" t="inlineStr">
        <is>
          <t>What If Harry Was In Slytherin - The Half-Blood Prince | Harry Potter Film Theory</t>
        </is>
      </c>
      <c r="H1078" s="44" t="n">
        <v>0.03444444444444444</v>
      </c>
      <c r="I1078" s="45" t="n">
        <v>492098</v>
      </c>
      <c r="J1078" s="45" t="n">
        <v>17903</v>
      </c>
      <c r="K1078" s="45" t="n">
        <v>1917</v>
      </c>
      <c r="L1078" s="46" t="n"/>
      <c r="M1078" s="47" t="n"/>
      <c r="N1078" s="47" t="inlineStr">
        <is>
          <t>UCKZo4N0lVPccBkSiuyVh4yg</t>
        </is>
      </c>
      <c r="O1078" s="48" t="n">
        <v>44806.84652777778</v>
      </c>
      <c r="P1078" s="49" t="n">
        <v>44806</v>
      </c>
      <c r="Q1078" s="47" t="n">
        <v>2190</v>
      </c>
      <c r="R1078" s="47" t="inlineStr">
        <is>
          <t>No Video ID yet</t>
        </is>
      </c>
      <c r="S1078" s="49" t="n"/>
      <c r="T1078" s="49" t="n"/>
      <c r="U1078" s="47" t="inlineStr">
        <is>
          <t>Today J continues his quest into the Wizarding World to try and find out what would happen in The Half Blood Prince if Harry had been sorted into Slytherin.</t>
        </is>
      </c>
      <c r="V1078" s="47">
        <f>IF(AND(P1078&gt;=Calendar!$K$2,P1078&lt;EDATE(Calendar!$K$2,1),OR(Calendar!$K$4="*",N1078=Calendar!$K$4)),P1078*100+COUNTIFS($P$6:$P$3267,P1078,$Q$6:$Q$3267,"&lt;="&amp;Q1078,$N$6:$N$3267,Calendar!$K$4),"")</f>
        <v/>
      </c>
      <c r="W1078" s="47">
        <f>IF(AND(B1078=Queue!$C$4,OR(Queue!$K$4="*",N1078=Queue!$K$4)),Q1078,"")</f>
        <v/>
      </c>
    </row>
    <row r="1079">
      <c r="A1079" s="38">
        <f>IF(M1079="","",HYPERLINK("https://www.youtube.com/watch?v="&amp;M1079,"▶"))</f>
        <v/>
      </c>
      <c r="B1079" s="39">
        <f>IF(C1079&lt;&gt;"",C1079,IF(P1079&lt;=IFERROR(INDEX(tblChannels[Watched Through],MATCH(N1079,tblChannels[Channel ID],0)),0),"Watched","Unwatched"))</f>
        <v/>
      </c>
      <c r="C1079" s="40" t="n"/>
      <c r="D1079" s="41" t="n"/>
      <c r="E1079" s="42" t="n">
        <v>44806.41666666666</v>
      </c>
      <c r="F1079" s="43" t="inlineStr">
        <is>
          <t>Popcorn Culture</t>
        </is>
      </c>
      <c r="G1079" t="inlineStr">
        <is>
          <t>YOU'RE MOSTLY WATER, MAN! | Popcorn Culture</t>
        </is>
      </c>
      <c r="H1079" s="44" t="n">
        <v>0.04385416666666667</v>
      </c>
      <c r="I1079" s="45" t="n">
        <v>5849</v>
      </c>
      <c r="J1079" s="45" t="n">
        <v>306</v>
      </c>
      <c r="K1079" s="45" t="n">
        <v>36</v>
      </c>
      <c r="L1079" s="46" t="n"/>
      <c r="M1079" s="47" t="n"/>
      <c r="N1079" s="47" t="inlineStr">
        <is>
          <t>UCHfIbq9thHPC8yrKjAdJgDA</t>
        </is>
      </c>
      <c r="O1079" s="48" t="n">
        <v>44806.58333333334</v>
      </c>
      <c r="P1079" s="49" t="n">
        <v>44806</v>
      </c>
      <c r="Q1079" s="47" t="n">
        <v>2189</v>
      </c>
      <c r="R1079" s="47" t="inlineStr">
        <is>
          <t>No Video ID yet</t>
        </is>
      </c>
      <c r="S1079" s="49" t="n"/>
      <c r="T1079" s="49" t="n"/>
      <c r="U1079" s="47" t="inlineStr">
        <is>
          <t>In the 143rd episode of the Pop, J and Ben discuss the weirdness of how time works, a variety of vinegar based things, Abe Lincoln’s favorite drink, tattoos, and everything happening for a reason. J’s Wick of the Peek - Kombucha Liquid Death - Time is Weird Take Your Brain and Run With It Is Kombucha Good For You? Intramoosed Plain Water Ben’s Tattoo Dilemma 00:00 - Intro, Time Is Weird 05:54 - Is Kombucha Good For You? (And other vinegary things) 39:00 - Abe Lincoln’s Favorite Drink 45:48 - Ben’s Tattoo Dilemma 56:03 - Everything Happens for a Reason Edited by: Riley Murtaugh</t>
        </is>
      </c>
      <c r="V1079" s="47">
        <f>IF(AND(P1079&gt;=Calendar!$K$2,P1079&lt;EDATE(Calendar!$K$2,1),OR(Calendar!$K$4="*",N1079=Calendar!$K$4)),P1079*100+COUNTIFS($P$6:$P$3267,P1079,$Q$6:$Q$3267,"&lt;="&amp;Q1079,$N$6:$N$3267,Calendar!$K$4),"")</f>
        <v/>
      </c>
      <c r="W1079" s="47">
        <f>IF(AND(B1079=Queue!$C$4,OR(Queue!$K$4="*",N1079=Queue!$K$4)),Q1079,"")</f>
        <v/>
      </c>
    </row>
    <row r="1080">
      <c r="A1080" s="38">
        <f>IF(M1080="","",HYPERLINK("https://www.youtube.com/watch?v="&amp;M1080,"▶"))</f>
        <v/>
      </c>
      <c r="B1080" s="39">
        <f>IF(C1080&lt;&gt;"",C1080,IF(P1080&lt;=IFERROR(INDEX(tblChannels[Watched Through],MATCH(N1080,tblChannels[Channel ID],0)),0),"Watched","Unwatched"))</f>
        <v/>
      </c>
      <c r="C1080" s="40" t="n"/>
      <c r="D1080" s="41" t="n"/>
      <c r="E1080" s="42" t="n">
        <v>44803.65347222222</v>
      </c>
      <c r="F1080" s="50" t="inlineStr">
        <is>
          <t>Super Carlin Brothers</t>
        </is>
      </c>
      <c r="G1080" t="inlineStr">
        <is>
          <t>J vs Ben: HARDEST Philosopher’s Stone Harry Potter TRIVIA Quiz</t>
        </is>
      </c>
      <c r="H1080" s="44" t="n">
        <v>0.02266203703703704</v>
      </c>
      <c r="I1080" s="45" t="n">
        <v>328938</v>
      </c>
      <c r="J1080" s="45" t="n">
        <v>9333</v>
      </c>
      <c r="K1080" s="45" t="n">
        <v>848</v>
      </c>
      <c r="L1080" s="46" t="n"/>
      <c r="M1080" s="47" t="n"/>
      <c r="N1080" s="47" t="inlineStr">
        <is>
          <t>UCKZo4N0lVPccBkSiuyVh4yg</t>
        </is>
      </c>
      <c r="O1080" s="48" t="n">
        <v>44803.82013888889</v>
      </c>
      <c r="P1080" s="49" t="n">
        <v>44803</v>
      </c>
      <c r="Q1080" s="47" t="n">
        <v>2188</v>
      </c>
      <c r="R1080" s="47" t="inlineStr">
        <is>
          <t>No Video ID yet</t>
        </is>
      </c>
      <c r="S1080" s="49" t="n"/>
      <c r="T1080" s="49" t="n"/>
      <c r="U1080" s="47" t="inlineStr">
        <is>
          <t>Go to to get Honey for Free! Go to to get 20% off your first order and free shipping. Today J and Ben dive back into the Wizarding World of Harry Potter to find out who knows more trivia about Philosopher’s Stone as they take on the HARDEST Philosopher’s Stone Harry Potter TRIVIA Quiz</t>
        </is>
      </c>
      <c r="V1080" s="47">
        <f>IF(AND(P1080&gt;=Calendar!$K$2,P1080&lt;EDATE(Calendar!$K$2,1),OR(Calendar!$K$4="*",N1080=Calendar!$K$4)),P1080*100+COUNTIFS($P$6:$P$3267,P1080,$Q$6:$Q$3267,"&lt;="&amp;Q1080,$N$6:$N$3267,Calendar!$K$4),"")</f>
        <v/>
      </c>
      <c r="W1080" s="47">
        <f>IF(AND(B1080=Queue!$C$4,OR(Queue!$K$4="*",N1080=Queue!$K$4)),Q1080,"")</f>
        <v/>
      </c>
    </row>
    <row r="1081">
      <c r="A1081" s="38">
        <f>IF(M1081="","",HYPERLINK("https://www.youtube.com/watch?v="&amp;M1081,"▶"))</f>
        <v/>
      </c>
      <c r="B1081" s="39">
        <f>IF(C1081&lt;&gt;"",C1081,IF(P1081&lt;=IFERROR(INDEX(tblChannels[Watched Through],MATCH(N1081,tblChannels[Channel ID],0)),0),"Watched","Unwatched"))</f>
        <v/>
      </c>
      <c r="C1081" s="40" t="n"/>
      <c r="D1081" s="41" t="n"/>
      <c r="E1081" s="42" t="n">
        <v>44799.86388888889</v>
      </c>
      <c r="F1081" s="50" t="inlineStr">
        <is>
          <t>Super Carlin Brothers</t>
        </is>
      </c>
      <c r="G1081" t="inlineStr">
        <is>
          <t>ALL FANDOM TRIVIA - August 2022</t>
        </is>
      </c>
      <c r="H1081" s="44" t="n">
        <v>0.09324074074074074</v>
      </c>
      <c r="I1081" s="45" t="n">
        <v>63364</v>
      </c>
      <c r="J1081" s="45" t="n">
        <v>1269</v>
      </c>
      <c r="K1081" s="45" t="n">
        <v>100</v>
      </c>
      <c r="L1081" s="46" t="n"/>
      <c r="M1081" s="47" t="n"/>
      <c r="N1081" s="47" t="inlineStr">
        <is>
          <t>UCKZo4N0lVPccBkSiuyVh4yg</t>
        </is>
      </c>
      <c r="O1081" s="48" t="n">
        <v>44800.03055555555</v>
      </c>
      <c r="P1081" s="49" t="n">
        <v>44799</v>
      </c>
      <c r="Q1081" s="47" t="n">
        <v>2187</v>
      </c>
      <c r="R1081" s="47" t="inlineStr">
        <is>
          <t>No Video ID yet</t>
        </is>
      </c>
      <c r="S1081" s="49" t="n"/>
      <c r="T1081" s="49" t="n"/>
      <c r="U1081" s="47" t="inlineStr">
        <is>
          <t>Come join us and test your knowledge of Disney, Pixar, Star Wars, Marvel, Harry Potter and Avatar the Last Airbender!</t>
        </is>
      </c>
      <c r="V1081" s="47">
        <f>IF(AND(P1081&gt;=Calendar!$K$2,P1081&lt;EDATE(Calendar!$K$2,1),OR(Calendar!$K$4="*",N1081=Calendar!$K$4)),P1081*100+COUNTIFS($P$6:$P$3267,P1081,$Q$6:$Q$3267,"&lt;="&amp;Q1081,$N$6:$N$3267,Calendar!$K$4),"")</f>
        <v/>
      </c>
      <c r="W1081" s="47">
        <f>IF(AND(B1081=Queue!$C$4,OR(Queue!$K$4="*",N1081=Queue!$K$4)),Q1081,"")</f>
        <v/>
      </c>
    </row>
    <row r="1082">
      <c r="A1082" s="38">
        <f>IF(M1082="","",HYPERLINK("https://www.youtube.com/watch?v="&amp;M1082,"▶"))</f>
        <v/>
      </c>
      <c r="B1082" s="39">
        <f>IF(C1082&lt;&gt;"",C1082,IF(P1082&lt;=IFERROR(INDEX(tblChannels[Watched Through],MATCH(N1082,tblChannels[Channel ID],0)),0),"Watched","Unwatched"))</f>
        <v/>
      </c>
      <c r="C1082" s="40" t="n"/>
      <c r="D1082" s="41" t="n"/>
      <c r="E1082" s="42" t="n">
        <v>44799.61180555556</v>
      </c>
      <c r="F1082" s="50" t="inlineStr">
        <is>
          <t>Super Carlin Brothers</t>
        </is>
      </c>
      <c r="G1082" t="inlineStr">
        <is>
          <t>What If Harry Was In Slytherin - Order of the Phoenix | Harry Potter Film Theory</t>
        </is>
      </c>
      <c r="H1082" s="44" t="n">
        <v>0.03160879629629629</v>
      </c>
      <c r="I1082" s="45" t="n">
        <v>496750</v>
      </c>
      <c r="J1082" s="45" t="n">
        <v>17700</v>
      </c>
      <c r="K1082" s="45" t="n">
        <v>2536</v>
      </c>
      <c r="L1082" s="46" t="n"/>
      <c r="M1082" s="47" t="n"/>
      <c r="N1082" s="47" t="inlineStr">
        <is>
          <t>UCKZo4N0lVPccBkSiuyVh4yg</t>
        </is>
      </c>
      <c r="O1082" s="48" t="n">
        <v>44799.77847222222</v>
      </c>
      <c r="P1082" s="49" t="n">
        <v>44799</v>
      </c>
      <c r="Q1082" s="47" t="n">
        <v>2186</v>
      </c>
      <c r="R1082" s="47" t="inlineStr">
        <is>
          <t>No Video ID yet</t>
        </is>
      </c>
      <c r="S1082" s="49" t="n"/>
      <c r="T1082" s="49" t="n"/>
      <c r="U1082" s="47" t="inlineStr">
        <is>
          <t>Today J dives into the Wizarding World of Harry Potter to discover: What If Harry Was In Slytherin during Order of the Phoenix? Does Draco go bad now that Voldemort is back? Does Cedric Join the DA? Does Umbridge get attacked by a herd of angry Centaurs?</t>
        </is>
      </c>
      <c r="V1082" s="47">
        <f>IF(AND(P1082&gt;=Calendar!$K$2,P1082&lt;EDATE(Calendar!$K$2,1),OR(Calendar!$K$4="*",N1082=Calendar!$K$4)),P1082*100+COUNTIFS($P$6:$P$3267,P1082,$Q$6:$Q$3267,"&lt;="&amp;Q1082,$N$6:$N$3267,Calendar!$K$4),"")</f>
        <v/>
      </c>
      <c r="W1082" s="47">
        <f>IF(AND(B1082=Queue!$C$4,OR(Queue!$K$4="*",N1082=Queue!$K$4)),Q1082,"")</f>
        <v/>
      </c>
    </row>
    <row r="1083">
      <c r="A1083" s="38">
        <f>IF(M1083="","",HYPERLINK("https://www.youtube.com/watch?v="&amp;M1083,"▶"))</f>
        <v/>
      </c>
      <c r="B1083" s="39">
        <f>IF(C1083&lt;&gt;"",C1083,IF(P1083&lt;=IFERROR(INDEX(tblChannels[Watched Through],MATCH(N1083,tblChannels[Channel ID],0)),0),"Watched","Unwatched"))</f>
        <v/>
      </c>
      <c r="C1083" s="40" t="n"/>
      <c r="D1083" s="41" t="n"/>
      <c r="E1083" s="42" t="n">
        <v>44799.41666666666</v>
      </c>
      <c r="F1083" s="43" t="inlineStr">
        <is>
          <t>Popcorn Culture</t>
        </is>
      </c>
      <c r="G1083" t="inlineStr">
        <is>
          <t>80 Foot Flat Boat | Popcorn Culture</t>
        </is>
      </c>
      <c r="H1083" s="44" t="n">
        <v>0.05060185185185185</v>
      </c>
      <c r="I1083" s="45" t="n">
        <v>6433</v>
      </c>
      <c r="J1083" s="45" t="n">
        <v>321</v>
      </c>
      <c r="K1083" s="45" t="n">
        <v>31</v>
      </c>
      <c r="L1083" s="46" t="n"/>
      <c r="M1083" s="47" t="n"/>
      <c r="N1083" s="47" t="inlineStr">
        <is>
          <t>UCHfIbq9thHPC8yrKjAdJgDA</t>
        </is>
      </c>
      <c r="O1083" s="48" t="n">
        <v>44799.58333333334</v>
      </c>
      <c r="P1083" s="49" t="n">
        <v>44799</v>
      </c>
      <c r="Q1083" s="47" t="n">
        <v>2185</v>
      </c>
      <c r="R1083" s="47" t="inlineStr">
        <is>
          <t>No Video ID yet</t>
        </is>
      </c>
      <c r="S1083" s="49" t="n"/>
      <c r="T1083" s="49" t="n"/>
      <c r="U1083" s="47" t="inlineStr">
        <is>
          <t>In the 142nd episode of the Pop, J and Ben discuss weird fashion, self expression, dancing at weddings, Lincolns’ boat, their upcoming hike, Go Fest!, the Discord step competition, and SCB’s latest series. New’d Salem - Gobstopper Shoes - Love Island - Lincoln Heritage Water Trail- Go Fest - Wickin’ That Moisture Comfy Sweaty Brand New Pre-Scuffed Deep Brain Dive 80 Feet of Anything Is Gonna Be Heavy Retelling Horrible Stories 00:00 - Intro, Ben’s Getup 05:07 - (Not) White Chucks 12:54 - Ben Deep Brain Dive 32:45 - Abe Lincoln’s Boat 38:56 - Linville Gorge 50:30 - Step Competition 54:00 - What If Harry Had Been Sorted Into Slytherin Series 1:05:54 - Pokemon Tournaments</t>
        </is>
      </c>
      <c r="V1083" s="47">
        <f>IF(AND(P1083&gt;=Calendar!$K$2,P1083&lt;EDATE(Calendar!$K$2,1),OR(Calendar!$K$4="*",N1083=Calendar!$K$4)),P1083*100+COUNTIFS($P$6:$P$3267,P1083,$Q$6:$Q$3267,"&lt;="&amp;Q1083,$N$6:$N$3267,Calendar!$K$4),"")</f>
        <v/>
      </c>
      <c r="W1083" s="47">
        <f>IF(AND(B1083=Queue!$C$4,OR(Queue!$K$4="*",N1083=Queue!$K$4)),Q1083,"")</f>
        <v/>
      </c>
    </row>
    <row r="1084">
      <c r="A1084" s="38">
        <f>IF(M1084="","",HYPERLINK("https://www.youtube.com/watch?v="&amp;M1084,"▶"))</f>
        <v/>
      </c>
      <c r="B1084" s="39">
        <f>IF(C1084&lt;&gt;"",C1084,IF(P1084&lt;=IFERROR(INDEX(tblChannels[Watched Through],MATCH(N1084,tblChannels[Channel ID],0)),0),"Watched","Unwatched"))</f>
        <v/>
      </c>
      <c r="C1084" s="40" t="n"/>
      <c r="D1084" s="41" t="n"/>
      <c r="E1084" s="42" t="n">
        <v>44796.72291666667</v>
      </c>
      <c r="F1084" s="50" t="inlineStr">
        <is>
          <t>Super Carlin Brothers</t>
        </is>
      </c>
      <c r="G1084" t="inlineStr">
        <is>
          <t>Recasting The Harry Potter Movies! | Harry Potter Film Theory</t>
        </is>
      </c>
      <c r="H1084" s="44" t="n">
        <v>0.0137037037037037</v>
      </c>
      <c r="I1084" s="45" t="n">
        <v>182736</v>
      </c>
      <c r="J1084" s="45" t="n">
        <v>8727</v>
      </c>
      <c r="K1084" s="45" t="n">
        <v>2424</v>
      </c>
      <c r="L1084" s="46" t="n"/>
      <c r="M1084" s="47" t="n"/>
      <c r="N1084" s="47" t="inlineStr">
        <is>
          <t>UCKZo4N0lVPccBkSiuyVh4yg</t>
        </is>
      </c>
      <c r="O1084" s="48" t="n">
        <v>44796.88958333333</v>
      </c>
      <c r="P1084" s="49" t="n">
        <v>44796</v>
      </c>
      <c r="Q1084" s="47" t="n">
        <v>2184</v>
      </c>
      <c r="R1084" s="47" t="inlineStr">
        <is>
          <t>No Video ID yet</t>
        </is>
      </c>
      <c r="S1084" s="49" t="n"/>
      <c r="T1084" s="49" t="n"/>
      <c r="U1084" s="47" t="inlineStr">
        <is>
          <t>Go to to get up to 20% off your first box. Today Ben dives into the Wizarding World of Harry Potter to discuss which actors would be fun to see play different roles in the Wizarding World! #supercarlinbrothers #HarryPotter #MamoaVsMerchant</t>
        </is>
      </c>
      <c r="V1084" s="47">
        <f>IF(AND(P1084&gt;=Calendar!$K$2,P1084&lt;EDATE(Calendar!$K$2,1),OR(Calendar!$K$4="*",N1084=Calendar!$K$4)),P1084*100+COUNTIFS($P$6:$P$3267,P1084,$Q$6:$Q$3267,"&lt;="&amp;Q1084,$N$6:$N$3267,Calendar!$K$4),"")</f>
        <v/>
      </c>
      <c r="W1084" s="47">
        <f>IF(AND(B1084=Queue!$C$4,OR(Queue!$K$4="*",N1084=Queue!$K$4)),Q1084,"")</f>
        <v/>
      </c>
    </row>
    <row r="1085">
      <c r="A1085" s="38">
        <f>IF(M1085="","",HYPERLINK("https://www.youtube.com/watch?v="&amp;M1085,"▶"))</f>
        <v/>
      </c>
      <c r="B1085" s="39">
        <f>IF(C1085&lt;&gt;"",C1085,IF(P1085&lt;=IFERROR(INDEX(tblChannels[Watched Through],MATCH(N1085,tblChannels[Channel ID],0)),0),"Watched","Unwatched"))</f>
        <v/>
      </c>
      <c r="C1085" s="40" t="n"/>
      <c r="D1085" s="41" t="n"/>
      <c r="E1085" s="42" t="n">
        <v>44792.41666666666</v>
      </c>
      <c r="F1085" s="43" t="inlineStr">
        <is>
          <t>Popcorn Culture</t>
        </is>
      </c>
      <c r="G1085" t="inlineStr">
        <is>
          <t>Body Surfing Extraordinaire  | Popcorn Culture</t>
        </is>
      </c>
      <c r="H1085" s="44" t="n">
        <v>0.04672453703703704</v>
      </c>
      <c r="I1085" s="45" t="n">
        <v>6007</v>
      </c>
      <c r="J1085" s="45" t="n">
        <v>312</v>
      </c>
      <c r="K1085" s="45" t="n">
        <v>21</v>
      </c>
      <c r="L1085" s="46" t="n"/>
      <c r="M1085" s="47" t="n"/>
      <c r="N1085" s="47" t="inlineStr">
        <is>
          <t>UCHfIbq9thHPC8yrKjAdJgDA</t>
        </is>
      </c>
      <c r="O1085" s="48" t="n">
        <v>44792.58333333334</v>
      </c>
      <c r="P1085" s="49" t="n">
        <v>44792</v>
      </c>
      <c r="Q1085" s="47" t="n">
        <v>2183</v>
      </c>
      <c r="R1085" s="47" t="inlineStr">
        <is>
          <t>No Video ID yet</t>
        </is>
      </c>
      <c r="S1085" s="49" t="n"/>
      <c r="T1085" s="49" t="n"/>
      <c r="U1085" s="47" t="inlineStr">
        <is>
          <t>In the 141st episode of the Pop, J and Ben discuss time away, Encanto powers, Ben’s trailer, parent free time, The Secret Service, checks, beach trips, backpacking equipment, and the Step Competition. Encanto - Encanto Power Ranking Vid - Catch Me If You Can - Linville Gorge - Lightly Frustrating Tasks Grandpa Jack Plan Two Toilet Problems Fifteen Dollar Bill Unnecessary Beach Accessory 00:00 - Intro, Hostmanship Switch 02:43 - Encanto and Ben’s Vermont Trip 31:35 - Fun Fact About Abe Lincoln 40:43 - J’s Beach Trip 54:43 - Backpacking</t>
        </is>
      </c>
      <c r="V1085" s="47">
        <f>IF(AND(P1085&gt;=Calendar!$K$2,P1085&lt;EDATE(Calendar!$K$2,1),OR(Calendar!$K$4="*",N1085=Calendar!$K$4)),P1085*100+COUNTIFS($P$6:$P$3267,P1085,$Q$6:$Q$3267,"&lt;="&amp;Q1085,$N$6:$N$3267,Calendar!$K$4),"")</f>
        <v/>
      </c>
      <c r="W1085" s="47">
        <f>IF(AND(B1085=Queue!$C$4,OR(Queue!$K$4="*",N1085=Queue!$K$4)),Q1085,"")</f>
        <v/>
      </c>
    </row>
    <row r="1086">
      <c r="A1086" s="38">
        <f>IF(M1086="","",HYPERLINK("https://www.youtube.com/watch?v="&amp;M1086,"▶"))</f>
        <v/>
      </c>
      <c r="B1086" s="39">
        <f>IF(C1086&lt;&gt;"",C1086,IF(P1086&lt;=IFERROR(INDEX(tblChannels[Watched Through],MATCH(N1086,tblChannels[Channel ID],0)),0),"Watched","Unwatched"))</f>
        <v/>
      </c>
      <c r="C1086" s="40" t="n"/>
      <c r="D1086" s="41" t="n"/>
      <c r="E1086" s="42" t="n">
        <v>44791.75625</v>
      </c>
      <c r="F1086" s="50" t="inlineStr">
        <is>
          <t>Super Carlin Brothers</t>
        </is>
      </c>
      <c r="G1086" t="inlineStr">
        <is>
          <t>What If Harry Was In Slytherin - Goblet of Fire | Harry Potter Film Theory</t>
        </is>
      </c>
      <c r="H1086" s="44" t="n">
        <v>0.02424768518518518</v>
      </c>
      <c r="I1086" s="45" t="n">
        <v>453452</v>
      </c>
      <c r="J1086" s="45" t="n">
        <v>19514</v>
      </c>
      <c r="K1086" s="45" t="n">
        <v>1808</v>
      </c>
      <c r="L1086" s="46" t="n"/>
      <c r="M1086" s="47" t="n"/>
      <c r="N1086" s="47" t="inlineStr">
        <is>
          <t>UCKZo4N0lVPccBkSiuyVh4yg</t>
        </is>
      </c>
      <c r="O1086" s="48" t="n">
        <v>44791.92291666667</v>
      </c>
      <c r="P1086" s="49" t="n">
        <v>44791</v>
      </c>
      <c r="Q1086" s="47" t="n">
        <v>2182</v>
      </c>
      <c r="R1086" s="47" t="inlineStr">
        <is>
          <t>No Video ID yet</t>
        </is>
      </c>
      <c r="S1086" s="49" t="n"/>
      <c r="T1086" s="49" t="n"/>
      <c r="U1086" s="47" t="inlineStr">
        <is>
          <t>Go to to get up to 20% off your first box. Today J dives into the Wizarding World of Harry Potter to discover: What If Harry Was In Slytherin during Goblet of Fire? Does Voldemort still return? Does Cedric still die? And who will Harry ask to the Yule Ball?</t>
        </is>
      </c>
      <c r="V1086" s="47">
        <f>IF(AND(P1086&gt;=Calendar!$K$2,P1086&lt;EDATE(Calendar!$K$2,1),OR(Calendar!$K$4="*",N1086=Calendar!$K$4)),P1086*100+COUNTIFS($P$6:$P$3267,P1086,$Q$6:$Q$3267,"&lt;="&amp;Q1086,$N$6:$N$3267,Calendar!$K$4),"")</f>
        <v/>
      </c>
      <c r="W1086" s="47">
        <f>IF(AND(B1086=Queue!$C$4,OR(Queue!$K$4="*",N1086=Queue!$K$4)),Q1086,"")</f>
        <v/>
      </c>
    </row>
    <row r="1087">
      <c r="A1087" s="38">
        <f>IF(M1087="","",HYPERLINK("https://www.youtube.com/watch?v="&amp;M1087,"▶"))</f>
        <v/>
      </c>
      <c r="B1087" s="39">
        <f>IF(C1087&lt;&gt;"",C1087,IF(P1087&lt;=IFERROR(INDEX(tblChannels[Watched Through],MATCH(N1087,tblChannels[Channel ID],0)),0),"Watched","Unwatched"))</f>
        <v/>
      </c>
      <c r="C1087" s="40" t="n"/>
      <c r="D1087" s="41" t="n"/>
      <c r="E1087" s="42" t="n">
        <v>44789.81597222222</v>
      </c>
      <c r="F1087" s="50" t="inlineStr">
        <is>
          <t>Super Carlin Brothers</t>
        </is>
      </c>
      <c r="G1087" t="inlineStr">
        <is>
          <t>J vs Ben: ULTIMATE Hogwarts Letter Harry Potter TRIVIA Quiz</t>
        </is>
      </c>
      <c r="H1087" s="44" t="n">
        <v>0.02336805555555556</v>
      </c>
      <c r="I1087" s="45" t="n">
        <v>289604</v>
      </c>
      <c r="J1087" s="45" t="n">
        <v>8541</v>
      </c>
      <c r="K1087" s="45" t="n">
        <v>807</v>
      </c>
      <c r="L1087" s="46" t="n"/>
      <c r="M1087" s="47" t="n"/>
      <c r="N1087" s="47" t="inlineStr">
        <is>
          <t>UCKZo4N0lVPccBkSiuyVh4yg</t>
        </is>
      </c>
      <c r="O1087" s="48" t="n">
        <v>44789.98263888889</v>
      </c>
      <c r="P1087" s="49" t="n">
        <v>44789</v>
      </c>
      <c r="Q1087" s="47" t="n">
        <v>2181</v>
      </c>
      <c r="R1087" s="47" t="inlineStr">
        <is>
          <t>No Video ID yet</t>
        </is>
      </c>
      <c r="S1087" s="49" t="n"/>
      <c r="T1087" s="49" t="n"/>
      <c r="U1087" s="47" t="inlineStr">
        <is>
          <t>Go to to get 20% off your first order and free shipping. Download the DoorDash app and use code JVSB2022 when you sign up for DashPass to get 50% off your first order up to a $15 value. Go Fest Survey :: Play Along With Us :: Today J and Ben face off once more to determine who knows more about the Wizarding World and Harry’s first Hogwarts Letter as they take on the ULTIMATE Hogwarts Letter Quiz!</t>
        </is>
      </c>
      <c r="V1087" s="47">
        <f>IF(AND(P1087&gt;=Calendar!$K$2,P1087&lt;EDATE(Calendar!$K$2,1),OR(Calendar!$K$4="*",N1087=Calendar!$K$4)),P1087*100+COUNTIFS($P$6:$P$3267,P1087,$Q$6:$Q$3267,"&lt;="&amp;Q1087,$N$6:$N$3267,Calendar!$K$4),"")</f>
        <v/>
      </c>
      <c r="W1087" s="47">
        <f>IF(AND(B1087=Queue!$C$4,OR(Queue!$K$4="*",N1087=Queue!$K$4)),Q1087,"")</f>
        <v/>
      </c>
    </row>
    <row r="1088">
      <c r="A1088" s="38">
        <f>IF(M1088="","",HYPERLINK("https://www.youtube.com/watch?v="&amp;M1088,"▶"))</f>
        <v/>
      </c>
      <c r="B1088" s="39">
        <f>IF(C1088&lt;&gt;"",C1088,IF(P1088&lt;=IFERROR(INDEX(tblChannels[Watched Through],MATCH(N1088,tblChannels[Channel ID],0)),0),"Watched","Unwatched"))</f>
        <v/>
      </c>
      <c r="C1088" s="40" t="n"/>
      <c r="D1088" s="41" t="n"/>
      <c r="E1088" s="42" t="n">
        <v>44785.41666666666</v>
      </c>
      <c r="F1088" s="43" t="inlineStr">
        <is>
          <t>Popcorn Culture</t>
        </is>
      </c>
      <c r="G1088" t="inlineStr">
        <is>
          <t>Stabbed Pretending to be a Snowman  | Popcorn Culture</t>
        </is>
      </c>
      <c r="H1088" s="44" t="n">
        <v>0.04384259259259259</v>
      </c>
      <c r="I1088" s="45" t="n">
        <v>7599</v>
      </c>
      <c r="J1088" s="45" t="n">
        <v>366</v>
      </c>
      <c r="K1088" s="45" t="n">
        <v>34</v>
      </c>
      <c r="L1088" s="46" t="n"/>
      <c r="M1088" s="47" t="n"/>
      <c r="N1088" s="47" t="inlineStr">
        <is>
          <t>UCHfIbq9thHPC8yrKjAdJgDA</t>
        </is>
      </c>
      <c r="O1088" s="48" t="n">
        <v>44785.58333333334</v>
      </c>
      <c r="P1088" s="49" t="n">
        <v>44785</v>
      </c>
      <c r="Q1088" s="47" t="n">
        <v>2180</v>
      </c>
      <c r="R1088" s="47" t="inlineStr">
        <is>
          <t>No Video ID yet</t>
        </is>
      </c>
      <c r="S1088" s="49" t="n"/>
      <c r="T1088" s="49" t="n"/>
      <c r="U1088" s="47" t="inlineStr">
        <is>
          <t>Disclaimer: J did become the host in the two weeks before recording and this episode going live. In the 140th episode of the Pop J and Ben discuss knowledge vs. wisdom, horoscopes, signs you’ve grown, J’s weird dream, productivity, dancing, compliment their shoes, timelessness of trends, Water Signs - Shower Thoughts List - New’d - Old Gaming Channel Mario Kart - Tomatoes in the Fruit Salad Basically, I'm a Cloud The Vulnerability of Dancing Just Mean It It’s a Legacy Brand That’s How You Become an Antique Confidence Never Goes Out of Style 00:00 - Intro, Knowledge vs. Wisdom 18:14 - Dreams and Jokes 28:39 - Shower Thoughts 39:21 - Shoes and Trendiness</t>
        </is>
      </c>
      <c r="V1088" s="47">
        <f>IF(AND(P1088&gt;=Calendar!$K$2,P1088&lt;EDATE(Calendar!$K$2,1),OR(Calendar!$K$4="*",N1088=Calendar!$K$4)),P1088*100+COUNTIFS($P$6:$P$3267,P1088,$Q$6:$Q$3267,"&lt;="&amp;Q1088,$N$6:$N$3267,Calendar!$K$4),"")</f>
        <v/>
      </c>
      <c r="W1088" s="47">
        <f>IF(AND(B1088=Queue!$C$4,OR(Queue!$K$4="*",N1088=Queue!$K$4)),Q1088,"")</f>
        <v/>
      </c>
    </row>
    <row r="1089">
      <c r="A1089" s="38">
        <f>IF(M1089="","",HYPERLINK("https://www.youtube.com/watch?v="&amp;M1089,"▶"))</f>
        <v/>
      </c>
      <c r="B1089" s="39">
        <f>IF(C1089&lt;&gt;"",C1089,IF(P1089&lt;=IFERROR(INDEX(tblChannels[Watched Through],MATCH(N1089,tblChannels[Channel ID],0)),0),"Watched","Unwatched"))</f>
        <v/>
      </c>
      <c r="C1089" s="40" t="n"/>
      <c r="D1089" s="41" t="n"/>
      <c r="E1089" s="42" t="n">
        <v>44784.69375</v>
      </c>
      <c r="F1089" s="50" t="inlineStr">
        <is>
          <t>Super Carlin Brothers</t>
        </is>
      </c>
      <c r="G1089" t="inlineStr">
        <is>
          <t>Ranking Every Power from Encanto | Disney Film Theory</t>
        </is>
      </c>
      <c r="H1089" s="44" t="n">
        <v>0.01478009259259259</v>
      </c>
      <c r="I1089" s="45" t="n">
        <v>206928</v>
      </c>
      <c r="J1089" s="45" t="n">
        <v>9079</v>
      </c>
      <c r="K1089" s="45" t="n">
        <v>903</v>
      </c>
      <c r="L1089" s="46" t="n"/>
      <c r="M1089" s="47" t="n"/>
      <c r="N1089" s="47" t="inlineStr">
        <is>
          <t>UCKZo4N0lVPccBkSiuyVh4yg</t>
        </is>
      </c>
      <c r="O1089" s="48" t="n">
        <v>44784.86041666667</v>
      </c>
      <c r="P1089" s="49" t="n">
        <v>44784</v>
      </c>
      <c r="Q1089" s="47" t="n">
        <v>2179</v>
      </c>
      <c r="R1089" s="47" t="inlineStr">
        <is>
          <t>No Video ID yet</t>
        </is>
      </c>
      <c r="S1089" s="49" t="n"/>
      <c r="T1089" s="49" t="n"/>
      <c r="U1089" s="47" t="inlineStr">
        <is>
          <t>Go to and use promo code SUPERCARLIN to get a free 4-week trial plus free postage and a digital scale. Today Ben discusses everyone's favorite family, the Madrigals, and tries to answer an important question: whose gift is the most powerful?!? #supercarlinbrothers #encanto #disney</t>
        </is>
      </c>
      <c r="V1089" s="47">
        <f>IF(AND(P1089&gt;=Calendar!$K$2,P1089&lt;EDATE(Calendar!$K$2,1),OR(Calendar!$K$4="*",N1089=Calendar!$K$4)),P1089*100+COUNTIFS($P$6:$P$3267,P1089,$Q$6:$Q$3267,"&lt;="&amp;Q1089,$N$6:$N$3267,Calendar!$K$4),"")</f>
        <v/>
      </c>
      <c r="W1089" s="47">
        <f>IF(AND(B1089=Queue!$C$4,OR(Queue!$K$4="*",N1089=Queue!$K$4)),Q1089,"")</f>
        <v/>
      </c>
    </row>
    <row r="1090">
      <c r="A1090" s="38">
        <f>IF(M1090="","",HYPERLINK("https://www.youtube.com/watch?v="&amp;M1090,"▶"))</f>
        <v/>
      </c>
      <c r="B1090" s="39">
        <f>IF(C1090&lt;&gt;"",C1090,IF(P1090&lt;=IFERROR(INDEX(tblChannels[Watched Through],MATCH(N1090,tblChannels[Channel ID],0)),0),"Watched","Unwatched"))</f>
        <v/>
      </c>
      <c r="C1090" s="40" t="n"/>
      <c r="D1090" s="41" t="n"/>
      <c r="E1090" s="42" t="n">
        <v>44783.625</v>
      </c>
      <c r="F1090" s="52" t="inlineStr">
        <is>
          <t>Super Carlin Gaming</t>
        </is>
      </c>
      <c r="G1090" t="inlineStr">
        <is>
          <t>Bear Necessities |  Pokémon Legends: Arceus Nuzlocke #17</t>
        </is>
      </c>
      <c r="H1090" s="44" t="n">
        <v>0.02890046296296296</v>
      </c>
      <c r="I1090" s="45" t="n">
        <v>6142</v>
      </c>
      <c r="J1090" s="45" t="n">
        <v>338</v>
      </c>
      <c r="K1090" s="45" t="n">
        <v>87</v>
      </c>
      <c r="L1090" s="46" t="n"/>
      <c r="M1090" s="47" t="n"/>
      <c r="N1090" s="47" t="inlineStr">
        <is>
          <t>UCor_9jRnNNZVzTuQ92PKsaQ</t>
        </is>
      </c>
      <c r="O1090" s="48" t="n">
        <v>44783.79166666666</v>
      </c>
      <c r="P1090" s="49" t="n">
        <v>44783</v>
      </c>
      <c r="Q1090" s="47" t="n">
        <v>2178</v>
      </c>
      <c r="R1090" s="47" t="inlineStr">
        <is>
          <t>No Video ID yet</t>
        </is>
      </c>
      <c r="S1090" s="49" t="n"/>
      <c r="T1090" s="49" t="n"/>
      <c r="U1090" s="47" t="inlineStr">
        <is>
          <t>Today J and the team continue to work toward their Sneasler encounter, catching some new friends along the way!</t>
        </is>
      </c>
      <c r="V1090" s="47">
        <f>IF(AND(P1090&gt;=Calendar!$K$2,P1090&lt;EDATE(Calendar!$K$2,1),OR(Calendar!$K$4="*",N1090=Calendar!$K$4)),P1090*100+COUNTIFS($P$6:$P$3267,P1090,$Q$6:$Q$3267,"&lt;="&amp;Q1090,$N$6:$N$3267,Calendar!$K$4),"")</f>
        <v/>
      </c>
      <c r="W1090" s="47">
        <f>IF(AND(B1090=Queue!$C$4,OR(Queue!$K$4="*",N1090=Queue!$K$4)),Q1090,"")</f>
        <v/>
      </c>
    </row>
    <row r="1091">
      <c r="A1091" s="38">
        <f>IF(M1091="","",HYPERLINK("https://www.youtube.com/watch?v="&amp;M1091,"▶"))</f>
        <v/>
      </c>
      <c r="B1091" s="39">
        <f>IF(C1091&lt;&gt;"",C1091,IF(P1091&lt;=IFERROR(INDEX(tblChannels[Watched Through],MATCH(N1091,tblChannels[Channel ID],0)),0),"Watched","Unwatched"))</f>
        <v/>
      </c>
      <c r="C1091" s="40" t="n"/>
      <c r="D1091" s="41" t="n"/>
      <c r="E1091" s="42" t="n">
        <v>44782.81458333333</v>
      </c>
      <c r="F1091" s="50" t="inlineStr">
        <is>
          <t>Super Carlin Brothers</t>
        </is>
      </c>
      <c r="G1091" t="inlineStr">
        <is>
          <t>What If Harry Was In Slytherin? - Prisoner of Azkaban | Harry Potter Film Theory</t>
        </is>
      </c>
      <c r="H1091" s="44" t="n">
        <v>0.0228125</v>
      </c>
      <c r="I1091" s="45" t="n">
        <v>489077</v>
      </c>
      <c r="J1091" s="45" t="n">
        <v>22217</v>
      </c>
      <c r="K1091" s="45" t="n">
        <v>1762</v>
      </c>
      <c r="L1091" s="46" t="n"/>
      <c r="M1091" s="47" t="n"/>
      <c r="N1091" s="47" t="inlineStr">
        <is>
          <t>UCKZo4N0lVPccBkSiuyVh4yg</t>
        </is>
      </c>
      <c r="O1091" s="48" t="n">
        <v>44782.98125</v>
      </c>
      <c r="P1091" s="49" t="n">
        <v>44782</v>
      </c>
      <c r="Q1091" s="47" t="n">
        <v>2177</v>
      </c>
      <c r="R1091" s="47" t="inlineStr">
        <is>
          <t>No Video ID yet</t>
        </is>
      </c>
      <c r="S1091" s="49" t="n"/>
      <c r="T1091" s="49" t="n"/>
      <c r="U1091" s="47" t="inlineStr">
        <is>
          <t>Common Room Green Candle :: Today J dives into the Wizarding World of Harry Potter once more to answer the question: What if Harry Was in Slytherin instead of Gryffindor - PART 3 The Prisoner of Azkaban! Does he still get the Marauder's Map? Does Draco ever join the Slytherin Quidditch Team? #SuperCarlinBrothers #HarryPotter #WhatIf</t>
        </is>
      </c>
      <c r="V1091" s="47">
        <f>IF(AND(P1091&gt;=Calendar!$K$2,P1091&lt;EDATE(Calendar!$K$2,1),OR(Calendar!$K$4="*",N1091=Calendar!$K$4)),P1091*100+COUNTIFS($P$6:$P$3267,P1091,$Q$6:$Q$3267,"&lt;="&amp;Q1091,$N$6:$N$3267,Calendar!$K$4),"")</f>
        <v/>
      </c>
      <c r="W1091" s="47">
        <f>IF(AND(B1091=Queue!$C$4,OR(Queue!$K$4="*",N1091=Queue!$K$4)),Q1091,"")</f>
        <v/>
      </c>
    </row>
    <row r="1092">
      <c r="A1092" s="38">
        <f>IF(M1092="","",HYPERLINK("https://www.youtube.com/watch?v="&amp;M1092,"▶"))</f>
        <v/>
      </c>
      <c r="B1092" s="39">
        <f>IF(C1092&lt;&gt;"",C1092,IF(P1092&lt;=IFERROR(INDEX(tblChannels[Watched Through],MATCH(N1092,tblChannels[Channel ID],0)),0),"Watched","Unwatched"))</f>
        <v/>
      </c>
      <c r="C1092" s="40" t="n"/>
      <c r="D1092" s="41" t="n"/>
      <c r="E1092" s="42" t="n">
        <v>44781.58333333334</v>
      </c>
      <c r="F1092" s="53" t="inlineStr">
        <is>
          <t>Jonathan Carlin</t>
        </is>
      </c>
      <c r="G1092" t="inlineStr">
        <is>
          <t>Luke Finds Dinosaur Bones!</t>
        </is>
      </c>
      <c r="H1092" s="44" t="n">
        <v>0.01190972222222222</v>
      </c>
      <c r="I1092" s="45" t="n">
        <v>9580</v>
      </c>
      <c r="J1092" s="45" t="n">
        <v>597</v>
      </c>
      <c r="K1092" s="45" t="n">
        <v>33</v>
      </c>
      <c r="L1092" s="46" t="n"/>
      <c r="M1092" s="47" t="n"/>
      <c r="N1092" s="47" t="inlineStr">
        <is>
          <t>UCYPKFe86e6nm4TVUYKLsFUQ</t>
        </is>
      </c>
      <c r="O1092" s="48" t="n">
        <v>44781.75</v>
      </c>
      <c r="P1092" s="49" t="n">
        <v>44781</v>
      </c>
      <c r="Q1092" s="47" t="n">
        <v>2176</v>
      </c>
      <c r="R1092" s="47" t="inlineStr">
        <is>
          <t>No Video ID yet</t>
        </is>
      </c>
      <c r="S1092" s="49" t="n"/>
      <c r="T1092" s="49" t="n"/>
      <c r="U1092" s="47" t="inlineStr">
        <is>
          <t>This week J and the SCB team prep for a few weeks of vacation, J starts barrel aging some bourbon, Luke gets a new board game AND all the kids get to explore several new AWESOME playgrounds! Edited by Ethan Edghill</t>
        </is>
      </c>
      <c r="V1092" s="47">
        <f>IF(AND(P1092&gt;=Calendar!$K$2,P1092&lt;EDATE(Calendar!$K$2,1),OR(Calendar!$K$4="*",N1092=Calendar!$K$4)),P1092*100+COUNTIFS($P$6:$P$3267,P1092,$Q$6:$Q$3267,"&lt;="&amp;Q1092,$N$6:$N$3267,Calendar!$K$4),"")</f>
        <v/>
      </c>
      <c r="W1092" s="47">
        <f>IF(AND(B1092=Queue!$C$4,OR(Queue!$K$4="*",N1092=Queue!$K$4)),Q1092,"")</f>
        <v/>
      </c>
    </row>
    <row r="1093">
      <c r="A1093" s="38">
        <f>IF(M1093="","",HYPERLINK("https://www.youtube.com/watch?v="&amp;M1093,"▶"))</f>
        <v/>
      </c>
      <c r="B1093" s="39">
        <f>IF(C1093&lt;&gt;"",C1093,IF(P1093&lt;=IFERROR(INDEX(tblChannels[Watched Through],MATCH(N1093,tblChannels[Channel ID],0)),0),"Watched","Unwatched"))</f>
        <v/>
      </c>
      <c r="C1093" s="40" t="n"/>
      <c r="D1093" s="41" t="n"/>
      <c r="E1093" s="42" t="n">
        <v>44778.41666666666</v>
      </c>
      <c r="F1093" s="43" t="inlineStr">
        <is>
          <t>Popcorn Culture</t>
        </is>
      </c>
      <c r="G1093" t="inlineStr">
        <is>
          <t>Find Your White Wine | Popcorn Culture</t>
        </is>
      </c>
      <c r="H1093" s="44" t="n">
        <v>0.0416087962962963</v>
      </c>
      <c r="I1093" s="45" t="n">
        <v>11089</v>
      </c>
      <c r="J1093" s="45" t="n">
        <v>489</v>
      </c>
      <c r="K1093" s="45" t="n">
        <v>40</v>
      </c>
      <c r="L1093" s="46" t="n"/>
      <c r="M1093" s="47" t="n"/>
      <c r="N1093" s="47" t="inlineStr">
        <is>
          <t>UCHfIbq9thHPC8yrKjAdJgDA</t>
        </is>
      </c>
      <c r="O1093" s="48" t="n">
        <v>44778.58333333334</v>
      </c>
      <c r="P1093" s="49" t="n">
        <v>44778</v>
      </c>
      <c r="Q1093" s="47" t="n">
        <v>2175</v>
      </c>
      <c r="R1093" s="47" t="inlineStr">
        <is>
          <t>No Video ID yet</t>
        </is>
      </c>
      <c r="S1093" s="49" t="n"/>
      <c r="T1093" s="49" t="n"/>
      <c r="U1093" s="47" t="inlineStr">
        <is>
          <t>In the 139th episode of the Pop, aka the Wives Special 2.0, Ben, Alyce, J and Beth discuss early birds vs. night owls, party personalities, laughing gas, zodiac signs, favorite memories, trip anticipation, the camper, and room painting. Emperor’s New Groove Quotes - Bill and Ted’s Excellent Adventure Quotes - The Barnum Effect - The Barnum Effect - Beth’s Wick of the Peek: Stranger Things - Alyce’s Wick of the Peek: Love Island - The Leo Has Left the Chat Did “Fetch” Happen? Core Memories Just Go Use the Boat! If I Had a Barn… 00:00 - Intro, The Wives are Here! 08:35 - Stories Lining Up and White Wine Personalities 20:09 - Surprises and Zodiac Signs 31:35 - Wicks of the Peek 39:16 - Favorite Memories</t>
        </is>
      </c>
      <c r="V1093" s="47">
        <f>IF(AND(P1093&gt;=Calendar!$K$2,P1093&lt;EDATE(Calendar!$K$2,1),OR(Calendar!$K$4="*",N1093=Calendar!$K$4)),P1093*100+COUNTIFS($P$6:$P$3267,P1093,$Q$6:$Q$3267,"&lt;="&amp;Q1093,$N$6:$N$3267,Calendar!$K$4),"")</f>
        <v/>
      </c>
      <c r="W1093" s="47">
        <f>IF(AND(B1093=Queue!$C$4,OR(Queue!$K$4="*",N1093=Queue!$K$4)),Q1093,"")</f>
        <v/>
      </c>
    </row>
    <row r="1094">
      <c r="A1094" s="38">
        <f>IF(M1094="","",HYPERLINK("https://www.youtube.com/watch?v="&amp;M1094,"▶"))</f>
        <v/>
      </c>
      <c r="B1094" s="39">
        <f>IF(C1094&lt;&gt;"",C1094,IF(P1094&lt;=IFERROR(INDEX(tblChannels[Watched Through],MATCH(N1094,tblChannels[Channel ID],0)),0),"Watched","Unwatched"))</f>
        <v/>
      </c>
      <c r="C1094" s="40" t="n"/>
      <c r="D1094" s="41" t="n"/>
      <c r="E1094" s="42" t="n">
        <v>44777.62916666667</v>
      </c>
      <c r="F1094" s="50" t="inlineStr">
        <is>
          <t>Super Carlin Brothers</t>
        </is>
      </c>
      <c r="G1094" t="inlineStr">
        <is>
          <t>J vs Ben: The ULTIMATE Platform 9 &amp; 3/4 Harry Potter TRIVIA Quiz</t>
        </is>
      </c>
      <c r="H1094" s="44" t="n">
        <v>0.0202662037037037</v>
      </c>
      <c r="I1094" s="45" t="n">
        <v>214286</v>
      </c>
      <c r="J1094" s="45" t="n">
        <v>7927</v>
      </c>
      <c r="K1094" s="45" t="n">
        <v>594</v>
      </c>
      <c r="L1094" s="46" t="n"/>
      <c r="M1094" s="47" t="n"/>
      <c r="N1094" s="47" t="inlineStr">
        <is>
          <t>UCKZo4N0lVPccBkSiuyVh4yg</t>
        </is>
      </c>
      <c r="O1094" s="48" t="n">
        <v>44777.79583333333</v>
      </c>
      <c r="P1094" s="49" t="n">
        <v>44777</v>
      </c>
      <c r="Q1094" s="47" t="n">
        <v>2174</v>
      </c>
      <c r="R1094" s="47" t="inlineStr">
        <is>
          <t>No Video ID yet</t>
        </is>
      </c>
      <c r="S1094" s="49" t="n"/>
      <c r="T1094" s="49" t="n"/>
      <c r="U1094" s="47" t="inlineStr">
        <is>
          <t>Download the DoorDash app and use code JVSB2022 when you sign up for DashPass to get 50% off your first order up to a $15 value. Join the shirt club tier at Patreon.com/SuperCarlinBrothers to get a tie-dyed SCB shirt handmade by a member of the SCB team! Today J and Ben face off once more to find out who knows more about the legendary Platform 9 &amp; ¾, the Hogwarts Express and all the crazy things that happen as students prepare to leave for school! Take the quiz with us ::</t>
        </is>
      </c>
      <c r="V1094" s="47">
        <f>IF(AND(P1094&gt;=Calendar!$K$2,P1094&lt;EDATE(Calendar!$K$2,1),OR(Calendar!$K$4="*",N1094=Calendar!$K$4)),P1094*100+COUNTIFS($P$6:$P$3267,P1094,$Q$6:$Q$3267,"&lt;="&amp;Q1094,$N$6:$N$3267,Calendar!$K$4),"")</f>
        <v/>
      </c>
      <c r="W1094" s="47">
        <f>IF(AND(B1094=Queue!$C$4,OR(Queue!$K$4="*",N1094=Queue!$K$4)),Q1094,"")</f>
        <v/>
      </c>
    </row>
    <row r="1095">
      <c r="A1095" s="38">
        <f>IF(M1095="","",HYPERLINK("https://www.youtube.com/watch?v="&amp;M1095,"▶"))</f>
        <v/>
      </c>
      <c r="B1095" s="39">
        <f>IF(C1095&lt;&gt;"",C1095,IF(P1095&lt;=IFERROR(INDEX(tblChannels[Watched Through],MATCH(N1095,tblChannels[Channel ID],0)),0),"Watched","Unwatched"))</f>
        <v/>
      </c>
      <c r="C1095" s="40" t="n"/>
      <c r="D1095" s="41" t="n"/>
      <c r="E1095" s="42" t="n">
        <v>44776.625</v>
      </c>
      <c r="F1095" s="52" t="inlineStr">
        <is>
          <t>Super Carlin Gaming</t>
        </is>
      </c>
      <c r="G1095" t="inlineStr">
        <is>
          <t>The STONE Dragon |  Pokémon Legends: Arceus Nuzlocke #16</t>
        </is>
      </c>
      <c r="H1095" s="44" t="n">
        <v>0.034375</v>
      </c>
      <c r="I1095" s="45" t="n">
        <v>6584</v>
      </c>
      <c r="J1095" s="45" t="n">
        <v>345</v>
      </c>
      <c r="K1095" s="45" t="n">
        <v>75</v>
      </c>
      <c r="L1095" s="46" t="n"/>
      <c r="M1095" s="47" t="n"/>
      <c r="N1095" s="47" t="inlineStr">
        <is>
          <t>UCor_9jRnNNZVzTuQ92PKsaQ</t>
        </is>
      </c>
      <c r="O1095" s="48" t="n">
        <v>44776.79166666666</v>
      </c>
      <c r="P1095" s="49" t="n">
        <v>44776</v>
      </c>
      <c r="Q1095" s="47" t="n">
        <v>2173</v>
      </c>
      <c r="R1095" s="47" t="inlineStr">
        <is>
          <t>No Video ID yet</t>
        </is>
      </c>
      <c r="S1095" s="49" t="n"/>
      <c r="T1095" s="49" t="n"/>
      <c r="U1095" s="47" t="inlineStr">
        <is>
          <t>In this episode J and the team trek along at a breakneck pace, catching and releasing their way through new areas and adding some sturdy team members along the way...</t>
        </is>
      </c>
      <c r="V1095" s="47">
        <f>IF(AND(P1095&gt;=Calendar!$K$2,P1095&lt;EDATE(Calendar!$K$2,1),OR(Calendar!$K$4="*",N1095=Calendar!$K$4)),P1095*100+COUNTIFS($P$6:$P$3267,P1095,$Q$6:$Q$3267,"&lt;="&amp;Q1095,$N$6:$N$3267,Calendar!$K$4),"")</f>
        <v/>
      </c>
      <c r="W1095" s="47">
        <f>IF(AND(B1095=Queue!$C$4,OR(Queue!$K$4="*",N1095=Queue!$K$4)),Q1095,"")</f>
        <v/>
      </c>
    </row>
    <row r="1096">
      <c r="A1096" s="38">
        <f>IF(M1096="","",HYPERLINK("https://www.youtube.com/watch?v="&amp;M1096,"▶"))</f>
        <v/>
      </c>
      <c r="B1096" s="39">
        <f>IF(C1096&lt;&gt;"",C1096,IF(P1096&lt;=IFERROR(INDEX(tblChannels[Watched Through],MATCH(N1096,tblChannels[Channel ID],0)),0),"Watched","Unwatched"))</f>
        <v/>
      </c>
      <c r="C1096" s="40" t="n"/>
      <c r="D1096" s="41" t="n"/>
      <c r="E1096" s="42" t="n">
        <v>44775.69444444445</v>
      </c>
      <c r="F1096" s="50" t="inlineStr">
        <is>
          <t>Super Carlin Brothers</t>
        </is>
      </c>
      <c r="G1096" t="inlineStr">
        <is>
          <t>What If Harry Was In Slytherin? - Chamber of Secrets | Harry Potter Film Theory</t>
        </is>
      </c>
      <c r="H1096" s="44" t="n">
        <v>0.01875</v>
      </c>
      <c r="I1096" s="45" t="n">
        <v>512077</v>
      </c>
      <c r="J1096" s="45" t="n">
        <v>20149</v>
      </c>
      <c r="K1096" s="45" t="n">
        <v>2196</v>
      </c>
      <c r="L1096" s="46" t="n"/>
      <c r="M1096" s="47" t="n"/>
      <c r="N1096" s="47" t="inlineStr">
        <is>
          <t>UCKZo4N0lVPccBkSiuyVh4yg</t>
        </is>
      </c>
      <c r="O1096" s="48" t="n">
        <v>44775.86111111111</v>
      </c>
      <c r="P1096" s="49" t="n">
        <v>44775</v>
      </c>
      <c r="Q1096" s="47" t="n">
        <v>2172</v>
      </c>
      <c r="R1096" s="47" t="inlineStr">
        <is>
          <t>No Video ID yet</t>
        </is>
      </c>
      <c r="S1096" s="49" t="n"/>
      <c r="T1096" s="49" t="n"/>
      <c r="U1096" s="47" t="inlineStr">
        <is>
          <t>Go to to get 20% off plus free shipping. Today J dives back into the Wizarding World of Harry Potter for part 2 of our journey into the question of “What if Harry was Sorting into Slytherin?” #SuperCarlinBrothers #HarryPotter #WhatIf</t>
        </is>
      </c>
      <c r="V1096" s="47">
        <f>IF(AND(P1096&gt;=Calendar!$K$2,P1096&lt;EDATE(Calendar!$K$2,1),OR(Calendar!$K$4="*",N1096=Calendar!$K$4)),P1096*100+COUNTIFS($P$6:$P$3267,P1096,$Q$6:$Q$3267,"&lt;="&amp;Q1096,$N$6:$N$3267,Calendar!$K$4),"")</f>
        <v/>
      </c>
      <c r="W1096" s="47">
        <f>IF(AND(B1096=Queue!$C$4,OR(Queue!$K$4="*",N1096=Queue!$K$4)),Q1096,"")</f>
        <v/>
      </c>
    </row>
    <row r="1097">
      <c r="A1097" s="38">
        <f>IF(M1097="","",HYPERLINK("https://www.youtube.com/watch?v="&amp;M1097,"▶"))</f>
        <v/>
      </c>
      <c r="B1097" s="39">
        <f>IF(C1097&lt;&gt;"",C1097,IF(P1097&lt;=IFERROR(INDEX(tblChannels[Watched Through],MATCH(N1097,tblChannels[Channel ID],0)),0),"Watched","Unwatched"))</f>
        <v/>
      </c>
      <c r="C1097" s="40" t="n"/>
      <c r="D1097" s="41" t="n"/>
      <c r="E1097" s="42" t="n">
        <v>44771.41666666666</v>
      </c>
      <c r="F1097" s="43" t="inlineStr">
        <is>
          <t>Popcorn Culture</t>
        </is>
      </c>
      <c r="G1097" t="inlineStr">
        <is>
          <t>Wow, That's So Humid! | Popcorn Culture</t>
        </is>
      </c>
      <c r="H1097" s="44" t="n">
        <v>0.04629629629629629</v>
      </c>
      <c r="I1097" s="45" t="n">
        <v>8502</v>
      </c>
      <c r="J1097" s="45" t="n">
        <v>343</v>
      </c>
      <c r="K1097" s="45" t="n">
        <v>56</v>
      </c>
      <c r="L1097" s="46" t="n"/>
      <c r="M1097" s="47" t="n"/>
      <c r="N1097" s="47" t="inlineStr">
        <is>
          <t>UCHfIbq9thHPC8yrKjAdJgDA</t>
        </is>
      </c>
      <c r="O1097" s="48" t="n">
        <v>44771.58333333334</v>
      </c>
      <c r="P1097" s="49" t="n">
        <v>44771</v>
      </c>
      <c r="Q1097" s="47" t="n">
        <v>2171</v>
      </c>
      <c r="R1097" s="47" t="inlineStr">
        <is>
          <t>No Video ID yet</t>
        </is>
      </c>
      <c r="S1097" s="49" t="n"/>
      <c r="T1097" s="49" t="n"/>
      <c r="U1097" s="47" t="inlineStr">
        <is>
          <t>In the 138th Episode of the Pop, Ben and J discuss the heat, Go Fest, pub cycles, watermelons and cucumbers, versions of you, what instruments they would play, and trendy words. Mark Your Calendars for Go Fest, Oct. 15th - J’s First Vlog about Go Fest - Love Island - Pictures from the Telescope - Medium Damp Heat Watermelons Are Better Than Cucumbers Should We Start a Band?! Fleek Zero Hashbrowns to Skateboards The One True Popcorn Galaxy 00:00 - Intro, Wet Heat 02:07 - Go Fest! 08:35 - Pub Cycles and Bachelor(ette) Parties 19:54 - Shower Thoughts 30:33 - Instruments, Fleek and Other Words 1:00:36 - Full Circle to Wet Heat</t>
        </is>
      </c>
      <c r="V1097" s="47">
        <f>IF(AND(P1097&gt;=Calendar!$K$2,P1097&lt;EDATE(Calendar!$K$2,1),OR(Calendar!$K$4="*",N1097=Calendar!$K$4)),P1097*100+COUNTIFS($P$6:$P$3267,P1097,$Q$6:$Q$3267,"&lt;="&amp;Q1097,$N$6:$N$3267,Calendar!$K$4),"")</f>
        <v/>
      </c>
      <c r="W1097" s="47">
        <f>IF(AND(B1097=Queue!$C$4,OR(Queue!$K$4="*",N1097=Queue!$K$4)),Q1097,"")</f>
        <v/>
      </c>
    </row>
    <row r="1098">
      <c r="A1098" s="38">
        <f>IF(M1098="","",HYPERLINK("https://www.youtube.com/watch?v="&amp;M1098,"▶"))</f>
        <v/>
      </c>
      <c r="B1098" s="39">
        <f>IF(C1098&lt;&gt;"",C1098,IF(P1098&lt;=IFERROR(INDEX(tblChannels[Watched Through],MATCH(N1098,tblChannels[Channel ID],0)),0),"Watched","Unwatched"))</f>
        <v/>
      </c>
      <c r="C1098" s="40" t="n"/>
      <c r="D1098" s="41" t="n"/>
      <c r="E1098" s="42" t="n">
        <v>44770.71458333333</v>
      </c>
      <c r="F1098" s="50" t="inlineStr">
        <is>
          <t>Super Carlin Brothers</t>
        </is>
      </c>
      <c r="G1098" t="inlineStr">
        <is>
          <t>The Future of the MCU Explained Phase 5 &amp; 6 | Marvel Film Theory</t>
        </is>
      </c>
      <c r="H1098" s="44" t="n">
        <v>0.01480324074074074</v>
      </c>
      <c r="I1098" s="45" t="n">
        <v>108124</v>
      </c>
      <c r="J1098" s="45" t="n">
        <v>5113</v>
      </c>
      <c r="K1098" s="45" t="n">
        <v>595</v>
      </c>
      <c r="L1098" s="46" t="n"/>
      <c r="M1098" s="47" t="n"/>
      <c r="N1098" s="47" t="inlineStr">
        <is>
          <t>UCKZo4N0lVPccBkSiuyVh4yg</t>
        </is>
      </c>
      <c r="O1098" s="48" t="n">
        <v>44770.88125</v>
      </c>
      <c r="P1098" s="49" t="n">
        <v>44770</v>
      </c>
      <c r="Q1098" s="47" t="n">
        <v>2170</v>
      </c>
      <c r="R1098" s="47" t="inlineStr">
        <is>
          <t>No Video ID yet</t>
        </is>
      </c>
      <c r="S1098" s="49" t="n"/>
      <c r="T1098" s="49" t="n"/>
      <c r="U1098" s="47" t="inlineStr">
        <is>
          <t>Go to to get up to 20% off your first box. Today Ben dives into the MCU to go over ALL of the announcements from this years San Diego ComicCon including ALL of phase 5 and new avengers movies in phase 6! Plus.. is Doctor Doom already in motion? #SuperCarlinBrothers #Marvel</t>
        </is>
      </c>
      <c r="V1098" s="47">
        <f>IF(AND(P1098&gt;=Calendar!$K$2,P1098&lt;EDATE(Calendar!$K$2,1),OR(Calendar!$K$4="*",N1098=Calendar!$K$4)),P1098*100+COUNTIFS($P$6:$P$3267,P1098,$Q$6:$Q$3267,"&lt;="&amp;Q1098,$N$6:$N$3267,Calendar!$K$4),"")</f>
        <v/>
      </c>
      <c r="W1098" s="47">
        <f>IF(AND(B1098=Queue!$C$4,OR(Queue!$K$4="*",N1098=Queue!$K$4)),Q1098,"")</f>
        <v/>
      </c>
    </row>
    <row r="1099">
      <c r="A1099" s="38">
        <f>IF(M1099="","",HYPERLINK("https://www.youtube.com/watch?v="&amp;M1099,"▶"))</f>
        <v/>
      </c>
      <c r="B1099" s="39">
        <f>IF(C1099&lt;&gt;"",C1099,IF(P1099&lt;=IFERROR(INDEX(tblChannels[Watched Through],MATCH(N1099,tblChannels[Channel ID],0)),0),"Watched","Unwatched"))</f>
        <v/>
      </c>
      <c r="C1099" s="40" t="n"/>
      <c r="D1099" s="41" t="n"/>
      <c r="E1099" s="42" t="n">
        <v>44769.625</v>
      </c>
      <c r="F1099" s="52" t="inlineStr">
        <is>
          <t>Super Carlin Gaming</t>
        </is>
      </c>
      <c r="G1099" t="inlineStr">
        <is>
          <t>The Boulder and the Black Night |  Pokémon Legends: Arceus Nuzlocke #15</t>
        </is>
      </c>
      <c r="H1099" s="44" t="n">
        <v>0.03212962962962963</v>
      </c>
      <c r="I1099" s="45" t="n">
        <v>6503</v>
      </c>
      <c r="J1099" s="45" t="n">
        <v>359</v>
      </c>
      <c r="K1099" s="45" t="n">
        <v>75</v>
      </c>
      <c r="L1099" s="46" t="n"/>
      <c r="M1099" s="47" t="n"/>
      <c r="N1099" s="47" t="inlineStr">
        <is>
          <t>UCor_9jRnNNZVzTuQ92PKsaQ</t>
        </is>
      </c>
      <c r="O1099" s="48" t="n">
        <v>44769.79166666666</v>
      </c>
      <c r="P1099" s="49" t="n">
        <v>44769</v>
      </c>
      <c r="Q1099" s="47" t="n">
        <v>2169</v>
      </c>
      <c r="R1099" s="47" t="inlineStr">
        <is>
          <t>No Video ID yet</t>
        </is>
      </c>
      <c r="S1099" s="49" t="n"/>
      <c r="T1099" s="49" t="n"/>
      <c r="U1099" s="47" t="inlineStr">
        <is>
          <t>Following a necessary rule change to the Nuzlocke run, J and the team set out to catch and release as many Pokémon as possible, and evolve some crucial team members along the way!</t>
        </is>
      </c>
      <c r="V1099" s="47">
        <f>IF(AND(P1099&gt;=Calendar!$K$2,P1099&lt;EDATE(Calendar!$K$2,1),OR(Calendar!$K$4="*",N1099=Calendar!$K$4)),P1099*100+COUNTIFS($P$6:$P$3267,P1099,$Q$6:$Q$3267,"&lt;="&amp;Q1099,$N$6:$N$3267,Calendar!$K$4),"")</f>
        <v/>
      </c>
      <c r="W1099" s="47">
        <f>IF(AND(B1099=Queue!$C$4,OR(Queue!$K$4="*",N1099=Queue!$K$4)),Q1099,"")</f>
        <v/>
      </c>
    </row>
    <row r="1100">
      <c r="A1100" s="38">
        <f>IF(M1100="","",HYPERLINK("https://www.youtube.com/watch?v="&amp;M1100,"▶"))</f>
        <v/>
      </c>
      <c r="B1100" s="39">
        <f>IF(C1100&lt;&gt;"",C1100,IF(P1100&lt;=IFERROR(INDEX(tblChannels[Watched Through],MATCH(N1100,tblChannels[Channel ID],0)),0),"Watched","Unwatched"))</f>
        <v/>
      </c>
      <c r="C1100" s="40" t="n"/>
      <c r="D1100" s="41" t="n"/>
      <c r="E1100" s="42" t="n">
        <v>44768.65138888889</v>
      </c>
      <c r="F1100" s="50" t="inlineStr">
        <is>
          <t>Super Carlin Brothers</t>
        </is>
      </c>
      <c r="G1100" t="inlineStr">
        <is>
          <t>What If Harry Was In Slytherin? - Philosopher's Stone | Harry Potter Film Theory</t>
        </is>
      </c>
      <c r="H1100" s="44" t="n">
        <v>0.0153125</v>
      </c>
      <c r="I1100" s="45" t="n">
        <v>982267</v>
      </c>
      <c r="J1100" s="45" t="n">
        <v>28319</v>
      </c>
      <c r="K1100" s="45" t="n">
        <v>2129</v>
      </c>
      <c r="L1100" s="46" t="n"/>
      <c r="M1100" s="47" t="n"/>
      <c r="N1100" s="47" t="inlineStr">
        <is>
          <t>UCKZo4N0lVPccBkSiuyVh4yg</t>
        </is>
      </c>
      <c r="O1100" s="48" t="n">
        <v>44768.81805555556</v>
      </c>
      <c r="P1100" s="49" t="n">
        <v>44768</v>
      </c>
      <c r="Q1100" s="47" t="n">
        <v>2168</v>
      </c>
      <c r="R1100" s="47" t="inlineStr">
        <is>
          <t>No Video ID yet</t>
        </is>
      </c>
      <c r="S1100" s="49" t="n"/>
      <c r="T1100" s="49" t="n"/>
      <c r="U1100" s="47" t="inlineStr">
        <is>
          <t>Today J dives into the Wizarding World of Harry Potter to answer the question: What If Harry HAD been Sorted into Slytherin House? Would he still defeat Voldemort? Would Ron and Hermione still be his friends? Would Snape actually like him? 00:00 Introduction 02:40 What needs to Happen for Harry to get sorted differently 06:54 How Slytherin House receives Harry 09:53 The First Flying Lesson 16:28 J's amazing Impression of the Golden Trio 19:48 SLYTHERIN WINS THE HOUSE CUP #SuperCarlinBrothers #WhatIf #HarryPotter</t>
        </is>
      </c>
      <c r="V1100" s="47">
        <f>IF(AND(P1100&gt;=Calendar!$K$2,P1100&lt;EDATE(Calendar!$K$2,1),OR(Calendar!$K$4="*",N1100=Calendar!$K$4)),P1100*100+COUNTIFS($P$6:$P$3267,P1100,$Q$6:$Q$3267,"&lt;="&amp;Q1100,$N$6:$N$3267,Calendar!$K$4),"")</f>
        <v/>
      </c>
      <c r="W1100" s="47">
        <f>IF(AND(B1100=Queue!$C$4,OR(Queue!$K$4="*",N1100=Queue!$K$4)),Q1100,"")</f>
        <v/>
      </c>
    </row>
    <row r="1101">
      <c r="A1101" s="38">
        <f>IF(M1101="","",HYPERLINK("https://www.youtube.com/watch?v="&amp;M1101,"▶"))</f>
        <v/>
      </c>
      <c r="B1101" s="39">
        <f>IF(C1101&lt;&gt;"",C1101,IF(P1101&lt;=IFERROR(INDEX(tblChannels[Watched Through],MATCH(N1101,tblChannels[Channel ID],0)),0),"Watched","Unwatched"))</f>
        <v/>
      </c>
      <c r="C1101" s="40" t="n"/>
      <c r="D1101" s="41" t="n"/>
      <c r="E1101" s="42" t="n">
        <v>44764.66666666666</v>
      </c>
      <c r="F1101" s="52" t="inlineStr">
        <is>
          <t>Super Carlin Gaming</t>
        </is>
      </c>
      <c r="G1101" t="inlineStr">
        <is>
          <t>We Discover the RAREST Common Card.. | Carlin Brother's Box Breakers Astral Radiance</t>
        </is>
      </c>
      <c r="H1101" s="44" t="n">
        <v>0.0296875</v>
      </c>
      <c r="I1101" s="45" t="n">
        <v>5548</v>
      </c>
      <c r="J1101" s="45" t="n">
        <v>306</v>
      </c>
      <c r="K1101" s="45" t="n">
        <v>36</v>
      </c>
      <c r="L1101" s="46" t="n"/>
      <c r="M1101" s="47" t="n"/>
      <c r="N1101" s="47" t="inlineStr">
        <is>
          <t>UCor_9jRnNNZVzTuQ92PKsaQ</t>
        </is>
      </c>
      <c r="O1101" s="48" t="n">
        <v>44764.83333333334</v>
      </c>
      <c r="P1101" s="49" t="n">
        <v>44764</v>
      </c>
      <c r="Q1101" s="47" t="n">
        <v>2167</v>
      </c>
      <c r="R1101" s="47" t="inlineStr">
        <is>
          <t>No Video ID yet</t>
        </is>
      </c>
      <c r="S1101" s="49" t="n"/>
      <c r="T1101" s="49" t="n"/>
      <c r="U1101" s="47" t="inlineStr">
        <is>
          <t>This week we launch the first official episode of Carlin Brother's Box Breakers! In each episode we'll open a booster box of Pokemon Cards each of which will be assigned to one of our Box Breaker Patrons - The more valuable your cards are the more points you get!</t>
        </is>
      </c>
      <c r="V1101" s="47">
        <f>IF(AND(P1101&gt;=Calendar!$K$2,P1101&lt;EDATE(Calendar!$K$2,1),OR(Calendar!$K$4="*",N1101=Calendar!$K$4)),P1101*100+COUNTIFS($P$6:$P$3267,P1101,$Q$6:$Q$3267,"&lt;="&amp;Q1101,$N$6:$N$3267,Calendar!$K$4),"")</f>
        <v/>
      </c>
      <c r="W1101" s="47">
        <f>IF(AND(B1101=Queue!$C$4,OR(Queue!$K$4="*",N1101=Queue!$K$4)),Q1101,"")</f>
        <v/>
      </c>
    </row>
    <row r="1102">
      <c r="A1102" s="38">
        <f>IF(M1102="","",HYPERLINK("https://www.youtube.com/watch?v="&amp;M1102,"▶"))</f>
        <v/>
      </c>
      <c r="B1102" s="39">
        <f>IF(C1102&lt;&gt;"",C1102,IF(P1102&lt;=IFERROR(INDEX(tblChannels[Watched Through],MATCH(N1102,tblChannels[Channel ID],0)),0),"Watched","Unwatched"))</f>
        <v/>
      </c>
      <c r="C1102" s="40" t="n"/>
      <c r="D1102" s="41" t="n"/>
      <c r="E1102" s="42" t="n">
        <v>44764.50625</v>
      </c>
      <c r="F1102" s="43" t="inlineStr">
        <is>
          <t>Popcorn Culture</t>
        </is>
      </c>
      <c r="G1102" t="inlineStr">
        <is>
          <t>Apple Hipsters | Popcorn Culture</t>
        </is>
      </c>
      <c r="H1102" s="44" t="n">
        <v>0.04462962962962963</v>
      </c>
      <c r="I1102" s="45" t="n">
        <v>5563</v>
      </c>
      <c r="J1102" s="45" t="n">
        <v>312</v>
      </c>
      <c r="K1102" s="45" t="n">
        <v>31</v>
      </c>
      <c r="L1102" s="46" t="n"/>
      <c r="M1102" s="47" t="n"/>
      <c r="N1102" s="47" t="inlineStr">
        <is>
          <t>UCHfIbq9thHPC8yrKjAdJgDA</t>
        </is>
      </c>
      <c r="O1102" s="48" t="n">
        <v>44764.67291666667</v>
      </c>
      <c r="P1102" s="49" t="n">
        <v>44764</v>
      </c>
      <c r="Q1102" s="47" t="n">
        <v>2166</v>
      </c>
      <c r="R1102" s="47" t="inlineStr">
        <is>
          <t>No Video ID yet</t>
        </is>
      </c>
      <c r="S1102" s="49" t="n"/>
      <c r="T1102" s="49" t="n"/>
      <c r="U1102" s="47" t="inlineStr">
        <is>
          <t>Ben and J discuss: reading new things, being a generalist vs. a specialist, gaming strategy, pokemon victories, classic arcade games and challenge coins. Justin Long Apple Commercials - Monopoly Strategy - Super Mario Strikers - Ben’s Wick of the Peek: Name of the Wind (for the 7th time) - J’s Wick of the Peek (for grown-ups): Ozark - Inspecting Your Verizons How to Win Monopoly How to Escape the Blue Shell Gotta Get Through the Slog MEGACARD Pacman is Like the Great Outdoors Speakeasy Barcade 00:00 - Intro, Name of the Wind 13:18 - Generalists vs. Specialists and Gaming Strategy 39:43 - J’s Pokemon Victory 43:35 - Challenge Coin and Old Arcade Games</t>
        </is>
      </c>
      <c r="V1102" s="47">
        <f>IF(AND(P1102&gt;=Calendar!$K$2,P1102&lt;EDATE(Calendar!$K$2,1),OR(Calendar!$K$4="*",N1102=Calendar!$K$4)),P1102*100+COUNTIFS($P$6:$P$3267,P1102,$Q$6:$Q$3267,"&lt;="&amp;Q1102,$N$6:$N$3267,Calendar!$K$4),"")</f>
        <v/>
      </c>
      <c r="W1102" s="47">
        <f>IF(AND(B1102=Queue!$C$4,OR(Queue!$K$4="*",N1102=Queue!$K$4)),Q1102,"")</f>
        <v/>
      </c>
    </row>
    <row r="1103">
      <c r="A1103" s="38">
        <f>IF(M1103="","",HYPERLINK("https://www.youtube.com/watch?v="&amp;M1103,"▶"))</f>
        <v/>
      </c>
      <c r="B1103" s="39">
        <f>IF(C1103&lt;&gt;"",C1103,IF(P1103&lt;=IFERROR(INDEX(tblChannels[Watched Through],MATCH(N1103,tblChannels[Channel ID],0)),0),"Watched","Unwatched"))</f>
        <v/>
      </c>
      <c r="C1103" s="40" t="n"/>
      <c r="D1103" s="41" t="n"/>
      <c r="E1103" s="42" t="n">
        <v>44763.68888888889</v>
      </c>
      <c r="F1103" s="50" t="inlineStr">
        <is>
          <t>Super Carlin Brothers</t>
        </is>
      </c>
      <c r="G1103" t="inlineStr">
        <is>
          <t>J vs Ben: The HARDEST James &amp; Lily Potter TRIVIA Quiz | Harry Potter Game</t>
        </is>
      </c>
      <c r="H1103" s="44" t="n">
        <v>0.019375</v>
      </c>
      <c r="I1103" s="45" t="n">
        <v>217377</v>
      </c>
      <c r="J1103" s="45" t="n">
        <v>7994</v>
      </c>
      <c r="K1103" s="45" t="n">
        <v>553</v>
      </c>
      <c r="L1103" s="46" t="n"/>
      <c r="M1103" s="47" t="n"/>
      <c r="N1103" s="47" t="inlineStr">
        <is>
          <t>UCKZo4N0lVPccBkSiuyVh4yg</t>
        </is>
      </c>
      <c r="O1103" s="48" t="n">
        <v>44763.85555555556</v>
      </c>
      <c r="P1103" s="49" t="n">
        <v>44763</v>
      </c>
      <c r="Q1103" s="47" t="n">
        <v>2165</v>
      </c>
      <c r="R1103" s="47" t="inlineStr">
        <is>
          <t>No Video ID yet</t>
        </is>
      </c>
      <c r="S1103" s="49" t="n"/>
      <c r="T1103" s="49" t="n"/>
      <c r="U1103" s="47" t="inlineStr">
        <is>
          <t>Go to to get Honey for FREE! Go to to get an extra 3 months for free. Today J and Ben face off once more to find out who knows more about James &amp; Lily Potter and the Wizarding World! Check out our Dad's WSLS Story: #SuperCarlinBrothers #JvsBen #HarryPotter</t>
        </is>
      </c>
      <c r="V1103" s="47">
        <f>IF(AND(P1103&gt;=Calendar!$K$2,P1103&lt;EDATE(Calendar!$K$2,1),OR(Calendar!$K$4="*",N1103=Calendar!$K$4)),P1103*100+COUNTIFS($P$6:$P$3267,P1103,$Q$6:$Q$3267,"&lt;="&amp;Q1103,$N$6:$N$3267,Calendar!$K$4),"")</f>
        <v/>
      </c>
      <c r="W1103" s="47">
        <f>IF(AND(B1103=Queue!$C$4,OR(Queue!$K$4="*",N1103=Queue!$K$4)),Q1103,"")</f>
        <v/>
      </c>
    </row>
    <row r="1104">
      <c r="A1104" s="38">
        <f>IF(M1104="","",HYPERLINK("https://www.youtube.com/watch?v="&amp;M1104,"▶"))</f>
        <v/>
      </c>
      <c r="B1104" s="39">
        <f>IF(C1104&lt;&gt;"",C1104,IF(P1104&lt;=IFERROR(INDEX(tblChannels[Watched Through],MATCH(N1104,tblChannels[Channel ID],0)),0),"Watched","Unwatched"))</f>
        <v/>
      </c>
      <c r="C1104" s="40" t="n"/>
      <c r="D1104" s="41" t="n"/>
      <c r="E1104" s="42" t="n">
        <v>44762.625</v>
      </c>
      <c r="F1104" s="52" t="inlineStr">
        <is>
          <t>Super Carlin Gaming</t>
        </is>
      </c>
      <c r="G1104" t="inlineStr">
        <is>
          <t>On the ALPHA Hunt |  Pokémon Legends: Arceus Nuzlocke #14</t>
        </is>
      </c>
      <c r="H1104" s="44" t="n">
        <v>0.02645833333333333</v>
      </c>
      <c r="I1104" s="45" t="n">
        <v>6298</v>
      </c>
      <c r="J1104" s="45" t="n">
        <v>394</v>
      </c>
      <c r="K1104" s="45" t="n">
        <v>130</v>
      </c>
      <c r="L1104" s="46" t="n"/>
      <c r="M1104" s="47" t="n"/>
      <c r="N1104" s="47" t="inlineStr">
        <is>
          <t>UCor_9jRnNNZVzTuQ92PKsaQ</t>
        </is>
      </c>
      <c r="O1104" s="48" t="n">
        <v>44762.79166666666</v>
      </c>
      <c r="P1104" s="49" t="n">
        <v>44762</v>
      </c>
      <c r="Q1104" s="47" t="n">
        <v>2164</v>
      </c>
      <c r="R1104" s="47" t="inlineStr">
        <is>
          <t>No Video ID yet</t>
        </is>
      </c>
      <c r="S1104" s="49" t="n"/>
      <c r="T1104" s="49" t="n"/>
      <c r="U1104" s="47" t="inlineStr">
        <is>
          <t>In this episode J and the team work to complete more research tasks while showing they're NOT afraid of the Alpha Pokémon they've encountered thus far... ...or are they?</t>
        </is>
      </c>
      <c r="V1104" s="47">
        <f>IF(AND(P1104&gt;=Calendar!$K$2,P1104&lt;EDATE(Calendar!$K$2,1),OR(Calendar!$K$4="*",N1104=Calendar!$K$4)),P1104*100+COUNTIFS($P$6:$P$3267,P1104,$Q$6:$Q$3267,"&lt;="&amp;Q1104,$N$6:$N$3267,Calendar!$K$4),"")</f>
        <v/>
      </c>
      <c r="W1104" s="47">
        <f>IF(AND(B1104=Queue!$C$4,OR(Queue!$K$4="*",N1104=Queue!$K$4)),Q1104,"")</f>
        <v/>
      </c>
    </row>
    <row r="1105">
      <c r="A1105" s="38">
        <f>IF(M1105="","",HYPERLINK("https://www.youtube.com/watch?v="&amp;M1105,"▶"))</f>
        <v/>
      </c>
      <c r="B1105" s="39">
        <f>IF(C1105&lt;&gt;"",C1105,IF(P1105&lt;=IFERROR(INDEX(tblChannels[Watched Through],MATCH(N1105,tblChannels[Channel ID],0)),0),"Watched","Unwatched"))</f>
        <v/>
      </c>
      <c r="C1105" s="40" t="n"/>
      <c r="D1105" s="41" t="n"/>
      <c r="E1105" s="42" t="n">
        <v>44762.58333333334</v>
      </c>
      <c r="F1105" s="53" t="inlineStr">
        <is>
          <t>Jonathan Carlin</t>
        </is>
      </c>
      <c r="G1105" t="inlineStr">
        <is>
          <t>RTX Texas Adventure - Our First Time in Austin!</t>
        </is>
      </c>
      <c r="H1105" s="44" t="n">
        <v>0.01582175925925926</v>
      </c>
      <c r="I1105" s="45" t="n">
        <v>10662</v>
      </c>
      <c r="J1105" s="45" t="n">
        <v>728</v>
      </c>
      <c r="K1105" s="45" t="n">
        <v>68</v>
      </c>
      <c r="L1105" s="46" t="n"/>
      <c r="M1105" s="47" t="n"/>
      <c r="N1105" s="47" t="inlineStr">
        <is>
          <t>UCYPKFe86e6nm4TVUYKLsFUQ</t>
        </is>
      </c>
      <c r="O1105" s="48" t="n">
        <v>44762.75</v>
      </c>
      <c r="P1105" s="49" t="n">
        <v>44762</v>
      </c>
      <c r="Q1105" s="47" t="n">
        <v>2163</v>
      </c>
      <c r="R1105" s="47" t="inlineStr">
        <is>
          <t>No Video ID yet</t>
        </is>
      </c>
      <c r="S1105" s="49" t="n"/>
      <c r="T1105" s="49" t="n"/>
      <c r="U1105" s="47" t="inlineStr">
        <is>
          <t>This week J and Ben head out to Austin, Texas for RTX where they host a few panels and then J meets up with the rest of the family for a Lake Trip! (also of course we open some Pokemon cards)</t>
        </is>
      </c>
      <c r="V1105" s="47">
        <f>IF(AND(P1105&gt;=Calendar!$K$2,P1105&lt;EDATE(Calendar!$K$2,1),OR(Calendar!$K$4="*",N1105=Calendar!$K$4)),P1105*100+COUNTIFS($P$6:$P$3267,P1105,$Q$6:$Q$3267,"&lt;="&amp;Q1105,$N$6:$N$3267,Calendar!$K$4),"")</f>
        <v/>
      </c>
      <c r="W1105" s="47">
        <f>IF(AND(B1105=Queue!$C$4,OR(Queue!$K$4="*",N1105=Queue!$K$4)),Q1105,"")</f>
        <v/>
      </c>
    </row>
    <row r="1106">
      <c r="A1106" s="38">
        <f>IF(M1106="","",HYPERLINK("https://www.youtube.com/watch?v="&amp;M1106,"▶"))</f>
        <v/>
      </c>
      <c r="B1106" s="39">
        <f>IF(C1106&lt;&gt;"",C1106,IF(P1106&lt;=IFERROR(INDEX(tblChannels[Watched Through],MATCH(N1106,tblChannels[Channel ID],0)),0),"Watched","Unwatched"))</f>
        <v/>
      </c>
      <c r="C1106" s="40" t="n"/>
      <c r="D1106" s="41" t="n"/>
      <c r="E1106" s="42" t="n">
        <v>44761.68611111111</v>
      </c>
      <c r="F1106" s="50" t="inlineStr">
        <is>
          <t>Super Carlin Brothers</t>
        </is>
      </c>
      <c r="G1106" t="inlineStr">
        <is>
          <t>Stormbreaker’s SECRET Power Explained | Marvel Film Theory</t>
        </is>
      </c>
      <c r="H1106" s="44" t="n">
        <v>0.009305555555555555</v>
      </c>
      <c r="I1106" s="45" t="n">
        <v>87529</v>
      </c>
      <c r="J1106" s="45" t="n">
        <v>4418</v>
      </c>
      <c r="K1106" s="45" t="n">
        <v>430</v>
      </c>
      <c r="L1106" s="46" t="n"/>
      <c r="M1106" s="47" t="n"/>
      <c r="N1106" s="47" t="inlineStr">
        <is>
          <t>UCKZo4N0lVPccBkSiuyVh4yg</t>
        </is>
      </c>
      <c r="O1106" s="48" t="n">
        <v>44761.85277777778</v>
      </c>
      <c r="P1106" s="49" t="n">
        <v>44761</v>
      </c>
      <c r="Q1106" s="47" t="n">
        <v>2162</v>
      </c>
      <c r="R1106" s="47" t="inlineStr">
        <is>
          <t>No Video ID yet</t>
        </is>
      </c>
      <c r="S1106" s="49" t="n"/>
      <c r="T1106" s="49" t="n"/>
      <c r="U1106" s="47" t="inlineStr">
        <is>
          <t>Go to to get up to 20% off your first box. Today J dives into the Marvel Cinematic Universe to discuss Thor: Love and Thunder and what it may mean for the future of Stormbreaker and GROOT! I am Groot. I aM GroOt. i Am gRooT. #SuperCarlinBrothers #IAmGroot #Thor</t>
        </is>
      </c>
      <c r="V1106" s="47">
        <f>IF(AND(P1106&gt;=Calendar!$K$2,P1106&lt;EDATE(Calendar!$K$2,1),OR(Calendar!$K$4="*",N1106=Calendar!$K$4)),P1106*100+COUNTIFS($P$6:$P$3267,P1106,$Q$6:$Q$3267,"&lt;="&amp;Q1106,$N$6:$N$3267,Calendar!$K$4),"")</f>
        <v/>
      </c>
      <c r="W1106" s="47">
        <f>IF(AND(B1106=Queue!$C$4,OR(Queue!$K$4="*",N1106=Queue!$K$4)),Q1106,"")</f>
        <v/>
      </c>
    </row>
    <row r="1107">
      <c r="A1107" s="38">
        <f>IF(M1107="","",HYPERLINK("https://www.youtube.com/watch?v="&amp;M1107,"▶"))</f>
        <v/>
      </c>
      <c r="B1107" s="39">
        <f>IF(C1107&lt;&gt;"",C1107,IF(P1107&lt;=IFERROR(INDEX(tblChannels[Watched Through],MATCH(N1107,tblChannels[Channel ID],0)),0),"Watched","Unwatched"))</f>
        <v/>
      </c>
      <c r="C1107" s="40" t="n"/>
      <c r="D1107" s="41" t="n"/>
      <c r="E1107" s="42" t="n">
        <v>44757.41666666666</v>
      </c>
      <c r="F1107" s="43" t="inlineStr">
        <is>
          <t>Popcorn Culture</t>
        </is>
      </c>
      <c r="G1107" t="inlineStr">
        <is>
          <t>Sherlock vs. Houdini | Popcorn Culture</t>
        </is>
      </c>
      <c r="H1107" s="44" t="n">
        <v>0.0518287037037037</v>
      </c>
      <c r="I1107" s="45" t="n">
        <v>6860</v>
      </c>
      <c r="J1107" s="45" t="n">
        <v>333</v>
      </c>
      <c r="K1107" s="45" t="n">
        <v>43</v>
      </c>
      <c r="L1107" s="46" t="n"/>
      <c r="M1107" s="47" t="n"/>
      <c r="N1107" s="47" t="inlineStr">
        <is>
          <t>UCHfIbq9thHPC8yrKjAdJgDA</t>
        </is>
      </c>
      <c r="O1107" s="48" t="n">
        <v>44757.58333333334</v>
      </c>
      <c r="P1107" s="49" t="n">
        <v>44757</v>
      </c>
      <c r="Q1107" s="47" t="n">
        <v>2161</v>
      </c>
      <c r="R1107" s="47" t="inlineStr">
        <is>
          <t>No Video ID yet</t>
        </is>
      </c>
      <c r="S1107" s="49" t="n"/>
      <c r="T1107" s="49" t="n"/>
      <c r="U1107" s="47" t="inlineStr">
        <is>
          <t>In the 136th episode of the Pop, Ben and J discuss favorite numbers, P.T. Barnum, The Dunning Kruger Effect, Harry Houdini, white rabbits, Texas Ben, the newest trending food, the eternal cure for boredom and clutter. The Greatest Showman - The Barnum Effect - The Dunning Kruger Effect - Imposter Syndrome - Enneagram - Criminal Podcast - The Barnum Effect Extreme Confirmation Bias Ben Loves Texas Food Proper Way to Eat Chicken and Waffles Or Pistachios are Crunchy Avocados Possibility Clutter 00:00 - Intro, Favorite Numbers 03:37 - Various Effects 20:53 - Harry Houdini 29:30 - Lincoln’s White Rabbits and Riddles 33:26 - Texas Ben 43:45 - Pistachios 47:19 - Cure for Boredom and Plants 1:00:14 - More Numbers and Clutter</t>
        </is>
      </c>
      <c r="V1107" s="47">
        <f>IF(AND(P1107&gt;=Calendar!$K$2,P1107&lt;EDATE(Calendar!$K$2,1),OR(Calendar!$K$4="*",N1107=Calendar!$K$4)),P1107*100+COUNTIFS($P$6:$P$3267,P1107,$Q$6:$Q$3267,"&lt;="&amp;Q1107,$N$6:$N$3267,Calendar!$K$4),"")</f>
        <v/>
      </c>
      <c r="W1107" s="47">
        <f>IF(AND(B1107=Queue!$C$4,OR(Queue!$K$4="*",N1107=Queue!$K$4)),Q1107,"")</f>
        <v/>
      </c>
    </row>
    <row r="1108">
      <c r="A1108" s="38">
        <f>IF(M1108="","",HYPERLINK("https://www.youtube.com/watch?v="&amp;M1108,"▶"))</f>
        <v/>
      </c>
      <c r="B1108" s="39">
        <f>IF(C1108&lt;&gt;"",C1108,IF(P1108&lt;=IFERROR(INDEX(tblChannels[Watched Through],MATCH(N1108,tblChannels[Channel ID],0)),0),"Watched","Unwatched"))</f>
        <v/>
      </c>
      <c r="C1108" s="40" t="n"/>
      <c r="D1108" s="41" t="n"/>
      <c r="E1108" s="42" t="n">
        <v>44756.65486111111</v>
      </c>
      <c r="F1108" s="50" t="inlineStr">
        <is>
          <t>Super Carlin Brothers</t>
        </is>
      </c>
      <c r="G1108" t="inlineStr">
        <is>
          <t>Why Didn’t Thanos Seek Out Eternity? | Marvel Film Theory</t>
        </is>
      </c>
      <c r="H1108" s="44" t="n">
        <v>0.01020833333333333</v>
      </c>
      <c r="I1108" s="45" t="n">
        <v>124024</v>
      </c>
      <c r="J1108" s="45" t="n">
        <v>5618</v>
      </c>
      <c r="K1108" s="45" t="n">
        <v>643</v>
      </c>
      <c r="L1108" s="46" t="n"/>
      <c r="M1108" s="47" t="n"/>
      <c r="N1108" s="47" t="inlineStr">
        <is>
          <t>UCKZo4N0lVPccBkSiuyVh4yg</t>
        </is>
      </c>
      <c r="O1108" s="48" t="n">
        <v>44756.82152777778</v>
      </c>
      <c r="P1108" s="49" t="n">
        <v>44756</v>
      </c>
      <c r="Q1108" s="47" t="n">
        <v>2160</v>
      </c>
      <c r="R1108" s="47" t="inlineStr">
        <is>
          <t>No Video ID yet</t>
        </is>
      </c>
      <c r="S1108" s="49" t="n"/>
      <c r="T1108" s="49" t="n"/>
      <c r="U1108" s="47" t="inlineStr">
        <is>
          <t>Go to and use promo code supercarlin to get a 4-week trial plus free postage and a digital scale. Today Ben dives into the Marvel Cinematic Universe explain why Thanos didnt just seek out Eternity to wipe out half the population of the galaxy and instead chose to use the Infinity Gauntlet! #SuperCarlinBrothers #Marvel #Thor</t>
        </is>
      </c>
      <c r="V1108" s="47">
        <f>IF(AND(P1108&gt;=Calendar!$K$2,P1108&lt;EDATE(Calendar!$K$2,1),OR(Calendar!$K$4="*",N1108=Calendar!$K$4)),P1108*100+COUNTIFS($P$6:$P$3267,P1108,$Q$6:$Q$3267,"&lt;="&amp;Q1108,$N$6:$N$3267,Calendar!$K$4),"")</f>
        <v/>
      </c>
      <c r="W1108" s="47">
        <f>IF(AND(B1108=Queue!$C$4,OR(Queue!$K$4="*",N1108=Queue!$K$4)),Q1108,"")</f>
        <v/>
      </c>
    </row>
    <row r="1109">
      <c r="A1109" s="38">
        <f>IF(M1109="","",HYPERLINK("https://www.youtube.com/watch?v="&amp;M1109,"▶"))</f>
        <v/>
      </c>
      <c r="B1109" s="39">
        <f>IF(C1109&lt;&gt;"",C1109,IF(P1109&lt;=IFERROR(INDEX(tblChannels[Watched Through],MATCH(N1109,tblChannels[Channel ID],0)),0),"Watched","Unwatched"))</f>
        <v/>
      </c>
      <c r="C1109" s="40" t="n"/>
      <c r="D1109" s="41" t="n"/>
      <c r="E1109" s="42" t="n">
        <v>44754.67638888889</v>
      </c>
      <c r="F1109" s="50" t="inlineStr">
        <is>
          <t>Super Carlin Brothers</t>
        </is>
      </c>
      <c r="G1109" t="inlineStr">
        <is>
          <t>Thor: Love &amp; Thunder Spoiler REVIEW | Marvel Film Theory</t>
        </is>
      </c>
      <c r="H1109" s="44" t="n">
        <v>0.04184027777777777</v>
      </c>
      <c r="I1109" s="45" t="n">
        <v>106179</v>
      </c>
      <c r="J1109" s="45" t="n">
        <v>3634</v>
      </c>
      <c r="K1109" s="45" t="n">
        <v>758</v>
      </c>
      <c r="L1109" s="46" t="n"/>
      <c r="M1109" s="47" t="n"/>
      <c r="N1109" s="47" t="inlineStr">
        <is>
          <t>UCKZo4N0lVPccBkSiuyVh4yg</t>
        </is>
      </c>
      <c r="O1109" s="48" t="n">
        <v>44754.84305555555</v>
      </c>
      <c r="P1109" s="49" t="n">
        <v>44754</v>
      </c>
      <c r="Q1109" s="47" t="n">
        <v>2159</v>
      </c>
      <c r="R1109" s="47" t="inlineStr">
        <is>
          <t>No Video ID yet</t>
        </is>
      </c>
      <c r="S1109" s="49" t="n"/>
      <c r="T1109" s="49" t="n"/>
      <c r="U1109" s="47" t="inlineStr">
        <is>
          <t>Go to to get 15% off your first order or 25% off your first membership item. Today J and Ben dive into the Marvel Cinematic Universe to give their full SPOILER Reivew of Thor Love and Thunder to determine if it brought the thunder or was kind of a blunder… #SuperCarlinBrothers #Marvel #Thor</t>
        </is>
      </c>
      <c r="V1109" s="47">
        <f>IF(AND(P1109&gt;=Calendar!$K$2,P1109&lt;EDATE(Calendar!$K$2,1),OR(Calendar!$K$4="*",N1109=Calendar!$K$4)),P1109*100+COUNTIFS($P$6:$P$3267,P1109,$Q$6:$Q$3267,"&lt;="&amp;Q1109,$N$6:$N$3267,Calendar!$K$4),"")</f>
        <v/>
      </c>
      <c r="W1109" s="47">
        <f>IF(AND(B1109=Queue!$C$4,OR(Queue!$K$4="*",N1109=Queue!$K$4)),Q1109,"")</f>
        <v/>
      </c>
    </row>
    <row r="1110">
      <c r="A1110" s="38">
        <f>IF(M1110="","",HYPERLINK("https://www.youtube.com/watch?v="&amp;M1110,"▶"))</f>
        <v/>
      </c>
      <c r="B1110" s="39">
        <f>IF(C1110&lt;&gt;"",C1110,IF(P1110&lt;=IFERROR(INDEX(tblChannels[Watched Through],MATCH(N1110,tblChannels[Channel ID],0)),0),"Watched","Unwatched"))</f>
        <v/>
      </c>
      <c r="C1110" s="40" t="n"/>
      <c r="D1110" s="41" t="n"/>
      <c r="E1110" s="42" t="n">
        <v>44750.41666666666</v>
      </c>
      <c r="F1110" s="43" t="inlineStr">
        <is>
          <t>Popcorn Culture</t>
        </is>
      </c>
      <c r="G1110" t="inlineStr">
        <is>
          <t>It Should At Least Be A Hat | Popcorn Culture</t>
        </is>
      </c>
      <c r="H1110" s="44" t="n">
        <v>0.04667824074074074</v>
      </c>
      <c r="I1110" s="45" t="n">
        <v>6119</v>
      </c>
      <c r="J1110" s="45" t="n">
        <v>325</v>
      </c>
      <c r="K1110" s="45" t="n">
        <v>44</v>
      </c>
      <c r="L1110" s="46" t="n"/>
      <c r="M1110" s="47" t="n"/>
      <c r="N1110" s="47" t="inlineStr">
        <is>
          <t>UCHfIbq9thHPC8yrKjAdJgDA</t>
        </is>
      </c>
      <c r="O1110" s="48" t="n">
        <v>44750.58333333334</v>
      </c>
      <c r="P1110" s="49" t="n">
        <v>44750</v>
      </c>
      <c r="Q1110" s="47" t="n">
        <v>2158</v>
      </c>
      <c r="R1110" s="47" t="inlineStr">
        <is>
          <t>No Video ID yet</t>
        </is>
      </c>
      <c r="S1110" s="49" t="n"/>
      <c r="T1110" s="49" t="n"/>
      <c r="U1110" s="47" t="inlineStr">
        <is>
          <t>In this the one hundred and thirty fifth episode of Popcorn Culture, Ben and J discuss: The hostmanship of the Pop, the origin of magic tricks, friends listening IRL and if Ben is a control freak or not. Control Freak Quiz - Abe Lincoln Invented Rabbits In Hats Are You A Control Freak PopHats Top 10 Issues With Movie Theater Popcorn 00:00 - Intro, Reviews, J The Occasional Host 2:00 - Gen Z &amp; IRL Friends Listening to the Pop 10:00 - Abe Lincoln’s Magic Top Hat 15:52 - Are You A Control Freak</t>
        </is>
      </c>
      <c r="V1110" s="47">
        <f>IF(AND(P1110&gt;=Calendar!$K$2,P1110&lt;EDATE(Calendar!$K$2,1),OR(Calendar!$K$4="*",N1110=Calendar!$K$4)),P1110*100+COUNTIFS($P$6:$P$3267,P1110,$Q$6:$Q$3267,"&lt;="&amp;Q1110,$N$6:$N$3267,Calendar!$K$4),"")</f>
        <v/>
      </c>
      <c r="W1110" s="47">
        <f>IF(AND(B1110=Queue!$C$4,OR(Queue!$K$4="*",N1110=Queue!$K$4)),Q1110,"")</f>
        <v/>
      </c>
    </row>
    <row r="1111">
      <c r="A1111" s="38">
        <f>IF(M1111="","",HYPERLINK("https://www.youtube.com/watch?v="&amp;M1111,"▶"))</f>
        <v/>
      </c>
      <c r="B1111" s="39">
        <f>IF(C1111&lt;&gt;"",C1111,IF(P1111&lt;=IFERROR(INDEX(tblChannels[Watched Through],MATCH(N1111,tblChannels[Channel ID],0)),0),"Watched","Unwatched"))</f>
        <v/>
      </c>
      <c r="C1111" s="40" t="n"/>
      <c r="D1111" s="41" t="n"/>
      <c r="E1111" s="42" t="n">
        <v>44746.58333333334</v>
      </c>
      <c r="F1111" s="53" t="inlineStr">
        <is>
          <t>Jonathan Carlin</t>
        </is>
      </c>
      <c r="G1111" t="inlineStr">
        <is>
          <t>10 YEARS OF SUPER CARLIN BROTHERS</t>
        </is>
      </c>
      <c r="H1111" s="44" t="n">
        <v>0.01171296296296296</v>
      </c>
      <c r="I1111" s="45" t="n">
        <v>17052</v>
      </c>
      <c r="J1111" s="45" t="n">
        <v>1089</v>
      </c>
      <c r="K1111" s="45" t="n">
        <v>49</v>
      </c>
      <c r="L1111" s="46" t="n"/>
      <c r="M1111" s="47" t="n"/>
      <c r="N1111" s="47" t="inlineStr">
        <is>
          <t>UCYPKFe86e6nm4TVUYKLsFUQ</t>
        </is>
      </c>
      <c r="O1111" s="48" t="n">
        <v>44746.75</v>
      </c>
      <c r="P1111" s="49" t="n">
        <v>44746</v>
      </c>
      <c r="Q1111" s="47" t="n">
        <v>2157</v>
      </c>
      <c r="R1111" s="47" t="inlineStr">
        <is>
          <t>No Video ID yet</t>
        </is>
      </c>
      <c r="S1111" s="49" t="n"/>
      <c r="T1111" s="49" t="n"/>
      <c r="U1111" s="47" t="inlineStr">
        <is>
          <t>This week J and the SCB crew celebrate 10 years of Super Carlin Brothers with various spirit week costumes, tie dye shirts, and popcorn!</t>
        </is>
      </c>
      <c r="V1111" s="47">
        <f>IF(AND(P1111&gt;=Calendar!$K$2,P1111&lt;EDATE(Calendar!$K$2,1),OR(Calendar!$K$4="*",N1111=Calendar!$K$4)),P1111*100+COUNTIFS($P$6:$P$3267,P1111,$Q$6:$Q$3267,"&lt;="&amp;Q1111,$N$6:$N$3267,Calendar!$K$4),"")</f>
        <v/>
      </c>
      <c r="W1111" s="47">
        <f>IF(AND(B1111=Queue!$C$4,OR(Queue!$K$4="*",N1111=Queue!$K$4)),Q1111,"")</f>
        <v/>
      </c>
    </row>
    <row r="1112">
      <c r="A1112" s="38">
        <f>IF(M1112="","",HYPERLINK("https://www.youtube.com/watch?v="&amp;M1112,"▶"))</f>
        <v/>
      </c>
      <c r="B1112" s="39">
        <f>IF(C1112&lt;&gt;"",C1112,IF(P1112&lt;=IFERROR(INDEX(tblChannels[Watched Through],MATCH(N1112,tblChannels[Channel ID],0)),0),"Watched","Unwatched"))</f>
        <v/>
      </c>
      <c r="C1112" s="40" t="n"/>
      <c r="D1112" s="41" t="n"/>
      <c r="E1112" s="42" t="n">
        <v>44743.41666666666</v>
      </c>
      <c r="F1112" s="43" t="inlineStr">
        <is>
          <t>Popcorn Culture</t>
        </is>
      </c>
      <c r="G1112" t="inlineStr">
        <is>
          <t>The Unscratched Itch Phenomenon | Popcorn Culture</t>
        </is>
      </c>
      <c r="H1112" s="44" t="n">
        <v>0.04827546296296296</v>
      </c>
      <c r="I1112" s="45" t="n">
        <v>6616</v>
      </c>
      <c r="J1112" s="45" t="n">
        <v>333</v>
      </c>
      <c r="K1112" s="45" t="n">
        <v>54</v>
      </c>
      <c r="L1112" s="46" t="n"/>
      <c r="M1112" s="47" t="n"/>
      <c r="N1112" s="47" t="inlineStr">
        <is>
          <t>UCHfIbq9thHPC8yrKjAdJgDA</t>
        </is>
      </c>
      <c r="O1112" s="48" t="n">
        <v>44743.58333333334</v>
      </c>
      <c r="P1112" s="49" t="n">
        <v>44743</v>
      </c>
      <c r="Q1112" s="47" t="n">
        <v>2156</v>
      </c>
      <c r="R1112" s="47" t="inlineStr">
        <is>
          <t>No Video ID yet</t>
        </is>
      </c>
      <c r="S1112" s="49" t="n"/>
      <c r="T1112" s="49" t="n"/>
      <c r="U1112" s="47" t="inlineStr">
        <is>
          <t>Ben and J discuss: unscratched itches, 3-D printing, luxurious travel, how civilization is developed (ya know, very light and breezy topic of conversation), boating, enjoying things, beef jerky, and slices of gum. Lightyear Suit - Mobius Is Loki - Office Pet 3D Printer The Future and Self Driving Cars River Cup Beef Softie Slice of Gum 00:00 - Intro, Tie Dye and Other Interests 11:58 - 3-D Printer 20:57 - Self Driving Cars 41:43 - Development of Civilization 51:12 - Ben’s Old Boat 56:19 - Enjoying Things 1:00:36 - Beef Jerky and Humor</t>
        </is>
      </c>
      <c r="V1112" s="47">
        <f>IF(AND(P1112&gt;=Calendar!$K$2,P1112&lt;EDATE(Calendar!$K$2,1),OR(Calendar!$K$4="*",N1112=Calendar!$K$4)),P1112*100+COUNTIFS($P$6:$P$3267,P1112,$Q$6:$Q$3267,"&lt;="&amp;Q1112,$N$6:$N$3267,Calendar!$K$4),"")</f>
        <v/>
      </c>
      <c r="W1112" s="47">
        <f>IF(AND(B1112=Queue!$C$4,OR(Queue!$K$4="*",N1112=Queue!$K$4)),Q1112,"")</f>
        <v/>
      </c>
    </row>
    <row r="1113">
      <c r="A1113" s="38">
        <f>IF(M1113="","",HYPERLINK("https://www.youtube.com/watch?v="&amp;M1113,"▶"))</f>
        <v/>
      </c>
      <c r="B1113" s="39">
        <f>IF(C1113&lt;&gt;"",C1113,IF(P1113&lt;=IFERROR(INDEX(tblChannels[Watched Through],MATCH(N1113,tblChannels[Channel ID],0)),0),"Watched","Unwatched"))</f>
        <v/>
      </c>
      <c r="C1113" s="40" t="n"/>
      <c r="D1113" s="41" t="n"/>
      <c r="E1113" s="42" t="n">
        <v>44742.7</v>
      </c>
      <c r="F1113" s="50" t="inlineStr">
        <is>
          <t>Super Carlin Brothers</t>
        </is>
      </c>
      <c r="G1113" t="inlineStr">
        <is>
          <t>Buzz Owned Lightning McQueen | Pixar Film Theory</t>
        </is>
      </c>
      <c r="H1113" s="44" t="n">
        <v>0.009849537037037037</v>
      </c>
      <c r="I1113" s="45" t="n">
        <v>131914</v>
      </c>
      <c r="J1113" s="45" t="n">
        <v>6635</v>
      </c>
      <c r="K1113" s="45" t="n">
        <v>454</v>
      </c>
      <c r="L1113" s="46" t="n"/>
      <c r="M1113" s="47" t="n"/>
      <c r="N1113" s="47" t="inlineStr">
        <is>
          <t>UCKZo4N0lVPccBkSiuyVh4yg</t>
        </is>
      </c>
      <c r="O1113" s="48" t="n">
        <v>44742.86666666667</v>
      </c>
      <c r="P1113" s="49" t="n">
        <v>44742</v>
      </c>
      <c r="Q1113" s="47" t="n">
        <v>2155</v>
      </c>
      <c r="R1113" s="47" t="inlineStr">
        <is>
          <t>No Video ID yet</t>
        </is>
      </c>
      <c r="S1113" s="49" t="n"/>
      <c r="T1113" s="49" t="n"/>
      <c r="U1113" s="47" t="inlineStr">
        <is>
          <t>Today Ben dives into the ever expanding PIXAR THEORY to try and determine who was the REAL life Lightning McQueen before he woke up as a car years and years later. #SuperCarlinBrothers #Pixar #Lightyear</t>
        </is>
      </c>
      <c r="V1113" s="47">
        <f>IF(AND(P1113&gt;=Calendar!$K$2,P1113&lt;EDATE(Calendar!$K$2,1),OR(Calendar!$K$4="*",N1113=Calendar!$K$4)),P1113*100+COUNTIFS($P$6:$P$3267,P1113,$Q$6:$Q$3267,"&lt;="&amp;Q1113,$N$6:$N$3267,Calendar!$K$4),"")</f>
        <v/>
      </c>
      <c r="W1113" s="47">
        <f>IF(AND(B1113=Queue!$C$4,OR(Queue!$K$4="*",N1113=Queue!$K$4)),Q1113,"")</f>
        <v/>
      </c>
    </row>
    <row r="1114">
      <c r="A1114" s="38">
        <f>IF(M1114="","",HYPERLINK("https://www.youtube.com/watch?v="&amp;M1114,"▶"))</f>
        <v/>
      </c>
      <c r="B1114" s="39">
        <f>IF(C1114&lt;&gt;"",C1114,IF(P1114&lt;=IFERROR(INDEX(tblChannels[Watched Through],MATCH(N1114,tblChannels[Channel ID],0)),0),"Watched","Unwatched"))</f>
        <v/>
      </c>
      <c r="C1114" s="40" t="n"/>
      <c r="D1114" s="41" t="n"/>
      <c r="E1114" s="42" t="n">
        <v>44740.64652777778</v>
      </c>
      <c r="F1114" s="50" t="inlineStr">
        <is>
          <t>Super Carlin Brothers</t>
        </is>
      </c>
      <c r="G1114" t="inlineStr">
        <is>
          <t>What If Sirius HAD Been the Secret Keeper? | Harry Potter Film Theory</t>
        </is>
      </c>
      <c r="H1114" s="44" t="n">
        <v>0.01133101851851852</v>
      </c>
      <c r="I1114" s="45" t="n">
        <v>435360</v>
      </c>
      <c r="J1114" s="45" t="n">
        <v>16694</v>
      </c>
      <c r="K1114" s="45" t="n">
        <v>2165</v>
      </c>
      <c r="L1114" s="46" t="n"/>
      <c r="M1114" s="47" t="n"/>
      <c r="N1114" s="47" t="inlineStr">
        <is>
          <t>UCKZo4N0lVPccBkSiuyVh4yg</t>
        </is>
      </c>
      <c r="O1114" s="48" t="n">
        <v>44740.81319444445</v>
      </c>
      <c r="P1114" s="49" t="n">
        <v>44740</v>
      </c>
      <c r="Q1114" s="47" t="n">
        <v>2154</v>
      </c>
      <c r="R1114" s="47" t="inlineStr">
        <is>
          <t>No Video ID yet</t>
        </is>
      </c>
      <c r="S1114" s="49" t="n"/>
      <c r="T1114" s="49" t="n"/>
      <c r="U1114" s="47" t="inlineStr">
        <is>
          <t>Go to to get 15% off your first order or 25% off your first membership item. SCB at RTX :: Today J dives into the Wizarding World of Harry Potter to answer the question: What If Sirius HAD Been the Secret Keeper? Would the Potters have survived? Would Voldemort have fallen? Would Harry even be the chosen one?! #SuperCarlinBrothers #HarryPotter #WhatIf</t>
        </is>
      </c>
      <c r="V1114" s="47">
        <f>IF(AND(P1114&gt;=Calendar!$K$2,P1114&lt;EDATE(Calendar!$K$2,1),OR(Calendar!$K$4="*",N1114=Calendar!$K$4)),P1114*100+COUNTIFS($P$6:$P$3267,P1114,$Q$6:$Q$3267,"&lt;="&amp;Q1114,$N$6:$N$3267,Calendar!$K$4),"")</f>
        <v/>
      </c>
      <c r="W1114" s="47">
        <f>IF(AND(B1114=Queue!$C$4,OR(Queue!$K$4="*",N1114=Queue!$K$4)),Q1114,"")</f>
        <v/>
      </c>
    </row>
    <row r="1115">
      <c r="A1115" s="38">
        <f>IF(M1115="","",HYPERLINK("https://www.youtube.com/watch?v="&amp;M1115,"▶"))</f>
        <v/>
      </c>
      <c r="B1115" s="39">
        <f>IF(C1115&lt;&gt;"",C1115,IF(P1115&lt;=IFERROR(INDEX(tblChannels[Watched Through],MATCH(N1115,tblChannels[Channel ID],0)),0),"Watched","Unwatched"))</f>
        <v/>
      </c>
      <c r="C1115" s="40" t="n"/>
      <c r="D1115" s="41" t="n"/>
      <c r="E1115" s="42" t="n">
        <v>44739.625</v>
      </c>
      <c r="F1115" s="53" t="inlineStr">
        <is>
          <t>Jonathan Carlin</t>
        </is>
      </c>
      <c r="G1115" t="inlineStr">
        <is>
          <t>Happy Father's Day!</t>
        </is>
      </c>
      <c r="H1115" s="44" t="n">
        <v>0.008761574074074074</v>
      </c>
      <c r="I1115" s="45" t="n">
        <v>11407</v>
      </c>
      <c r="J1115" s="45" t="n">
        <v>782</v>
      </c>
      <c r="K1115" s="45" t="n">
        <v>37</v>
      </c>
      <c r="L1115" s="46" t="n"/>
      <c r="M1115" s="47" t="n"/>
      <c r="N1115" s="47" t="inlineStr">
        <is>
          <t>UCYPKFe86e6nm4TVUYKLsFUQ</t>
        </is>
      </c>
      <c r="O1115" s="48" t="n">
        <v>44739.79166666666</v>
      </c>
      <c r="P1115" s="49" t="n">
        <v>44739</v>
      </c>
      <c r="Q1115" s="47" t="n">
        <v>2153</v>
      </c>
      <c r="R1115" s="47" t="inlineStr">
        <is>
          <t>No Video ID yet</t>
        </is>
      </c>
      <c r="S1115" s="49" t="n"/>
      <c r="T1115" s="49" t="n"/>
      <c r="U1115" s="47" t="inlineStr">
        <is>
          <t>This week Ben and Kat build a couch, J and Beth experience the joys of logistics, and SCB gets on the NEWS! Also we celebrate Father's Day!</t>
        </is>
      </c>
      <c r="V1115" s="47">
        <f>IF(AND(P1115&gt;=Calendar!$K$2,P1115&lt;EDATE(Calendar!$K$2,1),OR(Calendar!$K$4="*",N1115=Calendar!$K$4)),P1115*100+COUNTIFS($P$6:$P$3267,P1115,$Q$6:$Q$3267,"&lt;="&amp;Q1115,$N$6:$N$3267,Calendar!$K$4),"")</f>
        <v/>
      </c>
      <c r="W1115" s="47">
        <f>IF(AND(B1115=Queue!$C$4,OR(Queue!$K$4="*",N1115=Queue!$K$4)),Q1115,"")</f>
        <v/>
      </c>
    </row>
    <row r="1116">
      <c r="A1116" s="38">
        <f>IF(M1116="","",HYPERLINK("https://www.youtube.com/watch?v="&amp;M1116,"▶"))</f>
        <v/>
      </c>
      <c r="B1116" s="39">
        <f>IF(C1116&lt;&gt;"",C1116,IF(P1116&lt;=IFERROR(INDEX(tblChannels[Watched Through],MATCH(N1116,tblChannels[Channel ID],0)),0),"Watched","Unwatched"))</f>
        <v/>
      </c>
      <c r="C1116" s="40" t="n"/>
      <c r="D1116" s="41" t="n"/>
      <c r="E1116" s="42" t="n">
        <v>44736.87361111111</v>
      </c>
      <c r="F1116" s="50" t="inlineStr">
        <is>
          <t>Super Carlin Brothers</t>
        </is>
      </c>
      <c r="G1116" t="inlineStr">
        <is>
          <t>SCB 10-YEAR CELEBRATION ALL FANDOM TRIVIA LIVESTREAM!</t>
        </is>
      </c>
      <c r="H1116" s="44" t="n">
        <v>0.1151041666666667</v>
      </c>
      <c r="I1116" s="45" t="n">
        <v>132842</v>
      </c>
      <c r="J1116" s="45" t="n">
        <v>1783</v>
      </c>
      <c r="K1116" s="45" t="n">
        <v>93</v>
      </c>
      <c r="L1116" s="46" t="n"/>
      <c r="M1116" s="47" t="n"/>
      <c r="N1116" s="47" t="inlineStr">
        <is>
          <t>UCKZo4N0lVPccBkSiuyVh4yg</t>
        </is>
      </c>
      <c r="O1116" s="48" t="n">
        <v>44737.04027777778</v>
      </c>
      <c r="P1116" s="49" t="n">
        <v>44736</v>
      </c>
      <c r="Q1116" s="47" t="n">
        <v>2152</v>
      </c>
      <c r="R1116" s="47" t="inlineStr">
        <is>
          <t>No Video ID yet</t>
        </is>
      </c>
      <c r="S1116" s="49" t="n"/>
      <c r="T1116" s="49" t="n"/>
      <c r="U1116" s="47" t="inlineStr">
        <is>
          <t>In Celebration of the 10-YEAR ANNIVERSARY of Super Carlin Brother we are hosting a Trivia Live Stream! Thank you all SOOOOO much for tuning in for the past 10 years it has truly been life changing in more ways than we could ever count. It means so much to us that you have invited us into your homes each week for all of these years and we look forward to another 10 years of SCB! DO YOU HAVE WHAT IT TAKES TO BECOME THE CHAMPION OF ALL SIX FANDOMS?! - Test your knowledge of Disney, Pixar, Marvel, Star Wars, Harry Potter and Avatar: The Last Airbender! Winners and Top Five email: secretcarlinbrothers@gmail.com with a screenshot of your winning score! You MUST Email by 6/31/22 to receive your prize! HOW TO PLAY Kahoot with the Carlins! 1. Download the Kahoot app to your mobile device, or go to Kahoot.it to join the game! If the app is already installed on your device we recommend making sure it is up to date before the game starts! 2. Make sure you’re running the SCB Livestream on a different device or a different window than Kahoot! (We recommend having Kahoot on your phone and the stream on a computer or TV, but two tabs/windows on the same computer works as well!) 3. Shortly before w</t>
        </is>
      </c>
      <c r="V1116" s="47">
        <f>IF(AND(P1116&gt;=Calendar!$K$2,P1116&lt;EDATE(Calendar!$K$2,1),OR(Calendar!$K$4="*",N1116=Calendar!$K$4)),P1116*100+COUNTIFS($P$6:$P$3267,P1116,$Q$6:$Q$3267,"&lt;="&amp;Q1116,$N$6:$N$3267,Calendar!$K$4),"")</f>
        <v/>
      </c>
      <c r="W1116" s="47">
        <f>IF(AND(B1116=Queue!$C$4,OR(Queue!$K$4="*",N1116=Queue!$K$4)),Q1116,"")</f>
        <v/>
      </c>
    </row>
    <row r="1117">
      <c r="A1117" s="38">
        <f>IF(M1117="","",HYPERLINK("https://www.youtube.com/watch?v="&amp;M1117,"▶"))</f>
        <v/>
      </c>
      <c r="B1117" s="39">
        <f>IF(C1117&lt;&gt;"",C1117,IF(P1117&lt;=IFERROR(INDEX(tblChannels[Watched Through],MATCH(N1117,tblChannels[Channel ID],0)),0),"Watched","Unwatched"))</f>
        <v/>
      </c>
      <c r="C1117" s="40" t="n"/>
      <c r="D1117" s="41" t="n"/>
      <c r="E1117" s="42" t="n">
        <v>44736.41666666666</v>
      </c>
      <c r="F1117" s="43" t="inlineStr">
        <is>
          <t>Popcorn Culture</t>
        </is>
      </c>
      <c r="G1117" t="inlineStr">
        <is>
          <t>Get New’d! | Popcorn Culture</t>
        </is>
      </c>
      <c r="H1117" s="44" t="n">
        <v>0.04576388888888889</v>
      </c>
      <c r="I1117" s="45" t="n">
        <v>6330</v>
      </c>
      <c r="J1117" s="45" t="n">
        <v>358</v>
      </c>
      <c r="K1117" s="45" t="n">
        <v>31</v>
      </c>
      <c r="L1117" s="46" t="n"/>
      <c r="M1117" s="47" t="n"/>
      <c r="N1117" s="47" t="inlineStr">
        <is>
          <t>UCHfIbq9thHPC8yrKjAdJgDA</t>
        </is>
      </c>
      <c r="O1117" s="48" t="n">
        <v>44736.58333333334</v>
      </c>
      <c r="P1117" s="49" t="n">
        <v>44736</v>
      </c>
      <c r="Q1117" s="47" t="n">
        <v>2151</v>
      </c>
      <c r="R1117" s="47" t="inlineStr">
        <is>
          <t>No Video ID yet</t>
        </is>
      </c>
      <c r="S1117" s="49" t="n"/>
      <c r="T1117" s="49" t="n"/>
      <c r="U1117" s="47" t="inlineStr">
        <is>
          <t>In the 133rd episode of the Pop, Ben and J discuss breakups, 10th Anniversary of SCB, soda, streaming services, Ben and Alyce’s new business, thrifting, Diablo 2, changing your mind, and plant updates. Gossip Girl - HBOMax - New’d Website - New’d Instagram - Plant Identifier App - I’m Not Upset, I’m Just Upset Adding Friction I’m Bad at Blenders I Ruined the Thing! We Invented Snapchat… Again The Deer in the Night Squash them Squash Bugs Popcorn…. Horticulture?! 00:00 - Intro, “It’s Not You, It’s Me” 08:27 - 10 Years of SCB 16:33 - Streaming Services 22:03 - New’d and Thrifting 39:37 - Numbers and More 10 Year Talk 51:34 - Botanical Updates</t>
        </is>
      </c>
      <c r="V1117" s="47">
        <f>IF(AND(P1117&gt;=Calendar!$K$2,P1117&lt;EDATE(Calendar!$K$2,1),OR(Calendar!$K$4="*",N1117=Calendar!$K$4)),P1117*100+COUNTIFS($P$6:$P$3267,P1117,$Q$6:$Q$3267,"&lt;="&amp;Q1117,$N$6:$N$3267,Calendar!$K$4),"")</f>
        <v/>
      </c>
      <c r="W1117" s="47">
        <f>IF(AND(B1117=Queue!$C$4,OR(Queue!$K$4="*",N1117=Queue!$K$4)),Q1117,"")</f>
        <v/>
      </c>
    </row>
    <row r="1118">
      <c r="A1118" s="38">
        <f>IF(M1118="","",HYPERLINK("https://www.youtube.com/watch?v="&amp;M1118,"▶"))</f>
        <v/>
      </c>
      <c r="B1118" s="39">
        <f>IF(C1118&lt;&gt;"",C1118,IF(P1118&lt;=IFERROR(INDEX(tblChannels[Watched Through],MATCH(N1118,tblChannels[Channel ID],0)),0),"Watched","Unwatched"))</f>
        <v/>
      </c>
      <c r="C1118" s="40" t="n"/>
      <c r="D1118" s="41" t="n"/>
      <c r="E1118" s="42" t="n">
        <v>44735.64513888889</v>
      </c>
      <c r="F1118" s="50" t="inlineStr">
        <is>
          <t>Super Carlin Brothers</t>
        </is>
      </c>
      <c r="G1118" t="inlineStr">
        <is>
          <t>How LIGHTYEAR Fits Into The Pixar Theory</t>
        </is>
      </c>
      <c r="H1118" s="44" t="n">
        <v>0.01119212962962963</v>
      </c>
      <c r="I1118" s="45" t="n">
        <v>207532</v>
      </c>
      <c r="J1118" s="45" t="n">
        <v>9377</v>
      </c>
      <c r="K1118" s="45" t="n">
        <v>810</v>
      </c>
      <c r="L1118" s="46" t="n"/>
      <c r="M1118" s="47" t="n"/>
      <c r="N1118" s="47" t="inlineStr">
        <is>
          <t>UCKZo4N0lVPccBkSiuyVh4yg</t>
        </is>
      </c>
      <c r="O1118" s="48" t="n">
        <v>44735.81180555555</v>
      </c>
      <c r="P1118" s="49" t="n">
        <v>44735</v>
      </c>
      <c r="Q1118" s="47" t="n">
        <v>2150</v>
      </c>
      <c r="R1118" s="47" t="inlineStr">
        <is>
          <t>No Video ID yet</t>
        </is>
      </c>
      <c r="S1118" s="49" t="n"/>
      <c r="T1118" s="49" t="n"/>
      <c r="U1118" s="47" t="inlineStr">
        <is>
          <t>Go to to get 20% off your first monthly box. Today Ben dives into the ever expanding world of The Pixar Theory to discuss how Lightyear changes EVERYTHING and possibly makes other Pixar movies JUST movies inside the Pixarverse Box Breakers :: #SuperCarlinBrothers #Lightyear #Pixar</t>
        </is>
      </c>
      <c r="V1118" s="47">
        <f>IF(AND(P1118&gt;=Calendar!$K$2,P1118&lt;EDATE(Calendar!$K$2,1),OR(Calendar!$K$4="*",N1118=Calendar!$K$4)),P1118*100+COUNTIFS($P$6:$P$3267,P1118,$Q$6:$Q$3267,"&lt;="&amp;Q1118,$N$6:$N$3267,Calendar!$K$4),"")</f>
        <v/>
      </c>
      <c r="W1118" s="47">
        <f>IF(AND(B1118=Queue!$C$4,OR(Queue!$K$4="*",N1118=Queue!$K$4)),Q1118,"")</f>
        <v/>
      </c>
    </row>
    <row r="1119">
      <c r="A1119" s="38">
        <f>IF(M1119="","",HYPERLINK("https://www.youtube.com/watch?v="&amp;M1119,"▶"))</f>
        <v/>
      </c>
      <c r="B1119" s="39">
        <f>IF(C1119&lt;&gt;"",C1119,IF(P1119&lt;=IFERROR(INDEX(tblChannels[Watched Through],MATCH(N1119,tblChannels[Channel ID],0)),0),"Watched","Unwatched"))</f>
        <v/>
      </c>
      <c r="C1119" s="40" t="n"/>
      <c r="D1119" s="41" t="n"/>
      <c r="E1119" s="42" t="n">
        <v>44733.73333333333</v>
      </c>
      <c r="F1119" s="52" t="inlineStr">
        <is>
          <t>Super Carlin Gaming</t>
        </is>
      </c>
      <c r="G1119" t="inlineStr">
        <is>
          <t>Carlin Brother's Box Breakers | PILOT</t>
        </is>
      </c>
      <c r="H1119" s="44" t="n">
        <v>0.02059027777777778</v>
      </c>
      <c r="I1119" s="45" t="n">
        <v>12354</v>
      </c>
      <c r="J1119" s="45" t="n">
        <v>563</v>
      </c>
      <c r="K1119" s="45" t="n">
        <v>103</v>
      </c>
      <c r="L1119" s="46" t="n"/>
      <c r="M1119" s="47" t="n"/>
      <c r="N1119" s="47" t="inlineStr">
        <is>
          <t>UCor_9jRnNNZVzTuQ92PKsaQ</t>
        </is>
      </c>
      <c r="O1119" s="48" t="n">
        <v>44733.9</v>
      </c>
      <c r="P1119" s="49" t="n">
        <v>44733</v>
      </c>
      <c r="Q1119" s="47" t="n">
        <v>2149</v>
      </c>
      <c r="R1119" s="47" t="inlineStr">
        <is>
          <t>No Video ID yet</t>
        </is>
      </c>
      <c r="S1119" s="49" t="n"/>
      <c r="T1119" s="49" t="n"/>
      <c r="U1119" s="47" t="inlineStr">
        <is>
          <t>This week we are launching the PILOT episode of a new series: Carlin Brothers Box Breakers. In each episode we'll open a booster box of Pokemon Cards each of which will be assigned to one of our Box Breaker Patrons - The more valuable your cards are the more points you get!</t>
        </is>
      </c>
      <c r="V1119" s="47">
        <f>IF(AND(P1119&gt;=Calendar!$K$2,P1119&lt;EDATE(Calendar!$K$2,1),OR(Calendar!$K$4="*",N1119=Calendar!$K$4)),P1119*100+COUNTIFS($P$6:$P$3267,P1119,$Q$6:$Q$3267,"&lt;="&amp;Q1119,$N$6:$N$3267,Calendar!$K$4),"")</f>
        <v/>
      </c>
      <c r="W1119" s="47">
        <f>IF(AND(B1119=Queue!$C$4,OR(Queue!$K$4="*",N1119=Queue!$K$4)),Q1119,"")</f>
        <v/>
      </c>
    </row>
    <row r="1120">
      <c r="A1120" s="38">
        <f>IF(M1120="","",HYPERLINK("https://www.youtube.com/watch?v="&amp;M1120,"▶"))</f>
        <v/>
      </c>
      <c r="B1120" s="39">
        <f>IF(C1120&lt;&gt;"",C1120,IF(P1120&lt;=IFERROR(INDEX(tblChannels[Watched Through],MATCH(N1120,tblChannels[Channel ID],0)),0),"Watched","Unwatched"))</f>
        <v/>
      </c>
      <c r="C1120" s="40" t="n"/>
      <c r="D1120" s="41" t="n"/>
      <c r="E1120" s="42" t="n">
        <v>44733.7125</v>
      </c>
      <c r="F1120" s="50" t="inlineStr">
        <is>
          <t>Super Carlin Brothers</t>
        </is>
      </c>
      <c r="G1120" t="inlineStr">
        <is>
          <t>Lightyear REVIEW</t>
        </is>
      </c>
      <c r="H1120" s="44" t="n">
        <v>0.03388888888888889</v>
      </c>
      <c r="I1120" s="45" t="n">
        <v>92693</v>
      </c>
      <c r="J1120" s="45" t="n">
        <v>3928</v>
      </c>
      <c r="K1120" s="45" t="n">
        <v>775</v>
      </c>
      <c r="L1120" s="46" t="n"/>
      <c r="M1120" s="47" t="n"/>
      <c r="N1120" s="47" t="inlineStr">
        <is>
          <t>UCKZo4N0lVPccBkSiuyVh4yg</t>
        </is>
      </c>
      <c r="O1120" s="48" t="n">
        <v>44733.87916666667</v>
      </c>
      <c r="P1120" s="49" t="n">
        <v>44733</v>
      </c>
      <c r="Q1120" s="47" t="n">
        <v>2148</v>
      </c>
      <c r="R1120" s="47" t="inlineStr">
        <is>
          <t>No Video ID yet</t>
        </is>
      </c>
      <c r="S1120" s="49" t="n"/>
      <c r="T1120" s="49" t="n"/>
      <c r="U1120" s="47" t="inlineStr">
        <is>
          <t>Go to to get 15% off your first order or 25% off your first Membership item. Go to to get Honey for FREE! Today J and Ben dive into the world of Pixar’s Lightyear to give their full SPOILER Review and break downt the Good, the Bad, and THE CAT! Set your calendars and join us THIS FRIDAY on June 24 @ 6pm Eastern to celebrate the 10 year anniversary of Super Carlin Brothers with a TRIVIA Livestream! #SuperCarlinBrothers #Lightyear #Pixar</t>
        </is>
      </c>
      <c r="V1120" s="47">
        <f>IF(AND(P1120&gt;=Calendar!$K$2,P1120&lt;EDATE(Calendar!$K$2,1),OR(Calendar!$K$4="*",N1120=Calendar!$K$4)),P1120*100+COUNTIFS($P$6:$P$3267,P1120,$Q$6:$Q$3267,"&lt;="&amp;Q1120,$N$6:$N$3267,Calendar!$K$4),"")</f>
        <v/>
      </c>
      <c r="W1120" s="47">
        <f>IF(AND(B1120=Queue!$C$4,OR(Queue!$K$4="*",N1120=Queue!$K$4)),Q1120,"")</f>
        <v/>
      </c>
    </row>
    <row r="1121">
      <c r="A1121" s="38">
        <f>IF(M1121="","",HYPERLINK("https://www.youtube.com/watch?v="&amp;M1121,"▶"))</f>
        <v/>
      </c>
      <c r="B1121" s="39">
        <f>IF(C1121&lt;&gt;"",C1121,IF(P1121&lt;=IFERROR(INDEX(tblChannels[Watched Through],MATCH(N1121,tblChannels[Channel ID],0)),0),"Watched","Unwatched"))</f>
        <v/>
      </c>
      <c r="C1121" s="40" t="n"/>
      <c r="D1121" s="41" t="n"/>
      <c r="E1121" s="42" t="n">
        <v>44729.41666666666</v>
      </c>
      <c r="F1121" s="43" t="inlineStr">
        <is>
          <t>Popcorn Culture</t>
        </is>
      </c>
      <c r="G1121" t="inlineStr">
        <is>
          <t>I'm Model Trains For You | Popcorn Culture</t>
        </is>
      </c>
      <c r="H1121" s="44" t="n">
        <v>0.04755787037037037</v>
      </c>
      <c r="I1121" s="45" t="n">
        <v>6589</v>
      </c>
      <c r="J1121" s="45" t="n">
        <v>360</v>
      </c>
      <c r="K1121" s="45" t="n">
        <v>48</v>
      </c>
      <c r="L1121" s="46" t="n"/>
      <c r="M1121" s="47" t="n"/>
      <c r="N1121" s="47" t="inlineStr">
        <is>
          <t>UCHfIbq9thHPC8yrKjAdJgDA</t>
        </is>
      </c>
      <c r="O1121" s="48" t="n">
        <v>44729.58333333334</v>
      </c>
      <c r="P1121" s="49" t="n">
        <v>44729</v>
      </c>
      <c r="Q1121" s="47" t="n">
        <v>2147</v>
      </c>
      <c r="R1121" s="47" t="inlineStr">
        <is>
          <t>No Video ID yet</t>
        </is>
      </c>
      <c r="S1121" s="49" t="n"/>
      <c r="T1121" s="49" t="n"/>
      <c r="U1121" s="47" t="inlineStr">
        <is>
          <t>In the 132nd episode of the Pop J and Ben discuss model trains-ing Lincoln’s Farewell Tour, the alphabet, fun noises, GMA shenanigans, jumping over things, camp, Ben maybe traveling on his own, and funny web videos. Lincoln Logs History - The ABCs of Kindness - The Bridgerton Experience - Enders Game - Maze Runner - Pokemon Go - E Bombs World Viral Video - Marcel the Shell with Shoes on - Opening Monologue from BattleBlock Theater - Lost Animations - The Lincoln Farewell Tour Washington Logs It Was My Hands, I Swear! Tunnels Under the Quad Disney By Myself 00:00 - Intro, Comparison 06:22 - Fun Fact About Abe Lincoln 12:38 - ABCs of Kindness 19:32 - Fun Noises 28:18 - VT Shenanigans 33:48 - Camp 47:11 - Solo Travel 1:01:38 - Numbers and Funny Web Videos</t>
        </is>
      </c>
      <c r="V1121" s="47">
        <f>IF(AND(P1121&gt;=Calendar!$K$2,P1121&lt;EDATE(Calendar!$K$2,1),OR(Calendar!$K$4="*",N1121=Calendar!$K$4)),P1121*100+COUNTIFS($P$6:$P$3267,P1121,$Q$6:$Q$3267,"&lt;="&amp;Q1121,$N$6:$N$3267,Calendar!$K$4),"")</f>
        <v/>
      </c>
      <c r="W1121" s="47">
        <f>IF(AND(B1121=Queue!$C$4,OR(Queue!$K$4="*",N1121=Queue!$K$4)),Q1121,"")</f>
        <v/>
      </c>
    </row>
    <row r="1122">
      <c r="A1122" s="38">
        <f>IF(M1122="","",HYPERLINK("https://www.youtube.com/watch?v="&amp;M1122,"▶"))</f>
        <v/>
      </c>
      <c r="B1122" s="39">
        <f>IF(C1122&lt;&gt;"",C1122,IF(P1122&lt;=IFERROR(INDEX(tblChannels[Watched Through],MATCH(N1122,tblChannels[Channel ID],0)),0),"Watched","Unwatched"))</f>
        <v/>
      </c>
      <c r="C1122" s="40" t="n"/>
      <c r="D1122" s="41" t="n"/>
      <c r="E1122" s="42" t="n">
        <v>44728.64583333334</v>
      </c>
      <c r="F1122" s="50" t="inlineStr">
        <is>
          <t>Super Carlin Brothers</t>
        </is>
      </c>
      <c r="G1122" t="inlineStr">
        <is>
          <t>Top 5 Plot Holes in Secrets of Dumbledore | Harry Potter Film Theory</t>
        </is>
      </c>
      <c r="H1122" s="44" t="n">
        <v>0.01295138888888889</v>
      </c>
      <c r="I1122" s="45" t="n">
        <v>274890</v>
      </c>
      <c r="J1122" s="45" t="n">
        <v>10438</v>
      </c>
      <c r="K1122" s="45" t="n">
        <v>1147</v>
      </c>
      <c r="L1122" s="46" t="n"/>
      <c r="M1122" s="47" t="n"/>
      <c r="N1122" s="47" t="inlineStr">
        <is>
          <t>UCKZo4N0lVPccBkSiuyVh4yg</t>
        </is>
      </c>
      <c r="O1122" s="48" t="n">
        <v>44728.8125</v>
      </c>
      <c r="P1122" s="49" t="n">
        <v>44728</v>
      </c>
      <c r="Q1122" s="47" t="n">
        <v>2146</v>
      </c>
      <c r="R1122" s="47" t="inlineStr">
        <is>
          <t>No Video ID yet</t>
        </is>
      </c>
      <c r="S1122" s="49" t="n"/>
      <c r="T1122" s="49" t="n"/>
      <c r="U1122" s="47" t="inlineStr">
        <is>
          <t>Go to for 10% off plus free shipping. Today Ben dives into the Wizarding World of Harry Potter to discuss the Top 5 plot holes in Fantastic Beasts: The Secrets of Dumbledore! #SuperCarlinBrothers #HarryPotter #SecretsOfDumbledore</t>
        </is>
      </c>
      <c r="V1122" s="47">
        <f>IF(AND(P1122&gt;=Calendar!$K$2,P1122&lt;EDATE(Calendar!$K$2,1),OR(Calendar!$K$4="*",N1122=Calendar!$K$4)),P1122*100+COUNTIFS($P$6:$P$3267,P1122,$Q$6:$Q$3267,"&lt;="&amp;Q1122,$N$6:$N$3267,Calendar!$K$4),"")</f>
        <v/>
      </c>
      <c r="W1122" s="47">
        <f>IF(AND(B1122=Queue!$C$4,OR(Queue!$K$4="*",N1122=Queue!$K$4)),Q1122,"")</f>
        <v/>
      </c>
    </row>
    <row r="1123">
      <c r="A1123" s="38">
        <f>IF(M1123="","",HYPERLINK("https://www.youtube.com/watch?v="&amp;M1123,"▶"))</f>
        <v/>
      </c>
      <c r="B1123" s="39">
        <f>IF(C1123&lt;&gt;"",C1123,IF(P1123&lt;=IFERROR(INDEX(tblChannels[Watched Through],MATCH(N1123,tblChannels[Channel ID],0)),0),"Watched","Unwatched"))</f>
        <v/>
      </c>
      <c r="C1123" s="40" t="n"/>
      <c r="D1123" s="41" t="n"/>
      <c r="E1123" s="42" t="n">
        <v>44726.625</v>
      </c>
      <c r="F1123" s="50" t="inlineStr">
        <is>
          <t>Super Carlin Brothers</t>
        </is>
      </c>
      <c r="G1123" t="inlineStr">
        <is>
          <t>How Soul Explains What Happened to Riley | Pixar Film Theory</t>
        </is>
      </c>
      <c r="H1123" s="44" t="n">
        <v>0.009282407407407408</v>
      </c>
      <c r="I1123" s="45" t="n">
        <v>279734</v>
      </c>
      <c r="J1123" s="45" t="n">
        <v>11027</v>
      </c>
      <c r="K1123" s="45" t="n">
        <v>468</v>
      </c>
      <c r="L1123" s="46" t="n"/>
      <c r="M1123" s="47" t="n"/>
      <c r="N1123" s="47" t="inlineStr">
        <is>
          <t>UCKZo4N0lVPccBkSiuyVh4yg</t>
        </is>
      </c>
      <c r="O1123" s="48" t="n">
        <v>44726.79166666666</v>
      </c>
      <c r="P1123" s="49" t="n">
        <v>44726</v>
      </c>
      <c r="Q1123" s="47" t="n">
        <v>2145</v>
      </c>
      <c r="R1123" s="47" t="inlineStr">
        <is>
          <t>No Video ID yet</t>
        </is>
      </c>
      <c r="S1123" s="49" t="n"/>
      <c r="T1123" s="49" t="n"/>
      <c r="U1123" s="47" t="inlineStr">
        <is>
          <t>Today J dives into the world of the Pixar theory to reveal how Riley in Inside Out LOST HER SOUL! Edited by : Riley Murtagh</t>
        </is>
      </c>
      <c r="V1123" s="47">
        <f>IF(AND(P1123&gt;=Calendar!$K$2,P1123&lt;EDATE(Calendar!$K$2,1),OR(Calendar!$K$4="*",N1123=Calendar!$K$4)),P1123*100+COUNTIFS($P$6:$P$3267,P1123,$Q$6:$Q$3267,"&lt;="&amp;Q1123,$N$6:$N$3267,Calendar!$K$4),"")</f>
        <v/>
      </c>
      <c r="W1123" s="47">
        <f>IF(AND(B1123=Queue!$C$4,OR(Queue!$K$4="*",N1123=Queue!$K$4)),Q1123,"")</f>
        <v/>
      </c>
    </row>
    <row r="1124">
      <c r="A1124" s="38">
        <f>IF(M1124="","",HYPERLINK("https://www.youtube.com/watch?v="&amp;M1124,"▶"))</f>
        <v/>
      </c>
      <c r="B1124" s="39">
        <f>IF(C1124&lt;&gt;"",C1124,IF(P1124&lt;=IFERROR(INDEX(tblChannels[Watched Through],MATCH(N1124,tblChannels[Channel ID],0)),0),"Watched","Unwatched"))</f>
        <v/>
      </c>
      <c r="C1124" s="40" t="n"/>
      <c r="D1124" s="41" t="n"/>
      <c r="E1124" s="42" t="n">
        <v>44725.625</v>
      </c>
      <c r="F1124" s="53" t="inlineStr">
        <is>
          <t>Jonathan Carlin</t>
        </is>
      </c>
      <c r="G1124" t="inlineStr">
        <is>
          <t>Hilton Head Family Vacation!</t>
        </is>
      </c>
      <c r="H1124" s="44" t="n">
        <v>0.01475694444444444</v>
      </c>
      <c r="I1124" s="45" t="n">
        <v>14442</v>
      </c>
      <c r="J1124" s="45" t="n">
        <v>807</v>
      </c>
      <c r="K1124" s="45" t="n">
        <v>0</v>
      </c>
      <c r="L1124" s="46" t="n"/>
      <c r="M1124" s="47" t="n"/>
      <c r="N1124" s="47" t="inlineStr">
        <is>
          <t>UCYPKFe86e6nm4TVUYKLsFUQ</t>
        </is>
      </c>
      <c r="O1124" s="48" t="n">
        <v>44725.79166666666</v>
      </c>
      <c r="P1124" s="49" t="n">
        <v>44725</v>
      </c>
      <c r="Q1124" s="47" t="n">
        <v>2144</v>
      </c>
      <c r="R1124" s="47" t="inlineStr">
        <is>
          <t>No Video ID yet</t>
        </is>
      </c>
      <c r="S1124" s="49" t="n"/>
      <c r="T1124" s="49" t="n"/>
      <c r="U1124" s="47" t="inlineStr">
        <is>
          <t>This week J and the family head to Hilton Head for some much needed vacation! Luke tries out Putt Putt, Nick and Nate get comfortable in the pool and less comfortable on a pony AND we spot some gators!</t>
        </is>
      </c>
      <c r="V1124" s="47">
        <f>IF(AND(P1124&gt;=Calendar!$K$2,P1124&lt;EDATE(Calendar!$K$2,1),OR(Calendar!$K$4="*",N1124=Calendar!$K$4)),P1124*100+COUNTIFS($P$6:$P$3267,P1124,$Q$6:$Q$3267,"&lt;="&amp;Q1124,$N$6:$N$3267,Calendar!$K$4),"")</f>
        <v/>
      </c>
      <c r="W1124" s="47">
        <f>IF(AND(B1124=Queue!$C$4,OR(Queue!$K$4="*",N1124=Queue!$K$4)),Q1124,"")</f>
        <v/>
      </c>
    </row>
    <row r="1125">
      <c r="A1125" s="38">
        <f>IF(M1125="","",HYPERLINK("https://www.youtube.com/watch?v="&amp;M1125,"▶"))</f>
        <v/>
      </c>
      <c r="B1125" s="39">
        <f>IF(C1125&lt;&gt;"",C1125,IF(P1125&lt;=IFERROR(INDEX(tblChannels[Watched Through],MATCH(N1125,tblChannels[Channel ID],0)),0),"Watched","Unwatched"))</f>
        <v/>
      </c>
      <c r="C1125" s="40" t="n"/>
      <c r="D1125" s="41" t="n"/>
      <c r="E1125" s="42" t="n">
        <v>44722.41666666666</v>
      </c>
      <c r="F1125" s="43" t="inlineStr">
        <is>
          <t>Popcorn Culture</t>
        </is>
      </c>
      <c r="G1125" t="inlineStr">
        <is>
          <t>Codeword: APPLES | Popcorn Culture</t>
        </is>
      </c>
      <c r="H1125" s="44" t="n">
        <v>0.05082175925925926</v>
      </c>
      <c r="I1125" s="45" t="n">
        <v>7213</v>
      </c>
      <c r="J1125" s="45" t="n">
        <v>344</v>
      </c>
      <c r="K1125" s="45" t="n">
        <v>41</v>
      </c>
      <c r="L1125" s="46" t="n"/>
      <c r="M1125" s="47" t="n"/>
      <c r="N1125" s="47" t="inlineStr">
        <is>
          <t>UCHfIbq9thHPC8yrKjAdJgDA</t>
        </is>
      </c>
      <c r="O1125" s="48" t="n">
        <v>44722.58333333334</v>
      </c>
      <c r="P1125" s="49" t="n">
        <v>44722</v>
      </c>
      <c r="Q1125" s="47" t="n">
        <v>2143</v>
      </c>
      <c r="R1125" s="47" t="inlineStr">
        <is>
          <t>No Video ID yet</t>
        </is>
      </c>
      <c r="S1125" s="49" t="n"/>
      <c r="T1125" s="49" t="n"/>
      <c r="U1125" s="47" t="inlineStr">
        <is>
          <t>On this, The One Hundred and Thirty First Episode of The Pop, Ben and J discuss: long car trips, only going to the beach once on their beach trip, dancing at weddings and middle school socials, basketball, ridiculously cheap inflatable things, waterbeds, bounce house stories, photo albums, and deleting apps. Alibaba - National Lampoon’s Christmas Vacation Attic Scene - Join Our Patreon at the $5 level to join the Step Competition! GPS Purgatory Jostley McJostleson Make It Take It: Recess Law Cool Points are Flying Maybe You Need a Waterbed Is It Inflatable? Gives Me the HEEBS Bounce House Stories 00:00 - Intro, Family Vacation 14:18 - Dancing at Events and Basketball 25:19 - Inflatable Things and Water Beds 44:28 - Photo Albums 54:06 - Deleting Phone Apps</t>
        </is>
      </c>
      <c r="V1125" s="47">
        <f>IF(AND(P1125&gt;=Calendar!$K$2,P1125&lt;EDATE(Calendar!$K$2,1),OR(Calendar!$K$4="*",N1125=Calendar!$K$4)),P1125*100+COUNTIFS($P$6:$P$3267,P1125,$Q$6:$Q$3267,"&lt;="&amp;Q1125,$N$6:$N$3267,Calendar!$K$4),"")</f>
        <v/>
      </c>
      <c r="W1125" s="47">
        <f>IF(AND(B1125=Queue!$C$4,OR(Queue!$K$4="*",N1125=Queue!$K$4)),Q1125,"")</f>
        <v/>
      </c>
    </row>
    <row r="1126">
      <c r="A1126" s="38">
        <f>IF(M1126="","",HYPERLINK("https://www.youtube.com/watch?v="&amp;M1126,"▶"))</f>
        <v/>
      </c>
      <c r="B1126" s="39">
        <f>IF(C1126&lt;&gt;"",C1126,IF(P1126&lt;=IFERROR(INDEX(tblChannels[Watched Through],MATCH(N1126,tblChannels[Channel ID],0)),0),"Watched","Unwatched"))</f>
        <v/>
      </c>
      <c r="C1126" s="40" t="n"/>
      <c r="D1126" s="41" t="n"/>
      <c r="E1126" s="42" t="n">
        <v>44721.65208333333</v>
      </c>
      <c r="F1126" s="50" t="inlineStr">
        <is>
          <t>Super Carlin Brothers</t>
        </is>
      </c>
      <c r="G1126" t="inlineStr">
        <is>
          <t>Loki’s ULTIMATE Trick Revealed | Marvel Film Theory</t>
        </is>
      </c>
      <c r="H1126" s="44" t="n">
        <v>0.01346064814814815</v>
      </c>
      <c r="I1126" s="45" t="n">
        <v>166413</v>
      </c>
      <c r="J1126" s="45" t="n">
        <v>9111</v>
      </c>
      <c r="K1126" s="45" t="n">
        <v>902</v>
      </c>
      <c r="L1126" s="46" t="n"/>
      <c r="M1126" s="47" t="n"/>
      <c r="N1126" s="47" t="inlineStr">
        <is>
          <t>UCKZo4N0lVPccBkSiuyVh4yg</t>
        </is>
      </c>
      <c r="O1126" s="48" t="n">
        <v>44721.81875</v>
      </c>
      <c r="P1126" s="49" t="n">
        <v>44721</v>
      </c>
      <c r="Q1126" s="47" t="n">
        <v>2142</v>
      </c>
      <c r="R1126" s="47" t="inlineStr">
        <is>
          <t>No Video ID yet</t>
        </is>
      </c>
      <c r="S1126" s="49" t="n"/>
      <c r="T1126" s="49" t="n"/>
      <c r="U1126" s="47" t="inlineStr">
        <is>
          <t>Go to to get 20% off your first monthly box. Today Ben dives into the wild world of Marvel’s Loki to reveal its ULTIMATE trick, that Mobius, is ACTUALLY a Loki Variant! #SuperCarlinBrothers #Marvel #Loki</t>
        </is>
      </c>
      <c r="V1126" s="47">
        <f>IF(AND(P1126&gt;=Calendar!$K$2,P1126&lt;EDATE(Calendar!$K$2,1),OR(Calendar!$K$4="*",N1126=Calendar!$K$4)),P1126*100+COUNTIFS($P$6:$P$3267,P1126,$Q$6:$Q$3267,"&lt;="&amp;Q1126,$N$6:$N$3267,Calendar!$K$4),"")</f>
        <v/>
      </c>
      <c r="W1126" s="47">
        <f>IF(AND(B1126=Queue!$C$4,OR(Queue!$K$4="*",N1126=Queue!$K$4)),Q1126,"")</f>
        <v/>
      </c>
    </row>
    <row r="1127">
      <c r="A1127" s="38">
        <f>IF(M1127="","",HYPERLINK("https://www.youtube.com/watch?v="&amp;M1127,"▶"))</f>
        <v/>
      </c>
      <c r="B1127" s="39">
        <f>IF(C1127&lt;&gt;"",C1127,IF(P1127&lt;=IFERROR(INDEX(tblChannels[Watched Through],MATCH(N1127,tblChannels[Channel ID],0)),0),"Watched","Unwatched"))</f>
        <v/>
      </c>
      <c r="C1127" s="40" t="n"/>
      <c r="D1127" s="41" t="n"/>
      <c r="E1127" s="42" t="n">
        <v>44719.70277777778</v>
      </c>
      <c r="F1127" s="50" t="inlineStr">
        <is>
          <t>Super Carlin Brothers</t>
        </is>
      </c>
      <c r="G1127" t="inlineStr">
        <is>
          <t>J vs Ben: HARDEST Care of Magical Creatures Harry Potter Trivia Quiz</t>
        </is>
      </c>
      <c r="H1127" s="44" t="n">
        <v>0.02086805555555556</v>
      </c>
      <c r="I1127" s="45" t="n">
        <v>184178</v>
      </c>
      <c r="J1127" s="45" t="n">
        <v>6581</v>
      </c>
      <c r="K1127" s="45" t="n">
        <v>452</v>
      </c>
      <c r="L1127" s="46" t="n"/>
      <c r="M1127" s="47" t="n"/>
      <c r="N1127" s="47" t="inlineStr">
        <is>
          <t>UCKZo4N0lVPccBkSiuyVh4yg</t>
        </is>
      </c>
      <c r="O1127" s="48" t="n">
        <v>44719.86944444444</v>
      </c>
      <c r="P1127" s="49" t="n">
        <v>44719</v>
      </c>
      <c r="Q1127" s="47" t="n">
        <v>2141</v>
      </c>
      <c r="R1127" s="47" t="inlineStr">
        <is>
          <t>No Video ID yet</t>
        </is>
      </c>
      <c r="S1127" s="49" t="n"/>
      <c r="T1127" s="49" t="n"/>
      <c r="U1127" s="47" t="inlineStr">
        <is>
          <t>Go to to get an extra 3 months free! Go to and use code jvsb16 for up to 16 free meals AND 3 free gifts! PRIDE SHIRT :: Today J and Ben face off once more to find out who paid more attention in Care of Magical Creatures.. Or at least who read those chapters more carefully as they take on another Harry Potter Trivia Quiz #SuperCarlinBrothers #JvsBen #HarryPotter</t>
        </is>
      </c>
      <c r="V1127" s="47">
        <f>IF(AND(P1127&gt;=Calendar!$K$2,P1127&lt;EDATE(Calendar!$K$2,1),OR(Calendar!$K$4="*",N1127=Calendar!$K$4)),P1127*100+COUNTIFS($P$6:$P$3267,P1127,$Q$6:$Q$3267,"&lt;="&amp;Q1127,$N$6:$N$3267,Calendar!$K$4),"")</f>
        <v/>
      </c>
      <c r="W1127" s="47">
        <f>IF(AND(B1127=Queue!$C$4,OR(Queue!$K$4="*",N1127=Queue!$K$4)),Q1127,"")</f>
        <v/>
      </c>
    </row>
    <row r="1128">
      <c r="A1128" s="38">
        <f>IF(M1128="","",HYPERLINK("https://www.youtube.com/watch?v="&amp;M1128,"▶"))</f>
        <v/>
      </c>
      <c r="B1128" s="39">
        <f>IF(C1128&lt;&gt;"",C1128,IF(P1128&lt;=IFERROR(INDEX(tblChannels[Watched Through],MATCH(N1128,tblChannels[Channel ID],0)),0),"Watched","Unwatched"))</f>
        <v/>
      </c>
      <c r="C1128" s="40" t="n"/>
      <c r="D1128" s="41" t="n"/>
      <c r="E1128" s="42" t="n">
        <v>44715.41666666666</v>
      </c>
      <c r="F1128" s="43" t="inlineStr">
        <is>
          <t>Popcorn Culture</t>
        </is>
      </c>
      <c r="G1128" t="inlineStr">
        <is>
          <t>The Legend of Bazooka Jack | Popcorn Culture</t>
        </is>
      </c>
      <c r="H1128" s="44" t="n">
        <v>0.05310185185185185</v>
      </c>
      <c r="I1128" s="45" t="n">
        <v>7282</v>
      </c>
      <c r="J1128" s="45" t="n">
        <v>339</v>
      </c>
      <c r="K1128" s="45" t="n">
        <v>35</v>
      </c>
      <c r="L1128" s="46" t="n"/>
      <c r="M1128" s="47" t="n"/>
      <c r="N1128" s="47" t="inlineStr">
        <is>
          <t>UCHfIbq9thHPC8yrKjAdJgDA</t>
        </is>
      </c>
      <c r="O1128" s="48" t="n">
        <v>44715.58333333334</v>
      </c>
      <c r="P1128" s="49" t="n">
        <v>44715</v>
      </c>
      <c r="Q1128" s="47" t="n">
        <v>2140</v>
      </c>
      <c r="R1128" s="47" t="inlineStr">
        <is>
          <t>No Video ID yet</t>
        </is>
      </c>
      <c r="S1128" s="49" t="n"/>
      <c r="T1128" s="49" t="n"/>
      <c r="U1128" s="47" t="inlineStr">
        <is>
          <t>In the 130th episode of the pop, Ben and J discuss tie-dye, fake dating profile, Ben’s brain Roulette wheel, treasure, Olympic medals, Atomic Habits, incremental change, reflecting on social media impact, bathing suits, 30 minutes of fun, and the Roanoke Times Twitter. Sign up for Patreon to get your Popcorn Culture Moleskin! - Snoke is Lincoln - Price of Silver - Makeup of Olympic Medals- Price associated with winning Olympic Medals - Atomic Habits - The Roanoke Times’ Twitter Account (don’t follow) - We Should Tie-Dye Some Stuff The Office and Ranch Dressing Oozing the Whimsy Custom Made King Sized Dinosaur Sheets Well Respected Foes Do I Even Want a Bathing Suit? Car Wash Ragers The Mystery of the Roanoke Times 00:00 - Intro, Tie-Dye 07:17 - Dating Profiles 14:03 - Bazooka Bunny or Bazooka Jack? 16:32 - Corny Joke and Abe Lincoln Fact 22:08 - Treasure and Olympics 32:51 - Atomic Habits 56:08 - Ah-hah Moments 1:02:23 - 30 Minutes of Fun 1:07:52 - Our Local Newspaper’s Twitter</t>
        </is>
      </c>
      <c r="V1128" s="47">
        <f>IF(AND(P1128&gt;=Calendar!$K$2,P1128&lt;EDATE(Calendar!$K$2,1),OR(Calendar!$K$4="*",N1128=Calendar!$K$4)),P1128*100+COUNTIFS($P$6:$P$3267,P1128,$Q$6:$Q$3267,"&lt;="&amp;Q1128,$N$6:$N$3267,Calendar!$K$4),"")</f>
        <v/>
      </c>
      <c r="W1128" s="47">
        <f>IF(AND(B1128=Queue!$C$4,OR(Queue!$K$4="*",N1128=Queue!$K$4)),Q1128,"")</f>
        <v/>
      </c>
    </row>
    <row r="1129">
      <c r="A1129" s="38">
        <f>IF(M1129="","",HYPERLINK("https://www.youtube.com/watch?v="&amp;M1129,"▶"))</f>
        <v/>
      </c>
      <c r="B1129" s="39">
        <f>IF(C1129&lt;&gt;"",C1129,IF(P1129&lt;=IFERROR(INDEX(tblChannels[Watched Through],MATCH(N1129,tblChannels[Channel ID],0)),0),"Watched","Unwatched"))</f>
        <v/>
      </c>
      <c r="C1129" s="40" t="n"/>
      <c r="D1129" s="41" t="n"/>
      <c r="E1129" s="42" t="n">
        <v>44714.59097222222</v>
      </c>
      <c r="F1129" s="50" t="inlineStr">
        <is>
          <t>Super Carlin Brothers</t>
        </is>
      </c>
      <c r="G1129" t="inlineStr">
        <is>
          <t>Why The Qilin ACTUALLY Bowed To Dumbledore | Harry Potter Film Theory</t>
        </is>
      </c>
      <c r="H1129" s="44" t="n">
        <v>0.01145833333333333</v>
      </c>
      <c r="I1129" s="45" t="n">
        <v>478434</v>
      </c>
      <c r="J1129" s="45" t="n">
        <v>14694</v>
      </c>
      <c r="K1129" s="45" t="n">
        <v>1679</v>
      </c>
      <c r="L1129" s="46" t="n"/>
      <c r="M1129" s="47" t="n"/>
      <c r="N1129" s="47" t="inlineStr">
        <is>
          <t>UCKZo4N0lVPccBkSiuyVh4yg</t>
        </is>
      </c>
      <c r="O1129" s="48" t="n">
        <v>44714.75763888889</v>
      </c>
      <c r="P1129" s="49" t="n">
        <v>44714</v>
      </c>
      <c r="Q1129" s="47" t="n">
        <v>2139</v>
      </c>
      <c r="R1129" s="47" t="inlineStr">
        <is>
          <t>No Video ID yet</t>
        </is>
      </c>
      <c r="S1129" s="49" t="n"/>
      <c r="T1129" s="49" t="n"/>
      <c r="U1129" s="47" t="inlineStr">
        <is>
          <t>Today Ben dives into the Wizarding World of Harry Potter to try and figure out WHY the qilin determined Albus Dumbldore was pure of heart and bowed before him?! #SecretsOfDumbledore #HarryPotter #WizardingWorld</t>
        </is>
      </c>
      <c r="V1129" s="47">
        <f>IF(AND(P1129&gt;=Calendar!$K$2,P1129&lt;EDATE(Calendar!$K$2,1),OR(Calendar!$K$4="*",N1129=Calendar!$K$4)),P1129*100+COUNTIFS($P$6:$P$3267,P1129,$Q$6:$Q$3267,"&lt;="&amp;Q1129,$N$6:$N$3267,Calendar!$K$4),"")</f>
        <v/>
      </c>
      <c r="W1129" s="47">
        <f>IF(AND(B1129=Queue!$C$4,OR(Queue!$K$4="*",N1129=Queue!$K$4)),Q1129,"")</f>
        <v/>
      </c>
    </row>
    <row r="1130">
      <c r="A1130" s="38">
        <f>IF(M1130="","",HYPERLINK("https://www.youtube.com/watch?v="&amp;M1130,"▶"))</f>
        <v/>
      </c>
      <c r="B1130" s="39">
        <f>IF(C1130&lt;&gt;"",C1130,IF(P1130&lt;=IFERROR(INDEX(tblChannels[Watched Through],MATCH(N1130,tblChannels[Channel ID],0)),0),"Watched","Unwatched"))</f>
        <v/>
      </c>
      <c r="C1130" s="40" t="n"/>
      <c r="D1130" s="41" t="n"/>
      <c r="E1130" s="42" t="n">
        <v>44713.7125</v>
      </c>
      <c r="F1130" s="53" t="inlineStr">
        <is>
          <t>Jonathan Carlin</t>
        </is>
      </c>
      <c r="G1130" t="inlineStr">
        <is>
          <t>Our First LIVE SHOW</t>
        </is>
      </c>
      <c r="H1130" s="44" t="n">
        <v>0.01341435185185185</v>
      </c>
      <c r="I1130" s="45" t="n">
        <v>11216</v>
      </c>
      <c r="J1130" s="45" t="n">
        <v>801</v>
      </c>
      <c r="K1130" s="45" t="n">
        <v>49</v>
      </c>
      <c r="L1130" s="46" t="n"/>
      <c r="M1130" s="47" t="n"/>
      <c r="N1130" s="47" t="inlineStr">
        <is>
          <t>UCYPKFe86e6nm4TVUYKLsFUQ</t>
        </is>
      </c>
      <c r="O1130" s="48" t="n">
        <v>44713.87916666667</v>
      </c>
      <c r="P1130" s="49" t="n">
        <v>44713</v>
      </c>
      <c r="Q1130" s="47" t="n">
        <v>2138</v>
      </c>
      <c r="R1130" s="47" t="inlineStr">
        <is>
          <t>No Video ID yet</t>
        </is>
      </c>
      <c r="S1130" s="49" t="n"/>
      <c r="T1130" s="49" t="n"/>
      <c r="U1130" s="47" t="inlineStr">
        <is>
          <t>This week Ben and I go to ORLANDO for the first ever Super Carlin Brothers LIVE SHOW Edited by Ethan Edghill</t>
        </is>
      </c>
      <c r="V1130" s="47">
        <f>IF(AND(P1130&gt;=Calendar!$K$2,P1130&lt;EDATE(Calendar!$K$2,1),OR(Calendar!$K$4="*",N1130=Calendar!$K$4)),P1130*100+COUNTIFS($P$6:$P$3267,P1130,$Q$6:$Q$3267,"&lt;="&amp;Q1130,$N$6:$N$3267,Calendar!$K$4),"")</f>
        <v/>
      </c>
      <c r="W1130" s="47">
        <f>IF(AND(B1130=Queue!$C$4,OR(Queue!$K$4="*",N1130=Queue!$K$4)),Q1130,"")</f>
        <v/>
      </c>
    </row>
    <row r="1131">
      <c r="A1131" s="38">
        <f>IF(M1131="","",HYPERLINK("https://www.youtube.com/watch?v="&amp;M1131,"▶"))</f>
        <v/>
      </c>
      <c r="B1131" s="39">
        <f>IF(C1131&lt;&gt;"",C1131,IF(P1131&lt;=IFERROR(INDEX(tblChannels[Watched Through],MATCH(N1131,tblChannels[Channel ID],0)),0),"Watched","Unwatched"))</f>
        <v/>
      </c>
      <c r="C1131" s="40" t="n"/>
      <c r="D1131" s="41" t="n"/>
      <c r="E1131" s="42" t="n">
        <v>44712.65069444444</v>
      </c>
      <c r="F1131" s="50" t="inlineStr">
        <is>
          <t>Super Carlin Brothers</t>
        </is>
      </c>
      <c r="G1131" t="inlineStr">
        <is>
          <t>This Fantastic Beast Changes EVERYTHING | Harry Potter Film Theory</t>
        </is>
      </c>
      <c r="H1131" s="44" t="n">
        <v>0.01111111111111111</v>
      </c>
      <c r="I1131" s="45" t="n">
        <v>307779</v>
      </c>
      <c r="J1131" s="45" t="n">
        <v>11607</v>
      </c>
      <c r="K1131" s="45" t="n">
        <v>953</v>
      </c>
      <c r="L1131" s="46" t="n"/>
      <c r="M1131" s="47" t="n"/>
      <c r="N1131" s="47" t="inlineStr">
        <is>
          <t>UCKZo4N0lVPccBkSiuyVh4yg</t>
        </is>
      </c>
      <c r="O1131" s="48" t="n">
        <v>44712.81736111111</v>
      </c>
      <c r="P1131" s="49" t="n">
        <v>44712</v>
      </c>
      <c r="Q1131" s="47" t="n">
        <v>2137</v>
      </c>
      <c r="R1131" s="47" t="inlineStr">
        <is>
          <t>No Video ID yet</t>
        </is>
      </c>
      <c r="S1131" s="49" t="n"/>
      <c r="T1131" s="49" t="n"/>
      <c r="U1131" s="47" t="inlineStr">
        <is>
          <t>Go to for 15% off your first order. Today J dives into the Wizarding World of Harry Potter to discuss an overlooked development from Fantastic Beasts: The Secrets of Dumbledore beast that could change everything we know about the Killing Curse. #SecretsOfDumbledore #HarryPotter #WizardingWorld</t>
        </is>
      </c>
      <c r="V1131" s="47">
        <f>IF(AND(P1131&gt;=Calendar!$K$2,P1131&lt;EDATE(Calendar!$K$2,1),OR(Calendar!$K$4="*",N1131=Calendar!$K$4)),P1131*100+COUNTIFS($P$6:$P$3267,P1131,$Q$6:$Q$3267,"&lt;="&amp;Q1131,$N$6:$N$3267,Calendar!$K$4),"")</f>
        <v/>
      </c>
      <c r="W1131" s="47">
        <f>IF(AND(B1131=Queue!$C$4,OR(Queue!$K$4="*",N1131=Queue!$K$4)),Q1131,"")</f>
        <v/>
      </c>
    </row>
    <row r="1132">
      <c r="A1132" s="38">
        <f>IF(M1132="","",HYPERLINK("https://www.youtube.com/watch?v="&amp;M1132,"▶"))</f>
        <v/>
      </c>
      <c r="B1132" s="39">
        <f>IF(C1132&lt;&gt;"",C1132,IF(P1132&lt;=IFERROR(INDEX(tblChannels[Watched Through],MATCH(N1132,tblChannels[Channel ID],0)),0),"Watched","Unwatched"))</f>
        <v/>
      </c>
      <c r="C1132" s="40" t="n"/>
      <c r="D1132" s="41" t="n"/>
      <c r="E1132" s="42" t="n">
        <v>44708.41666666666</v>
      </c>
      <c r="F1132" s="43" t="inlineStr">
        <is>
          <t>Popcorn Culture</t>
        </is>
      </c>
      <c r="G1132" t="inlineStr">
        <is>
          <t>World's SKETCHIEST Uber | Popcorn Culture</t>
        </is>
      </c>
      <c r="H1132" s="44" t="n">
        <v>0.05087962962962963</v>
      </c>
      <c r="I1132" s="45" t="n">
        <v>7430</v>
      </c>
      <c r="J1132" s="45" t="n">
        <v>406</v>
      </c>
      <c r="K1132" s="45" t="n">
        <v>60</v>
      </c>
      <c r="L1132" s="46" t="n"/>
      <c r="M1132" s="47" t="n"/>
      <c r="N1132" s="47" t="inlineStr">
        <is>
          <t>UCHfIbq9thHPC8yrKjAdJgDA</t>
        </is>
      </c>
      <c r="O1132" s="48" t="n">
        <v>44708.58333333334</v>
      </c>
      <c r="P1132" s="49" t="n">
        <v>44708</v>
      </c>
      <c r="Q1132" s="47" t="n">
        <v>2136</v>
      </c>
      <c r="R1132" s="47" t="inlineStr">
        <is>
          <t>No Video ID yet</t>
        </is>
      </c>
      <c r="S1132" s="49" t="n"/>
      <c r="T1132" s="49" t="n"/>
      <c r="U1132" s="47" t="inlineStr">
        <is>
          <t>In the 129th episode of the Pop, Ben and J discuss the Lost Colony of Roanoke, doing their first (sort of) live show, strange Uber endeavors, frustrating customer service, Universal roller coasters, their wicks of the peek, owning a luxury movie theater and carnival games. The Roost Tour - Sonic the Hedgehog 1 - Logan’s Candy Company - Ben’s Wick of the Peek: Project Hail Mary - J’s Wick of the Peek: Sonic the Hedgehog 2 - I’m Not Nervous, I’m FREEZING Strange Uber Endeavors Pamela’s Got Your Back Mercury Was in Retrograde in Orlando I’m in on Watermelons The Movies and Coke Go Together 00:00 - Intro, All the Roanokes 02:46 - Our First Live Show! 15:54 - What Do We Do With Our Luggage? 22:22 - Roller Coaster Issues 35:07 - Crazy Uber Experience 51:07 - Wicks of the Peek and Movie Theaters</t>
        </is>
      </c>
      <c r="V1132" s="47">
        <f>IF(AND(P1132&gt;=Calendar!$K$2,P1132&lt;EDATE(Calendar!$K$2,1),OR(Calendar!$K$4="*",N1132=Calendar!$K$4)),P1132*100+COUNTIFS($P$6:$P$3267,P1132,$Q$6:$Q$3267,"&lt;="&amp;Q1132,$N$6:$N$3267,Calendar!$K$4),"")</f>
        <v/>
      </c>
      <c r="W1132" s="47">
        <f>IF(AND(B1132=Queue!$C$4,OR(Queue!$K$4="*",N1132=Queue!$K$4)),Q1132,"")</f>
        <v/>
      </c>
    </row>
    <row r="1133">
      <c r="A1133" s="38">
        <f>IF(M1133="","",HYPERLINK("https://www.youtube.com/watch?v="&amp;M1133,"▶"))</f>
        <v/>
      </c>
      <c r="B1133" s="39">
        <f>IF(C1133&lt;&gt;"",C1133,IF(P1133&lt;=IFERROR(INDEX(tblChannels[Watched Through],MATCH(N1133,tblChannels[Channel ID],0)),0),"Watched","Unwatched"))</f>
        <v/>
      </c>
      <c r="C1133" s="40" t="n"/>
      <c r="D1133" s="41" t="n"/>
      <c r="E1133" s="42" t="n">
        <v>44707.71041666667</v>
      </c>
      <c r="F1133" s="50" t="inlineStr">
        <is>
          <t>Super Carlin Brothers</t>
        </is>
      </c>
      <c r="G1133" t="inlineStr">
        <is>
          <t>Turning Red &amp; Soul Are CONNECTED! | Pixar Film Theory</t>
        </is>
      </c>
      <c r="H1133" s="44" t="n">
        <v>0.009502314814814814</v>
      </c>
      <c r="I1133" s="45" t="n">
        <v>153167</v>
      </c>
      <c r="J1133" s="45" t="n">
        <v>6951</v>
      </c>
      <c r="K1133" s="45" t="n">
        <v>352</v>
      </c>
      <c r="L1133" s="46" t="n"/>
      <c r="M1133" s="47" t="n"/>
      <c r="N1133" s="47" t="inlineStr">
        <is>
          <t>UCKZo4N0lVPccBkSiuyVh4yg</t>
        </is>
      </c>
      <c r="O1133" s="48" t="n">
        <v>44707.87708333333</v>
      </c>
      <c r="P1133" s="49" t="n">
        <v>44707</v>
      </c>
      <c r="Q1133" s="47" t="n">
        <v>2135</v>
      </c>
      <c r="R1133" s="47" t="inlineStr">
        <is>
          <t>No Video ID yet</t>
        </is>
      </c>
      <c r="S1133" s="49" t="n"/>
      <c r="T1133" s="49" t="n"/>
      <c r="U1133" s="47" t="inlineStr">
        <is>
          <t>Go to and use promo code supercarlin to get a 4-week trial plus free postage and a digital scale. Today Ben dives into the Pixar Theory to reveal how Mei and her family are able to turn in to Panda’s by comparing it to Soul! #SuperCarlinBrothers #Pixar #TurningRed</t>
        </is>
      </c>
      <c r="V1133" s="47">
        <f>IF(AND(P1133&gt;=Calendar!$K$2,P1133&lt;EDATE(Calendar!$K$2,1),OR(Calendar!$K$4="*",N1133=Calendar!$K$4)),P1133*100+COUNTIFS($P$6:$P$3267,P1133,$Q$6:$Q$3267,"&lt;="&amp;Q1133,$N$6:$N$3267,Calendar!$K$4),"")</f>
        <v/>
      </c>
      <c r="W1133" s="47">
        <f>IF(AND(B1133=Queue!$C$4,OR(Queue!$K$4="*",N1133=Queue!$K$4)),Q1133,"")</f>
        <v/>
      </c>
    </row>
    <row r="1134">
      <c r="A1134" s="38">
        <f>IF(M1134="","",HYPERLINK("https://www.youtube.com/watch?v="&amp;M1134,"▶"))</f>
        <v/>
      </c>
      <c r="B1134" s="39">
        <f>IF(C1134&lt;&gt;"",C1134,IF(P1134&lt;=IFERROR(INDEX(tblChannels[Watched Through],MATCH(N1134,tblChannels[Channel ID],0)),0),"Watched","Unwatched"))</f>
        <v/>
      </c>
      <c r="C1134" s="40" t="n"/>
      <c r="D1134" s="41" t="n"/>
      <c r="E1134" s="42" t="n">
        <v>44706.625</v>
      </c>
      <c r="F1134" s="52" t="inlineStr">
        <is>
          <t>Super Carlin Gaming</t>
        </is>
      </c>
      <c r="G1134" t="inlineStr">
        <is>
          <t>Lord of the Isles |  Pokémon Legends: Arceus Nuzlocke #13</t>
        </is>
      </c>
      <c r="H1134" s="44" t="n">
        <v>0.02422453703703704</v>
      </c>
      <c r="I1134" s="45" t="n">
        <v>7496</v>
      </c>
      <c r="J1134" s="45" t="n">
        <v>449</v>
      </c>
      <c r="K1134" s="45" t="n">
        <v>101</v>
      </c>
      <c r="L1134" s="46" t="n"/>
      <c r="M1134" s="47" t="n"/>
      <c r="N1134" s="47" t="inlineStr">
        <is>
          <t>UCor_9jRnNNZVzTuQ92PKsaQ</t>
        </is>
      </c>
      <c r="O1134" s="48" t="n">
        <v>44706.79166666666</v>
      </c>
      <c r="P1134" s="49" t="n">
        <v>44706</v>
      </c>
      <c r="Q1134" s="47" t="n">
        <v>2134</v>
      </c>
      <c r="R1134" s="47" t="inlineStr">
        <is>
          <t>No Video ID yet</t>
        </is>
      </c>
      <c r="S1134" s="49" t="n"/>
      <c r="T1134" s="49" t="n"/>
      <c r="U1134" s="47" t="inlineStr">
        <is>
          <t>Today J and the team ride their trusty Basculegion to fight the Noble Arcanine! Will they succeed, or is the team doomed for defeat?!?</t>
        </is>
      </c>
      <c r="V1134" s="47">
        <f>IF(AND(P1134&gt;=Calendar!$K$2,P1134&lt;EDATE(Calendar!$K$2,1),OR(Calendar!$K$4="*",N1134=Calendar!$K$4)),P1134*100+COUNTIFS($P$6:$P$3267,P1134,$Q$6:$Q$3267,"&lt;="&amp;Q1134,$N$6:$N$3267,Calendar!$K$4),"")</f>
        <v/>
      </c>
      <c r="W1134" s="47">
        <f>IF(AND(B1134=Queue!$C$4,OR(Queue!$K$4="*",N1134=Queue!$K$4)),Q1134,"")</f>
        <v/>
      </c>
    </row>
    <row r="1135">
      <c r="A1135" s="38">
        <f>IF(M1135="","",HYPERLINK("https://www.youtube.com/watch?v="&amp;M1135,"▶"))</f>
        <v/>
      </c>
      <c r="B1135" s="39">
        <f>IF(C1135&lt;&gt;"",C1135,IF(P1135&lt;=IFERROR(INDEX(tblChannels[Watched Through],MATCH(N1135,tblChannels[Channel ID],0)),0),"Watched","Unwatched"))</f>
        <v/>
      </c>
      <c r="C1135" s="40" t="n"/>
      <c r="D1135" s="41" t="n"/>
      <c r="E1135" s="42" t="n">
        <v>44705.77986111111</v>
      </c>
      <c r="F1135" s="50" t="inlineStr">
        <is>
          <t>Super Carlin Brothers</t>
        </is>
      </c>
      <c r="G1135" t="inlineStr">
        <is>
          <t>Sorting Star Wars Characters into Harry Potter Hogwarts Houses | J vs Ben</t>
        </is>
      </c>
      <c r="H1135" s="44" t="n">
        <v>0.0340162037037037</v>
      </c>
      <c r="I1135" s="45" t="n">
        <v>247934</v>
      </c>
      <c r="J1135" s="45" t="n">
        <v>7944</v>
      </c>
      <c r="K1135" s="45" t="n">
        <v>1418</v>
      </c>
      <c r="L1135" s="46" t="n"/>
      <c r="M1135" s="47" t="n"/>
      <c r="N1135" s="47" t="inlineStr">
        <is>
          <t>UCKZo4N0lVPccBkSiuyVh4yg</t>
        </is>
      </c>
      <c r="O1135" s="48" t="n">
        <v>44705.94652777778</v>
      </c>
      <c r="P1135" s="49" t="n">
        <v>44705</v>
      </c>
      <c r="Q1135" s="47" t="n">
        <v>2133</v>
      </c>
      <c r="R1135" s="47" t="inlineStr">
        <is>
          <t>No Video ID yet</t>
        </is>
      </c>
      <c r="S1135" s="49" t="n"/>
      <c r="T1135" s="49" t="n"/>
      <c r="U1135" s="47" t="inlineStr">
        <is>
          <t>Go to to get Honey for FREE! Go to or use promo code jvsb at checkout to get 20% off your first order. Hello There Shirt :: Today J and Ben face off to try and sort the Jedi into Gryffindor, Slytherin, Hufflepuff &amp; Ravenclaw! Is Rey a Hufflepuff? Is Qui-Gon a Slytherin?! #SuperCarlinBrothers #HarryPotter #StarWars</t>
        </is>
      </c>
      <c r="V1135" s="47">
        <f>IF(AND(P1135&gt;=Calendar!$K$2,P1135&lt;EDATE(Calendar!$K$2,1),OR(Calendar!$K$4="*",N1135=Calendar!$K$4)),P1135*100+COUNTIFS($P$6:$P$3267,P1135,$Q$6:$Q$3267,"&lt;="&amp;Q1135,$N$6:$N$3267,Calendar!$K$4),"")</f>
        <v/>
      </c>
      <c r="W1135" s="47">
        <f>IF(AND(B1135=Queue!$C$4,OR(Queue!$K$4="*",N1135=Queue!$K$4)),Q1135,"")</f>
        <v/>
      </c>
    </row>
    <row r="1136">
      <c r="A1136" s="38">
        <f>IF(M1136="","",HYPERLINK("https://www.youtube.com/watch?v="&amp;M1136,"▶"))</f>
        <v/>
      </c>
      <c r="B1136" s="39">
        <f>IF(C1136&lt;&gt;"",C1136,IF(P1136&lt;=IFERROR(INDEX(tblChannels[Watched Through],MATCH(N1136,tblChannels[Channel ID],0)),0),"Watched","Unwatched"))</f>
        <v/>
      </c>
      <c r="C1136" s="40" t="n"/>
      <c r="D1136" s="41" t="n"/>
      <c r="E1136" s="42" t="n">
        <v>44704.6875</v>
      </c>
      <c r="F1136" s="53" t="inlineStr">
        <is>
          <t>Jonathan Carlin</t>
        </is>
      </c>
      <c r="G1136" t="inlineStr">
        <is>
          <t>Summer Sledding, Ducks &amp; LEGO!</t>
        </is>
      </c>
      <c r="H1136" s="44" t="n">
        <v>0.01002314814814815</v>
      </c>
      <c r="I1136" s="45" t="n">
        <v>9294</v>
      </c>
      <c r="J1136" s="45" t="n">
        <v>683</v>
      </c>
      <c r="K1136" s="45" t="n">
        <v>63</v>
      </c>
      <c r="L1136" s="46" t="n"/>
      <c r="M1136" s="47" t="n"/>
      <c r="N1136" s="47" t="inlineStr">
        <is>
          <t>UCYPKFe86e6nm4TVUYKLsFUQ</t>
        </is>
      </c>
      <c r="O1136" s="48" t="n">
        <v>44704.85416666666</v>
      </c>
      <c r="P1136" s="49" t="n">
        <v>44704</v>
      </c>
      <c r="Q1136" s="47" t="n">
        <v>2132</v>
      </c>
      <c r="R1136" s="47" t="inlineStr">
        <is>
          <t>No Video ID yet</t>
        </is>
      </c>
      <c r="S1136" s="49" t="n"/>
      <c r="T1136" s="49" t="n"/>
      <c r="U1136" s="47" t="inlineStr">
        <is>
          <t>This week the SCB team experiments with their 3d printer, the boys invent summer sledding and visit a duck pond. J builds Lego with Beth. and Luke, and of course we open some Pokemon cards! #NotSponsored by Lego, but thanks for the product!</t>
        </is>
      </c>
      <c r="V1136" s="47">
        <f>IF(AND(P1136&gt;=Calendar!$K$2,P1136&lt;EDATE(Calendar!$K$2,1),OR(Calendar!$K$4="*",N1136=Calendar!$K$4)),P1136*100+COUNTIFS($P$6:$P$3267,P1136,$Q$6:$Q$3267,"&lt;="&amp;Q1136,$N$6:$N$3267,Calendar!$K$4),"")</f>
        <v/>
      </c>
      <c r="W1136" s="47">
        <f>IF(AND(B1136=Queue!$C$4,OR(Queue!$K$4="*",N1136=Queue!$K$4)),Q1136,"")</f>
        <v/>
      </c>
    </row>
    <row r="1137">
      <c r="A1137" s="38">
        <f>IF(M1137="","",HYPERLINK("https://www.youtube.com/watch?v="&amp;M1137,"▶"))</f>
        <v/>
      </c>
      <c r="B1137" s="39">
        <f>IF(C1137&lt;&gt;"",C1137,IF(P1137&lt;=IFERROR(INDEX(tblChannels[Watched Through],MATCH(N1137,tblChannels[Channel ID],0)),0),"Watched","Unwatched"))</f>
        <v/>
      </c>
      <c r="C1137" s="40" t="n"/>
      <c r="D1137" s="41" t="n"/>
      <c r="E1137" s="42" t="n">
        <v>44701.41666666666</v>
      </c>
      <c r="F1137" s="43" t="inlineStr">
        <is>
          <t>Popcorn Culture</t>
        </is>
      </c>
      <c r="G1137" t="inlineStr">
        <is>
          <t>This Ain't a Rabbit Diner | Popcorn Culture</t>
        </is>
      </c>
      <c r="H1137" s="44" t="n">
        <v>0.04502314814814815</v>
      </c>
      <c r="I1137" s="45" t="n">
        <v>6425</v>
      </c>
      <c r="J1137" s="45" t="n">
        <v>357</v>
      </c>
      <c r="K1137" s="45" t="n">
        <v>47</v>
      </c>
      <c r="L1137" s="46" t="n"/>
      <c r="M1137" s="47" t="n"/>
      <c r="N1137" s="47" t="inlineStr">
        <is>
          <t>UCHfIbq9thHPC8yrKjAdJgDA</t>
        </is>
      </c>
      <c r="O1137" s="48" t="n">
        <v>44701.58333333334</v>
      </c>
      <c r="P1137" s="49" t="n">
        <v>44701</v>
      </c>
      <c r="Q1137" s="47" t="n">
        <v>2131</v>
      </c>
      <c r="R1137" s="47" t="inlineStr">
        <is>
          <t>No Video ID yet</t>
        </is>
      </c>
      <c r="S1137" s="49" t="n"/>
      <c r="T1137" s="49" t="n"/>
      <c r="U1137" s="47" t="inlineStr">
        <is>
          <t>In the 128th episode of the Pop, Ben and J discuss The Immortal, living in the present, flour fights, performing fun, social media sign off, algorithms, life updates, automatic responses, enemies of sunflowers, and banana water. Turns out there’s an entire website just for books about Abraham Lincoln… here’s the page for his comic books: Invincible: The Wisdom of Insecurity: Guess How Much I Love You: Ben’s Wick of the Peek - Flour fights/ Living in the moment Would Immortality Change You? Living for the Now Performing Fun Undoing Learned Behaviors Computers vs. Brains Enemies on all Fronts Bazooka the Rabbit Banana Water 00:00 - Intro, Immortality 8:05 - Living in the Present 16:31 - Performing Fun 19:31 - Giving up Social Media 30:41 - Ben Life Updates 38:40 - Bran Paths 45:25 - Problem Solving the Sunflowers</t>
        </is>
      </c>
      <c r="V1137" s="47">
        <f>IF(AND(P1137&gt;=Calendar!$K$2,P1137&lt;EDATE(Calendar!$K$2,1),OR(Calendar!$K$4="*",N1137=Calendar!$K$4)),P1137*100+COUNTIFS($P$6:$P$3267,P1137,$Q$6:$Q$3267,"&lt;="&amp;Q1137,$N$6:$N$3267,Calendar!$K$4),"")</f>
        <v/>
      </c>
      <c r="W1137" s="47">
        <f>IF(AND(B1137=Queue!$C$4,OR(Queue!$K$4="*",N1137=Queue!$K$4)),Q1137,"")</f>
        <v/>
      </c>
    </row>
    <row r="1138">
      <c r="A1138" s="38">
        <f>IF(M1138="","",HYPERLINK("https://www.youtube.com/watch?v="&amp;M1138,"▶"))</f>
        <v/>
      </c>
      <c r="B1138" s="39">
        <f>IF(C1138&lt;&gt;"",C1138,IF(P1138&lt;=IFERROR(INDEX(tblChannels[Watched Through],MATCH(N1138,tblChannels[Channel ID],0)),0),"Watched","Unwatched"))</f>
        <v/>
      </c>
      <c r="C1138" s="40" t="n"/>
      <c r="D1138" s="41" t="n"/>
      <c r="E1138" s="42" t="n">
        <v>44700.61111111111</v>
      </c>
      <c r="F1138" s="50" t="inlineStr">
        <is>
          <t>Super Carlin Brothers</t>
        </is>
      </c>
      <c r="G1138" t="inlineStr">
        <is>
          <t>The TOP 5 Most Believable Harry Potter Theories</t>
        </is>
      </c>
      <c r="H1138" s="44" t="n">
        <v>0.01560185185185185</v>
      </c>
      <c r="I1138" s="45" t="n">
        <v>1086325</v>
      </c>
      <c r="J1138" s="45" t="n">
        <v>29330</v>
      </c>
      <c r="K1138" s="45" t="n">
        <v>2032</v>
      </c>
      <c r="L1138" s="46" t="n"/>
      <c r="M1138" s="47" t="n"/>
      <c r="N1138" s="47" t="inlineStr">
        <is>
          <t>UCKZo4N0lVPccBkSiuyVh4yg</t>
        </is>
      </c>
      <c r="O1138" s="48" t="n">
        <v>44700.77777777778</v>
      </c>
      <c r="P1138" s="49" t="n">
        <v>44700</v>
      </c>
      <c r="Q1138" s="47" t="n">
        <v>2130</v>
      </c>
      <c r="R1138" s="47" t="inlineStr">
        <is>
          <t>No Video ID yet</t>
        </is>
      </c>
      <c r="S1138" s="49" t="n"/>
      <c r="T1138" s="49" t="n"/>
      <c r="U1138" s="47" t="inlineStr">
        <is>
          <t>Go to and use code super to get 20% off your first monthly box. Common Room BLUE Candles :: Pre-order Emergency Slab of Chocolate :: (please note that orders including chocolate will take 5-7 business days to ship) Today Ben dives into the Wizarding World of Harry Potter to review the TOP FIVE Harry Potter theories that stand the test of time and are still extremely believable if not down right canon!</t>
        </is>
      </c>
      <c r="V1138" s="47">
        <f>IF(AND(P1138&gt;=Calendar!$K$2,P1138&lt;EDATE(Calendar!$K$2,1),OR(Calendar!$K$4="*",N1138=Calendar!$K$4)),P1138*100+COUNTIFS($P$6:$P$3267,P1138,$Q$6:$Q$3267,"&lt;="&amp;Q1138,$N$6:$N$3267,Calendar!$K$4),"")</f>
        <v/>
      </c>
      <c r="W1138" s="47">
        <f>IF(AND(B1138=Queue!$C$4,OR(Queue!$K$4="*",N1138=Queue!$K$4)),Q1138,"")</f>
        <v/>
      </c>
    </row>
    <row r="1139">
      <c r="A1139" s="38">
        <f>IF(M1139="","",HYPERLINK("https://www.youtube.com/watch?v="&amp;M1139,"▶"))</f>
        <v/>
      </c>
      <c r="B1139" s="39">
        <f>IF(C1139&lt;&gt;"",C1139,IF(P1139&lt;=IFERROR(INDEX(tblChannels[Watched Through],MATCH(N1139,tblChannels[Channel ID],0)),0),"Watched","Unwatched"))</f>
        <v/>
      </c>
      <c r="C1139" s="40" t="n"/>
      <c r="D1139" s="41" t="n"/>
      <c r="E1139" s="42" t="n">
        <v>44699.625</v>
      </c>
      <c r="F1139" s="52" t="inlineStr">
        <is>
          <t>Super Carlin Gaming</t>
        </is>
      </c>
      <c r="G1139" t="inlineStr">
        <is>
          <t>Prepare for Trouble... And Make It Triple |  Pokémon Legends: Arceus Nuzlocke #12</t>
        </is>
      </c>
      <c r="H1139" s="44" t="n">
        <v>0.03157407407407407</v>
      </c>
      <c r="I1139" s="45" t="n">
        <v>7825</v>
      </c>
      <c r="J1139" s="45" t="n">
        <v>457</v>
      </c>
      <c r="K1139" s="45" t="n">
        <v>171</v>
      </c>
      <c r="L1139" s="46" t="n"/>
      <c r="M1139" s="47" t="n"/>
      <c r="N1139" s="47" t="inlineStr">
        <is>
          <t>UCor_9jRnNNZVzTuQ92PKsaQ</t>
        </is>
      </c>
      <c r="O1139" s="48" t="n">
        <v>44699.79166666666</v>
      </c>
      <c r="P1139" s="49" t="n">
        <v>44699</v>
      </c>
      <c r="Q1139" s="47" t="n">
        <v>2129</v>
      </c>
      <c r="R1139" s="47" t="inlineStr">
        <is>
          <t>No Video ID yet</t>
        </is>
      </c>
      <c r="S1139" s="49" t="n"/>
      <c r="T1139" s="49" t="n"/>
      <c r="U1139" s="47" t="inlineStr">
        <is>
          <t>Today J welcomes new members to the team as they head toward Firespit Island on their new Basculegion! But as ever, surprises await them unda tha sea...</t>
        </is>
      </c>
      <c r="V1139" s="47">
        <f>IF(AND(P1139&gt;=Calendar!$K$2,P1139&lt;EDATE(Calendar!$K$2,1),OR(Calendar!$K$4="*",N1139=Calendar!$K$4)),P1139*100+COUNTIFS($P$6:$P$3267,P1139,$Q$6:$Q$3267,"&lt;="&amp;Q1139,$N$6:$N$3267,Calendar!$K$4),"")</f>
        <v/>
      </c>
      <c r="W1139" s="47">
        <f>IF(AND(B1139=Queue!$C$4,OR(Queue!$K$4="*",N1139=Queue!$K$4)),Q1139,"")</f>
        <v/>
      </c>
    </row>
    <row r="1140">
      <c r="A1140" s="38">
        <f>IF(M1140="","",HYPERLINK("https://www.youtube.com/watch?v="&amp;M1140,"▶"))</f>
        <v/>
      </c>
      <c r="B1140" s="39">
        <f>IF(C1140&lt;&gt;"",C1140,IF(P1140&lt;=IFERROR(INDEX(tblChannels[Watched Through],MATCH(N1140,tblChannels[Channel ID],0)),0),"Watched","Unwatched"))</f>
        <v/>
      </c>
      <c r="C1140" s="40" t="n"/>
      <c r="D1140" s="41" t="n"/>
      <c r="E1140" s="42" t="n">
        <v>44698.70555555556</v>
      </c>
      <c r="F1140" s="50" t="inlineStr">
        <is>
          <t>Super Carlin Brothers</t>
        </is>
      </c>
      <c r="G1140" t="inlineStr">
        <is>
          <t>Doctor Strange’s Third Eye Explained | Marvel Film Theory</t>
        </is>
      </c>
      <c r="H1140" s="44" t="n">
        <v>0.009953703703703704</v>
      </c>
      <c r="I1140" s="45" t="n">
        <v>322450</v>
      </c>
      <c r="J1140" s="45" t="n">
        <v>12438</v>
      </c>
      <c r="K1140" s="45" t="n">
        <v>651</v>
      </c>
      <c r="L1140" s="46" t="n"/>
      <c r="M1140" s="47" t="n"/>
      <c r="N1140" s="47" t="inlineStr">
        <is>
          <t>UCKZo4N0lVPccBkSiuyVh4yg</t>
        </is>
      </c>
      <c r="O1140" s="48" t="n">
        <v>44698.87222222222</v>
      </c>
      <c r="P1140" s="49" t="n">
        <v>44698</v>
      </c>
      <c r="Q1140" s="47" t="n">
        <v>2128</v>
      </c>
      <c r="R1140" s="47" t="inlineStr">
        <is>
          <t>No Video ID yet</t>
        </is>
      </c>
      <c r="S1140" s="49" t="n"/>
      <c r="T1140" s="49" t="n"/>
      <c r="U1140" s="47" t="inlineStr">
        <is>
          <t>Go to for 10% off plus free shipping. See Ben &amp; J Live in Orlando!! Today J dives into Doctor Strange's wild Multiverse of Madness to explain Doctor Stranges new THIRD EYE, how its related to the Eye of Agamotto, who Clea is and why she’s relevant to Dormamu, Lord of the Dark Dimension #SuperCarlinBrothers #DoctorStrange #Marvel</t>
        </is>
      </c>
      <c r="V1140" s="47">
        <f>IF(AND(P1140&gt;=Calendar!$K$2,P1140&lt;EDATE(Calendar!$K$2,1),OR(Calendar!$K$4="*",N1140=Calendar!$K$4)),P1140*100+COUNTIFS($P$6:$P$3267,P1140,$Q$6:$Q$3267,"&lt;="&amp;Q1140,$N$6:$N$3267,Calendar!$K$4),"")</f>
        <v/>
      </c>
      <c r="W1140" s="47">
        <f>IF(AND(B1140=Queue!$C$4,OR(Queue!$K$4="*",N1140=Queue!$K$4)),Q1140,"")</f>
        <v/>
      </c>
    </row>
    <row r="1141">
      <c r="A1141" s="38">
        <f>IF(M1141="","",HYPERLINK("https://www.youtube.com/watch?v="&amp;M1141,"▶"))</f>
        <v/>
      </c>
      <c r="B1141" s="39">
        <f>IF(C1141&lt;&gt;"",C1141,IF(P1141&lt;=IFERROR(INDEX(tblChannels[Watched Through],MATCH(N1141,tblChannels[Channel ID],0)),0),"Watched","Unwatched"))</f>
        <v/>
      </c>
      <c r="C1141" s="40" t="n"/>
      <c r="D1141" s="41" t="n"/>
      <c r="E1141" s="42" t="n">
        <v>44698.625</v>
      </c>
      <c r="F1141" s="53" t="inlineStr">
        <is>
          <t>Jonathan Carlin</t>
        </is>
      </c>
      <c r="G1141" t="inlineStr">
        <is>
          <t>Mother's Day, Treadmills &amp; Pancakes</t>
        </is>
      </c>
      <c r="H1141" s="44" t="n">
        <v>0.01265046296296296</v>
      </c>
      <c r="I1141" s="45" t="n">
        <v>11445</v>
      </c>
      <c r="J1141" s="45" t="n">
        <v>765</v>
      </c>
      <c r="K1141" s="45" t="n">
        <v>0</v>
      </c>
      <c r="L1141" s="46" t="n"/>
      <c r="M1141" s="47" t="n"/>
      <c r="N1141" s="47" t="inlineStr">
        <is>
          <t>UCYPKFe86e6nm4TVUYKLsFUQ</t>
        </is>
      </c>
      <c r="O1141" s="48" t="n">
        <v>44698.79166666666</v>
      </c>
      <c r="P1141" s="49" t="n">
        <v>44698</v>
      </c>
      <c r="Q1141" s="47" t="n">
        <v>2127</v>
      </c>
      <c r="R1141" s="47" t="inlineStr">
        <is>
          <t>No Video ID yet</t>
        </is>
      </c>
      <c r="S1141" s="49" t="n"/>
      <c r="T1141" s="49" t="n"/>
      <c r="U1141" s="47" t="inlineStr">
        <is>
          <t>This week J and the family celebrate Mother's Day, Beth gets a new Peloton Treadmill, the boys get hair cuts and Ben and J party like its 2004!</t>
        </is>
      </c>
      <c r="V1141" s="47">
        <f>IF(AND(P1141&gt;=Calendar!$K$2,P1141&lt;EDATE(Calendar!$K$2,1),OR(Calendar!$K$4="*",N1141=Calendar!$K$4)),P1141*100+COUNTIFS($P$6:$P$3267,P1141,$Q$6:$Q$3267,"&lt;="&amp;Q1141,$N$6:$N$3267,Calendar!$K$4),"")</f>
        <v/>
      </c>
      <c r="W1141" s="47">
        <f>IF(AND(B1141=Queue!$C$4,OR(Queue!$K$4="*",N1141=Queue!$K$4)),Q1141,"")</f>
        <v/>
      </c>
    </row>
    <row r="1142">
      <c r="A1142" s="38">
        <f>IF(M1142="","",HYPERLINK("https://www.youtube.com/watch?v="&amp;M1142,"▶"))</f>
        <v/>
      </c>
      <c r="B1142" s="39">
        <f>IF(C1142&lt;&gt;"",C1142,IF(P1142&lt;=IFERROR(INDEX(tblChannels[Watched Through],MATCH(N1142,tblChannels[Channel ID],0)),0),"Watched","Unwatched"))</f>
        <v/>
      </c>
      <c r="C1142" s="40" t="n"/>
      <c r="D1142" s="41" t="n"/>
      <c r="E1142" s="42" t="n">
        <v>44694.41666666666</v>
      </c>
      <c r="F1142" s="43" t="inlineStr">
        <is>
          <t>Popcorn Culture</t>
        </is>
      </c>
      <c r="G1142" t="inlineStr">
        <is>
          <t>The Truth About Kim Kardashian | Popcorn Culture</t>
        </is>
      </c>
      <c r="H1142" s="44" t="n">
        <v>0.05596064814814815</v>
      </c>
      <c r="I1142" s="45" t="n">
        <v>8437</v>
      </c>
      <c r="J1142" s="45" t="n">
        <v>404</v>
      </c>
      <c r="K1142" s="45" t="n">
        <v>59</v>
      </c>
      <c r="L1142" s="46" t="n"/>
      <c r="M1142" s="47" t="n"/>
      <c r="N1142" s="47" t="inlineStr">
        <is>
          <t>UCHfIbq9thHPC8yrKjAdJgDA</t>
        </is>
      </c>
      <c r="O1142" s="48" t="n">
        <v>44694.58333333334</v>
      </c>
      <c r="P1142" s="49" t="n">
        <v>44694</v>
      </c>
      <c r="Q1142" s="47" t="n">
        <v>2126</v>
      </c>
      <c r="R1142" s="47" t="inlineStr">
        <is>
          <t>No Video ID yet</t>
        </is>
      </c>
      <c r="S1142" s="49" t="n"/>
      <c r="T1142" s="49" t="n"/>
      <c r="U1142" s="47" t="inlineStr">
        <is>
          <t>In the 127th episode of the Pop, Ben and J discuss car washing, their super awesome Halo LAN party, Beth’s Mother’s Day present, some numbers, text communication, conflict resolution, Kim Kardashian’s surprising height, things Abe Lincoln survived, a character personality quiz,, twitter and snapchat. LAN Party - Peloton Treadmill - Kim Kardashian is actually 5’2” not 5’1”- J’s Video about NC - Personality quiz - John Green TikTok - yeah, he deleted that Tweet Delete - Dunning-Kruger Effect: There Was No Mountain Dew Sometimes You Need A Few Numbers In Your Day Haha I Don’t Want Google to Know Lying about North Carolina Indestructible Abe Ben is Ted Lasso Confirmed Maybe I Finally Get Snapchat 00:00 - Intro, Time Management 07:19 - LAN Party 13:40 - Peloton TREADMILL 20:32 - # 21:06 - Arguments Over Text 36:39 - Emojis 45:55 - Kim Kardashian 54:00 - False Facts about NC (and more facts about Lincoln) 1:00:07 - Fun Personality Test 1:08:20 - Interesting TikToks and Tweets</t>
        </is>
      </c>
      <c r="V1142" s="47">
        <f>IF(AND(P1142&gt;=Calendar!$K$2,P1142&lt;EDATE(Calendar!$K$2,1),OR(Calendar!$K$4="*",N1142=Calendar!$K$4)),P1142*100+COUNTIFS($P$6:$P$3267,P1142,$Q$6:$Q$3267,"&lt;="&amp;Q1142,$N$6:$N$3267,Calendar!$K$4),"")</f>
        <v/>
      </c>
      <c r="W1142" s="47">
        <f>IF(AND(B1142=Queue!$C$4,OR(Queue!$K$4="*",N1142=Queue!$K$4)),Q1142,"")</f>
        <v/>
      </c>
    </row>
    <row r="1143">
      <c r="A1143" s="38">
        <f>IF(M1143="","",HYPERLINK("https://www.youtube.com/watch?v="&amp;M1143,"▶"))</f>
        <v/>
      </c>
      <c r="B1143" s="39">
        <f>IF(C1143&lt;&gt;"",C1143,IF(P1143&lt;=IFERROR(INDEX(tblChannels[Watched Through],MATCH(N1143,tblChannels[Channel ID],0)),0),"Watched","Unwatched"))</f>
        <v/>
      </c>
      <c r="C1143" s="40" t="n"/>
      <c r="D1143" s="41" t="n"/>
      <c r="E1143" s="42" t="n">
        <v>44693.66597222222</v>
      </c>
      <c r="F1143" s="50" t="inlineStr">
        <is>
          <t>Super Carlin Brothers</t>
        </is>
      </c>
      <c r="G1143" t="inlineStr">
        <is>
          <t>Top UNANSWERED Questions from Doctor Strange Multiverse of Madness | Marvel Film Theory</t>
        </is>
      </c>
      <c r="H1143" s="44" t="n">
        <v>0.01128472222222222</v>
      </c>
      <c r="I1143" s="45" t="n">
        <v>141268</v>
      </c>
      <c r="J1143" s="45" t="n">
        <v>6790</v>
      </c>
      <c r="K1143" s="45" t="n">
        <v>641</v>
      </c>
      <c r="L1143" s="46" t="n"/>
      <c r="M1143" s="47" t="n"/>
      <c r="N1143" s="47" t="inlineStr">
        <is>
          <t>UCKZo4N0lVPccBkSiuyVh4yg</t>
        </is>
      </c>
      <c r="O1143" s="48" t="n">
        <v>44693.83263888889</v>
      </c>
      <c r="P1143" s="49" t="n">
        <v>44693</v>
      </c>
      <c r="Q1143" s="47" t="n">
        <v>2125</v>
      </c>
      <c r="R1143" s="47" t="inlineStr">
        <is>
          <t>No Video ID yet</t>
        </is>
      </c>
      <c r="S1143" s="49" t="n"/>
      <c r="T1143" s="49" t="n"/>
      <c r="U1143" s="47" t="inlineStr">
        <is>
          <t>See Ben &amp; J Live in Orlando!! Today Ben dives into Doctor Strange's wild Multiverse of Madness to try and answer all the big unanswered questions: Is Wanda Dead? Did other Wanda make another Hex? What did they appearance of the Illuminati mean? #SuperCarlinBrothers #DoctorStrange #Marvel</t>
        </is>
      </c>
      <c r="V1143" s="47">
        <f>IF(AND(P1143&gt;=Calendar!$K$2,P1143&lt;EDATE(Calendar!$K$2,1),OR(Calendar!$K$4="*",N1143=Calendar!$K$4)),P1143*100+COUNTIFS($P$6:$P$3267,P1143,$Q$6:$Q$3267,"&lt;="&amp;Q1143,$N$6:$N$3267,Calendar!$K$4),"")</f>
        <v/>
      </c>
      <c r="W1143" s="47">
        <f>IF(AND(B1143=Queue!$C$4,OR(Queue!$K$4="*",N1143=Queue!$K$4)),Q1143,"")</f>
        <v/>
      </c>
    </row>
    <row r="1144">
      <c r="A1144" s="38">
        <f>IF(M1144="","",HYPERLINK("https://www.youtube.com/watch?v="&amp;M1144,"▶"))</f>
        <v/>
      </c>
      <c r="B1144" s="39">
        <f>IF(C1144&lt;&gt;"",C1144,IF(P1144&lt;=IFERROR(INDEX(tblChannels[Watched Through],MATCH(N1144,tblChannels[Channel ID],0)),0),"Watched","Unwatched"))</f>
        <v/>
      </c>
      <c r="C1144" s="40" t="n"/>
      <c r="D1144" s="41" t="n"/>
      <c r="E1144" s="42" t="n">
        <v>44692.625</v>
      </c>
      <c r="F1144" s="52" t="inlineStr">
        <is>
          <t>Super Carlin Gaming</t>
        </is>
      </c>
      <c r="G1144" t="inlineStr">
        <is>
          <t>VENGEANCE On Aipom Hill |  Pokémon Legends: Arceus Nuzlocke #11</t>
        </is>
      </c>
      <c r="H1144" s="44" t="n">
        <v>0.02590277777777778</v>
      </c>
      <c r="I1144" s="45" t="n">
        <v>7470</v>
      </c>
      <c r="J1144" s="45" t="n">
        <v>464</v>
      </c>
      <c r="K1144" s="45" t="n">
        <v>123</v>
      </c>
      <c r="L1144" s="46" t="n"/>
      <c r="M1144" s="47" t="n"/>
      <c r="N1144" s="47" t="inlineStr">
        <is>
          <t>UCor_9jRnNNZVzTuQ92PKsaQ</t>
        </is>
      </c>
      <c r="O1144" s="48" t="n">
        <v>44692.79166666666</v>
      </c>
      <c r="P1144" s="49" t="n">
        <v>44692</v>
      </c>
      <c r="Q1144" s="47" t="n">
        <v>2124</v>
      </c>
      <c r="R1144" s="47" t="inlineStr">
        <is>
          <t>No Video ID yet</t>
        </is>
      </c>
      <c r="S1144" s="49" t="n"/>
      <c r="T1144" s="49" t="n"/>
      <c r="U1144" s="47" t="inlineStr">
        <is>
          <t>Today J and the team attempt to rebuild after recent losses and make their way to Aipom Hill. Will they get retribution, or be stopped in their tracks?!?</t>
        </is>
      </c>
      <c r="V1144" s="47">
        <f>IF(AND(P1144&gt;=Calendar!$K$2,P1144&lt;EDATE(Calendar!$K$2,1),OR(Calendar!$K$4="*",N1144=Calendar!$K$4)),P1144*100+COUNTIFS($P$6:$P$3267,P1144,$Q$6:$Q$3267,"&lt;="&amp;Q1144,$N$6:$N$3267,Calendar!$K$4),"")</f>
        <v/>
      </c>
      <c r="W1144" s="47">
        <f>IF(AND(B1144=Queue!$C$4,OR(Queue!$K$4="*",N1144=Queue!$K$4)),Q1144,"")</f>
        <v/>
      </c>
    </row>
    <row r="1145">
      <c r="A1145" s="38">
        <f>IF(M1145="","",HYPERLINK("https://www.youtube.com/watch?v="&amp;M1145,"▶"))</f>
        <v/>
      </c>
      <c r="B1145" s="39">
        <f>IF(C1145&lt;&gt;"",C1145,IF(P1145&lt;=IFERROR(INDEX(tblChannels[Watched Through],MATCH(N1145,tblChannels[Channel ID],0)),0),"Watched","Unwatched"))</f>
        <v/>
      </c>
      <c r="C1145" s="40" t="n"/>
      <c r="D1145" s="41" t="n"/>
      <c r="E1145" s="42" t="n">
        <v>44691.67708333334</v>
      </c>
      <c r="F1145" s="50" t="inlineStr">
        <is>
          <t>Super Carlin Brothers</t>
        </is>
      </c>
      <c r="G1145" t="inlineStr">
        <is>
          <t>Doctor Strange in the Multiverse of Madness Spoiler REVIEW</t>
        </is>
      </c>
      <c r="H1145" s="44" t="n">
        <v>0.03887731481481482</v>
      </c>
      <c r="I1145" s="45" t="n">
        <v>178361</v>
      </c>
      <c r="J1145" s="45" t="n">
        <v>6788</v>
      </c>
      <c r="K1145" s="45" t="n">
        <v>1176</v>
      </c>
      <c r="L1145" s="46" t="n"/>
      <c r="M1145" s="47" t="n"/>
      <c r="N1145" s="47" t="inlineStr">
        <is>
          <t>UCKZo4N0lVPccBkSiuyVh4yg</t>
        </is>
      </c>
      <c r="O1145" s="48" t="n">
        <v>44691.84375</v>
      </c>
      <c r="P1145" s="49" t="n">
        <v>44691</v>
      </c>
      <c r="Q1145" s="47" t="n">
        <v>2123</v>
      </c>
      <c r="R1145" s="47" t="inlineStr">
        <is>
          <t>No Video ID yet</t>
        </is>
      </c>
      <c r="S1145" s="49" t="n"/>
      <c r="T1145" s="49" t="n"/>
      <c r="U1145" s="47" t="inlineStr">
        <is>
          <t>Go to to get an extra 3 months free. Today J and Ben dive into Doctor Strange's wild Multiverse of Madness and give their full spoiler review of Marvel’s latest addition to the MCU! #SuperCarlinBrothers #DoctorStrange #Marvel</t>
        </is>
      </c>
      <c r="V1145" s="47">
        <f>IF(AND(P1145&gt;=Calendar!$K$2,P1145&lt;EDATE(Calendar!$K$2,1),OR(Calendar!$K$4="*",N1145=Calendar!$K$4)),P1145*100+COUNTIFS($P$6:$P$3267,P1145,$Q$6:$Q$3267,"&lt;="&amp;Q1145,$N$6:$N$3267,Calendar!$K$4),"")</f>
        <v/>
      </c>
      <c r="W1145" s="47">
        <f>IF(AND(B1145=Queue!$C$4,OR(Queue!$K$4="*",N1145=Queue!$K$4)),Q1145,"")</f>
        <v/>
      </c>
    </row>
    <row r="1146">
      <c r="A1146" s="38">
        <f>IF(M1146="","",HYPERLINK("https://www.youtube.com/watch?v="&amp;M1146,"▶"))</f>
        <v/>
      </c>
      <c r="B1146" s="39">
        <f>IF(C1146&lt;&gt;"",C1146,IF(P1146&lt;=IFERROR(INDEX(tblChannels[Watched Through],MATCH(N1146,tblChannels[Channel ID],0)),0),"Watched","Unwatched"))</f>
        <v/>
      </c>
      <c r="C1146" s="40" t="n"/>
      <c r="D1146" s="41" t="n"/>
      <c r="E1146" s="42" t="n">
        <v>44690.625</v>
      </c>
      <c r="F1146" s="53" t="inlineStr">
        <is>
          <t>Jonathan Carlin</t>
        </is>
      </c>
      <c r="G1146" t="inlineStr">
        <is>
          <t>I Rode My Peloton Bike for 30 Day in a Row - Here's What Happened</t>
        </is>
      </c>
      <c r="H1146" s="44" t="n">
        <v>0.01515046296296296</v>
      </c>
      <c r="I1146" s="45" t="n">
        <v>52822</v>
      </c>
      <c r="J1146" s="45" t="n">
        <v>1333</v>
      </c>
      <c r="K1146" s="45" t="n">
        <v>84</v>
      </c>
      <c r="L1146" s="46" t="n"/>
      <c r="M1146" s="47" t="n"/>
      <c r="N1146" s="47" t="inlineStr">
        <is>
          <t>UCYPKFe86e6nm4TVUYKLsFUQ</t>
        </is>
      </c>
      <c r="O1146" s="48" t="n">
        <v>44690.79166666666</v>
      </c>
      <c r="P1146" s="49" t="n">
        <v>44690</v>
      </c>
      <c r="Q1146" s="47" t="n">
        <v>2122</v>
      </c>
      <c r="R1146" s="47" t="inlineStr">
        <is>
          <t>No Video ID yet</t>
        </is>
      </c>
      <c r="S1146" s="49" t="n"/>
      <c r="T1146" s="49" t="n"/>
      <c r="U1146" s="47" t="inlineStr">
        <is>
          <t>I challenged myself to ride my Peloton Bike every single day for 30 days, here's what happened! YOU CAN DO HARD THINGS! This was seriously a really fun challenge, and while difficult at times I learned a lot about myself, which sounds silly for a stationary bike challenge but it's true. What other challenges should I try? This was 100% #notsponsored by peloton and just a challenge for myself, but if you are interested you can redeem a 60 day trial on the app here :: #Peloton #FitnessChallenge</t>
        </is>
      </c>
      <c r="V1146" s="47">
        <f>IF(AND(P1146&gt;=Calendar!$K$2,P1146&lt;EDATE(Calendar!$K$2,1),OR(Calendar!$K$4="*",N1146=Calendar!$K$4)),P1146*100+COUNTIFS($P$6:$P$3267,P1146,$Q$6:$Q$3267,"&lt;="&amp;Q1146,$N$6:$N$3267,Calendar!$K$4),"")</f>
        <v/>
      </c>
      <c r="W1146" s="47">
        <f>IF(AND(B1146=Queue!$C$4,OR(Queue!$K$4="*",N1146=Queue!$K$4)),Q1146,"")</f>
        <v/>
      </c>
    </row>
    <row r="1147">
      <c r="A1147" s="38">
        <f>IF(M1147="","",HYPERLINK("https://www.youtube.com/watch?v="&amp;M1147,"▶"))</f>
        <v/>
      </c>
      <c r="B1147" s="39">
        <f>IF(C1147&lt;&gt;"",C1147,IF(P1147&lt;=IFERROR(INDEX(tblChannels[Watched Through],MATCH(N1147,tblChannels[Channel ID],0)),0),"Watched","Unwatched"))</f>
        <v/>
      </c>
      <c r="C1147" s="40" t="n"/>
      <c r="D1147" s="41" t="n"/>
      <c r="E1147" s="42" t="n">
        <v>44687.5</v>
      </c>
      <c r="F1147" s="54" t="inlineStr">
        <is>
          <t>With the Carlins</t>
        </is>
      </c>
      <c r="G1147" t="inlineStr">
        <is>
          <t>Coolest Airbnb In The World</t>
        </is>
      </c>
      <c r="H1147" s="44" t="n">
        <v>0.01489583333333333</v>
      </c>
      <c r="I1147" s="45" t="n">
        <v>14368</v>
      </c>
      <c r="J1147" s="45" t="n">
        <v>890</v>
      </c>
      <c r="K1147" s="45" t="n">
        <v>71</v>
      </c>
      <c r="L1147" s="46" t="n"/>
      <c r="M1147" s="47" t="n"/>
      <c r="N1147" s="47" t="inlineStr">
        <is>
          <t>UCVBTjN9WJU5Ac8yU7b2K-5g</t>
        </is>
      </c>
      <c r="O1147" s="48" t="n">
        <v>44687.66666666666</v>
      </c>
      <c r="P1147" s="49" t="n">
        <v>44687</v>
      </c>
      <c r="Q1147" s="47" t="n">
        <v>2121</v>
      </c>
      <c r="R1147" s="47" t="inlineStr">
        <is>
          <t>No Video ID yet</t>
        </is>
      </c>
      <c r="S1147" s="49" t="n"/>
      <c r="T1147" s="49" t="n"/>
      <c r="U1147" s="47" t="inlineStr">
        <is>
          <t>This week Ally and I STAY IN THE COOLEST AIRBNB IN THE WORLD AND BY THE WORLD I MEAN NORTH CAROLINA Follow Us! :: I N S T A G R A M➜ and Ben Carlin #SuperCarlinBrothers #CarlinFamily #FamilyVlog</t>
        </is>
      </c>
      <c r="V1147" s="47">
        <f>IF(AND(P1147&gt;=Calendar!$K$2,P1147&lt;EDATE(Calendar!$K$2,1),OR(Calendar!$K$4="*",N1147=Calendar!$K$4)),P1147*100+COUNTIFS($P$6:$P$3267,P1147,$Q$6:$Q$3267,"&lt;="&amp;Q1147,$N$6:$N$3267,Calendar!$K$4),"")</f>
        <v/>
      </c>
      <c r="W1147" s="47">
        <f>IF(AND(B1147=Queue!$C$4,OR(Queue!$K$4="*",N1147=Queue!$K$4)),Q1147,"")</f>
        <v/>
      </c>
    </row>
    <row r="1148">
      <c r="A1148" s="38">
        <f>IF(M1148="","",HYPERLINK("https://www.youtube.com/watch?v="&amp;M1148,"▶"))</f>
        <v/>
      </c>
      <c r="B1148" s="39">
        <f>IF(C1148&lt;&gt;"",C1148,IF(P1148&lt;=IFERROR(INDEX(tblChannels[Watched Through],MATCH(N1148,tblChannels[Channel ID],0)),0),"Watched","Unwatched"))</f>
        <v/>
      </c>
      <c r="C1148" s="40" t="n"/>
      <c r="D1148" s="41" t="n"/>
      <c r="E1148" s="42" t="n">
        <v>44687.41666666666</v>
      </c>
      <c r="F1148" s="43" t="inlineStr">
        <is>
          <t>Popcorn Culture</t>
        </is>
      </c>
      <c r="G1148" t="inlineStr">
        <is>
          <t>WE WON THE ROANOKER | Popcorn Culture</t>
        </is>
      </c>
      <c r="H1148" s="44" t="n">
        <v>0.04704861111111111</v>
      </c>
      <c r="I1148" s="45" t="n">
        <v>7612</v>
      </c>
      <c r="J1148" s="45" t="n">
        <v>454</v>
      </c>
      <c r="K1148" s="45" t="n">
        <v>55</v>
      </c>
      <c r="L1148" s="46" t="n"/>
      <c r="M1148" s="47" t="n"/>
      <c r="N1148" s="47" t="inlineStr">
        <is>
          <t>UCHfIbq9thHPC8yrKjAdJgDA</t>
        </is>
      </c>
      <c r="O1148" s="48" t="n">
        <v>44687.58333333334</v>
      </c>
      <c r="P1148" s="49" t="n">
        <v>44687</v>
      </c>
      <c r="Q1148" s="47" t="n">
        <v>2120</v>
      </c>
      <c r="R1148" s="47" t="inlineStr">
        <is>
          <t>No Video ID yet</t>
        </is>
      </c>
      <c r="S1148" s="49" t="n"/>
      <c r="T1148" s="49" t="n"/>
      <c r="U1148" s="47" t="inlineStr">
        <is>
          <t>In the 126th episode of the pop, Ben and J discuss Roanoker updates, billboards, motivation after completing big goals, more Abe Lincoln Fun Facts, the recognizability of Harry Houdini, and J’s secret love of magic tricks. Accepted- Lincoln Fact Source - Harry Houdini (in case you don’t know) - Collective Wick of the Peek (don’t actually look at this though) - The Prestige: Platinum Level Experience WE’RE ON A BILLBOARD! Move to Roanoke - Be on a Billboard What Comes After Everest? Lincoln Owned a Liquor Store Magic is Cool Man 00:00 - Intro, Roanoker Magazine Results 04:36 - ELEMENT OF SURPRISE Billboard edition 18:45 - Motivation Post-Accomplishment 37:38 - What Would You Do If You Had Nothing to Do? 44:14 - Abe Lincoln Fun Facts 50:53 - Harry Houdini and Magic Tricks</t>
        </is>
      </c>
      <c r="V1148" s="47">
        <f>IF(AND(P1148&gt;=Calendar!$K$2,P1148&lt;EDATE(Calendar!$K$2,1),OR(Calendar!$K$4="*",N1148=Calendar!$K$4)),P1148*100+COUNTIFS($P$6:$P$3267,P1148,$Q$6:$Q$3267,"&lt;="&amp;Q1148,$N$6:$N$3267,Calendar!$K$4),"")</f>
        <v/>
      </c>
      <c r="W1148" s="47">
        <f>IF(AND(B1148=Queue!$C$4,OR(Queue!$K$4="*",N1148=Queue!$K$4)),Q1148,"")</f>
        <v/>
      </c>
    </row>
    <row r="1149">
      <c r="A1149" s="38">
        <f>IF(M1149="","",HYPERLINK("https://www.youtube.com/watch?v="&amp;M1149,"▶"))</f>
        <v/>
      </c>
      <c r="B1149" s="39">
        <f>IF(C1149&lt;&gt;"",C1149,IF(P1149&lt;=IFERROR(INDEX(tblChannels[Watched Through],MATCH(N1149,tblChannels[Channel ID],0)),0),"Watched","Unwatched"))</f>
        <v/>
      </c>
      <c r="C1149" s="40" t="n"/>
      <c r="D1149" s="41" t="n"/>
      <c r="E1149" s="42" t="n">
        <v>44686.625</v>
      </c>
      <c r="F1149" s="50" t="inlineStr">
        <is>
          <t>Super Carlin Brothers</t>
        </is>
      </c>
      <c r="G1149" t="inlineStr">
        <is>
          <t>The Lightyear Timeline Makes NO Sense | Pixar Film Theory</t>
        </is>
      </c>
      <c r="H1149" s="44" t="n">
        <v>0.01152777777777778</v>
      </c>
      <c r="I1149" s="45" t="n">
        <v>255942</v>
      </c>
      <c r="J1149" s="45" t="n">
        <v>11354</v>
      </c>
      <c r="K1149" s="45" t="n">
        <v>1926</v>
      </c>
      <c r="L1149" s="46" t="n"/>
      <c r="M1149" s="47" t="n"/>
      <c r="N1149" s="47" t="inlineStr">
        <is>
          <t>UCKZo4N0lVPccBkSiuyVh4yg</t>
        </is>
      </c>
      <c r="O1149" s="48" t="n">
        <v>44686.79166666666</v>
      </c>
      <c r="P1149" s="49" t="n">
        <v>44686</v>
      </c>
      <c r="Q1149" s="47" t="n">
        <v>2119</v>
      </c>
      <c r="R1149" s="47" t="inlineStr">
        <is>
          <t>No Video ID yet</t>
        </is>
      </c>
      <c r="S1149" s="49" t="n"/>
      <c r="T1149" s="49" t="n"/>
      <c r="U1149" s="47" t="inlineStr">
        <is>
          <t>Go to and use code super to get 20% off your first monthly box. Today Ben dives into the world of the Pixar Theory to examine the new Lightyear Trailer and if it will BREAK the Pixar Theory! #SuperCarlinBrothers #Lightyear #Pixar</t>
        </is>
      </c>
      <c r="V1149" s="47">
        <f>IF(AND(P1149&gt;=Calendar!$K$2,P1149&lt;EDATE(Calendar!$K$2,1),OR(Calendar!$K$4="*",N1149=Calendar!$K$4)),P1149*100+COUNTIFS($P$6:$P$3267,P1149,$Q$6:$Q$3267,"&lt;="&amp;Q1149,$N$6:$N$3267,Calendar!$K$4),"")</f>
        <v/>
      </c>
      <c r="W1149" s="47">
        <f>IF(AND(B1149=Queue!$C$4,OR(Queue!$K$4="*",N1149=Queue!$K$4)),Q1149,"")</f>
        <v/>
      </c>
    </row>
    <row r="1150">
      <c r="A1150" s="38">
        <f>IF(M1150="","",HYPERLINK("https://www.youtube.com/watch?v="&amp;M1150,"▶"))</f>
        <v/>
      </c>
      <c r="B1150" s="39">
        <f>IF(C1150&lt;&gt;"",C1150,IF(P1150&lt;=IFERROR(INDEX(tblChannels[Watched Through],MATCH(N1150,tblChannels[Channel ID],0)),0),"Watched","Unwatched"))</f>
        <v/>
      </c>
      <c r="C1150" s="40" t="n"/>
      <c r="D1150" s="41" t="n"/>
      <c r="E1150" s="42" t="n">
        <v>44685.625</v>
      </c>
      <c r="F1150" s="52" t="inlineStr">
        <is>
          <t>Super Carlin Gaming</t>
        </is>
      </c>
      <c r="G1150" t="inlineStr">
        <is>
          <t>Prepare For Trouble... And Make It Double |  Pokémon Legends: Arceus Nuzlocke #10</t>
        </is>
      </c>
      <c r="H1150" s="44" t="n">
        <v>0.02855324074074074</v>
      </c>
      <c r="I1150" s="45" t="n">
        <v>8441</v>
      </c>
      <c r="J1150" s="45" t="n">
        <v>472</v>
      </c>
      <c r="K1150" s="45" t="n">
        <v>184</v>
      </c>
      <c r="L1150" s="46" t="n"/>
      <c r="M1150" s="47" t="n"/>
      <c r="N1150" s="47" t="inlineStr">
        <is>
          <t>UCor_9jRnNNZVzTuQ92PKsaQ</t>
        </is>
      </c>
      <c r="O1150" s="48" t="n">
        <v>44685.79166666666</v>
      </c>
      <c r="P1150" s="49" t="n">
        <v>44685</v>
      </c>
      <c r="Q1150" s="47" t="n">
        <v>2118</v>
      </c>
      <c r="R1150" s="47" t="inlineStr">
        <is>
          <t>No Video ID yet</t>
        </is>
      </c>
      <c r="S1150" s="49" t="n"/>
      <c r="T1150" s="49" t="n"/>
      <c r="U1150" s="47" t="inlineStr">
        <is>
          <t>This week J and the team try and advance the plot and try to help out a guy with some Aipoms... last time we ever do anyone else a favor.. i'll tell you that!</t>
        </is>
      </c>
      <c r="V1150" s="47">
        <f>IF(AND(P1150&gt;=Calendar!$K$2,P1150&lt;EDATE(Calendar!$K$2,1),OR(Calendar!$K$4="*",N1150=Calendar!$K$4)),P1150*100+COUNTIFS($P$6:$P$3267,P1150,$Q$6:$Q$3267,"&lt;="&amp;Q1150,$N$6:$N$3267,Calendar!$K$4),"")</f>
        <v/>
      </c>
      <c r="W1150" s="47">
        <f>IF(AND(B1150=Queue!$C$4,OR(Queue!$K$4="*",N1150=Queue!$K$4)),Q1150,"")</f>
        <v/>
      </c>
    </row>
    <row r="1151">
      <c r="A1151" s="38">
        <f>IF(M1151="","",HYPERLINK("https://www.youtube.com/watch?v="&amp;M1151,"▶"))</f>
        <v/>
      </c>
      <c r="B1151" s="39">
        <f>IF(C1151&lt;&gt;"",C1151,IF(P1151&lt;=IFERROR(INDEX(tblChannels[Watched Through],MATCH(N1151,tblChannels[Channel ID],0)),0),"Watched","Unwatched"))</f>
        <v/>
      </c>
      <c r="C1151" s="40" t="n"/>
      <c r="D1151" s="41" t="n"/>
      <c r="E1151" s="42" t="n">
        <v>44684.66388888889</v>
      </c>
      <c r="F1151" s="50" t="inlineStr">
        <is>
          <t>Super Carlin Brothers</t>
        </is>
      </c>
      <c r="G1151" t="inlineStr">
        <is>
          <t>Who Is Credence’s Mother? | Harry Potter Film Theory</t>
        </is>
      </c>
      <c r="H1151" s="44" t="n">
        <v>0.01210648148148148</v>
      </c>
      <c r="I1151" s="45" t="n">
        <v>297592</v>
      </c>
      <c r="J1151" s="45" t="n">
        <v>11334</v>
      </c>
      <c r="K1151" s="45" t="n">
        <v>916</v>
      </c>
      <c r="L1151" s="46" t="n"/>
      <c r="M1151" s="47" t="n"/>
      <c r="N1151" s="47" t="inlineStr">
        <is>
          <t>UCKZo4N0lVPccBkSiuyVh4yg</t>
        </is>
      </c>
      <c r="O1151" s="48" t="n">
        <v>44684.83055555556</v>
      </c>
      <c r="P1151" s="49" t="n">
        <v>44684</v>
      </c>
      <c r="Q1151" s="47" t="n">
        <v>2117</v>
      </c>
      <c r="R1151" s="47" t="inlineStr">
        <is>
          <t>No Video ID yet</t>
        </is>
      </c>
      <c r="S1151" s="49" t="n"/>
      <c r="T1151" s="49" t="n"/>
      <c r="U1151" s="47" t="inlineStr">
        <is>
          <t>Go to to get 15% off your first order. Embroidered Shirts :: Today J dives into the Wizarding World of Harry Potter and Fantastic Beasts: The Secrets of Dumbledore to find out Who is Credence’s mother! #SuperCarlinBrothers #HarryPotter #SecretsOfDumbledore</t>
        </is>
      </c>
      <c r="V1151" s="47">
        <f>IF(AND(P1151&gt;=Calendar!$K$2,P1151&lt;EDATE(Calendar!$K$2,1),OR(Calendar!$K$4="*",N1151=Calendar!$K$4)),P1151*100+COUNTIFS($P$6:$P$3267,P1151,$Q$6:$Q$3267,"&lt;="&amp;Q1151,$N$6:$N$3267,Calendar!$K$4),"")</f>
        <v/>
      </c>
      <c r="W1151" s="47">
        <f>IF(AND(B1151=Queue!$C$4,OR(Queue!$K$4="*",N1151=Queue!$K$4)),Q1151,"")</f>
        <v/>
      </c>
    </row>
    <row r="1152">
      <c r="A1152" s="38">
        <f>IF(M1152="","",HYPERLINK("https://www.youtube.com/watch?v="&amp;M1152,"▶"))</f>
        <v/>
      </c>
      <c r="B1152" s="39">
        <f>IF(C1152&lt;&gt;"",C1152,IF(P1152&lt;=IFERROR(INDEX(tblChannels[Watched Through],MATCH(N1152,tblChannels[Channel ID],0)),0),"Watched","Unwatched"))</f>
        <v/>
      </c>
      <c r="C1152" s="40" t="n"/>
      <c r="D1152" s="41" t="n"/>
      <c r="E1152" s="42" t="n">
        <v>44680.5</v>
      </c>
      <c r="F1152" s="54" t="inlineStr">
        <is>
          <t>With the Carlins</t>
        </is>
      </c>
      <c r="G1152" t="inlineStr">
        <is>
          <t>Navigating Life's Daily Obstacles</t>
        </is>
      </c>
      <c r="H1152" s="44" t="n">
        <v>0.01804398148148148</v>
      </c>
      <c r="I1152" s="45" t="n">
        <v>14543</v>
      </c>
      <c r="J1152" s="45" t="n">
        <v>1105</v>
      </c>
      <c r="K1152" s="45" t="n">
        <v>117</v>
      </c>
      <c r="L1152" s="46" t="n"/>
      <c r="M1152" s="47" t="n"/>
      <c r="N1152" s="47" t="inlineStr">
        <is>
          <t>UCVBTjN9WJU5Ac8yU7b2K-5g</t>
        </is>
      </c>
      <c r="O1152" s="48" t="n">
        <v>44680.66666666666</v>
      </c>
      <c r="P1152" s="49" t="n">
        <v>44680</v>
      </c>
      <c r="Q1152" s="47" t="n">
        <v>2116</v>
      </c>
      <c r="R1152" s="47" t="inlineStr">
        <is>
          <t>No Video ID yet</t>
        </is>
      </c>
      <c r="S1152" s="49" t="n"/>
      <c r="T1152" s="49" t="n"/>
      <c r="U1152" s="47" t="inlineStr">
        <is>
          <t>This week Ally and I give some important life updates, make some questionable cookie dough, bake some really orange pancakes and build a big tent! Follow Us! :: I N S T A G R A M➜ and Ben Carlin #SuperCarlinBrothers #CarlinFamily #FamilyVlog</t>
        </is>
      </c>
      <c r="V1152" s="47">
        <f>IF(AND(P1152&gt;=Calendar!$K$2,P1152&lt;EDATE(Calendar!$K$2,1),OR(Calendar!$K$4="*",N1152=Calendar!$K$4)),P1152*100+COUNTIFS($P$6:$P$3267,P1152,$Q$6:$Q$3267,"&lt;="&amp;Q1152,$N$6:$N$3267,Calendar!$K$4),"")</f>
        <v/>
      </c>
      <c r="W1152" s="47">
        <f>IF(AND(B1152=Queue!$C$4,OR(Queue!$K$4="*",N1152=Queue!$K$4)),Q1152,"")</f>
        <v/>
      </c>
    </row>
    <row r="1153">
      <c r="A1153" s="38">
        <f>IF(M1153="","",HYPERLINK("https://www.youtube.com/watch?v="&amp;M1153,"▶"))</f>
        <v/>
      </c>
      <c r="B1153" s="39">
        <f>IF(C1153&lt;&gt;"",C1153,IF(P1153&lt;=IFERROR(INDEX(tblChannels[Watched Through],MATCH(N1153,tblChannels[Channel ID],0)),0),"Watched","Unwatched"))</f>
        <v/>
      </c>
      <c r="C1153" s="40" t="n"/>
      <c r="D1153" s="41" t="n"/>
      <c r="E1153" s="42" t="n">
        <v>44680.41666666666</v>
      </c>
      <c r="F1153" s="43" t="inlineStr">
        <is>
          <t>Popcorn Culture</t>
        </is>
      </c>
      <c r="G1153" t="inlineStr">
        <is>
          <t>Bubbles For Adults | Popcorn Culture</t>
        </is>
      </c>
      <c r="H1153" s="44" t="n">
        <v>0.04422453703703703</v>
      </c>
      <c r="I1153" s="45" t="n">
        <v>8014</v>
      </c>
      <c r="J1153" s="45" t="n">
        <v>392</v>
      </c>
      <c r="K1153" s="45" t="n">
        <v>42</v>
      </c>
      <c r="L1153" s="46" t="n"/>
      <c r="M1153" s="47" t="n"/>
      <c r="N1153" s="47" t="inlineStr">
        <is>
          <t>UCHfIbq9thHPC8yrKjAdJgDA</t>
        </is>
      </c>
      <c r="O1153" s="48" t="n">
        <v>44680.58333333334</v>
      </c>
      <c r="P1153" s="49" t="n">
        <v>44680</v>
      </c>
      <c r="Q1153" s="47" t="n">
        <v>2115</v>
      </c>
      <c r="R1153" s="47" t="inlineStr">
        <is>
          <t>No Video ID yet</t>
        </is>
      </c>
      <c r="S1153" s="49" t="n"/>
      <c r="T1153" s="49" t="n"/>
      <c r="U1153" s="47" t="inlineStr">
        <is>
          <t xml:space="preserve">Ben and J discuss: plant echo chambers, not bending over, yoga, appliances not working, the Car Paradox, fashion and confidence, Plato’s Allegory of the Cave, prohibition, the history of powdered wine, Ben’s new 3-D printer, Lincoln’s vineyard, niche interests, and a throwback to our bad cocktail idea. If you want us to stay AD FREE in 2023 (and get your special popcorn culture flag), follow us on Patreon! You can also track the progress of how close we are to meeting our goals! Houndsy Kibble Dispenser - Tai Chi - Book that talks about The Car Paradox - Plato’s Cave Tik Tok - Reddit Post about Wine Bricks - Series of Unfortunate Events - Pop Episode 31 where we invent Wurdle - J’s Wick of the Peek: The Plant Sprayer - The Nature of Plants The Wrong Way to Think About Yoga Time to Change My Entire Life Again There’s No Right Way to Own a Cool Car Am I the One in the Cave? Brick of Wine Lego - Prohibition on Toys Anticipation of the Magic 00:00 - Ad Free 2023, Intro and Wicks of the Peek! 06:43 - No More Bending Over 11:20 - Getting Into Yoga 15:39 - The Car Paradox 29:39 - Plato’s Allegory of the Cave 40:56 - Space Wine is Real!!! 45:22 - 3-D Printer 51:57 - More Wonderings on Abe </t>
        </is>
      </c>
      <c r="V1153" s="47">
        <f>IF(AND(P1153&gt;=Calendar!$K$2,P1153&lt;EDATE(Calendar!$K$2,1),OR(Calendar!$K$4="*",N1153=Calendar!$K$4)),P1153*100+COUNTIFS($P$6:$P$3267,P1153,$Q$6:$Q$3267,"&lt;="&amp;Q1153,$N$6:$N$3267,Calendar!$K$4),"")</f>
        <v/>
      </c>
      <c r="W1153" s="47">
        <f>IF(AND(B1153=Queue!$C$4,OR(Queue!$K$4="*",N1153=Queue!$K$4)),Q1153,"")</f>
        <v/>
      </c>
    </row>
    <row r="1154">
      <c r="A1154" s="38">
        <f>IF(M1154="","",HYPERLINK("https://www.youtube.com/watch?v="&amp;M1154,"▶"))</f>
        <v/>
      </c>
      <c r="B1154" s="39">
        <f>IF(C1154&lt;&gt;"",C1154,IF(P1154&lt;=IFERROR(INDEX(tblChannels[Watched Through],MATCH(N1154,tblChannels[Channel ID],0)),0),"Watched","Unwatched"))</f>
        <v/>
      </c>
      <c r="C1154" s="40" t="n"/>
      <c r="D1154" s="41" t="n"/>
      <c r="E1154" s="42" t="n">
        <v>44679.79305555556</v>
      </c>
      <c r="F1154" s="50" t="inlineStr">
        <is>
          <t>Super Carlin Brothers</t>
        </is>
      </c>
      <c r="G1154" t="inlineStr">
        <is>
          <t>We Rank EVERY Pixar Movie | J vs Ben: Tier List</t>
        </is>
      </c>
      <c r="H1154" s="44" t="n">
        <v>0.05034722222222222</v>
      </c>
      <c r="I1154" s="45" t="n">
        <v>372131</v>
      </c>
      <c r="J1154" s="45" t="n">
        <v>8153</v>
      </c>
      <c r="K1154" s="45" t="n">
        <v>925</v>
      </c>
      <c r="L1154" s="46" t="n"/>
      <c r="M1154" s="47" t="n"/>
      <c r="N1154" s="47" t="inlineStr">
        <is>
          <t>UCKZo4N0lVPccBkSiuyVh4yg</t>
        </is>
      </c>
      <c r="O1154" s="48" t="n">
        <v>44679.95972222222</v>
      </c>
      <c r="P1154" s="49" t="n">
        <v>44679</v>
      </c>
      <c r="Q1154" s="47" t="n">
        <v>2114</v>
      </c>
      <c r="R1154" s="47" t="inlineStr">
        <is>
          <t>No Video ID yet</t>
        </is>
      </c>
      <c r="S1154" s="49" t="n"/>
      <c r="T1154" s="49" t="n"/>
      <c r="U1154" s="47" t="inlineStr">
        <is>
          <t>Go to to get Honey for FREE! Go to and use promo code JVSB to get a 4-week trial, free postage, and a digital scale. Today J and Ben face off and rank EVERY Pixar movie from Toy Story to Turning Red! Which will be top tier and what’s on par with Cars 2? Make your own list :: DISCORD ➜ #SuperCarlinBrothers #Pixar #TierMaker</t>
        </is>
      </c>
      <c r="V1154" s="47">
        <f>IF(AND(P1154&gt;=Calendar!$K$2,P1154&lt;EDATE(Calendar!$K$2,1),OR(Calendar!$K$4="*",N1154=Calendar!$K$4)),P1154*100+COUNTIFS($P$6:$P$3267,P1154,$Q$6:$Q$3267,"&lt;="&amp;Q1154,$N$6:$N$3267,Calendar!$K$4),"")</f>
        <v/>
      </c>
      <c r="W1154" s="47">
        <f>IF(AND(B1154=Queue!$C$4,OR(Queue!$K$4="*",N1154=Queue!$K$4)),Q1154,"")</f>
        <v/>
      </c>
    </row>
    <row r="1155">
      <c r="A1155" s="38">
        <f>IF(M1155="","",HYPERLINK("https://www.youtube.com/watch?v="&amp;M1155,"▶"))</f>
        <v/>
      </c>
      <c r="B1155" s="39">
        <f>IF(C1155&lt;&gt;"",C1155,IF(P1155&lt;=IFERROR(INDEX(tblChannels[Watched Through],MATCH(N1155,tblChannels[Channel ID],0)),0),"Watched","Unwatched"))</f>
        <v/>
      </c>
      <c r="C1155" s="40" t="n"/>
      <c r="D1155" s="41" t="n"/>
      <c r="E1155" s="42" t="n">
        <v>44678.625</v>
      </c>
      <c r="F1155" s="52" t="inlineStr">
        <is>
          <t>Super Carlin Gaming</t>
        </is>
      </c>
      <c r="G1155" t="inlineStr">
        <is>
          <t>THE GREAT SCORPION HUNT |  Pokémon Legends: Arceus Nuzlocke #9</t>
        </is>
      </c>
      <c r="H1155" s="44" t="n">
        <v>0.02314814814814815</v>
      </c>
      <c r="I1155" s="45" t="n">
        <v>8251</v>
      </c>
      <c r="J1155" s="45" t="n">
        <v>501</v>
      </c>
      <c r="K1155" s="45" t="n">
        <v>185</v>
      </c>
      <c r="L1155" s="46" t="n"/>
      <c r="M1155" s="47" t="n"/>
      <c r="N1155" s="47" t="inlineStr">
        <is>
          <t>UCor_9jRnNNZVzTuQ92PKsaQ</t>
        </is>
      </c>
      <c r="O1155" s="48" t="n">
        <v>44678.79166666666</v>
      </c>
      <c r="P1155" s="49" t="n">
        <v>44678</v>
      </c>
      <c r="Q1155" s="47" t="n">
        <v>2113</v>
      </c>
      <c r="R1155" s="47" t="inlineStr">
        <is>
          <t>No Video ID yet</t>
        </is>
      </c>
      <c r="S1155" s="49" t="n"/>
      <c r="T1155" s="49" t="n"/>
      <c r="U1155" s="47" t="inlineStr">
        <is>
          <t>This week J and the team plan on being productive but get immediately side tracked by a very large scorpion.. you'll see.</t>
        </is>
      </c>
      <c r="V1155" s="47">
        <f>IF(AND(P1155&gt;=Calendar!$K$2,P1155&lt;EDATE(Calendar!$K$2,1),OR(Calendar!$K$4="*",N1155=Calendar!$K$4)),P1155*100+COUNTIFS($P$6:$P$3267,P1155,$Q$6:$Q$3267,"&lt;="&amp;Q1155,$N$6:$N$3267,Calendar!$K$4),"")</f>
        <v/>
      </c>
      <c r="W1155" s="47">
        <f>IF(AND(B1155=Queue!$C$4,OR(Queue!$K$4="*",N1155=Queue!$K$4)),Q1155,"")</f>
        <v/>
      </c>
    </row>
    <row r="1156">
      <c r="A1156" s="38">
        <f>IF(M1156="","",HYPERLINK("https://www.youtube.com/watch?v="&amp;M1156,"▶"))</f>
        <v/>
      </c>
      <c r="B1156" s="39">
        <f>IF(C1156&lt;&gt;"",C1156,IF(P1156&lt;=IFERROR(INDEX(tblChannels[Watched Through],MATCH(N1156,tblChannels[Channel ID],0)),0),"Watched","Unwatched"))</f>
        <v/>
      </c>
      <c r="C1156" s="40" t="n"/>
      <c r="D1156" s="41" t="n"/>
      <c r="E1156" s="42" t="n">
        <v>44677.75</v>
      </c>
      <c r="F1156" s="53" t="inlineStr">
        <is>
          <t>Jonathan Carlin</t>
        </is>
      </c>
      <c r="G1156" t="inlineStr">
        <is>
          <t>The One In The Room Where It Happens!</t>
        </is>
      </c>
      <c r="H1156" s="44" t="n">
        <v>0.01204861111111111</v>
      </c>
      <c r="I1156" s="45" t="n">
        <v>13402</v>
      </c>
      <c r="J1156" s="45" t="n">
        <v>873</v>
      </c>
      <c r="K1156" s="45" t="n">
        <v>59</v>
      </c>
      <c r="L1156" s="46" t="n"/>
      <c r="M1156" s="47" t="n"/>
      <c r="N1156" s="47" t="inlineStr">
        <is>
          <t>UCYPKFe86e6nm4TVUYKLsFUQ</t>
        </is>
      </c>
      <c r="O1156" s="48" t="n">
        <v>44677.91666666666</v>
      </c>
      <c r="P1156" s="49" t="n">
        <v>44677</v>
      </c>
      <c r="Q1156" s="47" t="n">
        <v>2112</v>
      </c>
      <c r="R1156" s="47" t="inlineStr">
        <is>
          <t>No Video ID yet</t>
        </is>
      </c>
      <c r="S1156" s="49" t="n"/>
      <c r="T1156" s="49" t="n"/>
      <c r="U1156" s="47" t="inlineStr">
        <is>
          <t>This week J and Beth take a trip to NC to see Hamilton! Beth runs a VERY hard half marathon and the boys are train for and take part in an EPIC Easter Egg hunt! Edited by Ethan Edghill</t>
        </is>
      </c>
      <c r="V1156" s="47">
        <f>IF(AND(P1156&gt;=Calendar!$K$2,P1156&lt;EDATE(Calendar!$K$2,1),OR(Calendar!$K$4="*",N1156=Calendar!$K$4)),P1156*100+COUNTIFS($P$6:$P$3267,P1156,$Q$6:$Q$3267,"&lt;="&amp;Q1156,$N$6:$N$3267,Calendar!$K$4),"")</f>
        <v/>
      </c>
      <c r="W1156" s="47">
        <f>IF(AND(B1156=Queue!$C$4,OR(Queue!$K$4="*",N1156=Queue!$K$4)),Q1156,"")</f>
        <v/>
      </c>
    </row>
    <row r="1157">
      <c r="A1157" s="38">
        <f>IF(M1157="","",HYPERLINK("https://www.youtube.com/watch?v="&amp;M1157,"▶"))</f>
        <v/>
      </c>
      <c r="B1157" s="39">
        <f>IF(C1157&lt;&gt;"",C1157,IF(P1157&lt;=IFERROR(INDEX(tblChannels[Watched Through],MATCH(N1157,tblChannels[Channel ID],0)),0),"Watched","Unwatched"))</f>
        <v/>
      </c>
      <c r="C1157" s="40" t="n"/>
      <c r="D1157" s="41" t="n"/>
      <c r="E1157" s="42" t="n">
        <v>44677.69652777778</v>
      </c>
      <c r="F1157" s="50" t="inlineStr">
        <is>
          <t>Super Carlin Brothers</t>
        </is>
      </c>
      <c r="G1157" t="inlineStr">
        <is>
          <t>The Elder Wand Has A BROTHER | Harry Potter Film Theory</t>
        </is>
      </c>
      <c r="H1157" s="44" t="n">
        <v>0.01050925925925926</v>
      </c>
      <c r="I1157" s="45" t="n">
        <v>680607</v>
      </c>
      <c r="J1157" s="45" t="n">
        <v>20875</v>
      </c>
      <c r="K1157" s="45" t="n">
        <v>1694</v>
      </c>
      <c r="L1157" s="46" t="n"/>
      <c r="M1157" s="47" t="n"/>
      <c r="N1157" s="47" t="inlineStr">
        <is>
          <t>UCKZo4N0lVPccBkSiuyVh4yg</t>
        </is>
      </c>
      <c r="O1157" s="48" t="n">
        <v>44677.86319444444</v>
      </c>
      <c r="P1157" s="49" t="n">
        <v>44677</v>
      </c>
      <c r="Q1157" s="47" t="n">
        <v>2111</v>
      </c>
      <c r="R1157" s="47" t="inlineStr">
        <is>
          <t>No Video ID yet</t>
        </is>
      </c>
      <c r="S1157" s="49" t="n"/>
      <c r="T1157" s="49" t="n"/>
      <c r="U1157" s="47" t="inlineStr">
        <is>
          <t>Today J dives into the Wizarding World of Harry Potter to discuss another of the secrets of Dumbledore and the the dark origin of his wand and how its related to the Elder Wand and the Peverell Brothers! #SuperCarlinBrothers #SecretsOfDumbledore #HarryPotter</t>
        </is>
      </c>
      <c r="V1157" s="47">
        <f>IF(AND(P1157&gt;=Calendar!$K$2,P1157&lt;EDATE(Calendar!$K$2,1),OR(Calendar!$K$4="*",N1157=Calendar!$K$4)),P1157*100+COUNTIFS($P$6:$P$3267,P1157,$Q$6:$Q$3267,"&lt;="&amp;Q1157,$N$6:$N$3267,Calendar!$K$4),"")</f>
        <v/>
      </c>
      <c r="W1157" s="47">
        <f>IF(AND(B1157=Queue!$C$4,OR(Queue!$K$4="*",N1157=Queue!$K$4)),Q1157,"")</f>
        <v/>
      </c>
    </row>
    <row r="1158">
      <c r="A1158" s="38">
        <f>IF(M1158="","",HYPERLINK("https://www.youtube.com/watch?v="&amp;M1158,"▶"))</f>
        <v/>
      </c>
      <c r="B1158" s="39">
        <f>IF(C1158&lt;&gt;"",C1158,IF(P1158&lt;=IFERROR(INDEX(tblChannels[Watched Through],MATCH(N1158,tblChannels[Channel ID],0)),0),"Watched","Unwatched"))</f>
        <v/>
      </c>
      <c r="C1158" s="40" t="n"/>
      <c r="D1158" s="41" t="n"/>
      <c r="E1158" s="42" t="n">
        <v>44673.41666666666</v>
      </c>
      <c r="F1158" s="43" t="inlineStr">
        <is>
          <t>Popcorn Culture</t>
        </is>
      </c>
      <c r="G1158" t="inlineStr">
        <is>
          <t>Ninjas vs. Aliens | Popcorn Culture</t>
        </is>
      </c>
      <c r="H1158" s="44" t="n">
        <v>0.0461574074074074</v>
      </c>
      <c r="I1158" s="45" t="n">
        <v>7058</v>
      </c>
      <c r="J1158" s="45" t="n">
        <v>349</v>
      </c>
      <c r="K1158" s="45" t="n">
        <v>26</v>
      </c>
      <c r="L1158" s="46" t="n"/>
      <c r="M1158" s="47" t="n"/>
      <c r="N1158" s="47" t="inlineStr">
        <is>
          <t>UCHfIbq9thHPC8yrKjAdJgDA</t>
        </is>
      </c>
      <c r="O1158" s="48" t="n">
        <v>44673.58333333334</v>
      </c>
      <c r="P1158" s="49" t="n">
        <v>44673</v>
      </c>
      <c r="Q1158" s="47" t="n">
        <v>2110</v>
      </c>
      <c r="R1158" s="47" t="inlineStr">
        <is>
          <t>No Video ID yet</t>
        </is>
      </c>
      <c r="S1158" s="49" t="n"/>
      <c r="T1158" s="49" t="n"/>
      <c r="U1158" s="47" t="inlineStr">
        <is>
          <t>In the 124th episode of the Pop, Ben and J discuss more health challenge updates, veins (skip to 09:15 if that freaks you out), dopamine hits, motivational sayings, woodworking, our generations retirement hobbies, toys, rocks and gemstones. Show Notes 7 Habits of Highly Effective People - Dopamine Nation - The Fault in Our Stars - Cars - Wall-E - Erosion machine - Snow White - I Will NOT Lose My Streak Gotta Show Everyone the Pythons You Can Do Hard Things You’ll Think of Something The 7 Dwarfs ACTUALLY Own the Kingdom It Always Comes Back to Treasure The Driveway STRIKES AGAIN! 00:00 - Intro, 75 Hard Update 06:41 - Weird Vein Talk 09:15 - Peloton Update 14:37 - Reading 23:03 - Motivational Phrases 33:41 - Words of Affirmation and Woodworking 39:50 - Elderly Hobbies and Toys 56:33 - Rock Tumblers and Gemstones</t>
        </is>
      </c>
      <c r="V1158" s="47">
        <f>IF(AND(P1158&gt;=Calendar!$K$2,P1158&lt;EDATE(Calendar!$K$2,1),OR(Calendar!$K$4="*",N1158=Calendar!$K$4)),P1158*100+COUNTIFS($P$6:$P$3267,P1158,$Q$6:$Q$3267,"&lt;="&amp;Q1158,$N$6:$N$3267,Calendar!$K$4),"")</f>
        <v/>
      </c>
      <c r="W1158" s="47">
        <f>IF(AND(B1158=Queue!$C$4,OR(Queue!$K$4="*",N1158=Queue!$K$4)),Q1158,"")</f>
        <v/>
      </c>
    </row>
    <row r="1159">
      <c r="A1159" s="38">
        <f>IF(M1159="","",HYPERLINK("https://www.youtube.com/watch?v="&amp;M1159,"▶"))</f>
        <v/>
      </c>
      <c r="B1159" s="39">
        <f>IF(C1159&lt;&gt;"",C1159,IF(P1159&lt;=IFERROR(INDEX(tblChannels[Watched Through],MATCH(N1159,tblChannels[Channel ID],0)),0),"Watched","Unwatched"))</f>
        <v/>
      </c>
      <c r="C1159" s="40" t="n"/>
      <c r="D1159" s="41" t="n"/>
      <c r="E1159" s="42" t="n">
        <v>44672.70347222222</v>
      </c>
      <c r="F1159" s="50" t="inlineStr">
        <is>
          <t>Super Carlin Brothers</t>
        </is>
      </c>
      <c r="G1159" t="inlineStr">
        <is>
          <t>The TRUTH About Thor's New Eyes | Marvel Love &amp; Thunder Film Theory</t>
        </is>
      </c>
      <c r="H1159" s="44" t="n">
        <v>0.0137037037037037</v>
      </c>
      <c r="I1159" s="45" t="n">
        <v>193355</v>
      </c>
      <c r="J1159" s="45" t="n">
        <v>7718</v>
      </c>
      <c r="K1159" s="45" t="n">
        <v>477</v>
      </c>
      <c r="L1159" s="46" t="n"/>
      <c r="M1159" s="47" t="n"/>
      <c r="N1159" s="47" t="inlineStr">
        <is>
          <t>UCKZo4N0lVPccBkSiuyVh4yg</t>
        </is>
      </c>
      <c r="O1159" s="48" t="n">
        <v>44672.87013888889</v>
      </c>
      <c r="P1159" s="49" t="n">
        <v>44672</v>
      </c>
      <c r="Q1159" s="47" t="n">
        <v>2109</v>
      </c>
      <c r="R1159" s="47" t="inlineStr">
        <is>
          <t>No Video ID yet</t>
        </is>
      </c>
      <c r="S1159" s="49" t="n"/>
      <c r="T1159" s="49" t="n"/>
      <c r="U1159" s="47" t="inlineStr">
        <is>
          <t>Go to and use code super to get 20% off your first monthly box. Today Ben dives into the Marvel Cinematic universe to discuss the new Thor: Love and Thunder Teaser trailer and give our full breakdown and predictions! #SuperCarlinBrothers #Marvel #ThorLoveAndThunder</t>
        </is>
      </c>
      <c r="V1159" s="47">
        <f>IF(AND(P1159&gt;=Calendar!$K$2,P1159&lt;EDATE(Calendar!$K$2,1),OR(Calendar!$K$4="*",N1159=Calendar!$K$4)),P1159*100+COUNTIFS($P$6:$P$3267,P1159,$Q$6:$Q$3267,"&lt;="&amp;Q1159,$N$6:$N$3267,Calendar!$K$4),"")</f>
        <v/>
      </c>
      <c r="W1159" s="47">
        <f>IF(AND(B1159=Queue!$C$4,OR(Queue!$K$4="*",N1159=Queue!$K$4)),Q1159,"")</f>
        <v/>
      </c>
    </row>
    <row r="1160">
      <c r="A1160" s="38">
        <f>IF(M1160="","",HYPERLINK("https://www.youtube.com/watch?v="&amp;M1160,"▶"))</f>
        <v/>
      </c>
      <c r="B1160" s="39">
        <f>IF(C1160&lt;&gt;"",C1160,IF(P1160&lt;=IFERROR(INDEX(tblChannels[Watched Through],MATCH(N1160,tblChannels[Channel ID],0)),0),"Watched","Unwatched"))</f>
        <v/>
      </c>
      <c r="C1160" s="40" t="n"/>
      <c r="D1160" s="41" t="n"/>
      <c r="E1160" s="42" t="n">
        <v>44671.625</v>
      </c>
      <c r="F1160" s="52" t="inlineStr">
        <is>
          <t>Super Carlin Gaming</t>
        </is>
      </c>
      <c r="G1160" t="inlineStr">
        <is>
          <t>WE GET A MAKEOVER  |  Pokémon Legends: Arceus Nuzlocke #8</t>
        </is>
      </c>
      <c r="H1160" s="44" t="n">
        <v>0.02675925925925926</v>
      </c>
      <c r="I1160" s="45" t="n">
        <v>10426</v>
      </c>
      <c r="J1160" s="45" t="n">
        <v>692</v>
      </c>
      <c r="K1160" s="45" t="n">
        <v>184</v>
      </c>
      <c r="L1160" s="46" t="n"/>
      <c r="M1160" s="47" t="n"/>
      <c r="N1160" s="47" t="inlineStr">
        <is>
          <t>UCor_9jRnNNZVzTuQ92PKsaQ</t>
        </is>
      </c>
      <c r="O1160" s="48" t="n">
        <v>44671.79166666666</v>
      </c>
      <c r="P1160" s="49" t="n">
        <v>44671</v>
      </c>
      <c r="Q1160" s="47" t="n">
        <v>2108</v>
      </c>
      <c r="R1160" s="47" t="inlineStr">
        <is>
          <t>No Video ID yet</t>
        </is>
      </c>
      <c r="S1160" s="49" t="n"/>
      <c r="T1160" s="49" t="n"/>
      <c r="U1160" s="47" t="inlineStr">
        <is>
          <t>This week J and the team continue catching new friends and struggle through research tasks to advance in the game, but most importantly GET A MAKEOVER!</t>
        </is>
      </c>
      <c r="V1160" s="47">
        <f>IF(AND(P1160&gt;=Calendar!$K$2,P1160&lt;EDATE(Calendar!$K$2,1),OR(Calendar!$K$4="*",N1160=Calendar!$K$4)),P1160*100+COUNTIFS($P$6:$P$3267,P1160,$Q$6:$Q$3267,"&lt;="&amp;Q1160,$N$6:$N$3267,Calendar!$K$4),"")</f>
        <v/>
      </c>
      <c r="W1160" s="47">
        <f>IF(AND(B1160=Queue!$C$4,OR(Queue!$K$4="*",N1160=Queue!$K$4)),Q1160,"")</f>
        <v/>
      </c>
    </row>
    <row r="1161">
      <c r="A1161" s="38">
        <f>IF(M1161="","",HYPERLINK("https://www.youtube.com/watch?v="&amp;M1161,"▶"))</f>
        <v/>
      </c>
      <c r="B1161" s="39">
        <f>IF(C1161&lt;&gt;"",C1161,IF(P1161&lt;=IFERROR(INDEX(tblChannels[Watched Through],MATCH(N1161,tblChannels[Channel ID],0)),0),"Watched","Unwatched"))</f>
        <v/>
      </c>
      <c r="C1161" s="40" t="n"/>
      <c r="D1161" s="41" t="n"/>
      <c r="E1161" s="42" t="n">
        <v>44670.65833333333</v>
      </c>
      <c r="F1161" s="50" t="inlineStr">
        <is>
          <t>Super Carlin Brothers</t>
        </is>
      </c>
      <c r="G1161" t="inlineStr">
        <is>
          <t>Top UNANSWERED Questions From Secrets of Dumbledore | Harry Potter Film Theory</t>
        </is>
      </c>
      <c r="H1161" s="44" t="n">
        <v>0.01046296296296296</v>
      </c>
      <c r="I1161" s="45" t="n">
        <v>626832</v>
      </c>
      <c r="J1161" s="45" t="n">
        <v>18125</v>
      </c>
      <c r="K1161" s="45" t="n">
        <v>1535</v>
      </c>
      <c r="L1161" s="46" t="n"/>
      <c r="M1161" s="47" t="n"/>
      <c r="N1161" s="47" t="inlineStr">
        <is>
          <t>UCKZo4N0lVPccBkSiuyVh4yg</t>
        </is>
      </c>
      <c r="O1161" s="48" t="n">
        <v>44670.825</v>
      </c>
      <c r="P1161" s="49" t="n">
        <v>44670</v>
      </c>
      <c r="Q1161" s="47" t="n">
        <v>2107</v>
      </c>
      <c r="R1161" s="47" t="inlineStr">
        <is>
          <t>No Video ID yet</t>
        </is>
      </c>
      <c r="S1161" s="49" t="n"/>
      <c r="T1161" s="49" t="n"/>
      <c r="U1161" s="47" t="inlineStr">
        <is>
          <t>Go to for 10% off plus free shipping. Today J dives into the Wizarding World of Harry Potter to discuss all of Super Carlin Brothers TOP unanswered questions from Fantastic Beasts: The Secrets of Dumbledore #SuperCarlinBrothers #HarryPotter #SecretsOfDumbeldore</t>
        </is>
      </c>
      <c r="V1161" s="47">
        <f>IF(AND(P1161&gt;=Calendar!$K$2,P1161&lt;EDATE(Calendar!$K$2,1),OR(Calendar!$K$4="*",N1161=Calendar!$K$4)),P1161*100+COUNTIFS($P$6:$P$3267,P1161,$Q$6:$Q$3267,"&lt;="&amp;Q1161,$N$6:$N$3267,Calendar!$K$4),"")</f>
        <v/>
      </c>
      <c r="W1161" s="47">
        <f>IF(AND(B1161=Queue!$C$4,OR(Queue!$K$4="*",N1161=Queue!$K$4)),Q1161,"")</f>
        <v/>
      </c>
    </row>
    <row r="1162">
      <c r="A1162" s="38">
        <f>IF(M1162="","",HYPERLINK("https://www.youtube.com/watch?v="&amp;M1162,"▶"))</f>
        <v/>
      </c>
      <c r="B1162" s="39">
        <f>IF(C1162&lt;&gt;"",C1162,IF(P1162&lt;=IFERROR(INDEX(tblChannels[Watched Through],MATCH(N1162,tblChannels[Channel ID],0)),0),"Watched","Unwatched"))</f>
        <v/>
      </c>
      <c r="C1162" s="40" t="n"/>
      <c r="D1162" s="41" t="n"/>
      <c r="E1162" s="42" t="n">
        <v>44670.625</v>
      </c>
      <c r="F1162" s="53" t="inlineStr">
        <is>
          <t>Jonathan Carlin</t>
        </is>
      </c>
      <c r="G1162" t="inlineStr">
        <is>
          <t>The COOLEST Shoes I've Ever Owned</t>
        </is>
      </c>
      <c r="H1162" s="44" t="n">
        <v>0.01070601851851852</v>
      </c>
      <c r="I1162" s="45" t="n">
        <v>12090</v>
      </c>
      <c r="J1162" s="45" t="n">
        <v>830</v>
      </c>
      <c r="K1162" s="45" t="n">
        <v>49</v>
      </c>
      <c r="L1162" s="46" t="n"/>
      <c r="M1162" s="47" t="n"/>
      <c r="N1162" s="47" t="inlineStr">
        <is>
          <t>UCYPKFe86e6nm4TVUYKLsFUQ</t>
        </is>
      </c>
      <c r="O1162" s="48" t="n">
        <v>44670.79166666666</v>
      </c>
      <c r="P1162" s="49" t="n">
        <v>44670</v>
      </c>
      <c r="Q1162" s="47" t="n">
        <v>2106</v>
      </c>
      <c r="R1162" s="47" t="inlineStr">
        <is>
          <t>No Video ID yet</t>
        </is>
      </c>
      <c r="S1162" s="49" t="n"/>
      <c r="T1162" s="49" t="n"/>
      <c r="U1162" s="47" t="inlineStr">
        <is>
          <t>This week J and Beth attend The Bachelor Live!, Ben and J get some AMAZING new shoes, Luke helps open some cards, and we plant some more flowers! Check out more from our Shoe Artist ::</t>
        </is>
      </c>
      <c r="V1162" s="47">
        <f>IF(AND(P1162&gt;=Calendar!$K$2,P1162&lt;EDATE(Calendar!$K$2,1),OR(Calendar!$K$4="*",N1162=Calendar!$K$4)),P1162*100+COUNTIFS($P$6:$P$3267,P1162,$Q$6:$Q$3267,"&lt;="&amp;Q1162,$N$6:$N$3267,Calendar!$K$4),"")</f>
        <v/>
      </c>
      <c r="W1162" s="47">
        <f>IF(AND(B1162=Queue!$C$4,OR(Queue!$K$4="*",N1162=Queue!$K$4)),Q1162,"")</f>
        <v/>
      </c>
    </row>
    <row r="1163">
      <c r="A1163" s="38">
        <f>IF(M1163="","",HYPERLINK("https://www.youtube.com/watch?v="&amp;M1163,"▶"))</f>
        <v/>
      </c>
      <c r="B1163" s="39">
        <f>IF(C1163&lt;&gt;"",C1163,IF(P1163&lt;=IFERROR(INDEX(tblChannels[Watched Through],MATCH(N1163,tblChannels[Channel ID],0)),0),"Watched","Unwatched"))</f>
        <v/>
      </c>
      <c r="C1163" s="40" t="n"/>
      <c r="D1163" s="41" t="n"/>
      <c r="E1163" s="42" t="n">
        <v>44667.68472222222</v>
      </c>
      <c r="F1163" s="52" t="inlineStr">
        <is>
          <t>Super Carlin Gaming</t>
        </is>
      </c>
      <c r="G1163" t="inlineStr">
        <is>
          <t>LIVE! - Let's Play some JOLTEON!</t>
        </is>
      </c>
      <c r="H1163" s="44" t="n">
        <v>0.03678240740740741</v>
      </c>
      <c r="I1163" s="45" t="n">
        <v>3692</v>
      </c>
      <c r="J1163" s="45" t="n">
        <v>173</v>
      </c>
      <c r="K1163" s="45" t="n">
        <v>12</v>
      </c>
      <c r="L1163" s="46" t="n"/>
      <c r="M1163" s="47" t="n"/>
      <c r="N1163" s="47" t="inlineStr">
        <is>
          <t>UCor_9jRnNNZVzTuQ92PKsaQ</t>
        </is>
      </c>
      <c r="O1163" s="48" t="n">
        <v>44667.85138888889</v>
      </c>
      <c r="P1163" s="49" t="n">
        <v>44667</v>
      </c>
      <c r="Q1163" s="47" t="n">
        <v>2105</v>
      </c>
      <c r="R1163" s="47" t="inlineStr">
        <is>
          <t>No Video ID yet</t>
        </is>
      </c>
      <c r="S1163" s="49" t="n"/>
      <c r="T1163" s="49" t="n"/>
      <c r="U1163" s="47" t="inlineStr">
        <is>
          <t>Just hanging out playing some Pokemon Cards and chatting!</t>
        </is>
      </c>
      <c r="V1163" s="47">
        <f>IF(AND(P1163&gt;=Calendar!$K$2,P1163&lt;EDATE(Calendar!$K$2,1),OR(Calendar!$K$4="*",N1163=Calendar!$K$4)),P1163*100+COUNTIFS($P$6:$P$3267,P1163,$Q$6:$Q$3267,"&lt;="&amp;Q1163,$N$6:$N$3267,Calendar!$K$4),"")</f>
        <v/>
      </c>
      <c r="W1163" s="47">
        <f>IF(AND(B1163=Queue!$C$4,OR(Queue!$K$4="*",N1163=Queue!$K$4)),Q1163,"")</f>
        <v/>
      </c>
    </row>
    <row r="1164">
      <c r="A1164" s="38">
        <f>IF(M1164="","",HYPERLINK("https://www.youtube.com/watch?v="&amp;M1164,"▶"))</f>
        <v/>
      </c>
      <c r="B1164" s="39">
        <f>IF(C1164&lt;&gt;"",C1164,IF(P1164&lt;=IFERROR(INDEX(tblChannels[Watched Through],MATCH(N1164,tblChannels[Channel ID],0)),0),"Watched","Unwatched"))</f>
        <v/>
      </c>
      <c r="C1164" s="40" t="n"/>
      <c r="D1164" s="41" t="n"/>
      <c r="E1164" s="42" t="n">
        <v>44666.59305555555</v>
      </c>
      <c r="F1164" s="50" t="inlineStr">
        <is>
          <t>Super Carlin Brothers</t>
        </is>
      </c>
      <c r="G1164" t="inlineStr">
        <is>
          <t>Fantastic Beasts: Secrets of Dumbledore Spoiler REVIEW</t>
        </is>
      </c>
      <c r="H1164" s="44" t="n">
        <v>0.04950231481481481</v>
      </c>
      <c r="I1164" s="45" t="n">
        <v>585479</v>
      </c>
      <c r="J1164" s="45" t="n">
        <v>15682</v>
      </c>
      <c r="K1164" s="45" t="n">
        <v>5830</v>
      </c>
      <c r="L1164" s="46" t="n"/>
      <c r="M1164" s="47" t="n"/>
      <c r="N1164" s="47" t="inlineStr">
        <is>
          <t>UCKZo4N0lVPccBkSiuyVh4yg</t>
        </is>
      </c>
      <c r="O1164" s="48" t="n">
        <v>44666.75972222222</v>
      </c>
      <c r="P1164" s="49" t="n">
        <v>44666</v>
      </c>
      <c r="Q1164" s="47" t="n">
        <v>2104</v>
      </c>
      <c r="R1164" s="47" t="inlineStr">
        <is>
          <t>No Video ID yet</t>
        </is>
      </c>
      <c r="S1164" s="49" t="n"/>
      <c r="T1164" s="49" t="n"/>
      <c r="U1164" s="47" t="inlineStr">
        <is>
          <t>Go to or use promo code jvsb to get 20% off your first order. Go to to get up to 60% off your subscription. J and Ben dive into the Wizarding World of Harry Potter to give their full SPOILER Review of Fantastic Beasts: Secrets of Dumbledore Yellow Common Room Candle ►►</t>
        </is>
      </c>
      <c r="V1164" s="47">
        <f>IF(AND(P1164&gt;=Calendar!$K$2,P1164&lt;EDATE(Calendar!$K$2,1),OR(Calendar!$K$4="*",N1164=Calendar!$K$4)),P1164*100+COUNTIFS($P$6:$P$3267,P1164,$Q$6:$Q$3267,"&lt;="&amp;Q1164,$N$6:$N$3267,Calendar!$K$4),"")</f>
        <v/>
      </c>
      <c r="W1164" s="47">
        <f>IF(AND(B1164=Queue!$C$4,OR(Queue!$K$4="*",N1164=Queue!$K$4)),Q1164,"")</f>
        <v/>
      </c>
    </row>
    <row r="1165">
      <c r="A1165" s="38">
        <f>IF(M1165="","",HYPERLINK("https://www.youtube.com/watch?v="&amp;M1165,"▶"))</f>
        <v/>
      </c>
      <c r="B1165" s="39">
        <f>IF(C1165&lt;&gt;"",C1165,IF(P1165&lt;=IFERROR(INDEX(tblChannels[Watched Through],MATCH(N1165,tblChannels[Channel ID],0)),0),"Watched","Unwatched"))</f>
        <v/>
      </c>
      <c r="C1165" s="40" t="n"/>
      <c r="D1165" s="41" t="n"/>
      <c r="E1165" s="42" t="n">
        <v>44666.41666666666</v>
      </c>
      <c r="F1165" s="43" t="inlineStr">
        <is>
          <t>Popcorn Culture</t>
        </is>
      </c>
      <c r="G1165" t="inlineStr">
        <is>
          <t>SPACE WINE! | Popcorn Culture</t>
        </is>
      </c>
      <c r="H1165" s="44" t="n">
        <v>0.04494212962962963</v>
      </c>
      <c r="I1165" s="45" t="n">
        <v>7007</v>
      </c>
      <c r="J1165" s="45" t="n">
        <v>363</v>
      </c>
      <c r="K1165" s="45" t="n">
        <v>63</v>
      </c>
      <c r="L1165" s="46" t="n"/>
      <c r="M1165" s="47" t="n"/>
      <c r="N1165" s="47" t="inlineStr">
        <is>
          <t>UCHfIbq9thHPC8yrKjAdJgDA</t>
        </is>
      </c>
      <c r="O1165" s="48" t="n">
        <v>44666.58333333334</v>
      </c>
      <c r="P1165" s="49" t="n">
        <v>44666</v>
      </c>
      <c r="Q1165" s="47" t="n">
        <v>2103</v>
      </c>
      <c r="R1165" s="47" t="inlineStr">
        <is>
          <t>No Video ID yet</t>
        </is>
      </c>
      <c r="S1165" s="49" t="n"/>
      <c r="T1165" s="49" t="n"/>
      <c r="U1165" s="47" t="inlineStr">
        <is>
          <t>In the 123rd episode of the Pop, Ben and J discuss the differences among pastas, fitness challenge updates, social media, flip phones for kids, Luke’s imagination, corn based powered wine aka bourbon, a 4 day work week (with a twist!), and swimming pools. Show Notes Dopamine Nation - J’s Vlog from last week - Pappy Van Winkle Bourbon 23 year - The Speggi and Meatballs Diet Don’t Get Me Started on Penne UGH, a Housephone?! This Is Not What J Meant Can You Powder Alcohol? The Pop Signal (better than) The Bat Signal Errands Day Now That I’m Off Social Media… Will It Pool? 00:00 - Intro, Pasta 06:50 - Fitness Challenges 18:06 - Quitting Social Media 27:29 - Flip Phones 38:08 - SCB Wine 50:07 - 4 Day Work Week 56:58 - “Will It __________”</t>
        </is>
      </c>
      <c r="V1165" s="47">
        <f>IF(AND(P1165&gt;=Calendar!$K$2,P1165&lt;EDATE(Calendar!$K$2,1),OR(Calendar!$K$4="*",N1165=Calendar!$K$4)),P1165*100+COUNTIFS($P$6:$P$3267,P1165,$Q$6:$Q$3267,"&lt;="&amp;Q1165,$N$6:$N$3267,Calendar!$K$4),"")</f>
        <v/>
      </c>
      <c r="W1165" s="47">
        <f>IF(AND(B1165=Queue!$C$4,OR(Queue!$K$4="*",N1165=Queue!$K$4)),Q1165,"")</f>
        <v/>
      </c>
    </row>
    <row r="1166">
      <c r="A1166" s="38">
        <f>IF(M1166="","",HYPERLINK("https://www.youtube.com/watch?v="&amp;M1166,"▶"))</f>
        <v/>
      </c>
      <c r="B1166" s="39">
        <f>IF(C1166&lt;&gt;"",C1166,IF(P1166&lt;=IFERROR(INDEX(tblChannels[Watched Through],MATCH(N1166,tblChannels[Channel ID],0)),0),"Watched","Unwatched"))</f>
        <v/>
      </c>
      <c r="C1166" s="40" t="n"/>
      <c r="D1166" s="41" t="n"/>
      <c r="E1166" s="42" t="n">
        <v>44664.625</v>
      </c>
      <c r="F1166" s="52" t="inlineStr">
        <is>
          <t>Super Carlin Gaming</t>
        </is>
      </c>
      <c r="G1166" t="inlineStr">
        <is>
          <t>Lilligant is Graceful but DEADLY | Pokémon Legends: Arceus Nuzlocke #7</t>
        </is>
      </c>
      <c r="H1166" s="44" t="n">
        <v>0.04152777777777777</v>
      </c>
      <c r="I1166" s="45" t="n">
        <v>10736</v>
      </c>
      <c r="J1166" s="45" t="n">
        <v>606</v>
      </c>
      <c r="K1166" s="45" t="n">
        <v>243</v>
      </c>
      <c r="L1166" s="46" t="n"/>
      <c r="M1166" s="47" t="n"/>
      <c r="N1166" s="47" t="inlineStr">
        <is>
          <t>UCor_9jRnNNZVzTuQ92PKsaQ</t>
        </is>
      </c>
      <c r="O1166" s="48" t="n">
        <v>44664.79166666666</v>
      </c>
      <c r="P1166" s="49" t="n">
        <v>44664</v>
      </c>
      <c r="Q1166" s="47" t="n">
        <v>2102</v>
      </c>
      <c r="R1166" s="47" t="inlineStr">
        <is>
          <t>No Video ID yet</t>
        </is>
      </c>
      <c r="S1166" s="49" t="n"/>
      <c r="T1166" s="49" t="n"/>
      <c r="U1166" s="47" t="inlineStr">
        <is>
          <t>This week J and the team challenge the Lady of the Ridge aka Lilligant the 2nd noble Pokemon! Lilligant is course very graceful, but also packs a mighty punch! Can the team survive this noble encounter?!</t>
        </is>
      </c>
      <c r="V1166" s="47">
        <f>IF(AND(P1166&gt;=Calendar!$K$2,P1166&lt;EDATE(Calendar!$K$2,1),OR(Calendar!$K$4="*",N1166=Calendar!$K$4)),P1166*100+COUNTIFS($P$6:$P$3267,P1166,$Q$6:$Q$3267,"&lt;="&amp;Q1166,$N$6:$N$3267,Calendar!$K$4),"")</f>
        <v/>
      </c>
      <c r="W1166" s="47">
        <f>IF(AND(B1166=Queue!$C$4,OR(Queue!$K$4="*",N1166=Queue!$K$4)),Q1166,"")</f>
        <v/>
      </c>
    </row>
    <row r="1167">
      <c r="A1167" s="38">
        <f>IF(M1167="","",HYPERLINK("https://www.youtube.com/watch?v="&amp;M1167,"▶"))</f>
        <v/>
      </c>
      <c r="B1167" s="39">
        <f>IF(C1167&lt;&gt;"",C1167,IF(P1167&lt;=IFERROR(INDEX(tblChannels[Watched Through],MATCH(N1167,tblChannels[Channel ID],0)),0),"Watched","Unwatched"))</f>
        <v/>
      </c>
      <c r="C1167" s="40" t="n"/>
      <c r="D1167" s="41" t="n"/>
      <c r="E1167" s="42" t="n">
        <v>44663.7125</v>
      </c>
      <c r="F1167" s="50" t="inlineStr">
        <is>
          <t>Super Carlin Brothers</t>
        </is>
      </c>
      <c r="G1167" t="inlineStr">
        <is>
          <t>What’s Behind Each Character’s Door? | Encanto Film Theory</t>
        </is>
      </c>
      <c r="H1167" s="44" t="n">
        <v>0.01050925925925926</v>
      </c>
      <c r="I1167" s="45" t="n">
        <v>2430431</v>
      </c>
      <c r="J1167" s="45" t="n">
        <v>33740</v>
      </c>
      <c r="K1167" s="45" t="n">
        <v>1424</v>
      </c>
      <c r="L1167" s="46" t="n"/>
      <c r="M1167" s="47" t="n"/>
      <c r="N1167" s="47" t="inlineStr">
        <is>
          <t>UCKZo4N0lVPccBkSiuyVh4yg</t>
        </is>
      </c>
      <c r="O1167" s="48" t="n">
        <v>44663.87916666667</v>
      </c>
      <c r="P1167" s="49" t="n">
        <v>44663</v>
      </c>
      <c r="Q1167" s="47" t="n">
        <v>2101</v>
      </c>
      <c r="R1167" s="47" t="inlineStr">
        <is>
          <t>No Video ID yet</t>
        </is>
      </c>
      <c r="S1167" s="49" t="n"/>
      <c r="T1167" s="49" t="n"/>
      <c r="U1167" s="47" t="inlineStr">
        <is>
          <t>Go to and use the code SUPERCARLIN to get a 4-week free trial, free postage, and a digital scale. Today J dives into the fantastical world of Encanto and the Family Madrigal with another film theory to reveal what resides behind each characters door and what their bedrooms look like! The Art of Encanto :: #SuperCarlinBrothers #Encanto</t>
        </is>
      </c>
      <c r="V1167" s="47">
        <f>IF(AND(P1167&gt;=Calendar!$K$2,P1167&lt;EDATE(Calendar!$K$2,1),OR(Calendar!$K$4="*",N1167=Calendar!$K$4)),P1167*100+COUNTIFS($P$6:$P$3267,P1167,$Q$6:$Q$3267,"&lt;="&amp;Q1167,$N$6:$N$3267,Calendar!$K$4),"")</f>
        <v/>
      </c>
      <c r="W1167" s="47">
        <f>IF(AND(B1167=Queue!$C$4,OR(Queue!$K$4="*",N1167=Queue!$K$4)),Q1167,"")</f>
        <v/>
      </c>
    </row>
    <row r="1168">
      <c r="A1168" s="38">
        <f>IF(M1168="","",HYPERLINK("https://www.youtube.com/watch?v="&amp;M1168,"▶"))</f>
        <v/>
      </c>
      <c r="B1168" s="39">
        <f>IF(C1168&lt;&gt;"",C1168,IF(P1168&lt;=IFERROR(INDEX(tblChannels[Watched Through],MATCH(N1168,tblChannels[Channel ID],0)),0),"Watched","Unwatched"))</f>
        <v/>
      </c>
      <c r="C1168" s="40" t="n"/>
      <c r="D1168" s="41" t="n"/>
      <c r="E1168" s="42" t="n">
        <v>44662.41666666666</v>
      </c>
      <c r="F1168" s="53" t="inlineStr">
        <is>
          <t>Jonathan Carlin</t>
        </is>
      </c>
      <c r="G1168" t="inlineStr">
        <is>
          <t>The One Where J Gets Into Plants</t>
        </is>
      </c>
      <c r="H1168" s="44" t="n">
        <v>0.01674768518518518</v>
      </c>
      <c r="I1168" s="45" t="n">
        <v>15385</v>
      </c>
      <c r="J1168" s="45" t="n">
        <v>938</v>
      </c>
      <c r="K1168" s="45" t="n">
        <v>108</v>
      </c>
      <c r="L1168" s="46" t="n"/>
      <c r="M1168" s="47" t="n"/>
      <c r="N1168" s="47" t="inlineStr">
        <is>
          <t>UCYPKFe86e6nm4TVUYKLsFUQ</t>
        </is>
      </c>
      <c r="O1168" s="48" t="n">
        <v>44662.58333333334</v>
      </c>
      <c r="P1168" s="49" t="n">
        <v>44662</v>
      </c>
      <c r="Q1168" s="47" t="n">
        <v>2100</v>
      </c>
      <c r="R1168" s="47" t="inlineStr">
        <is>
          <t>No Video ID yet</t>
        </is>
      </c>
      <c r="S1168" s="49" t="n"/>
      <c r="T1168" s="49" t="n"/>
      <c r="U1168" s="47" t="inlineStr">
        <is>
          <t>This week J hosts the POP, buys a lot of plants, plants a garden, caulks a bathroom, Nick &amp; Nate find the worlds happiest slide, Luke builds his first lego set, becomes a camera man and the SCB team builds a skateboard wall!</t>
        </is>
      </c>
      <c r="V1168" s="47">
        <f>IF(AND(P1168&gt;=Calendar!$K$2,P1168&lt;EDATE(Calendar!$K$2,1),OR(Calendar!$K$4="*",N1168=Calendar!$K$4)),P1168*100+COUNTIFS($P$6:$P$3267,P1168,$Q$6:$Q$3267,"&lt;="&amp;Q1168,$N$6:$N$3267,Calendar!$K$4),"")</f>
        <v/>
      </c>
      <c r="W1168" s="47">
        <f>IF(AND(B1168=Queue!$C$4,OR(Queue!$K$4="*",N1168=Queue!$K$4)),Q1168,"")</f>
        <v/>
      </c>
    </row>
    <row r="1169">
      <c r="A1169" s="38">
        <f>IF(M1169="","",HYPERLINK("https://www.youtube.com/watch?v="&amp;M1169,"▶"))</f>
        <v/>
      </c>
      <c r="B1169" s="39">
        <f>IF(C1169&lt;&gt;"",C1169,IF(P1169&lt;=IFERROR(INDEX(tblChannels[Watched Through],MATCH(N1169,tblChannels[Channel ID],0)),0),"Watched","Unwatched"))</f>
        <v/>
      </c>
      <c r="C1169" s="40" t="n"/>
      <c r="D1169" s="41" t="n"/>
      <c r="E1169" s="42" t="n">
        <v>44659.5</v>
      </c>
      <c r="F1169" s="54" t="inlineStr">
        <is>
          <t>With the Carlins</t>
        </is>
      </c>
      <c r="G1169" t="inlineStr">
        <is>
          <t>My Secret Chocolate Chip Cookie Recipe</t>
        </is>
      </c>
      <c r="H1169" s="44" t="n">
        <v>0.0194212962962963</v>
      </c>
      <c r="I1169" s="45" t="n">
        <v>14012</v>
      </c>
      <c r="J1169" s="45" t="n">
        <v>1038</v>
      </c>
      <c r="K1169" s="45" t="n">
        <v>130</v>
      </c>
      <c r="L1169" s="46" t="n"/>
      <c r="M1169" s="47" t="n"/>
      <c r="N1169" s="47" t="inlineStr">
        <is>
          <t>UCVBTjN9WJU5Ac8yU7b2K-5g</t>
        </is>
      </c>
      <c r="O1169" s="48" t="n">
        <v>44659.66666666666</v>
      </c>
      <c r="P1169" s="49" t="n">
        <v>44659</v>
      </c>
      <c r="Q1169" s="47" t="n">
        <v>2099</v>
      </c>
      <c r="R1169" s="47" t="inlineStr">
        <is>
          <t>No Video ID yet</t>
        </is>
      </c>
      <c r="S1169" s="49" t="n"/>
      <c r="T1169" s="49" t="n"/>
      <c r="U1169" s="47" t="inlineStr">
        <is>
          <t>This week (technically just a Sunday) Ally and I continue working on the garden, I mow the lawn, we get sushi, and we bake cookies! Wildflower Seeds: Follow Us! :: I N S T A G R A M➜ and Ben Carlin #SuperCarlinBrothers #CarlinFamily #FamilyVlog</t>
        </is>
      </c>
      <c r="V1169" s="47">
        <f>IF(AND(P1169&gt;=Calendar!$K$2,P1169&lt;EDATE(Calendar!$K$2,1),OR(Calendar!$K$4="*",N1169=Calendar!$K$4)),P1169*100+COUNTIFS($P$6:$P$3267,P1169,$Q$6:$Q$3267,"&lt;="&amp;Q1169,$N$6:$N$3267,Calendar!$K$4),"")</f>
        <v/>
      </c>
      <c r="W1169" s="47">
        <f>IF(AND(B1169=Queue!$C$4,OR(Queue!$K$4="*",N1169=Queue!$K$4)),Q1169,"")</f>
        <v/>
      </c>
    </row>
    <row r="1170">
      <c r="A1170" s="38">
        <f>IF(M1170="","",HYPERLINK("https://www.youtube.com/watch?v="&amp;M1170,"▶"))</f>
        <v/>
      </c>
      <c r="B1170" s="39">
        <f>IF(C1170&lt;&gt;"",C1170,IF(P1170&lt;=IFERROR(INDEX(tblChannels[Watched Through],MATCH(N1170,tblChannels[Channel ID],0)),0),"Watched","Unwatched"))</f>
        <v/>
      </c>
      <c r="C1170" s="40" t="n"/>
      <c r="D1170" s="41" t="n"/>
      <c r="E1170" s="42" t="n">
        <v>44659.41666666666</v>
      </c>
      <c r="F1170" s="43" t="inlineStr">
        <is>
          <t>Popcorn Culture</t>
        </is>
      </c>
      <c r="G1170" t="inlineStr">
        <is>
          <t>Black Flame Glasses | Popcorn Culture</t>
        </is>
      </c>
      <c r="H1170" s="44" t="n">
        <v>0.04895833333333333</v>
      </c>
      <c r="I1170" s="45" t="n">
        <v>9066</v>
      </c>
      <c r="J1170" s="45" t="n">
        <v>437</v>
      </c>
      <c r="K1170" s="45" t="n">
        <v>59</v>
      </c>
      <c r="L1170" s="46" t="n"/>
      <c r="M1170" s="47" t="n"/>
      <c r="N1170" s="47" t="inlineStr">
        <is>
          <t>UCHfIbq9thHPC8yrKjAdJgDA</t>
        </is>
      </c>
      <c r="O1170" s="48" t="n">
        <v>44659.58333333334</v>
      </c>
      <c r="P1170" s="49" t="n">
        <v>44659</v>
      </c>
      <c r="Q1170" s="47" t="n">
        <v>2098</v>
      </c>
      <c r="R1170" s="47" t="inlineStr">
        <is>
          <t>No Video ID yet</t>
        </is>
      </c>
      <c r="S1170" s="49" t="n"/>
      <c r="T1170" s="49" t="n"/>
      <c r="U1170" s="47" t="inlineStr">
        <is>
          <t>In the 122nd episode of the Pop, Ben and J discuss J’s new look, a Star Wars theory, eye prescriptions, Year One SCB schedule, changes and structure, surveys, echo chambers, Base Set Chansey, the Kadabra lore, Ben’s first massage and the concept of Severance. Star Wars: Rebels - The Mandalorian - Peloton - Nielsen Ratings - The Chansey Pokemon Card - Ben’s Wick of the Peek: getting a massage J’s Wick of the Peek: Severance - The Light Saber Incremental Changes The Immediacy of Tomorrow Triangles are Stronger Why Is No One on Twitter?! 00:00 - Intro, Glasses (with a Star Wars Side Journey) 8:50 - Changes and Structure 30:02 - Survey Stats 42:07 - Twitter and Echo Chambers 47:41 - Pokemon Cards 55:42 - Wicks of the Peek</t>
        </is>
      </c>
      <c r="V1170" s="47">
        <f>IF(AND(P1170&gt;=Calendar!$K$2,P1170&lt;EDATE(Calendar!$K$2,1),OR(Calendar!$K$4="*",N1170=Calendar!$K$4)),P1170*100+COUNTIFS($P$6:$P$3267,P1170,$Q$6:$Q$3267,"&lt;="&amp;Q1170,$N$6:$N$3267,Calendar!$K$4),"")</f>
        <v/>
      </c>
      <c r="W1170" s="47">
        <f>IF(AND(B1170=Queue!$C$4,OR(Queue!$K$4="*",N1170=Queue!$K$4)),Q1170,"")</f>
        <v/>
      </c>
    </row>
    <row r="1171">
      <c r="A1171" s="38">
        <f>IF(M1171="","",HYPERLINK("https://www.youtube.com/watch?v="&amp;M1171,"▶"))</f>
        <v/>
      </c>
      <c r="B1171" s="39">
        <f>IF(C1171&lt;&gt;"",C1171,IF(P1171&lt;=IFERROR(INDEX(tblChannels[Watched Through],MATCH(N1171,tblChannels[Channel ID],0)),0),"Watched","Unwatched"))</f>
        <v/>
      </c>
      <c r="C1171" s="40" t="n"/>
      <c r="D1171" s="41" t="n"/>
      <c r="E1171" s="42" t="n">
        <v>44658.70069444444</v>
      </c>
      <c r="F1171" s="50" t="inlineStr">
        <is>
          <t>Super Carlin Brothers</t>
        </is>
      </c>
      <c r="G1171" t="inlineStr">
        <is>
          <t>Ridiculously Cool Things You Haven’t Noticed In Encanto Yet | Disney Film Theory</t>
        </is>
      </c>
      <c r="H1171" s="44" t="n">
        <v>0.01282407407407407</v>
      </c>
      <c r="I1171" s="45" t="n">
        <v>279471</v>
      </c>
      <c r="J1171" s="45" t="n">
        <v>11301</v>
      </c>
      <c r="K1171" s="45" t="n">
        <v>878</v>
      </c>
      <c r="L1171" s="46" t="n"/>
      <c r="M1171" s="47" t="n"/>
      <c r="N1171" s="47" t="inlineStr">
        <is>
          <t>UCKZo4N0lVPccBkSiuyVh4yg</t>
        </is>
      </c>
      <c r="O1171" s="48" t="n">
        <v>44658.86736111111</v>
      </c>
      <c r="P1171" s="49" t="n">
        <v>44658</v>
      </c>
      <c r="Q1171" s="47" t="n">
        <v>2097</v>
      </c>
      <c r="R1171" s="47" t="inlineStr">
        <is>
          <t>No Video ID yet</t>
        </is>
      </c>
      <c r="S1171" s="49" t="n"/>
      <c r="T1171" s="49" t="n"/>
      <c r="U1171" s="47" t="inlineStr">
        <is>
          <t>Go to and use code super to get 20% off your first monthly box. Today Ben dives into the fantastical world of Encanto and the Family Madrigal to reveal 5 Ridiculously cool things you haven’t noticed yet! #SuperCarlinBrothers #Encanto</t>
        </is>
      </c>
      <c r="V1171" s="47">
        <f>IF(AND(P1171&gt;=Calendar!$K$2,P1171&lt;EDATE(Calendar!$K$2,1),OR(Calendar!$K$4="*",N1171=Calendar!$K$4)),P1171*100+COUNTIFS($P$6:$P$3267,P1171,$Q$6:$Q$3267,"&lt;="&amp;Q1171,$N$6:$N$3267,Calendar!$K$4),"")</f>
        <v/>
      </c>
      <c r="W1171" s="47">
        <f>IF(AND(B1171=Queue!$C$4,OR(Queue!$K$4="*",N1171=Queue!$K$4)),Q1171,"")</f>
        <v/>
      </c>
    </row>
    <row r="1172">
      <c r="A1172" s="38">
        <f>IF(M1172="","",HYPERLINK("https://www.youtube.com/watch?v="&amp;M1172,"▶"))</f>
        <v/>
      </c>
      <c r="B1172" s="39">
        <f>IF(C1172&lt;&gt;"",C1172,IF(P1172&lt;=IFERROR(INDEX(tblChannels[Watched Through],MATCH(N1172,tblChannels[Channel ID],0)),0),"Watched","Unwatched"))</f>
        <v/>
      </c>
      <c r="C1172" s="40" t="n"/>
      <c r="D1172" s="41" t="n"/>
      <c r="E1172" s="42" t="n">
        <v>44657.625</v>
      </c>
      <c r="F1172" s="52" t="inlineStr">
        <is>
          <t>Super Carlin Gaming</t>
        </is>
      </c>
      <c r="G1172" t="inlineStr">
        <is>
          <t>THE MOON BEAR STRIKES |  Pokémon Legends: Arceus Nuzlocke #6</t>
        </is>
      </c>
      <c r="H1172" s="44" t="n">
        <v>0.02877314814814815</v>
      </c>
      <c r="I1172" s="45" t="n">
        <v>12940</v>
      </c>
      <c r="J1172" s="45" t="n">
        <v>1001</v>
      </c>
      <c r="K1172" s="45" t="n">
        <v>192</v>
      </c>
      <c r="L1172" s="46" t="n"/>
      <c r="M1172" s="47" t="n"/>
      <c r="N1172" s="47" t="inlineStr">
        <is>
          <t>UCor_9jRnNNZVzTuQ92PKsaQ</t>
        </is>
      </c>
      <c r="O1172" s="48" t="n">
        <v>44657.79166666666</v>
      </c>
      <c r="P1172" s="49" t="n">
        <v>44657</v>
      </c>
      <c r="Q1172" s="47" t="n">
        <v>2096</v>
      </c>
      <c r="R1172" s="47" t="inlineStr">
        <is>
          <t>No Video ID yet</t>
        </is>
      </c>
      <c r="S1172" s="49" t="n"/>
      <c r="T1172" s="49" t="n"/>
      <c r="U1172" s="47" t="inlineStr">
        <is>
          <t>Today J and the team explore the Crimson Mirelands, catch new friends and challenge the mighty URSALUNA! Can they survive the encounter with this dangerous foe??</t>
        </is>
      </c>
      <c r="V1172" s="47">
        <f>IF(AND(P1172&gt;=Calendar!$K$2,P1172&lt;EDATE(Calendar!$K$2,1),OR(Calendar!$K$4="*",N1172=Calendar!$K$4)),P1172*100+COUNTIFS($P$6:$P$3267,P1172,$Q$6:$Q$3267,"&lt;="&amp;Q1172,$N$6:$N$3267,Calendar!$K$4),"")</f>
        <v/>
      </c>
      <c r="W1172" s="47">
        <f>IF(AND(B1172=Queue!$C$4,OR(Queue!$K$4="*",N1172=Queue!$K$4)),Q1172,"")</f>
        <v/>
      </c>
    </row>
    <row r="1173">
      <c r="A1173" s="38">
        <f>IF(M1173="","",HYPERLINK("https://www.youtube.com/watch?v="&amp;M1173,"▶"))</f>
        <v/>
      </c>
      <c r="B1173" s="39">
        <f>IF(C1173&lt;&gt;"",C1173,IF(P1173&lt;=IFERROR(INDEX(tblChannels[Watched Through],MATCH(N1173,tblChannels[Channel ID],0)),0),"Watched","Unwatched"))</f>
        <v/>
      </c>
      <c r="C1173" s="40" t="n"/>
      <c r="D1173" s="41" t="n"/>
      <c r="E1173" s="42" t="n">
        <v>44656.69583333333</v>
      </c>
      <c r="F1173" s="50" t="inlineStr">
        <is>
          <t>Super Carlin Brothers</t>
        </is>
      </c>
      <c r="G1173" t="inlineStr">
        <is>
          <t>Why Doesn't Harry Have Any Relatives? | Harry Potter Film Theory</t>
        </is>
      </c>
      <c r="H1173" s="44" t="n">
        <v>0.01059027777777778</v>
      </c>
      <c r="I1173" s="45" t="n">
        <v>464589</v>
      </c>
      <c r="J1173" s="45" t="n">
        <v>16870</v>
      </c>
      <c r="K1173" s="45" t="n">
        <v>1300</v>
      </c>
      <c r="L1173" s="46" t="n"/>
      <c r="M1173" s="47" t="n"/>
      <c r="N1173" s="47" t="inlineStr">
        <is>
          <t>UCKZo4N0lVPccBkSiuyVh4yg</t>
        </is>
      </c>
      <c r="O1173" s="48" t="n">
        <v>44656.8625</v>
      </c>
      <c r="P1173" s="49" t="n">
        <v>44656</v>
      </c>
      <c r="Q1173" s="47" t="n">
        <v>2095</v>
      </c>
      <c r="R1173" s="47" t="inlineStr">
        <is>
          <t>No Video ID yet</t>
        </is>
      </c>
      <c r="S1173" s="49" t="n"/>
      <c r="T1173" s="49" t="n"/>
      <c r="U1173" s="47" t="inlineStr">
        <is>
          <t>Go to to get 25% off your first Membership or 15% off your first order. Today J dives into the Wizarding World of Harry Potter to uncover what happened to the rest of the Potter family, why Harry had to live with the Dursleys, and whether Death himself cursed the entire family tree!</t>
        </is>
      </c>
      <c r="V1173" s="47">
        <f>IF(AND(P1173&gt;=Calendar!$K$2,P1173&lt;EDATE(Calendar!$K$2,1),OR(Calendar!$K$4="*",N1173=Calendar!$K$4)),P1173*100+COUNTIFS($P$6:$P$3267,P1173,$Q$6:$Q$3267,"&lt;="&amp;Q1173,$N$6:$N$3267,Calendar!$K$4),"")</f>
        <v/>
      </c>
      <c r="W1173" s="47">
        <f>IF(AND(B1173=Queue!$C$4,OR(Queue!$K$4="*",N1173=Queue!$K$4)),Q1173,"")</f>
        <v/>
      </c>
    </row>
    <row r="1174">
      <c r="A1174" s="38">
        <f>IF(M1174="","",HYPERLINK("https://www.youtube.com/watch?v="&amp;M1174,"▶"))</f>
        <v/>
      </c>
      <c r="B1174" s="39">
        <f>IF(C1174&lt;&gt;"",C1174,IF(P1174&lt;=IFERROR(INDEX(tblChannels[Watched Through],MATCH(N1174,tblChannels[Channel ID],0)),0),"Watched","Unwatched"))</f>
        <v/>
      </c>
      <c r="C1174" s="40" t="n"/>
      <c r="D1174" s="41" t="n"/>
      <c r="E1174" s="42" t="n">
        <v>44655.625</v>
      </c>
      <c r="F1174" s="53" t="inlineStr">
        <is>
          <t>Jonathan Carlin</t>
        </is>
      </c>
      <c r="G1174" t="inlineStr">
        <is>
          <t>Luke Becomes a SUPER SPY!</t>
        </is>
      </c>
      <c r="H1174" s="44" t="n">
        <v>0.00738425925925926</v>
      </c>
      <c r="I1174" s="45" t="n">
        <v>11125</v>
      </c>
      <c r="J1174" s="45" t="n">
        <v>836</v>
      </c>
      <c r="K1174" s="45" t="n">
        <v>0</v>
      </c>
      <c r="L1174" s="46" t="n"/>
      <c r="M1174" s="47" t="n"/>
      <c r="N1174" s="47" t="inlineStr">
        <is>
          <t>UCYPKFe86e6nm4TVUYKLsFUQ</t>
        </is>
      </c>
      <c r="O1174" s="48" t="n">
        <v>44655.79166666666</v>
      </c>
      <c r="P1174" s="49" t="n">
        <v>44655</v>
      </c>
      <c r="Q1174" s="47" t="n">
        <v>2094</v>
      </c>
      <c r="R1174" s="47" t="inlineStr">
        <is>
          <t>No Video ID yet</t>
        </is>
      </c>
      <c r="S1174" s="49" t="n"/>
      <c r="T1174" s="49" t="n"/>
      <c r="U1174" s="47" t="inlineStr">
        <is>
          <t>This week J and Ben build a skateboard, Luke becomes a spy and then everyone gets sick... BUT THAT RAIN YALL!</t>
        </is>
      </c>
      <c r="V1174" s="47">
        <f>IF(AND(P1174&gt;=Calendar!$K$2,P1174&lt;EDATE(Calendar!$K$2,1),OR(Calendar!$K$4="*",N1174=Calendar!$K$4)),P1174*100+COUNTIFS($P$6:$P$3267,P1174,$Q$6:$Q$3267,"&lt;="&amp;Q1174,$N$6:$N$3267,Calendar!$K$4),"")</f>
        <v/>
      </c>
      <c r="W1174" s="47">
        <f>IF(AND(B1174=Queue!$C$4,OR(Queue!$K$4="*",N1174=Queue!$K$4)),Q1174,"")</f>
        <v/>
      </c>
    </row>
    <row r="1175">
      <c r="A1175" s="38">
        <f>IF(M1175="","",HYPERLINK("https://www.youtube.com/watch?v="&amp;M1175,"▶"))</f>
        <v/>
      </c>
      <c r="B1175" s="39">
        <f>IF(C1175&lt;&gt;"",C1175,IF(P1175&lt;=IFERROR(INDEX(tblChannels[Watched Through],MATCH(N1175,tblChannels[Channel ID],0)),0),"Watched","Unwatched"))</f>
        <v/>
      </c>
      <c r="C1175" s="40" t="n"/>
      <c r="D1175" s="41" t="n"/>
      <c r="E1175" s="42" t="n">
        <v>44652.5</v>
      </c>
      <c r="F1175" s="54" t="inlineStr">
        <is>
          <t>With the Carlins</t>
        </is>
      </c>
      <c r="G1175" t="inlineStr">
        <is>
          <t>I Got A Full Sleeve Tattoo</t>
        </is>
      </c>
      <c r="H1175" s="44" t="n">
        <v>0.01939814814814815</v>
      </c>
      <c r="I1175" s="45" t="n">
        <v>21382</v>
      </c>
      <c r="J1175" s="45" t="n">
        <v>1227</v>
      </c>
      <c r="K1175" s="45" t="n">
        <v>151</v>
      </c>
      <c r="L1175" s="46" t="n"/>
      <c r="M1175" s="47" t="n"/>
      <c r="N1175" s="47" t="inlineStr">
        <is>
          <t>UCVBTjN9WJU5Ac8yU7b2K-5g</t>
        </is>
      </c>
      <c r="O1175" s="48" t="n">
        <v>44652.66666666666</v>
      </c>
      <c r="P1175" s="49" t="n">
        <v>44652</v>
      </c>
      <c r="Q1175" s="47" t="n">
        <v>2093</v>
      </c>
      <c r="R1175" s="47" t="inlineStr">
        <is>
          <t>No Video ID yet</t>
        </is>
      </c>
      <c r="S1175" s="49" t="n"/>
      <c r="T1175" s="49" t="n"/>
      <c r="U1175" s="47" t="inlineStr">
        <is>
          <t>This week I get my first tattoo, Ally and I throw away some eggshells and we work on some baby steps with Addy Family Tree by Molly Horrell: Follow Us! :: I N S T A G R A M➜ and Ben Carlin #SuperCarlinBrothers #CarlinFamily #FamilyVlog</t>
        </is>
      </c>
      <c r="V1175" s="47">
        <f>IF(AND(P1175&gt;=Calendar!$K$2,P1175&lt;EDATE(Calendar!$K$2,1),OR(Calendar!$K$4="*",N1175=Calendar!$K$4)),P1175*100+COUNTIFS($P$6:$P$3267,P1175,$Q$6:$Q$3267,"&lt;="&amp;Q1175,$N$6:$N$3267,Calendar!$K$4),"")</f>
        <v/>
      </c>
      <c r="W1175" s="47">
        <f>IF(AND(B1175=Queue!$C$4,OR(Queue!$K$4="*",N1175=Queue!$K$4)),Q1175,"")</f>
        <v/>
      </c>
    </row>
    <row r="1176">
      <c r="A1176" s="38">
        <f>IF(M1176="","",HYPERLINK("https://www.youtube.com/watch?v="&amp;M1176,"▶"))</f>
        <v/>
      </c>
      <c r="B1176" s="39">
        <f>IF(C1176&lt;&gt;"",C1176,IF(P1176&lt;=IFERROR(INDEX(tblChannels[Watched Through],MATCH(N1176,tblChannels[Channel ID],0)),0),"Watched","Unwatched"))</f>
        <v/>
      </c>
      <c r="C1176" s="40" t="n"/>
      <c r="D1176" s="41" t="n"/>
      <c r="E1176" s="42" t="n">
        <v>44652.41666666666</v>
      </c>
      <c r="F1176" s="43" t="inlineStr">
        <is>
          <t>Popcorn Culture</t>
        </is>
      </c>
      <c r="G1176" t="inlineStr">
        <is>
          <t>The One Where J Hosts | Popcorn Culture</t>
        </is>
      </c>
      <c r="H1176" s="44" t="n">
        <v>0.05025462962962963</v>
      </c>
      <c r="I1176" s="45" t="n">
        <v>10574</v>
      </c>
      <c r="J1176" s="45" t="n">
        <v>526</v>
      </c>
      <c r="K1176" s="45" t="n">
        <v>85</v>
      </c>
      <c r="L1176" s="46" t="n"/>
      <c r="M1176" s="47" t="n"/>
      <c r="N1176" s="47" t="inlineStr">
        <is>
          <t>UCHfIbq9thHPC8yrKjAdJgDA</t>
        </is>
      </c>
      <c r="O1176" s="48" t="n">
        <v>44652.58333333334</v>
      </c>
      <c r="P1176" s="49" t="n">
        <v>44652</v>
      </c>
      <c r="Q1176" s="47" t="n">
        <v>2092</v>
      </c>
      <c r="R1176" s="47" t="inlineStr">
        <is>
          <t>No Video ID yet</t>
        </is>
      </c>
      <c r="S1176" s="49" t="n"/>
      <c r="T1176" s="49" t="n"/>
      <c r="U1176" s="47" t="inlineStr">
        <is>
          <t>In the 121st episode of the pop, Ben and J discuss April Fools, Alyce’s bridal shop, the concept of future history, silver, gold and copper, Abe Lincoln, Pokémon, plants, children’s autonomy, mountain biking, the way Ben’s brain works, expectations, and shoe game. Go Follow @hi_my_name_is_riles_jr - The Next Generation - Alyce’s Bridal Shop - The Big Short - Sharon McMahon Instagram - Legends Arceus Golbat Description - Pop of the Mornin! The Life Cycle of a Joke Your Present is the Future’s History Do We Have More Influence Than We Know? Inside Out = Outside In Do We Compare Because of Expectations? 00:00 - Intro, The Tide Has Turned 03:36 - Present and Future History 10:47 - Precious Metals 15:20 - Corn Roots and Echo Chambers 26:18 - Impactful Moments for Children 39:28 - Batch of Classic Ben Thoughts</t>
        </is>
      </c>
      <c r="V1176" s="47">
        <f>IF(AND(P1176&gt;=Calendar!$K$2,P1176&lt;EDATE(Calendar!$K$2,1),OR(Calendar!$K$4="*",N1176=Calendar!$K$4)),P1176*100+COUNTIFS($P$6:$P$3267,P1176,$Q$6:$Q$3267,"&lt;="&amp;Q1176,$N$6:$N$3267,Calendar!$K$4),"")</f>
        <v/>
      </c>
      <c r="W1176" s="47">
        <f>IF(AND(B1176=Queue!$C$4,OR(Queue!$K$4="*",N1176=Queue!$K$4)),Q1176,"")</f>
        <v/>
      </c>
    </row>
    <row r="1177">
      <c r="A1177" s="38">
        <f>IF(M1177="","",HYPERLINK("https://www.youtube.com/watch?v="&amp;M1177,"▶"))</f>
        <v/>
      </c>
      <c r="B1177" s="39">
        <f>IF(C1177&lt;&gt;"",C1177,IF(P1177&lt;=IFERROR(INDEX(tblChannels[Watched Through],MATCH(N1177,tblChannels[Channel ID],0)),0),"Watched","Unwatched"))</f>
        <v/>
      </c>
      <c r="C1177" s="40" t="n"/>
      <c r="D1177" s="41" t="n"/>
      <c r="E1177" s="42" t="n">
        <v>44651.67013888889</v>
      </c>
      <c r="F1177" s="50" t="inlineStr">
        <is>
          <t>Super Carlin Brothers</t>
        </is>
      </c>
      <c r="G1177" t="inlineStr">
        <is>
          <t>The Madrigal’s Powers are From FEAR! | Encanto Disney Film Theory</t>
        </is>
      </c>
      <c r="H1177" s="44" t="n">
        <v>0.01097222222222222</v>
      </c>
      <c r="I1177" s="45" t="n">
        <v>203965</v>
      </c>
      <c r="J1177" s="45" t="n">
        <v>9604</v>
      </c>
      <c r="K1177" s="45" t="n">
        <v>762</v>
      </c>
      <c r="L1177" s="46" t="n"/>
      <c r="M1177" s="47" t="n"/>
      <c r="N1177" s="47" t="inlineStr">
        <is>
          <t>UCKZo4N0lVPccBkSiuyVh4yg</t>
        </is>
      </c>
      <c r="O1177" s="48" t="n">
        <v>44651.83680555555</v>
      </c>
      <c r="P1177" s="49" t="n">
        <v>44651</v>
      </c>
      <c r="Q1177" s="47" t="n">
        <v>2091</v>
      </c>
      <c r="R1177" s="47" t="inlineStr">
        <is>
          <t>No Video ID yet</t>
        </is>
      </c>
      <c r="S1177" s="49" t="n"/>
      <c r="T1177" s="49" t="n"/>
      <c r="U1177" s="47" t="inlineStr">
        <is>
          <t>Today J dives into the fantastical world of the Family Madrigal to discover why each family member had their specific powers and how it has to do with various coping mechanisms!</t>
        </is>
      </c>
      <c r="V1177" s="47">
        <f>IF(AND(P1177&gt;=Calendar!$K$2,P1177&lt;EDATE(Calendar!$K$2,1),OR(Calendar!$K$4="*",N1177=Calendar!$K$4)),P1177*100+COUNTIFS($P$6:$P$3267,P1177,$Q$6:$Q$3267,"&lt;="&amp;Q1177,$N$6:$N$3267,Calendar!$K$4),"")</f>
        <v/>
      </c>
      <c r="W1177" s="47">
        <f>IF(AND(B1177=Queue!$C$4,OR(Queue!$K$4="*",N1177=Queue!$K$4)),Q1177,"")</f>
        <v/>
      </c>
    </row>
    <row r="1178">
      <c r="A1178" s="38">
        <f>IF(M1178="","",HYPERLINK("https://www.youtube.com/watch?v="&amp;M1178,"▶"))</f>
        <v/>
      </c>
      <c r="B1178" s="39">
        <f>IF(C1178&lt;&gt;"",C1178,IF(P1178&lt;=IFERROR(INDEX(tblChannels[Watched Through],MATCH(N1178,tblChannels[Channel ID],0)),0),"Watched","Unwatched"))</f>
        <v/>
      </c>
      <c r="C1178" s="40" t="n"/>
      <c r="D1178" s="41" t="n"/>
      <c r="E1178" s="42" t="n">
        <v>44650.625</v>
      </c>
      <c r="F1178" s="52" t="inlineStr">
        <is>
          <t>Super Carlin Gaming</t>
        </is>
      </c>
      <c r="G1178" t="inlineStr">
        <is>
          <t>BULLDOZED  |  Pokémon Legends: Arceus Nuzlocke #5</t>
        </is>
      </c>
      <c r="H1178" s="44" t="n">
        <v>0.02479166666666667</v>
      </c>
      <c r="I1178" s="45" t="n">
        <v>14345</v>
      </c>
      <c r="J1178" s="45" t="n">
        <v>712</v>
      </c>
      <c r="K1178" s="45" t="n">
        <v>218</v>
      </c>
      <c r="L1178" s="46" t="n"/>
      <c r="M1178" s="47" t="n"/>
      <c r="N1178" s="47" t="inlineStr">
        <is>
          <t>UCor_9jRnNNZVzTuQ92PKsaQ</t>
        </is>
      </c>
      <c r="O1178" s="48" t="n">
        <v>44650.79166666666</v>
      </c>
      <c r="P1178" s="49" t="n">
        <v>44650</v>
      </c>
      <c r="Q1178" s="47" t="n">
        <v>2090</v>
      </c>
      <c r="R1178" s="47" t="inlineStr">
        <is>
          <t>No Video ID yet</t>
        </is>
      </c>
      <c r="S1178" s="49" t="n"/>
      <c r="T1178" s="49" t="n"/>
      <c r="U1178" s="47" t="inlineStr">
        <is>
          <t>This week J and the team head to the Crimson Mirelands to try and catch some new friends at quell another noble pokemon, are they ready for this new dangerous bog??</t>
        </is>
      </c>
      <c r="V1178" s="47">
        <f>IF(AND(P1178&gt;=Calendar!$K$2,P1178&lt;EDATE(Calendar!$K$2,1),OR(Calendar!$K$4="*",N1178=Calendar!$K$4)),P1178*100+COUNTIFS($P$6:$P$3267,P1178,$Q$6:$Q$3267,"&lt;="&amp;Q1178,$N$6:$N$3267,Calendar!$K$4),"")</f>
        <v/>
      </c>
      <c r="W1178" s="47">
        <f>IF(AND(B1178=Queue!$C$4,OR(Queue!$K$4="*",N1178=Queue!$K$4)),Q1178,"")</f>
        <v/>
      </c>
    </row>
    <row r="1179">
      <c r="A1179" s="38">
        <f>IF(M1179="","",HYPERLINK("https://www.youtube.com/watch?v="&amp;M1179,"▶"))</f>
        <v/>
      </c>
      <c r="B1179" s="39">
        <f>IF(C1179&lt;&gt;"",C1179,IF(P1179&lt;=IFERROR(INDEX(tblChannels[Watched Through],MATCH(N1179,tblChannels[Channel ID],0)),0),"Watched","Unwatched"))</f>
        <v/>
      </c>
      <c r="C1179" s="40" t="n"/>
      <c r="D1179" s="41" t="n"/>
      <c r="E1179" s="42" t="n">
        <v>44649.67291666667</v>
      </c>
      <c r="F1179" s="50" t="inlineStr">
        <is>
          <t>Super Carlin Brothers</t>
        </is>
      </c>
      <c r="G1179" t="inlineStr">
        <is>
          <t>J vs Ben: ULTIMATE Newt Scamander Quiz | Harry Potter Trivia</t>
        </is>
      </c>
      <c r="H1179" s="44" t="n">
        <v>0.01908564814814815</v>
      </c>
      <c r="I1179" s="45" t="n">
        <v>174459</v>
      </c>
      <c r="J1179" s="45" t="n">
        <v>7276</v>
      </c>
      <c r="K1179" s="45" t="n">
        <v>559</v>
      </c>
      <c r="L1179" s="46" t="n"/>
      <c r="M1179" s="47" t="n"/>
      <c r="N1179" s="47" t="inlineStr">
        <is>
          <t>UCKZo4N0lVPccBkSiuyVh4yg</t>
        </is>
      </c>
      <c r="O1179" s="48" t="n">
        <v>44649.83958333333</v>
      </c>
      <c r="P1179" s="49" t="n">
        <v>44649</v>
      </c>
      <c r="Q1179" s="47" t="n">
        <v>2089</v>
      </c>
      <c r="R1179" s="47" t="inlineStr">
        <is>
          <t>No Video ID yet</t>
        </is>
      </c>
      <c r="S1179" s="49" t="n"/>
      <c r="T1179" s="49" t="n"/>
      <c r="U1179" s="47" t="inlineStr">
        <is>
          <t>Go to to get Honey for free Get 25% off and zero delivery fees on your first order of $15 or more when you download the DoorDash app and enter code JVSB. Today J and Ben face off once more to find out who knows the Wizarding World and everyone’s favorite Magizoologist: Newton Scamander #SuperCarlinBrothers #HarryPotter #JvsBen</t>
        </is>
      </c>
      <c r="V1179" s="47">
        <f>IF(AND(P1179&gt;=Calendar!$K$2,P1179&lt;EDATE(Calendar!$K$2,1),OR(Calendar!$K$4="*",N1179=Calendar!$K$4)),P1179*100+COUNTIFS($P$6:$P$3267,P1179,$Q$6:$Q$3267,"&lt;="&amp;Q1179,$N$6:$N$3267,Calendar!$K$4),"")</f>
        <v/>
      </c>
      <c r="W1179" s="47">
        <f>IF(AND(B1179=Queue!$C$4,OR(Queue!$K$4="*",N1179=Queue!$K$4)),Q1179,"")</f>
        <v/>
      </c>
    </row>
    <row r="1180">
      <c r="A1180" s="38">
        <f>IF(M1180="","",HYPERLINK("https://www.youtube.com/watch?v="&amp;M1180,"▶"))</f>
        <v/>
      </c>
      <c r="B1180" s="39">
        <f>IF(C1180&lt;&gt;"",C1180,IF(P1180&lt;=IFERROR(INDEX(tblChannels[Watched Through],MATCH(N1180,tblChannels[Channel ID],0)),0),"Watched","Unwatched"))</f>
        <v/>
      </c>
      <c r="C1180" s="40" t="n"/>
      <c r="D1180" s="41" t="n"/>
      <c r="E1180" s="42" t="n">
        <v>44648.41666666666</v>
      </c>
      <c r="F1180" s="53" t="inlineStr">
        <is>
          <t>Jonathan Carlin</t>
        </is>
      </c>
      <c r="G1180" t="inlineStr">
        <is>
          <t>BETH LEFT ME ALONE WITH THE KIDS AGAIN</t>
        </is>
      </c>
      <c r="H1180" s="44" t="n">
        <v>0.01521990740740741</v>
      </c>
      <c r="I1180" s="45" t="n">
        <v>17886</v>
      </c>
      <c r="J1180" s="45" t="n">
        <v>1116</v>
      </c>
      <c r="K1180" s="45" t="n">
        <v>82</v>
      </c>
      <c r="L1180" s="46" t="n"/>
      <c r="M1180" s="47" t="n"/>
      <c r="N1180" s="47" t="inlineStr">
        <is>
          <t>UCYPKFe86e6nm4TVUYKLsFUQ</t>
        </is>
      </c>
      <c r="O1180" s="48" t="n">
        <v>44648.58333333334</v>
      </c>
      <c r="P1180" s="49" t="n">
        <v>44648</v>
      </c>
      <c r="Q1180" s="47" t="n">
        <v>2088</v>
      </c>
      <c r="R1180" s="47" t="inlineStr">
        <is>
          <t>No Video ID yet</t>
        </is>
      </c>
      <c r="S1180" s="49" t="n"/>
      <c r="T1180" s="49" t="n"/>
      <c r="U1180" s="47" t="inlineStr">
        <is>
          <t>This week J and Ben give a lecture at Virginia Tech, Luke picks out some cereal and then Beth goes to Ashville to run at the Biltmore while J is left at home with the kids for the weekend!</t>
        </is>
      </c>
      <c r="V1180" s="47">
        <f>IF(AND(P1180&gt;=Calendar!$K$2,P1180&lt;EDATE(Calendar!$K$2,1),OR(Calendar!$K$4="*",N1180=Calendar!$K$4)),P1180*100+COUNTIFS($P$6:$P$3267,P1180,$Q$6:$Q$3267,"&lt;="&amp;Q1180,$N$6:$N$3267,Calendar!$K$4),"")</f>
        <v/>
      </c>
      <c r="W1180" s="47">
        <f>IF(AND(B1180=Queue!$C$4,OR(Queue!$K$4="*",N1180=Queue!$K$4)),Q1180,"")</f>
        <v/>
      </c>
    </row>
    <row r="1181">
      <c r="A1181" s="38">
        <f>IF(M1181="","",HYPERLINK("https://www.youtube.com/watch?v="&amp;M1181,"▶"))</f>
        <v/>
      </c>
      <c r="B1181" s="39">
        <f>IF(C1181&lt;&gt;"",C1181,IF(P1181&lt;=IFERROR(INDEX(tblChannels[Watched Through],MATCH(N1181,tblChannels[Channel ID],0)),0),"Watched","Unwatched"))</f>
        <v/>
      </c>
      <c r="C1181" s="40" t="n"/>
      <c r="D1181" s="41" t="n"/>
      <c r="E1181" s="42" t="n">
        <v>44645.5</v>
      </c>
      <c r="F1181" s="54" t="inlineStr">
        <is>
          <t>With the Carlins</t>
        </is>
      </c>
      <c r="G1181" t="inlineStr">
        <is>
          <t>We Started 75 Hard!</t>
        </is>
      </c>
      <c r="H1181" s="44" t="n">
        <v>0.01336805555555555</v>
      </c>
      <c r="I1181" s="45" t="n">
        <v>15538</v>
      </c>
      <c r="J1181" s="45" t="n">
        <v>1200</v>
      </c>
      <c r="K1181" s="45" t="n">
        <v>91</v>
      </c>
      <c r="L1181" s="46" t="n"/>
      <c r="M1181" s="47" t="n"/>
      <c r="N1181" s="47" t="inlineStr">
        <is>
          <t>UCVBTjN9WJU5Ac8yU7b2K-5g</t>
        </is>
      </c>
      <c r="O1181" s="48" t="n">
        <v>44645.66666666666</v>
      </c>
      <c r="P1181" s="49" t="n">
        <v>44645</v>
      </c>
      <c r="Q1181" s="47" t="n">
        <v>2087</v>
      </c>
      <c r="R1181" s="47" t="inlineStr">
        <is>
          <t>No Video ID yet</t>
        </is>
      </c>
      <c r="S1181" s="49" t="n"/>
      <c r="T1181" s="49" t="n"/>
      <c r="U1181" s="47" t="inlineStr">
        <is>
          <t>This week we work on the garden, start a fitness challenge, and make pancakes! Follow Us! :: I N S T A G R A M➜ and Ben Carlin #SuperCarlinBrothers #CarlinFamily #FamilyVlog</t>
        </is>
      </c>
      <c r="V1181" s="47">
        <f>IF(AND(P1181&gt;=Calendar!$K$2,P1181&lt;EDATE(Calendar!$K$2,1),OR(Calendar!$K$4="*",N1181=Calendar!$K$4)),P1181*100+COUNTIFS($P$6:$P$3267,P1181,$Q$6:$Q$3267,"&lt;="&amp;Q1181,$N$6:$N$3267,Calendar!$K$4),"")</f>
        <v/>
      </c>
      <c r="W1181" s="47">
        <f>IF(AND(B1181=Queue!$C$4,OR(Queue!$K$4="*",N1181=Queue!$K$4)),Q1181,"")</f>
        <v/>
      </c>
    </row>
    <row r="1182">
      <c r="A1182" s="38">
        <f>IF(M1182="","",HYPERLINK("https://www.youtube.com/watch?v="&amp;M1182,"▶"))</f>
        <v/>
      </c>
      <c r="B1182" s="39">
        <f>IF(C1182&lt;&gt;"",C1182,IF(P1182&lt;=IFERROR(INDEX(tblChannels[Watched Through],MATCH(N1182,tblChannels[Channel ID],0)),0),"Watched","Unwatched"))</f>
        <v/>
      </c>
      <c r="C1182" s="40" t="n"/>
      <c r="D1182" s="41" t="n"/>
      <c r="E1182" s="42" t="n">
        <v>44645.41666666666</v>
      </c>
      <c r="F1182" s="43" t="inlineStr">
        <is>
          <t>Popcorn Culture</t>
        </is>
      </c>
      <c r="G1182" t="inlineStr">
        <is>
          <t>Hiding Money From Ourselves | Popcorn Culture</t>
        </is>
      </c>
      <c r="H1182" s="44" t="n">
        <v>0.04684027777777778</v>
      </c>
      <c r="I1182" s="45" t="n">
        <v>8147</v>
      </c>
      <c r="J1182" s="45" t="n">
        <v>413</v>
      </c>
      <c r="K1182" s="45" t="n">
        <v>47</v>
      </c>
      <c r="L1182" s="46" t="n"/>
      <c r="M1182" s="47" t="n"/>
      <c r="N1182" s="47" t="inlineStr">
        <is>
          <t>UCHfIbq9thHPC8yrKjAdJgDA</t>
        </is>
      </c>
      <c r="O1182" s="48" t="n">
        <v>44645.58333333334</v>
      </c>
      <c r="P1182" s="49" t="n">
        <v>44645</v>
      </c>
      <c r="Q1182" s="47" t="n">
        <v>2086</v>
      </c>
      <c r="R1182" s="47" t="inlineStr">
        <is>
          <t>No Video ID yet</t>
        </is>
      </c>
      <c r="S1182" s="49" t="n"/>
      <c r="T1182" s="49" t="n"/>
      <c r="U1182" s="47" t="inlineStr">
        <is>
          <t>In the 120th episode of the Pop, Ben and J discuss Koi ponding, lecturing at Virginia Tech, building habits and reframing, J rock climbing, accidentally building wealth, selling lawn care items, J’s purple cow wallet, giving famous people cool gifts, trees, cutting boards, mattress, and Ben’s perspective on reality TV. Acorns: Famous cow artist - Woody Jackson: Grace Potter: Brad Paisley: Japanese Cherry Blossom: Get Your Carlin Brothers Buttered Pancake Candle NOW!: Love is Blind: The Bachelor: Ben’s Wick of the Peek - Atomic Habits: Koi Ponding = Starting a YouTube Channel Lemme Tell You About A Game Called Heatwave J “The Igniter” Carlin Hiding Money From Ourselves COW-culate It Nothin’ Like a Good Tree 00:00 - Intro, Finding Business Ventures 06:12 - Guest Lecturing 14:43 - Ben’s Wick of the Peek 32:20 - Lawn Mower and Weed Wacker 38:20 - Gifts for Grace Potter and Brad Paisley 44:12 - What’s Your Favorite Tree? 49:05 - CBC Ideas 56:16 - Reality TV</t>
        </is>
      </c>
      <c r="V1182" s="47">
        <f>IF(AND(P1182&gt;=Calendar!$K$2,P1182&lt;EDATE(Calendar!$K$2,1),OR(Calendar!$K$4="*",N1182=Calendar!$K$4)),P1182*100+COUNTIFS($P$6:$P$3267,P1182,$Q$6:$Q$3267,"&lt;="&amp;Q1182,$N$6:$N$3267,Calendar!$K$4),"")</f>
        <v/>
      </c>
      <c r="W1182" s="47">
        <f>IF(AND(B1182=Queue!$C$4,OR(Queue!$K$4="*",N1182=Queue!$K$4)),Q1182,"")</f>
        <v/>
      </c>
    </row>
    <row r="1183">
      <c r="A1183" s="38">
        <f>IF(M1183="","",HYPERLINK("https://www.youtube.com/watch?v="&amp;M1183,"▶"))</f>
        <v/>
      </c>
      <c r="B1183" s="39">
        <f>IF(C1183&lt;&gt;"",C1183,IF(P1183&lt;=IFERROR(INDEX(tblChannels[Watched Through],MATCH(N1183,tblChannels[Channel ID],0)),0),"Watched","Unwatched"))</f>
        <v/>
      </c>
      <c r="C1183" s="40" t="n"/>
      <c r="D1183" s="41" t="n"/>
      <c r="E1183" s="42" t="n">
        <v>44644.81458333333</v>
      </c>
      <c r="F1183" s="50" t="inlineStr">
        <is>
          <t>Super Carlin Brothers</t>
        </is>
      </c>
      <c r="G1183" t="inlineStr">
        <is>
          <t>How do Time-Turners Work? | Harry Potter Film Theory</t>
        </is>
      </c>
      <c r="H1183" s="44" t="n">
        <v>0.01265046296296296</v>
      </c>
      <c r="I1183" s="45" t="n">
        <v>463514</v>
      </c>
      <c r="J1183" s="45" t="n">
        <v>16390</v>
      </c>
      <c r="K1183" s="45" t="n">
        <v>1380</v>
      </c>
      <c r="L1183" s="46" t="n"/>
      <c r="M1183" s="47" t="n"/>
      <c r="N1183" s="47" t="inlineStr">
        <is>
          <t>UCKZo4N0lVPccBkSiuyVh4yg</t>
        </is>
      </c>
      <c r="O1183" s="48" t="n">
        <v>44644.98125</v>
      </c>
      <c r="P1183" s="49" t="n">
        <v>44644</v>
      </c>
      <c r="Q1183" s="47" t="n">
        <v>2085</v>
      </c>
      <c r="R1183" s="47" t="inlineStr">
        <is>
          <t>No Video ID yet</t>
        </is>
      </c>
      <c r="S1183" s="49" t="n"/>
      <c r="T1183" s="49" t="n"/>
      <c r="U1183" s="47" t="inlineStr">
        <is>
          <t>Go to and use code super to get 20% off your first monthly box. Today Ben dives into the Wizarding World of Harry Potter try and answer an age old question: How do Time-Turners work?</t>
        </is>
      </c>
      <c r="V1183" s="47">
        <f>IF(AND(P1183&gt;=Calendar!$K$2,P1183&lt;EDATE(Calendar!$K$2,1),OR(Calendar!$K$4="*",N1183=Calendar!$K$4)),P1183*100+COUNTIFS($P$6:$P$3267,P1183,$Q$6:$Q$3267,"&lt;="&amp;Q1183,$N$6:$N$3267,Calendar!$K$4),"")</f>
        <v/>
      </c>
      <c r="W1183" s="47">
        <f>IF(AND(B1183=Queue!$C$4,OR(Queue!$K$4="*",N1183=Queue!$K$4)),Q1183,"")</f>
        <v/>
      </c>
    </row>
    <row r="1184">
      <c r="A1184" s="38">
        <f>IF(M1184="","",HYPERLINK("https://www.youtube.com/watch?v="&amp;M1184,"▶"))</f>
        <v/>
      </c>
      <c r="B1184" s="39">
        <f>IF(C1184&lt;&gt;"",C1184,IF(P1184&lt;=IFERROR(INDEX(tblChannels[Watched Through],MATCH(N1184,tblChannels[Channel ID],0)),0),"Watched","Unwatched"))</f>
        <v/>
      </c>
      <c r="C1184" s="40" t="n"/>
      <c r="D1184" s="41" t="n"/>
      <c r="E1184" s="42" t="n">
        <v>44643.41666666666</v>
      </c>
      <c r="F1184" s="52" t="inlineStr">
        <is>
          <t>Super Carlin Gaming</t>
        </is>
      </c>
      <c r="G1184" t="inlineStr">
        <is>
          <t>THE LORD OF THE WOODS | Pokémon Legends: Arceus Nuzlocke #4</t>
        </is>
      </c>
      <c r="H1184" s="44" t="n">
        <v>0.02211805555555555</v>
      </c>
      <c r="I1184" s="45" t="n">
        <v>13514</v>
      </c>
      <c r="J1184" s="45" t="n">
        <v>805</v>
      </c>
      <c r="K1184" s="45" t="n">
        <v>174</v>
      </c>
      <c r="L1184" s="46" t="n"/>
      <c r="M1184" s="47" t="n"/>
      <c r="N1184" s="47" t="inlineStr">
        <is>
          <t>UCor_9jRnNNZVzTuQ92PKsaQ</t>
        </is>
      </c>
      <c r="O1184" s="48" t="n">
        <v>44643.58333333334</v>
      </c>
      <c r="P1184" s="49" t="n">
        <v>44643</v>
      </c>
      <c r="Q1184" s="47" t="n">
        <v>2084</v>
      </c>
      <c r="R1184" s="47" t="inlineStr">
        <is>
          <t>No Video ID yet</t>
        </is>
      </c>
      <c r="S1184" s="49" t="n"/>
      <c r="T1184" s="49" t="n"/>
      <c r="U1184" s="47" t="inlineStr">
        <is>
          <t>This week J, Mercury and the team prepare for their first noble battle against Kleavor! Can the team survive this powerful foe?!!</t>
        </is>
      </c>
      <c r="V1184" s="47">
        <f>IF(AND(P1184&gt;=Calendar!$K$2,P1184&lt;EDATE(Calendar!$K$2,1),OR(Calendar!$K$4="*",N1184=Calendar!$K$4)),P1184*100+COUNTIFS($P$6:$P$3267,P1184,$Q$6:$Q$3267,"&lt;="&amp;Q1184,$N$6:$N$3267,Calendar!$K$4),"")</f>
        <v/>
      </c>
      <c r="W1184" s="47">
        <f>IF(AND(B1184=Queue!$C$4,OR(Queue!$K$4="*",N1184=Queue!$K$4)),Q1184,"")</f>
        <v/>
      </c>
    </row>
    <row r="1185">
      <c r="A1185" s="38">
        <f>IF(M1185="","",HYPERLINK("https://www.youtube.com/watch?v="&amp;M1185,"▶"))</f>
        <v/>
      </c>
      <c r="B1185" s="39">
        <f>IF(C1185&lt;&gt;"",C1185,IF(P1185&lt;=IFERROR(INDEX(tblChannels[Watched Through],MATCH(N1185,tblChannels[Channel ID],0)),0),"Watched","Unwatched"))</f>
        <v/>
      </c>
      <c r="C1185" s="40" t="n"/>
      <c r="D1185" s="41" t="n"/>
      <c r="E1185" s="42" t="n">
        <v>44642.68263888889</v>
      </c>
      <c r="F1185" s="50" t="inlineStr">
        <is>
          <t>Super Carlin Brothers</t>
        </is>
      </c>
      <c r="G1185" t="inlineStr">
        <is>
          <t>Dumbledore’s Secret Weapon | Harry Potter Film Theory</t>
        </is>
      </c>
      <c r="H1185" s="44" t="n">
        <v>0.01055555555555556</v>
      </c>
      <c r="I1185" s="45" t="n">
        <v>212505</v>
      </c>
      <c r="J1185" s="45" t="n">
        <v>9733</v>
      </c>
      <c r="K1185" s="45" t="n">
        <v>840</v>
      </c>
      <c r="L1185" s="46" t="n"/>
      <c r="M1185" s="47" t="n"/>
      <c r="N1185" s="47" t="inlineStr">
        <is>
          <t>UCKZo4N0lVPccBkSiuyVh4yg</t>
        </is>
      </c>
      <c r="O1185" s="48" t="n">
        <v>44642.84930555556</v>
      </c>
      <c r="P1185" s="49" t="n">
        <v>44642</v>
      </c>
      <c r="Q1185" s="47" t="n">
        <v>2083</v>
      </c>
      <c r="R1185" s="47" t="inlineStr">
        <is>
          <t>No Video ID yet</t>
        </is>
      </c>
      <c r="S1185" s="49" t="n"/>
      <c r="T1185" s="49" t="n"/>
      <c r="U1185" s="47" t="inlineStr">
        <is>
          <t>Go to for 10% off plus free shipping. Today J dives into the Wizarding World of Harry Potter to uncover Credence’s true identity and reveal Dumbledore's SECRET Weapon! #SuperCarlinBrothers #HarryPotter #secretsofdumbledore</t>
        </is>
      </c>
      <c r="V1185" s="47">
        <f>IF(AND(P1185&gt;=Calendar!$K$2,P1185&lt;EDATE(Calendar!$K$2,1),OR(Calendar!$K$4="*",N1185=Calendar!$K$4)),P1185*100+COUNTIFS($P$6:$P$3267,P1185,$Q$6:$Q$3267,"&lt;="&amp;Q1185,$N$6:$N$3267,Calendar!$K$4),"")</f>
        <v/>
      </c>
      <c r="W1185" s="47">
        <f>IF(AND(B1185=Queue!$C$4,OR(Queue!$K$4="*",N1185=Queue!$K$4)),Q1185,"")</f>
        <v/>
      </c>
    </row>
    <row r="1186">
      <c r="A1186" s="38">
        <f>IF(M1186="","",HYPERLINK("https://www.youtube.com/watch?v="&amp;M1186,"▶"))</f>
        <v/>
      </c>
      <c r="B1186" s="39">
        <f>IF(C1186&lt;&gt;"",C1186,IF(P1186&lt;=IFERROR(INDEX(tblChannels[Watched Through],MATCH(N1186,tblChannels[Channel ID],0)),0),"Watched","Unwatched"))</f>
        <v/>
      </c>
      <c r="C1186" s="40" t="n"/>
      <c r="D1186" s="41" t="n"/>
      <c r="E1186" s="42" t="n">
        <v>44641.41666666666</v>
      </c>
      <c r="F1186" s="53" t="inlineStr">
        <is>
          <t>Jonathan Carlin</t>
        </is>
      </c>
      <c r="G1186" t="inlineStr">
        <is>
          <t>Celebrating Our Houseiversary!</t>
        </is>
      </c>
      <c r="H1186" s="44" t="n">
        <v>0.01012731481481481</v>
      </c>
      <c r="I1186" s="45" t="n">
        <v>14497</v>
      </c>
      <c r="J1186" s="45" t="n">
        <v>927</v>
      </c>
      <c r="K1186" s="45" t="n">
        <v>54</v>
      </c>
      <c r="L1186" s="46" t="n"/>
      <c r="M1186" s="47" t="n"/>
      <c r="N1186" s="47" t="inlineStr">
        <is>
          <t>UCYPKFe86e6nm4TVUYKLsFUQ</t>
        </is>
      </c>
      <c r="O1186" s="48" t="n">
        <v>44641.58333333334</v>
      </c>
      <c r="P1186" s="49" t="n">
        <v>44641</v>
      </c>
      <c r="Q1186" s="47" t="n">
        <v>2082</v>
      </c>
      <c r="R1186" s="47" t="inlineStr">
        <is>
          <t>No Video ID yet</t>
        </is>
      </c>
      <c r="S1186" s="49" t="n"/>
      <c r="T1186" s="49" t="n"/>
      <c r="U1186" s="47" t="inlineStr">
        <is>
          <t>This week J and Ben redecorate the SCB set and try new coffee flavors for Carlin Brothers Coffee. Back at the house we celebrate our houseiversary and have our first ever family movie night with the boys! Carlin Brothers Coffee :: Emily Mariko TikTok ::</t>
        </is>
      </c>
      <c r="V1186" s="47">
        <f>IF(AND(P1186&gt;=Calendar!$K$2,P1186&lt;EDATE(Calendar!$K$2,1),OR(Calendar!$K$4="*",N1186=Calendar!$K$4)),P1186*100+COUNTIFS($P$6:$P$3267,P1186,$Q$6:$Q$3267,"&lt;="&amp;Q1186,$N$6:$N$3267,Calendar!$K$4),"")</f>
        <v/>
      </c>
      <c r="W1186" s="47">
        <f>IF(AND(B1186=Queue!$C$4,OR(Queue!$K$4="*",N1186=Queue!$K$4)),Q1186,"")</f>
        <v/>
      </c>
    </row>
    <row r="1187">
      <c r="A1187" s="38">
        <f>IF(M1187="","",HYPERLINK("https://www.youtube.com/watch?v="&amp;M1187,"▶"))</f>
        <v/>
      </c>
      <c r="B1187" s="39">
        <f>IF(C1187&lt;&gt;"",C1187,IF(P1187&lt;=IFERROR(INDEX(tblChannels[Watched Through],MATCH(N1187,tblChannels[Channel ID],0)),0),"Watched","Unwatched"))</f>
        <v/>
      </c>
      <c r="C1187" s="40" t="n"/>
      <c r="D1187" s="41" t="n"/>
      <c r="E1187" s="42" t="n">
        <v>44638.5</v>
      </c>
      <c r="F1187" s="54" t="inlineStr">
        <is>
          <t>With the Carlins</t>
        </is>
      </c>
      <c r="G1187" t="inlineStr">
        <is>
          <t>Addison Receives A Family Heirloom</t>
        </is>
      </c>
      <c r="H1187" s="44" t="n">
        <v>0.01520833333333333</v>
      </c>
      <c r="I1187" s="45" t="n">
        <v>12394</v>
      </c>
      <c r="J1187" s="45" t="n">
        <v>970</v>
      </c>
      <c r="K1187" s="45" t="n">
        <v>52</v>
      </c>
      <c r="L1187" s="46" t="n"/>
      <c r="M1187" s="47" t="n"/>
      <c r="N1187" s="47" t="inlineStr">
        <is>
          <t>UCVBTjN9WJU5Ac8yU7b2K-5g</t>
        </is>
      </c>
      <c r="O1187" s="48" t="n">
        <v>44638.66666666666</v>
      </c>
      <c r="P1187" s="49" t="n">
        <v>44638</v>
      </c>
      <c r="Q1187" s="47" t="n">
        <v>2081</v>
      </c>
      <c r="R1187" s="47" t="inlineStr">
        <is>
          <t>No Video ID yet</t>
        </is>
      </c>
      <c r="S1187" s="49" t="n"/>
      <c r="T1187" s="49" t="n"/>
      <c r="U1187" s="47" t="inlineStr">
        <is>
          <t>This week we start a garden, build a climbing wall and get a really cool thing in the mail! Follow Us! :: I N S T A G R A M➜ and Ben Carlin #SuperCarlinBrothers #CarlinFamily #FamilyVlog</t>
        </is>
      </c>
      <c r="V1187" s="47">
        <f>IF(AND(P1187&gt;=Calendar!$K$2,P1187&lt;EDATE(Calendar!$K$2,1),OR(Calendar!$K$4="*",N1187=Calendar!$K$4)),P1187*100+COUNTIFS($P$6:$P$3267,P1187,$Q$6:$Q$3267,"&lt;="&amp;Q1187,$N$6:$N$3267,Calendar!$K$4),"")</f>
        <v/>
      </c>
      <c r="W1187" s="47">
        <f>IF(AND(B1187=Queue!$C$4,OR(Queue!$K$4="*",N1187=Queue!$K$4)),Q1187,"")</f>
        <v/>
      </c>
    </row>
    <row r="1188">
      <c r="A1188" s="38">
        <f>IF(M1188="","",HYPERLINK("https://www.youtube.com/watch?v="&amp;M1188,"▶"))</f>
        <v/>
      </c>
      <c r="B1188" s="39">
        <f>IF(C1188&lt;&gt;"",C1188,IF(P1188&lt;=IFERROR(INDEX(tblChannels[Watched Through],MATCH(N1188,tblChannels[Channel ID],0)),0),"Watched","Unwatched"))</f>
        <v/>
      </c>
      <c r="C1188" s="40" t="n"/>
      <c r="D1188" s="41" t="n"/>
      <c r="E1188" s="42" t="n">
        <v>44638.41666666666</v>
      </c>
      <c r="F1188" s="43" t="inlineStr">
        <is>
          <t>Popcorn Culture</t>
        </is>
      </c>
      <c r="G1188" t="inlineStr">
        <is>
          <t>WHEELS OR DOORS?? | Popcorn Culture</t>
        </is>
      </c>
      <c r="H1188" s="44" t="n">
        <v>0.0475</v>
      </c>
      <c r="I1188" s="45" t="n">
        <v>7535</v>
      </c>
      <c r="J1188" s="45" t="n">
        <v>382</v>
      </c>
      <c r="K1188" s="45" t="n">
        <v>34</v>
      </c>
      <c r="L1188" s="46" t="n"/>
      <c r="M1188" s="47" t="n"/>
      <c r="N1188" s="47" t="inlineStr">
        <is>
          <t>UCHfIbq9thHPC8yrKjAdJgDA</t>
        </is>
      </c>
      <c r="O1188" s="48" t="n">
        <v>44638.58333333334</v>
      </c>
      <c r="P1188" s="49" t="n">
        <v>44638</v>
      </c>
      <c r="Q1188" s="47" t="n">
        <v>2080</v>
      </c>
      <c r="R1188" s="47" t="inlineStr">
        <is>
          <t>No Video ID yet</t>
        </is>
      </c>
      <c r="S1188" s="49" t="n"/>
      <c r="T1188" s="49" t="n"/>
      <c r="U1188" s="47" t="inlineStr">
        <is>
          <t>In the 119th episode of the Pop, Ben and J discuss interview tactics, presidential debates, Pokemon card strategy, Ben’s Entrepreneurial Management class, space tube explained, progress with the 75 Hard, J’s half gallon water bottle, glamping, the wheels vs doors debate, and invention vs. discovery. Ted Talk on Space Elevator - The Martian- Project Hail Mary- 75 Hard - How to Beat Mew A Metapod Deck?? Tethered to an Asteroid That Half Gallon Life A Competition Party Millennials Walking Around Like They Rent the Place What are Notes if not Numbers? 00:00 - Intro, Interviews 06:06 - Pokemon Cards and Ben’s Entrepreneurial Management Class 20:45 -Space Tubes 28:06 - 75 Hard Started 37:55 - Glamping! 51:16 - Wheel’s vs. Doors, Invention vs. Discovery</t>
        </is>
      </c>
      <c r="V1188" s="47">
        <f>IF(AND(P1188&gt;=Calendar!$K$2,P1188&lt;EDATE(Calendar!$K$2,1),OR(Calendar!$K$4="*",N1188=Calendar!$K$4)),P1188*100+COUNTIFS($P$6:$P$3267,P1188,$Q$6:$Q$3267,"&lt;="&amp;Q1188,$N$6:$N$3267,Calendar!$K$4),"")</f>
        <v/>
      </c>
      <c r="W1188" s="47">
        <f>IF(AND(B1188=Queue!$C$4,OR(Queue!$K$4="*",N1188=Queue!$K$4)),Q1188,"")</f>
        <v/>
      </c>
    </row>
    <row r="1189">
      <c r="A1189" s="38">
        <f>IF(M1189="","",HYPERLINK("https://www.youtube.com/watch?v="&amp;M1189,"▶"))</f>
        <v/>
      </c>
      <c r="B1189" s="39">
        <f>IF(C1189&lt;&gt;"",C1189,IF(P1189&lt;=IFERROR(INDEX(tblChannels[Watched Through],MATCH(N1189,tblChannels[Channel ID],0)),0),"Watched","Unwatched"))</f>
        <v/>
      </c>
      <c r="C1189" s="40" t="n"/>
      <c r="D1189" s="41" t="n"/>
      <c r="E1189" s="42" t="n">
        <v>44637.68819444445</v>
      </c>
      <c r="F1189" s="50" t="inlineStr">
        <is>
          <t>Super Carlin Brothers</t>
        </is>
      </c>
      <c r="G1189" t="inlineStr">
        <is>
          <t>How Turning Red Fits Into The Pixar Theory</t>
        </is>
      </c>
      <c r="H1189" s="44" t="n">
        <v>0.01234953703703704</v>
      </c>
      <c r="I1189" s="45" t="n">
        <v>381951</v>
      </c>
      <c r="J1189" s="45" t="n">
        <v>16297</v>
      </c>
      <c r="K1189" s="45" t="n">
        <v>1350</v>
      </c>
      <c r="L1189" s="46" t="n"/>
      <c r="M1189" s="47" t="n"/>
      <c r="N1189" s="47" t="inlineStr">
        <is>
          <t>UCKZo4N0lVPccBkSiuyVh4yg</t>
        </is>
      </c>
      <c r="O1189" s="48" t="n">
        <v>44637.85486111111</v>
      </c>
      <c r="P1189" s="49" t="n">
        <v>44637</v>
      </c>
      <c r="Q1189" s="47" t="n">
        <v>2079</v>
      </c>
      <c r="R1189" s="47" t="inlineStr">
        <is>
          <t>No Video ID yet</t>
        </is>
      </c>
      <c r="S1189" s="49" t="n"/>
      <c r="T1189" s="49" t="n"/>
      <c r="U1189" s="47" t="inlineStr">
        <is>
          <t>Today Ben dives into the wide world of the Pixar Theory to uncover how Turning Red fits into the Pixar Theory! Read Jon Negroni's original Pixar Theory Article :: #SuperCarlinBrothers #Pixar #TurningRed</t>
        </is>
      </c>
      <c r="V1189" s="47">
        <f>IF(AND(P1189&gt;=Calendar!$K$2,P1189&lt;EDATE(Calendar!$K$2,1),OR(Calendar!$K$4="*",N1189=Calendar!$K$4)),P1189*100+COUNTIFS($P$6:$P$3267,P1189,$Q$6:$Q$3267,"&lt;="&amp;Q1189,$N$6:$N$3267,Calendar!$K$4),"")</f>
        <v/>
      </c>
      <c r="W1189" s="47">
        <f>IF(AND(B1189=Queue!$C$4,OR(Queue!$K$4="*",N1189=Queue!$K$4)),Q1189,"")</f>
        <v/>
      </c>
    </row>
    <row r="1190">
      <c r="A1190" s="38">
        <f>IF(M1190="","",HYPERLINK("https://www.youtube.com/watch?v="&amp;M1190,"▶"))</f>
        <v/>
      </c>
      <c r="B1190" s="39">
        <f>IF(C1190&lt;&gt;"",C1190,IF(P1190&lt;=IFERROR(INDEX(tblChannels[Watched Through],MATCH(N1190,tblChannels[Channel ID],0)),0),"Watched","Unwatched"))</f>
        <v/>
      </c>
      <c r="C1190" s="40" t="n"/>
      <c r="D1190" s="41" t="n"/>
      <c r="E1190" s="42" t="n">
        <v>44636.41666666666</v>
      </c>
      <c r="F1190" s="52" t="inlineStr">
        <is>
          <t>Super Carlin Gaming</t>
        </is>
      </c>
      <c r="G1190" t="inlineStr">
        <is>
          <t>THE SWORD AND THE FPOON |  Pokémon Legends: Arceus Nuzlocke #3</t>
        </is>
      </c>
      <c r="H1190" s="44" t="n">
        <v>0.03280092592592593</v>
      </c>
      <c r="I1190" s="45" t="n">
        <v>18766</v>
      </c>
      <c r="J1190" s="45" t="n">
        <v>887</v>
      </c>
      <c r="K1190" s="45" t="n">
        <v>224</v>
      </c>
      <c r="L1190" s="46" t="n"/>
      <c r="M1190" s="47" t="n"/>
      <c r="N1190" s="47" t="inlineStr">
        <is>
          <t>UCor_9jRnNNZVzTuQ92PKsaQ</t>
        </is>
      </c>
      <c r="O1190" s="48" t="n">
        <v>44636.58333333334</v>
      </c>
      <c r="P1190" s="49" t="n">
        <v>44636</v>
      </c>
      <c r="Q1190" s="47" t="n">
        <v>2078</v>
      </c>
      <c r="R1190" s="47" t="inlineStr">
        <is>
          <t>No Video ID yet</t>
        </is>
      </c>
      <c r="S1190" s="49" t="n"/>
      <c r="T1190" s="49" t="n"/>
      <c r="U1190" s="47" t="inlineStr">
        <is>
          <t>This week J and the team deal with the loss of a team member on their way to fight the next big Pokémon. Will they catch any new friends along the way?!?</t>
        </is>
      </c>
      <c r="V1190" s="47">
        <f>IF(AND(P1190&gt;=Calendar!$K$2,P1190&lt;EDATE(Calendar!$K$2,1),OR(Calendar!$K$4="*",N1190=Calendar!$K$4)),P1190*100+COUNTIFS($P$6:$P$3267,P1190,$Q$6:$Q$3267,"&lt;="&amp;Q1190,$N$6:$N$3267,Calendar!$K$4),"")</f>
        <v/>
      </c>
      <c r="W1190" s="47">
        <f>IF(AND(B1190=Queue!$C$4,OR(Queue!$K$4="*",N1190=Queue!$K$4)),Q1190,"")</f>
        <v/>
      </c>
    </row>
    <row r="1191">
      <c r="A1191" s="38">
        <f>IF(M1191="","",HYPERLINK("https://www.youtube.com/watch?v="&amp;M1191,"▶"))</f>
        <v/>
      </c>
      <c r="B1191" s="39">
        <f>IF(C1191&lt;&gt;"",C1191,IF(P1191&lt;=IFERROR(INDEX(tblChannels[Watched Through],MATCH(N1191,tblChannels[Channel ID],0)),0),"Watched","Unwatched"))</f>
        <v/>
      </c>
      <c r="C1191" s="40" t="n"/>
      <c r="D1191" s="41" t="n"/>
      <c r="E1191" s="42" t="n">
        <v>44635.77569444444</v>
      </c>
      <c r="F1191" s="50" t="inlineStr">
        <is>
          <t>Super Carlin Brothers</t>
        </is>
      </c>
      <c r="G1191" t="inlineStr">
        <is>
          <t>Why You NEED To Watch Pixar's Turning Red! | J vs Ben: REVIEW</t>
        </is>
      </c>
      <c r="H1191" s="44" t="n">
        <v>0.03431712962962963</v>
      </c>
      <c r="I1191" s="45" t="n">
        <v>139024</v>
      </c>
      <c r="J1191" s="45" t="n">
        <v>5992</v>
      </c>
      <c r="K1191" s="45" t="n">
        <v>1055</v>
      </c>
      <c r="L1191" s="46" t="n"/>
      <c r="M1191" s="47" t="n"/>
      <c r="N1191" s="47" t="inlineStr">
        <is>
          <t>UCKZo4N0lVPccBkSiuyVh4yg</t>
        </is>
      </c>
      <c r="O1191" s="48" t="n">
        <v>44635.94236111111</v>
      </c>
      <c r="P1191" s="49" t="n">
        <v>44635</v>
      </c>
      <c r="Q1191" s="47" t="n">
        <v>2077</v>
      </c>
      <c r="R1191" s="47" t="inlineStr">
        <is>
          <t>No Video ID yet</t>
        </is>
      </c>
      <c r="S1191" s="49" t="n"/>
      <c r="T1191" s="49" t="n"/>
      <c r="U1191" s="47" t="inlineStr">
        <is>
          <t>Go to to get 3 months free when you buy a 1-year package. Go to and use code JVSB to get 3 months free with a 3-month subscription. Today J and Ben give their full spoiler review of Disney Pixar’s latest movie to drop on Disney Plus: Turning Red! Is it their new favorite Pixar movie?! Pancake Common Room Candle :: #SuperCarlinBrothers #Pixar #TurningRed</t>
        </is>
      </c>
      <c r="V1191" s="47">
        <f>IF(AND(P1191&gt;=Calendar!$K$2,P1191&lt;EDATE(Calendar!$K$2,1),OR(Calendar!$K$4="*",N1191=Calendar!$K$4)),P1191*100+COUNTIFS($P$6:$P$3267,P1191,$Q$6:$Q$3267,"&lt;="&amp;Q1191,$N$6:$N$3267,Calendar!$K$4),"")</f>
        <v/>
      </c>
      <c r="W1191" s="47">
        <f>IF(AND(B1191=Queue!$C$4,OR(Queue!$K$4="*",N1191=Queue!$K$4)),Q1191,"")</f>
        <v/>
      </c>
    </row>
    <row r="1192">
      <c r="A1192" s="38">
        <f>IF(M1192="","",HYPERLINK("https://www.youtube.com/watch?v="&amp;M1192,"▶"))</f>
        <v/>
      </c>
      <c r="B1192" s="39">
        <f>IF(C1192&lt;&gt;"",C1192,IF(P1192&lt;=IFERROR(INDEX(tblChannels[Watched Through],MATCH(N1192,tblChannels[Channel ID],0)),0),"Watched","Unwatched"))</f>
        <v/>
      </c>
      <c r="C1192" s="40" t="n"/>
      <c r="D1192" s="41" t="n"/>
      <c r="E1192" s="42" t="n">
        <v>44634.42708333334</v>
      </c>
      <c r="F1192" s="53" t="inlineStr">
        <is>
          <t>Jonathan Carlin</t>
        </is>
      </c>
      <c r="G1192" t="inlineStr">
        <is>
          <t>TRAMPOLINE PARK!</t>
        </is>
      </c>
      <c r="H1192" s="44" t="n">
        <v>0.01381944444444444</v>
      </c>
      <c r="I1192" s="45" t="n">
        <v>14600</v>
      </c>
      <c r="J1192" s="45" t="n">
        <v>984</v>
      </c>
      <c r="K1192" s="45" t="n">
        <v>0</v>
      </c>
      <c r="L1192" s="46" t="n"/>
      <c r="M1192" s="47" t="n"/>
      <c r="N1192" s="47" t="inlineStr">
        <is>
          <t>UCYPKFe86e6nm4TVUYKLsFUQ</t>
        </is>
      </c>
      <c r="O1192" s="48" t="n">
        <v>44634.59375</v>
      </c>
      <c r="P1192" s="49" t="n">
        <v>44634</v>
      </c>
      <c r="Q1192" s="47" t="n">
        <v>2076</v>
      </c>
      <c r="R1192" s="47" t="inlineStr">
        <is>
          <t>No Video ID yet</t>
        </is>
      </c>
      <c r="S1192" s="49" t="n"/>
      <c r="T1192" s="49" t="n"/>
      <c r="U1192" s="47" t="inlineStr">
        <is>
          <t>This week J and the fam have several picnics, visit the playground, open some Pokemon cards AND hit up a trampoline park for the first time ever!</t>
        </is>
      </c>
      <c r="V1192" s="47">
        <f>IF(AND(P1192&gt;=Calendar!$K$2,P1192&lt;EDATE(Calendar!$K$2,1),OR(Calendar!$K$4="*",N1192=Calendar!$K$4)),P1192*100+COUNTIFS($P$6:$P$3267,P1192,$Q$6:$Q$3267,"&lt;="&amp;Q1192,$N$6:$N$3267,Calendar!$K$4),"")</f>
        <v/>
      </c>
      <c r="W1192" s="47">
        <f>IF(AND(B1192=Queue!$C$4,OR(Queue!$K$4="*",N1192=Queue!$K$4)),Q1192,"")</f>
        <v/>
      </c>
    </row>
    <row r="1193">
      <c r="A1193" s="38">
        <f>IF(M1193="","",HYPERLINK("https://www.youtube.com/watch?v="&amp;M1193,"▶"))</f>
        <v/>
      </c>
      <c r="B1193" s="39">
        <f>IF(C1193&lt;&gt;"",C1193,IF(P1193&lt;=IFERROR(INDEX(tblChannels[Watched Through],MATCH(N1193,tblChannels[Channel ID],0)),0),"Watched","Unwatched"))</f>
        <v/>
      </c>
      <c r="C1193" s="40" t="n"/>
      <c r="D1193" s="41" t="n"/>
      <c r="E1193" s="42" t="n">
        <v>44631.67291666667</v>
      </c>
      <c r="F1193" s="54" t="inlineStr">
        <is>
          <t>With the Carlins</t>
        </is>
      </c>
      <c r="G1193" t="inlineStr">
        <is>
          <t>Addison's First Trip To Disney World!</t>
        </is>
      </c>
      <c r="H1193" s="44" t="n">
        <v>0.02001157407407407</v>
      </c>
      <c r="I1193" s="45" t="n">
        <v>16865</v>
      </c>
      <c r="J1193" s="45" t="n">
        <v>1116</v>
      </c>
      <c r="K1193" s="45" t="n">
        <v>70</v>
      </c>
      <c r="L1193" s="46" t="n"/>
      <c r="M1193" s="47" t="n"/>
      <c r="N1193" s="47" t="inlineStr">
        <is>
          <t>UCVBTjN9WJU5Ac8yU7b2K-5g</t>
        </is>
      </c>
      <c r="O1193" s="48" t="n">
        <v>44631.88125</v>
      </c>
      <c r="P1193" s="49" t="n">
        <v>44631</v>
      </c>
      <c r="Q1193" s="47" t="n">
        <v>2075</v>
      </c>
      <c r="R1193" s="47" t="inlineStr">
        <is>
          <t>No Video ID yet</t>
        </is>
      </c>
      <c r="S1193" s="49" t="n"/>
      <c r="T1193" s="49" t="n"/>
      <c r="U1193" s="47" t="inlineStr">
        <is>
          <t>This week Addy and Ally and I go to DISNEY WORLD! Follow Us! :: I N S T A G R A M➜ and Ben Carlin #SuperCarlinBrothers #CarlinFamily #FamilyVlog</t>
        </is>
      </c>
      <c r="V1193" s="47">
        <f>IF(AND(P1193&gt;=Calendar!$K$2,P1193&lt;EDATE(Calendar!$K$2,1),OR(Calendar!$K$4="*",N1193=Calendar!$K$4)),P1193*100+COUNTIFS($P$6:$P$3267,P1193,$Q$6:$Q$3267,"&lt;="&amp;Q1193,$N$6:$N$3267,Calendar!$K$4),"")</f>
        <v/>
      </c>
      <c r="W1193" s="47">
        <f>IF(AND(B1193=Queue!$C$4,OR(Queue!$K$4="*",N1193=Queue!$K$4)),Q1193,"")</f>
        <v/>
      </c>
    </row>
    <row r="1194">
      <c r="A1194" s="38">
        <f>IF(M1194="","",HYPERLINK("https://www.youtube.com/watch?v="&amp;M1194,"▶"))</f>
        <v/>
      </c>
      <c r="B1194" s="39">
        <f>IF(C1194&lt;&gt;"",C1194,IF(P1194&lt;=IFERROR(INDEX(tblChannels[Watched Through],MATCH(N1194,tblChannels[Channel ID],0)),0),"Watched","Unwatched"))</f>
        <v/>
      </c>
      <c r="C1194" s="40" t="n"/>
      <c r="D1194" s="41" t="n"/>
      <c r="E1194" s="42" t="n">
        <v>44631.41666666666</v>
      </c>
      <c r="F1194" s="43" t="inlineStr">
        <is>
          <t>Popcorn Culture</t>
        </is>
      </c>
      <c r="G1194" t="inlineStr">
        <is>
          <t>A Straw to Space | Popcorn Culture</t>
        </is>
      </c>
      <c r="H1194" s="44" t="n">
        <v>0.04513888888888889</v>
      </c>
      <c r="I1194" s="45" t="n">
        <v>7831</v>
      </c>
      <c r="J1194" s="45" t="n">
        <v>407</v>
      </c>
      <c r="K1194" s="45" t="n">
        <v>67</v>
      </c>
      <c r="L1194" s="46" t="n"/>
      <c r="M1194" s="47" t="n"/>
      <c r="N1194" s="47" t="inlineStr">
        <is>
          <t>UCHfIbq9thHPC8yrKjAdJgDA</t>
        </is>
      </c>
      <c r="O1194" s="48" t="n">
        <v>44631.625</v>
      </c>
      <c r="P1194" s="49" t="n">
        <v>44631</v>
      </c>
      <c r="Q1194" s="47" t="n">
        <v>2074</v>
      </c>
      <c r="R1194" s="47" t="inlineStr">
        <is>
          <t>No Video ID yet</t>
        </is>
      </c>
      <c r="S1194" s="49" t="n"/>
      <c r="T1194" s="49" t="n"/>
      <c r="U1194" s="47" t="inlineStr">
        <is>
          <t>In the 118th episode of the pop, Ben and J discuss Ben being out of office, penguins, Ze Frank, a structure to get to space, composting, gardening, wellness, 75 Hard Lifestyle Go follow @hi_my_name_is_riles_jr. on Instagram: Penguin Hockey Team - Ze Frank - True Facts Youtube Playlist - True Facts about Ze Frank - Pogs (aka Milk Caps?) - Dunning-Kruger Effect - 75 Hard - I Don’t Have Penguins Do You Remember Pogs? Imagine Staring thru a Rainbow at a Palm Tree Speaking of Composting 00:00 - Intro, Ben’s Absence 03:27 - Swiss Cheese 08:06 - Fun Facts about Humans 14:22 - Building a Structure to Space 27:28 - Composting and Gardening 47:28 - Wellness</t>
        </is>
      </c>
      <c r="V1194" s="47">
        <f>IF(AND(P1194&gt;=Calendar!$K$2,P1194&lt;EDATE(Calendar!$K$2,1),OR(Calendar!$K$4="*",N1194=Calendar!$K$4)),P1194*100+COUNTIFS($P$6:$P$3267,P1194,$Q$6:$Q$3267,"&lt;="&amp;Q1194,$N$6:$N$3267,Calendar!$K$4),"")</f>
        <v/>
      </c>
      <c r="W1194" s="47">
        <f>IF(AND(B1194=Queue!$C$4,OR(Queue!$K$4="*",N1194=Queue!$K$4)),Q1194,"")</f>
        <v/>
      </c>
    </row>
    <row r="1195">
      <c r="A1195" s="38">
        <f>IF(M1195="","",HYPERLINK("https://www.youtube.com/watch?v="&amp;M1195,"▶"))</f>
        <v/>
      </c>
      <c r="B1195" s="39">
        <f>IF(C1195&lt;&gt;"",C1195,IF(P1195&lt;=IFERROR(INDEX(tblChannels[Watched Through],MATCH(N1195,tblChannels[Channel ID],0)),0),"Watched","Unwatched"))</f>
        <v/>
      </c>
      <c r="C1195" s="40" t="n"/>
      <c r="D1195" s="41" t="n"/>
      <c r="E1195" s="42" t="n">
        <v>44630.68680555555</v>
      </c>
      <c r="F1195" s="50" t="inlineStr">
        <is>
          <t>Super Carlin Brothers</t>
        </is>
      </c>
      <c r="G1195" t="inlineStr">
        <is>
          <t>How Did Dumbledore Put The Stone In The Mirror? | Harry Potter Film Theory</t>
        </is>
      </c>
      <c r="H1195" s="44" t="n">
        <v>0.01145833333333333</v>
      </c>
      <c r="I1195" s="45" t="n">
        <v>392413</v>
      </c>
      <c r="J1195" s="45" t="n">
        <v>15658</v>
      </c>
      <c r="K1195" s="45" t="n">
        <v>1342</v>
      </c>
      <c r="L1195" s="46" t="n"/>
      <c r="M1195" s="47" t="n"/>
      <c r="N1195" s="47" t="inlineStr">
        <is>
          <t>UCKZo4N0lVPccBkSiuyVh4yg</t>
        </is>
      </c>
      <c r="O1195" s="48" t="n">
        <v>44630.89513888889</v>
      </c>
      <c r="P1195" s="49" t="n">
        <v>44630</v>
      </c>
      <c r="Q1195" s="47" t="n">
        <v>2073</v>
      </c>
      <c r="R1195" s="47" t="inlineStr">
        <is>
          <t>No Video ID yet</t>
        </is>
      </c>
      <c r="S1195" s="49" t="n"/>
      <c r="T1195" s="49" t="n"/>
      <c r="U1195" s="47" t="inlineStr">
        <is>
          <t>Go to and enter code SUPER at checkout for 20% off your first box! Today Ben dives into the Wizarding World of Harry Potter to try and determining how Dumbledore managed to get the Philosopher’s Stone into the Mirror of Erised!</t>
        </is>
      </c>
      <c r="V1195" s="47">
        <f>IF(AND(P1195&gt;=Calendar!$K$2,P1195&lt;EDATE(Calendar!$K$2,1),OR(Calendar!$K$4="*",N1195=Calendar!$K$4)),P1195*100+COUNTIFS($P$6:$P$3267,P1195,$Q$6:$Q$3267,"&lt;="&amp;Q1195,$N$6:$N$3267,Calendar!$K$4),"")</f>
        <v/>
      </c>
      <c r="W1195" s="47">
        <f>IF(AND(B1195=Queue!$C$4,OR(Queue!$K$4="*",N1195=Queue!$K$4)),Q1195,"")</f>
        <v/>
      </c>
    </row>
    <row r="1196">
      <c r="A1196" s="38">
        <f>IF(M1196="","",HYPERLINK("https://www.youtube.com/watch?v="&amp;M1196,"▶"))</f>
        <v/>
      </c>
      <c r="B1196" s="39">
        <f>IF(C1196&lt;&gt;"",C1196,IF(P1196&lt;=IFERROR(INDEX(tblChannels[Watched Through],MATCH(N1196,tblChannels[Channel ID],0)),0),"Watched","Unwatched"))</f>
        <v/>
      </c>
      <c r="C1196" s="40" t="n"/>
      <c r="D1196" s="41" t="n"/>
      <c r="E1196" s="42" t="n">
        <v>44629.41666666666</v>
      </c>
      <c r="F1196" s="52" t="inlineStr">
        <is>
          <t>Super Carlin Gaming</t>
        </is>
      </c>
      <c r="G1196" t="inlineStr">
        <is>
          <t>THE TUNE OF HORROR |  Pokémon Legends: Arceus Nuzlocke #2</t>
        </is>
      </c>
      <c r="H1196" s="44" t="n">
        <v>0.03953703703703704</v>
      </c>
      <c r="I1196" s="45" t="n">
        <v>26801</v>
      </c>
      <c r="J1196" s="45" t="n">
        <v>1242</v>
      </c>
      <c r="K1196" s="45" t="n">
        <v>393</v>
      </c>
      <c r="L1196" s="46" t="n"/>
      <c r="M1196" s="47" t="n"/>
      <c r="N1196" s="47" t="inlineStr">
        <is>
          <t>UCor_9jRnNNZVzTuQ92PKsaQ</t>
        </is>
      </c>
      <c r="O1196" s="48" t="n">
        <v>44629.625</v>
      </c>
      <c r="P1196" s="49" t="n">
        <v>44629</v>
      </c>
      <c r="Q1196" s="47" t="n">
        <v>2072</v>
      </c>
      <c r="R1196" s="47" t="inlineStr">
        <is>
          <t>No Video ID yet</t>
        </is>
      </c>
      <c r="S1196" s="49" t="n"/>
      <c r="T1196" s="49" t="n"/>
      <c r="U1196" s="47" t="inlineStr">
        <is>
          <t>This week J catches new friends and heads towards his first boss battle with an Alpha Kricketune! Will the team prevail or will they head home with a singing a sad tune?</t>
        </is>
      </c>
      <c r="V1196" s="47">
        <f>IF(AND(P1196&gt;=Calendar!$K$2,P1196&lt;EDATE(Calendar!$K$2,1),OR(Calendar!$K$4="*",N1196=Calendar!$K$4)),P1196*100+COUNTIFS($P$6:$P$3267,P1196,$Q$6:$Q$3267,"&lt;="&amp;Q1196,$N$6:$N$3267,Calendar!$K$4),"")</f>
        <v/>
      </c>
      <c r="W1196" s="47">
        <f>IF(AND(B1196=Queue!$C$4,OR(Queue!$K$4="*",N1196=Queue!$K$4)),Q1196,"")</f>
        <v/>
      </c>
    </row>
    <row r="1197">
      <c r="A1197" s="38">
        <f>IF(M1197="","",HYPERLINK("https://www.youtube.com/watch?v="&amp;M1197,"▶"))</f>
        <v/>
      </c>
      <c r="B1197" s="39">
        <f>IF(C1197&lt;&gt;"",C1197,IF(P1197&lt;=IFERROR(INDEX(tblChannels[Watched Through],MATCH(N1197,tblChannels[Channel ID],0)),0),"Watched","Unwatched"))</f>
        <v/>
      </c>
      <c r="C1197" s="40" t="n"/>
      <c r="D1197" s="41" t="n"/>
      <c r="E1197" s="42" t="n">
        <v>44628.66875</v>
      </c>
      <c r="F1197" s="50" t="inlineStr">
        <is>
          <t>Super Carlin Brothers</t>
        </is>
      </c>
      <c r="G1197" t="inlineStr">
        <is>
          <t>Pokémon’s LEAST Favorite Legendary Pokémon</t>
        </is>
      </c>
      <c r="H1197" s="44" t="n">
        <v>0.01422453703703704</v>
      </c>
      <c r="I1197" s="45" t="n">
        <v>90743</v>
      </c>
      <c r="J1197" s="45" t="n">
        <v>5230</v>
      </c>
      <c r="K1197" s="45" t="n">
        <v>693</v>
      </c>
      <c r="L1197" s="46" t="n"/>
      <c r="M1197" s="47" t="n"/>
      <c r="N1197" s="47" t="inlineStr">
        <is>
          <t>UCKZo4N0lVPccBkSiuyVh4yg</t>
        </is>
      </c>
      <c r="O1197" s="48" t="n">
        <v>44628.87708333333</v>
      </c>
      <c r="P1197" s="49" t="n">
        <v>44628</v>
      </c>
      <c r="Q1197" s="47" t="n">
        <v>2071</v>
      </c>
      <c r="R1197" s="47" t="inlineStr">
        <is>
          <t>No Video ID yet</t>
        </is>
      </c>
      <c r="S1197" s="49" t="n"/>
      <c r="T1197" s="49" t="n"/>
      <c r="U1197" s="47" t="inlineStr">
        <is>
          <t>Go to and use code SUPERCARLIN to claim your special offer today! Today J dives into the world of Pokémon to try and determine the Pokémon companies LEAST Favorite Legendary Pokemon of all time. They may be Legendary but does that not make their plight that much more tragic? #SuperCarlinBrothers #Pokemon</t>
        </is>
      </c>
      <c r="V1197" s="47">
        <f>IF(AND(P1197&gt;=Calendar!$K$2,P1197&lt;EDATE(Calendar!$K$2,1),OR(Calendar!$K$4="*",N1197=Calendar!$K$4)),P1197*100+COUNTIFS($P$6:$P$3267,P1197,$Q$6:$Q$3267,"&lt;="&amp;Q1197,$N$6:$N$3267,Calendar!$K$4),"")</f>
        <v/>
      </c>
      <c r="W1197" s="47">
        <f>IF(AND(B1197=Queue!$C$4,OR(Queue!$K$4="*",N1197=Queue!$K$4)),Q1197,"")</f>
        <v/>
      </c>
    </row>
    <row r="1198">
      <c r="A1198" s="38">
        <f>IF(M1198="","",HYPERLINK("https://www.youtube.com/watch?v="&amp;M1198,"▶"))</f>
        <v/>
      </c>
      <c r="B1198" s="39">
        <f>IF(C1198&lt;&gt;"",C1198,IF(P1198&lt;=IFERROR(INDEX(tblChannels[Watched Through],MATCH(N1198,tblChannels[Channel ID],0)),0),"Watched","Unwatched"))</f>
        <v/>
      </c>
      <c r="C1198" s="40" t="n"/>
      <c r="D1198" s="41" t="n"/>
      <c r="E1198" s="42" t="n">
        <v>44627.41666666666</v>
      </c>
      <c r="F1198" s="53" t="inlineStr">
        <is>
          <t>Jonathan Carlin</t>
        </is>
      </c>
      <c r="G1198" t="inlineStr">
        <is>
          <t>Our Trip on Star Wars: Galactic Starcruiser!</t>
        </is>
      </c>
      <c r="H1198" s="44" t="n">
        <v>0.02077546296296296</v>
      </c>
      <c r="I1198" s="45" t="n">
        <v>24617</v>
      </c>
      <c r="J1198" s="45" t="n">
        <v>1315</v>
      </c>
      <c r="K1198" s="45" t="n">
        <v>103</v>
      </c>
      <c r="L1198" s="46" t="n"/>
      <c r="M1198" s="47" t="n"/>
      <c r="N1198" s="47" t="inlineStr">
        <is>
          <t>UCYPKFe86e6nm4TVUYKLsFUQ</t>
        </is>
      </c>
      <c r="O1198" s="48" t="n">
        <v>44627.625</v>
      </c>
      <c r="P1198" s="49" t="n">
        <v>44627</v>
      </c>
      <c r="Q1198" s="47" t="n">
        <v>2070</v>
      </c>
      <c r="R1198" s="47" t="inlineStr">
        <is>
          <t>No Video ID yet</t>
        </is>
      </c>
      <c r="S1198" s="49" t="n"/>
      <c r="T1198" s="49" t="n"/>
      <c r="U1198" s="47" t="inlineStr">
        <is>
          <t>This week J, Beth and Ben travel to Disney world to get take an exclusive early voyage on Disney Worlds new Star Wars: Galactic Star Cruiser! The Halcyon is a Galactic cruise ship that gets taken over by the First Order, its a hyper immersive theatre experience like nothing else we have ever done before and if you like Star Wars you will love this trip. #SuperCarlinBrothers #CarlinFamily #StarWars #GalacticStarcruiser #Hosted</t>
        </is>
      </c>
      <c r="V1198" s="47">
        <f>IF(AND(P1198&gt;=Calendar!$K$2,P1198&lt;EDATE(Calendar!$K$2,1),OR(Calendar!$K$4="*",N1198=Calendar!$K$4)),P1198*100+COUNTIFS($P$6:$P$3267,P1198,$Q$6:$Q$3267,"&lt;="&amp;Q1198,$N$6:$N$3267,Calendar!$K$4),"")</f>
        <v/>
      </c>
      <c r="W1198" s="47">
        <f>IF(AND(B1198=Queue!$C$4,OR(Queue!$K$4="*",N1198=Queue!$K$4)),Q1198,"")</f>
        <v/>
      </c>
    </row>
    <row r="1199">
      <c r="A1199" s="38">
        <f>IF(M1199="","",HYPERLINK("https://www.youtube.com/watch?v="&amp;M1199,"▶"))</f>
        <v/>
      </c>
      <c r="B1199" s="39">
        <f>IF(C1199&lt;&gt;"",C1199,IF(P1199&lt;=IFERROR(INDEX(tblChannels[Watched Through],MATCH(N1199,tblChannels[Channel ID],0)),0),"Watched","Unwatched"))</f>
        <v/>
      </c>
      <c r="C1199" s="40" t="n"/>
      <c r="D1199" s="41" t="n"/>
      <c r="E1199" s="42" t="n">
        <v>44624.5</v>
      </c>
      <c r="F1199" s="53" t="inlineStr">
        <is>
          <t>Jonathan Carlin</t>
        </is>
      </c>
      <c r="G1199" t="inlineStr">
        <is>
          <t>The Twins' Second Birthday!</t>
        </is>
      </c>
      <c r="H1199" s="44" t="n">
        <v>0.008287037037037037</v>
      </c>
      <c r="I1199" s="45" t="n">
        <v>13190</v>
      </c>
      <c r="J1199" s="45" t="n">
        <v>969</v>
      </c>
      <c r="K1199" s="45" t="n">
        <v>71</v>
      </c>
      <c r="L1199" s="46" t="n"/>
      <c r="M1199" s="47" t="n"/>
      <c r="N1199" s="47" t="inlineStr">
        <is>
          <t>UCYPKFe86e6nm4TVUYKLsFUQ</t>
        </is>
      </c>
      <c r="O1199" s="48" t="n">
        <v>44624.70833333334</v>
      </c>
      <c r="P1199" s="49" t="n">
        <v>44624</v>
      </c>
      <c r="Q1199" s="47" t="n">
        <v>2069</v>
      </c>
      <c r="R1199" s="47" t="inlineStr">
        <is>
          <t>No Video ID yet</t>
        </is>
      </c>
      <c r="S1199" s="49" t="n"/>
      <c r="T1199" s="49" t="n"/>
      <c r="U1199" s="47" t="inlineStr">
        <is>
          <t>This week J and Beth celebrate Valentine's Day... a little late, and the TWINS TURN TWO YEARS OLD Edited by Ethan Edghill</t>
        </is>
      </c>
      <c r="V1199" s="47">
        <f>IF(AND(P1199&gt;=Calendar!$K$2,P1199&lt;EDATE(Calendar!$K$2,1),OR(Calendar!$K$4="*",N1199=Calendar!$K$4)),P1199*100+COUNTIFS($P$6:$P$3267,P1199,$Q$6:$Q$3267,"&lt;="&amp;Q1199,$N$6:$N$3267,Calendar!$K$4),"")</f>
        <v/>
      </c>
      <c r="W1199" s="47">
        <f>IF(AND(B1199=Queue!$C$4,OR(Queue!$K$4="*",N1199=Queue!$K$4)),Q1199,"")</f>
        <v/>
      </c>
    </row>
    <row r="1200">
      <c r="A1200" s="38">
        <f>IF(M1200="","",HYPERLINK("https://www.youtube.com/watch?v="&amp;M1200,"▶"))</f>
        <v/>
      </c>
      <c r="B1200" s="39">
        <f>IF(C1200&lt;&gt;"",C1200,IF(P1200&lt;=IFERROR(INDEX(tblChannels[Watched Through],MATCH(N1200,tblChannels[Channel ID],0)),0),"Watched","Unwatched"))</f>
        <v/>
      </c>
      <c r="C1200" s="40" t="n"/>
      <c r="D1200" s="41" t="n"/>
      <c r="E1200" s="42" t="n">
        <v>44624.41666666666</v>
      </c>
      <c r="F1200" s="43" t="inlineStr">
        <is>
          <t>Popcorn Culture</t>
        </is>
      </c>
      <c r="G1200" t="inlineStr">
        <is>
          <t>Theater, Space and The Galactic Starcruiser | Popcorn Culture</t>
        </is>
      </c>
      <c r="H1200" s="44" t="n">
        <v>0.04625</v>
      </c>
      <c r="I1200" s="45" t="n">
        <v>8015</v>
      </c>
      <c r="J1200" s="45" t="n">
        <v>423</v>
      </c>
      <c r="K1200" s="45" t="n">
        <v>40</v>
      </c>
      <c r="L1200" s="46" t="n"/>
      <c r="M1200" s="47" t="n"/>
      <c r="N1200" s="47" t="inlineStr">
        <is>
          <t>UCHfIbq9thHPC8yrKjAdJgDA</t>
        </is>
      </c>
      <c r="O1200" s="48" t="n">
        <v>44624.625</v>
      </c>
      <c r="P1200" s="49" t="n">
        <v>44624</v>
      </c>
      <c r="Q1200" s="47" t="n">
        <v>2068</v>
      </c>
      <c r="R1200" s="47" t="inlineStr">
        <is>
          <t>No Video ID yet</t>
        </is>
      </c>
      <c r="S1200" s="49" t="n"/>
      <c r="T1200" s="49" t="n"/>
      <c r="U1200" s="47" t="inlineStr">
        <is>
          <t>In the 117th episode of the Pop, Ben and J discuss pilots, wealthy people, security theater, Ender’s Game, and their experience with Disney’s Galactic Starcruiser. Crazy Rich Asians (book) - Last Week’s After the Final Pop Lincoln Special - TSA Security Theater - Ender’s Game (book) - Disney’s Galactic Starcruiser - J and Ben’s Review of the Galactic Starcruiser - Smooth As Molasses Tinfoil Hat Ben Lincoln Is The One True Prez Speaking of Theater and Space and Wars… 00:00 - Intro, Pilots 03:51 - Ben’s Tinfoil Hat Conspiracies 16:55 - GALACTIC STARCRUISER</t>
        </is>
      </c>
      <c r="V1200" s="47">
        <f>IF(AND(P1200&gt;=Calendar!$K$2,P1200&lt;EDATE(Calendar!$K$2,1),OR(Calendar!$K$4="*",N1200=Calendar!$K$4)),P1200*100+COUNTIFS($P$6:$P$3267,P1200,$Q$6:$Q$3267,"&lt;="&amp;Q1200,$N$6:$N$3267,Calendar!$K$4),"")</f>
        <v/>
      </c>
      <c r="W1200" s="47">
        <f>IF(AND(B1200=Queue!$C$4,OR(Queue!$K$4="*",N1200=Queue!$K$4)),Q1200,"")</f>
        <v/>
      </c>
    </row>
    <row r="1201">
      <c r="A1201" s="38">
        <f>IF(M1201="","",HYPERLINK("https://www.youtube.com/watch?v="&amp;M1201,"▶"))</f>
        <v/>
      </c>
      <c r="B1201" s="39">
        <f>IF(C1201&lt;&gt;"",C1201,IF(P1201&lt;=IFERROR(INDEX(tblChannels[Watched Through],MATCH(N1201,tblChannels[Channel ID],0)),0),"Watched","Unwatched"))</f>
        <v/>
      </c>
      <c r="C1201" s="40" t="n"/>
      <c r="D1201" s="41" t="n"/>
      <c r="E1201" s="42" t="n">
        <v>44623.66597222222</v>
      </c>
      <c r="F1201" s="50" t="inlineStr">
        <is>
          <t>Super Carlin Brothers</t>
        </is>
      </c>
      <c r="G1201" t="inlineStr">
        <is>
          <t>J vs Ben: ULTIMATE Ron &amp; Hermione TRIVIA Quiz</t>
        </is>
      </c>
      <c r="H1201" s="44" t="n">
        <v>0.01744212962962963</v>
      </c>
      <c r="I1201" s="45" t="n">
        <v>220577</v>
      </c>
      <c r="J1201" s="45" t="n">
        <v>8026</v>
      </c>
      <c r="K1201" s="45" t="n">
        <v>560</v>
      </c>
      <c r="L1201" s="46" t="n"/>
      <c r="M1201" s="47" t="n"/>
      <c r="N1201" s="47" t="inlineStr">
        <is>
          <t>UCKZo4N0lVPccBkSiuyVh4yg</t>
        </is>
      </c>
      <c r="O1201" s="48" t="n">
        <v>44623.87430555555</v>
      </c>
      <c r="P1201" s="49" t="n">
        <v>44623</v>
      </c>
      <c r="Q1201" s="47" t="n">
        <v>2067</v>
      </c>
      <c r="R1201" s="47" t="inlineStr">
        <is>
          <t>No Video ID yet</t>
        </is>
      </c>
      <c r="S1201" s="49" t="n"/>
      <c r="T1201" s="49" t="n"/>
      <c r="U1201" s="47" t="inlineStr">
        <is>
          <t>Go to to get Honey for free! Go to to get your free home try-on kit. Home Try-On Kits are US only. No international shipping. Today J and Ben dive into the Wizarding World to face off once more to find out who knows the most about Harry Potter’s… what like 4th favorite couple? Obviously you’ve got Arthur and Molly at #1, Lockhart and himself at #2, Dobby and Socks at #3… then Ron and Hermione? Yea, that sounds right. #SuperCarlinBrothers #HarryPotter #HarryPotter</t>
        </is>
      </c>
      <c r="V1201" s="47">
        <f>IF(AND(P1201&gt;=Calendar!$K$2,P1201&lt;EDATE(Calendar!$K$2,1),OR(Calendar!$K$4="*",N1201=Calendar!$K$4)),P1201*100+COUNTIFS($P$6:$P$3267,P1201,$Q$6:$Q$3267,"&lt;="&amp;Q1201,$N$6:$N$3267,Calendar!$K$4),"")</f>
        <v/>
      </c>
      <c r="W1201" s="47">
        <f>IF(AND(B1201=Queue!$C$4,OR(Queue!$K$4="*",N1201=Queue!$K$4)),Q1201,"")</f>
        <v/>
      </c>
    </row>
    <row r="1202">
      <c r="A1202" s="38">
        <f>IF(M1202="","",HYPERLINK("https://www.youtube.com/watch?v="&amp;M1202,"▶"))</f>
        <v/>
      </c>
      <c r="B1202" s="39">
        <f>IF(C1202&lt;&gt;"",C1202,IF(P1202&lt;=IFERROR(INDEX(tblChannels[Watched Through],MATCH(N1202,tblChannels[Channel ID],0)),0),"Watched","Unwatched"))</f>
        <v/>
      </c>
      <c r="C1202" s="40" t="n"/>
      <c r="D1202" s="41" t="n"/>
      <c r="E1202" s="42" t="n">
        <v>44622.41666666666</v>
      </c>
      <c r="F1202" s="52" t="inlineStr">
        <is>
          <t>Super Carlin Gaming</t>
        </is>
      </c>
      <c r="G1202" t="inlineStr">
        <is>
          <t>So It Begins... |  Pokémon Legends: Arceus Nuzlocke #1</t>
        </is>
      </c>
      <c r="H1202" s="44" t="n">
        <v>0.03252314814814815</v>
      </c>
      <c r="I1202" s="45" t="n">
        <v>46004</v>
      </c>
      <c r="J1202" s="45" t="n">
        <v>2103</v>
      </c>
      <c r="K1202" s="45" t="n">
        <v>897</v>
      </c>
      <c r="L1202" s="46" t="n"/>
      <c r="M1202" s="47" t="n"/>
      <c r="N1202" s="47" t="inlineStr">
        <is>
          <t>UCor_9jRnNNZVzTuQ92PKsaQ</t>
        </is>
      </c>
      <c r="O1202" s="48" t="n">
        <v>44622.625</v>
      </c>
      <c r="P1202" s="49" t="n">
        <v>44622</v>
      </c>
      <c r="Q1202" s="47" t="n">
        <v>2066</v>
      </c>
      <c r="R1202" s="47" t="inlineStr">
        <is>
          <t>No Video ID yet</t>
        </is>
      </c>
      <c r="S1202" s="49" t="n"/>
      <c r="T1202" s="49" t="n"/>
      <c r="U1202" s="47" t="inlineStr">
        <is>
          <t>Welcome back to the Super Carlin Gaming Nuzlocke Challenge! This week J sets off an a brand new adventure through the Hisui Region as he tries to complete the Legends Arceus Nuzlocke Challenge!</t>
        </is>
      </c>
      <c r="V1202" s="47">
        <f>IF(AND(P1202&gt;=Calendar!$K$2,P1202&lt;EDATE(Calendar!$K$2,1),OR(Calendar!$K$4="*",N1202=Calendar!$K$4)),P1202*100+COUNTIFS($P$6:$P$3267,P1202,$Q$6:$Q$3267,"&lt;="&amp;Q1202,$N$6:$N$3267,Calendar!$K$4),"")</f>
        <v/>
      </c>
      <c r="W1202" s="47">
        <f>IF(AND(B1202=Queue!$C$4,OR(Queue!$K$4="*",N1202=Queue!$K$4)),Q1202,"")</f>
        <v/>
      </c>
    </row>
    <row r="1203">
      <c r="A1203" s="38">
        <f>IF(M1203="","",HYPERLINK("https://www.youtube.com/watch?v="&amp;M1203,"▶"))</f>
        <v/>
      </c>
      <c r="B1203" s="39">
        <f>IF(C1203&lt;&gt;"",C1203,IF(P1203&lt;=IFERROR(INDEX(tblChannels[Watched Through],MATCH(N1203,tblChannels[Channel ID],0)),0),"Watched","Unwatched"))</f>
        <v/>
      </c>
      <c r="C1203" s="40" t="n"/>
      <c r="D1203" s="41" t="n"/>
      <c r="E1203" s="42" t="n">
        <v>44621.69930555556</v>
      </c>
      <c r="F1203" s="50" t="inlineStr">
        <is>
          <t>Super Carlin Brothers</t>
        </is>
      </c>
      <c r="G1203" t="inlineStr">
        <is>
          <t>Secrets of Dumbledore Trailer 2 Breakdown | Harry Potter Film Theory</t>
        </is>
      </c>
      <c r="H1203" s="44" t="n">
        <v>0.01530092592592593</v>
      </c>
      <c r="I1203" s="45" t="n">
        <v>270791</v>
      </c>
      <c r="J1203" s="45" t="n">
        <v>11021</v>
      </c>
      <c r="K1203" s="45" t="n">
        <v>1054</v>
      </c>
      <c r="L1203" s="46" t="n"/>
      <c r="M1203" s="47" t="n"/>
      <c r="N1203" s="47" t="inlineStr">
        <is>
          <t>UCKZo4N0lVPccBkSiuyVh4yg</t>
        </is>
      </c>
      <c r="O1203" s="48" t="n">
        <v>44621.90763888889</v>
      </c>
      <c r="P1203" s="49" t="n">
        <v>44621</v>
      </c>
      <c r="Q1203" s="47" t="n">
        <v>2065</v>
      </c>
      <c r="R1203" s="47" t="inlineStr">
        <is>
          <t>No Video ID yet</t>
        </is>
      </c>
      <c r="S1203" s="49" t="n"/>
      <c r="T1203" s="49" t="n"/>
      <c r="U1203" s="47" t="inlineStr">
        <is>
          <t>Go to to get 15% off your first order plus free shipping. Today J dives into the Wizarding World of Harry Potter to dissect the latest trailer for Fantastic Beasts: The Secrets of Dumbledore! Where is Tina? What is the deluminator doing? Are Grinelwald and Dumbledore going to fight? WAS THAT A BLAST ENDED SKREWT?! #SuperCarlinBrothers #HarryPotter #SecretsOfDumbledore</t>
        </is>
      </c>
      <c r="V1203" s="47">
        <f>IF(AND(P1203&gt;=Calendar!$K$2,P1203&lt;EDATE(Calendar!$K$2,1),OR(Calendar!$K$4="*",N1203=Calendar!$K$4)),P1203*100+COUNTIFS($P$6:$P$3267,P1203,$Q$6:$Q$3267,"&lt;="&amp;Q1203,$N$6:$N$3267,Calendar!$K$4),"")</f>
        <v/>
      </c>
      <c r="W1203" s="47">
        <f>IF(AND(B1203=Queue!$C$4,OR(Queue!$K$4="*",N1203=Queue!$K$4)),Q1203,"")</f>
        <v/>
      </c>
    </row>
    <row r="1204">
      <c r="A1204" s="38">
        <f>IF(M1204="","",HYPERLINK("https://www.youtube.com/watch?v="&amp;M1204,"▶"))</f>
        <v/>
      </c>
      <c r="B1204" s="39">
        <f>IF(C1204&lt;&gt;"",C1204,IF(P1204&lt;=IFERROR(INDEX(tblChannels[Watched Through],MATCH(N1204,tblChannels[Channel ID],0)),0),"Watched","Unwatched"))</f>
        <v/>
      </c>
      <c r="C1204" s="40" t="n"/>
      <c r="D1204" s="41" t="n"/>
      <c r="E1204" s="42" t="n">
        <v>44620.62152777778</v>
      </c>
      <c r="F1204" s="52" t="inlineStr">
        <is>
          <t>Super Carlin Gaming</t>
        </is>
      </c>
      <c r="G1204" t="inlineStr">
        <is>
          <t>LEGENDS ARCEUS NUZLOCKE | TEASER TRAILER</t>
        </is>
      </c>
      <c r="H1204" s="44" t="n">
        <v>0.0004976851851851852</v>
      </c>
      <c r="I1204" s="45" t="n">
        <v>15432</v>
      </c>
      <c r="J1204" s="45" t="n">
        <v>775</v>
      </c>
      <c r="K1204" s="45" t="n">
        <v>130</v>
      </c>
      <c r="L1204" s="46" t="n"/>
      <c r="M1204" s="47" t="n"/>
      <c r="N1204" s="47" t="inlineStr">
        <is>
          <t>UCor_9jRnNNZVzTuQ92PKsaQ</t>
        </is>
      </c>
      <c r="O1204" s="48" t="n">
        <v>44620.82986111111</v>
      </c>
      <c r="P1204" s="49" t="n">
        <v>44620</v>
      </c>
      <c r="Q1204" s="47" t="n">
        <v>2064</v>
      </c>
      <c r="R1204" s="47" t="inlineStr">
        <is>
          <t>No Video ID yet</t>
        </is>
      </c>
      <c r="S1204" s="49" t="n"/>
      <c r="T1204" s="49" t="n"/>
      <c r="U1204" s="47" t="inlineStr">
        <is>
          <t>Join us on March 2 at 10am Eastern for the premiere of the brand new Super Carlin Gaming Legends: Arceus NUZLOCKE CHALLENGE! This promises to be one of the hardest runs we've ever done... Will we make it to the end?</t>
        </is>
      </c>
      <c r="V1204" s="47">
        <f>IF(AND(P1204&gt;=Calendar!$K$2,P1204&lt;EDATE(Calendar!$K$2,1),OR(Calendar!$K$4="*",N1204=Calendar!$K$4)),P1204*100+COUNTIFS($P$6:$P$3267,P1204,$Q$6:$Q$3267,"&lt;="&amp;Q1204,$N$6:$N$3267,Calendar!$K$4),"")</f>
        <v/>
      </c>
      <c r="W1204" s="47">
        <f>IF(AND(B1204=Queue!$C$4,OR(Queue!$K$4="*",N1204=Queue!$K$4)),Q1204,"")</f>
        <v/>
      </c>
    </row>
    <row r="1205">
      <c r="A1205" s="38">
        <f>IF(M1205="","",HYPERLINK("https://www.youtube.com/watch?v="&amp;M1205,"▶"))</f>
        <v/>
      </c>
      <c r="B1205" s="39">
        <f>IF(C1205&lt;&gt;"",C1205,IF(P1205&lt;=IFERROR(INDEX(tblChannels[Watched Through],MATCH(N1205,tblChannels[Channel ID],0)),0),"Watched","Unwatched"))</f>
        <v/>
      </c>
      <c r="C1205" s="40" t="n"/>
      <c r="D1205" s="41" t="n"/>
      <c r="E1205" s="42" t="n">
        <v>44620.41666666666</v>
      </c>
      <c r="F1205" s="53" t="inlineStr">
        <is>
          <t>Jonathan Carlin</t>
        </is>
      </c>
      <c r="G1205" t="inlineStr">
        <is>
          <t>Luke's First Booster Pack!</t>
        </is>
      </c>
      <c r="H1205" s="44" t="n">
        <v>0.01315972222222222</v>
      </c>
      <c r="I1205" s="45" t="n">
        <v>13139</v>
      </c>
      <c r="J1205" s="45" t="n">
        <v>928</v>
      </c>
      <c r="K1205" s="45" t="n">
        <v>0</v>
      </c>
      <c r="L1205" s="46" t="n"/>
      <c r="M1205" s="47" t="n"/>
      <c r="N1205" s="47" t="inlineStr">
        <is>
          <t>UCYPKFe86e6nm4TVUYKLsFUQ</t>
        </is>
      </c>
      <c r="O1205" s="48" t="n">
        <v>44620.625</v>
      </c>
      <c r="P1205" s="49" t="n">
        <v>44620</v>
      </c>
      <c r="Q1205" s="47" t="n">
        <v>2063</v>
      </c>
      <c r="R1205" s="47" t="inlineStr">
        <is>
          <t>No Video ID yet</t>
        </is>
      </c>
      <c r="S1205" s="49" t="n"/>
      <c r="T1205" s="49" t="n"/>
      <c r="U1205" s="47" t="inlineStr">
        <is>
          <t>This week J and Ben prepare for a busy week, Beth and the boys head to the playground, and Luke helps J open up a box of Brilliant Stars Pokemon cards!</t>
        </is>
      </c>
      <c r="V1205" s="47">
        <f>IF(AND(P1205&gt;=Calendar!$K$2,P1205&lt;EDATE(Calendar!$K$2,1),OR(Calendar!$K$4="*",N1205=Calendar!$K$4)),P1205*100+COUNTIFS($P$6:$P$3267,P1205,$Q$6:$Q$3267,"&lt;="&amp;Q1205,$N$6:$N$3267,Calendar!$K$4),"")</f>
        <v/>
      </c>
      <c r="W1205" s="47">
        <f>IF(AND(B1205=Queue!$C$4,OR(Queue!$K$4="*",N1205=Queue!$K$4)),Q1205,"")</f>
        <v/>
      </c>
    </row>
    <row r="1206">
      <c r="A1206" s="38">
        <f>IF(M1206="","",HYPERLINK("https://www.youtube.com/watch?v="&amp;M1206,"▶"))</f>
        <v/>
      </c>
      <c r="B1206" s="39">
        <f>IF(C1206&lt;&gt;"",C1206,IF(P1206&lt;=IFERROR(INDEX(tblChannels[Watched Through],MATCH(N1206,tblChannels[Channel ID],0)),0),"Watched","Unwatched"))</f>
        <v/>
      </c>
      <c r="C1206" s="40" t="n"/>
      <c r="D1206" s="41" t="n"/>
      <c r="E1206" s="42" t="n">
        <v>44617.68194444444</v>
      </c>
      <c r="F1206" s="50" t="inlineStr">
        <is>
          <t>Super Carlin Brothers</t>
        </is>
      </c>
      <c r="G1206" t="inlineStr">
        <is>
          <t>Our UNBELIEVABLE Weekend at Star Wars: Galactic Starcruiser | REVIEW</t>
        </is>
      </c>
      <c r="H1206" s="44" t="n">
        <v>0.03657407407407407</v>
      </c>
      <c r="I1206" s="45" t="n">
        <v>114186</v>
      </c>
      <c r="J1206" s="45" t="n">
        <v>4730</v>
      </c>
      <c r="K1206" s="45" t="n">
        <v>893</v>
      </c>
      <c r="L1206" s="46" t="n"/>
      <c r="M1206" s="47" t="n"/>
      <c r="N1206" s="47" t="inlineStr">
        <is>
          <t>UCKZo4N0lVPccBkSiuyVh4yg</t>
        </is>
      </c>
      <c r="O1206" s="48" t="n">
        <v>44617.89027777778</v>
      </c>
      <c r="P1206" s="49" t="n">
        <v>44617</v>
      </c>
      <c r="Q1206" s="47" t="n">
        <v>2062</v>
      </c>
      <c r="R1206" s="47" t="inlineStr">
        <is>
          <t>No Video ID yet</t>
        </is>
      </c>
      <c r="S1206" s="49" t="n"/>
      <c r="T1206" s="49" t="n"/>
      <c r="U1206" s="47" t="inlineStr">
        <is>
          <t>Today J and Ben dive, quite literally, into the Star Wars Galaxy and give their full completely immersive review of Disney World's Galactic Starcruiser and try to answer all of your burning questions about this all new experience! Is it worth it? Is Galactic Starcruiser a Hotel? How much does it cost? Help Support Ukraine :: #SuperCarlinBrothers #GalacticStarcruiser #hosted</t>
        </is>
      </c>
      <c r="V1206" s="47">
        <f>IF(AND(P1206&gt;=Calendar!$K$2,P1206&lt;EDATE(Calendar!$K$2,1),OR(Calendar!$K$4="*",N1206=Calendar!$K$4)),P1206*100+COUNTIFS($P$6:$P$3267,P1206,$Q$6:$Q$3267,"&lt;="&amp;Q1206,$N$6:$N$3267,Calendar!$K$4),"")</f>
        <v/>
      </c>
      <c r="W1206" s="47">
        <f>IF(AND(B1206=Queue!$C$4,OR(Queue!$K$4="*",N1206=Queue!$K$4)),Q1206,"")</f>
        <v/>
      </c>
    </row>
    <row r="1207">
      <c r="A1207" s="38">
        <f>IF(M1207="","",HYPERLINK("https://www.youtube.com/watch?v="&amp;M1207,"▶"))</f>
        <v/>
      </c>
      <c r="B1207" s="39">
        <f>IF(C1207&lt;&gt;"",C1207,IF(P1207&lt;=IFERROR(INDEX(tblChannels[Watched Through],MATCH(N1207,tblChannels[Channel ID],0)),0),"Watched","Unwatched"))</f>
        <v/>
      </c>
      <c r="C1207" s="40" t="n"/>
      <c r="D1207" s="41" t="n"/>
      <c r="E1207" s="42" t="n">
        <v>44617.41736111111</v>
      </c>
      <c r="F1207" s="43" t="inlineStr">
        <is>
          <t>Popcorn Culture</t>
        </is>
      </c>
      <c r="G1207" t="inlineStr">
        <is>
          <t>You’re the Secret Sauce | Popcorn Culture</t>
        </is>
      </c>
      <c r="H1207" s="44" t="n">
        <v>0.048125</v>
      </c>
      <c r="I1207" s="45" t="n">
        <v>10848</v>
      </c>
      <c r="J1207" s="45" t="n">
        <v>704</v>
      </c>
      <c r="K1207" s="45" t="n">
        <v>121</v>
      </c>
      <c r="L1207" s="46" t="n"/>
      <c r="M1207" s="47" t="n"/>
      <c r="N1207" s="47" t="inlineStr">
        <is>
          <t>UCHfIbq9thHPC8yrKjAdJgDA</t>
        </is>
      </c>
      <c r="O1207" s="48" t="n">
        <v>44617.62569444445</v>
      </c>
      <c r="P1207" s="49" t="n">
        <v>44617</v>
      </c>
      <c r="Q1207" s="47" t="n">
        <v>2061</v>
      </c>
      <c r="R1207" s="47" t="inlineStr">
        <is>
          <t>No Video ID yet</t>
        </is>
      </c>
      <c r="S1207" s="49" t="n"/>
      <c r="T1207" s="49" t="n"/>
      <c r="U1207" s="47" t="inlineStr">
        <is>
          <t>In the 116th episode of the Pop, Ben and J discuss kids and sleep (or lack thereof), the braindesk, sleep regression training, obscure super powers, Ben’s aquarium conference, career pursuits and callings. GET YOUR WORDLE SHIRT: Cara Liss - Bad Batch - Shang Chi - Inflicted with the Reality of Having Children I Don’t Have Enough Bandwidth Revamp the Braindesk Baby Surveillance VidCon but for Aquariums If I had $100,000 00:00 - Intro, Tiredness and Having Kids 06:10 - Classes and Learning 11:02 - Sleep Regression 17:54 - Obscure Super Powers 30:27 - Fish Con 39:32 - If I Had $100,000 43:51 - Your Calling</t>
        </is>
      </c>
      <c r="V1207" s="47">
        <f>IF(AND(P1207&gt;=Calendar!$K$2,P1207&lt;EDATE(Calendar!$K$2,1),OR(Calendar!$K$4="*",N1207=Calendar!$K$4)),P1207*100+COUNTIFS($P$6:$P$3267,P1207,$Q$6:$Q$3267,"&lt;="&amp;Q1207,$N$6:$N$3267,Calendar!$K$4),"")</f>
        <v/>
      </c>
      <c r="W1207" s="47">
        <f>IF(AND(B1207=Queue!$C$4,OR(Queue!$K$4="*",N1207=Queue!$K$4)),Q1207,"")</f>
        <v/>
      </c>
    </row>
    <row r="1208">
      <c r="A1208" s="38">
        <f>IF(M1208="","",HYPERLINK("https://www.youtube.com/watch?v="&amp;M1208,"▶"))</f>
        <v/>
      </c>
      <c r="B1208" s="39">
        <f>IF(C1208&lt;&gt;"",C1208,IF(P1208&lt;=IFERROR(INDEX(tblChannels[Watched Through],MATCH(N1208,tblChannels[Channel ID],0)),0),"Watched","Unwatched"))</f>
        <v/>
      </c>
      <c r="C1208" s="40" t="n"/>
      <c r="D1208" s="41" t="n"/>
      <c r="E1208" s="42" t="n">
        <v>44615.66666666666</v>
      </c>
      <c r="F1208" s="50" t="inlineStr">
        <is>
          <t>Super Carlin Brothers</t>
        </is>
      </c>
      <c r="G1208" t="inlineStr">
        <is>
          <t>TOP 5 Secrets of Dumbledore Questions | Harry Potter Film Theory</t>
        </is>
      </c>
      <c r="H1208" s="44" t="n">
        <v>0.01487268518518518</v>
      </c>
      <c r="I1208" s="45" t="n">
        <v>193470</v>
      </c>
      <c r="J1208" s="45" t="n">
        <v>7876</v>
      </c>
      <c r="K1208" s="45" t="n">
        <v>954</v>
      </c>
      <c r="L1208" s="46" t="n"/>
      <c r="M1208" s="47" t="n"/>
      <c r="N1208" s="47" t="inlineStr">
        <is>
          <t>UCKZo4N0lVPccBkSiuyVh4yg</t>
        </is>
      </c>
      <c r="O1208" s="48" t="n">
        <v>44615.875</v>
      </c>
      <c r="P1208" s="49" t="n">
        <v>44615</v>
      </c>
      <c r="Q1208" s="47" t="n">
        <v>2060</v>
      </c>
      <c r="R1208" s="47" t="inlineStr">
        <is>
          <t>No Video ID yet</t>
        </is>
      </c>
      <c r="S1208" s="49" t="n"/>
      <c r="T1208" s="49" t="n"/>
      <c r="U1208" s="47" t="inlineStr">
        <is>
          <t>Go to and enter code SUPER at checkout for 20% off your first box! Today Ben dives deep into the most burning questions that he hopes Secrets of Dumbledore will answer... how will Voldemort fit into this story? What's up with Nagini?! Aurelius WHO!!? #SuperCarlinBrothers #HarryPotter #SecretsofDumbledore #FantasticBeasts Edited by : Riley Murtagh</t>
        </is>
      </c>
      <c r="V1208" s="47">
        <f>IF(AND(P1208&gt;=Calendar!$K$2,P1208&lt;EDATE(Calendar!$K$2,1),OR(Calendar!$K$4="*",N1208=Calendar!$K$4)),P1208*100+COUNTIFS($P$6:$P$3267,P1208,$Q$6:$Q$3267,"&lt;="&amp;Q1208,$N$6:$N$3267,Calendar!$K$4),"")</f>
        <v/>
      </c>
      <c r="W1208" s="47">
        <f>IF(AND(B1208=Queue!$C$4,OR(Queue!$K$4="*",N1208=Queue!$K$4)),Q1208,"")</f>
        <v/>
      </c>
    </row>
    <row r="1209">
      <c r="A1209" s="38">
        <f>IF(M1209="","",HYPERLINK("https://www.youtube.com/watch?v="&amp;M1209,"▶"))</f>
        <v/>
      </c>
      <c r="B1209" s="39">
        <f>IF(C1209&lt;&gt;"",C1209,IF(P1209&lt;=IFERROR(INDEX(tblChannels[Watched Through],MATCH(N1209,tblChannels[Channel ID],0)),0),"Watched","Unwatched"))</f>
        <v/>
      </c>
      <c r="C1209" s="40" t="n"/>
      <c r="D1209" s="41" t="n"/>
      <c r="E1209" s="42" t="n">
        <v>44614.66666666666</v>
      </c>
      <c r="F1209" s="50" t="inlineStr">
        <is>
          <t>Super Carlin Brothers</t>
        </is>
      </c>
      <c r="G1209" t="inlineStr">
        <is>
          <t>Answering Google's TOP 25 Encanto Questions | Encanto Explained</t>
        </is>
      </c>
      <c r="H1209" s="44" t="n">
        <v>0.01141203703703704</v>
      </c>
      <c r="I1209" s="45" t="n">
        <v>142529</v>
      </c>
      <c r="J1209" s="45" t="n">
        <v>6822</v>
      </c>
      <c r="K1209" s="45" t="n">
        <v>627</v>
      </c>
      <c r="L1209" s="46" t="n"/>
      <c r="M1209" s="47" t="n"/>
      <c r="N1209" s="47" t="inlineStr">
        <is>
          <t>UCKZo4N0lVPccBkSiuyVh4yg</t>
        </is>
      </c>
      <c r="O1209" s="48" t="n">
        <v>44614.875</v>
      </c>
      <c r="P1209" s="49" t="n">
        <v>44614</v>
      </c>
      <c r="Q1209" s="47" t="n">
        <v>2059</v>
      </c>
      <c r="R1209" s="47" t="inlineStr">
        <is>
          <t>No Video ID yet</t>
        </is>
      </c>
      <c r="S1209" s="49" t="n"/>
      <c r="T1209" s="49" t="n"/>
      <c r="U1209" s="47" t="inlineStr">
        <is>
          <t>Go to to get 10% off your first month! Check out our merch store at Today J addresses some of the internet's burning questions about Encanto. What does the title mean? Does Mirabel get a door?! Do we talk about Bruno (no no no)?! #SuperCarlinBrothers #Disney #Encanto</t>
        </is>
      </c>
      <c r="V1209" s="47">
        <f>IF(AND(P1209&gt;=Calendar!$K$2,P1209&lt;EDATE(Calendar!$K$2,1),OR(Calendar!$K$4="*",N1209=Calendar!$K$4)),P1209*100+COUNTIFS($P$6:$P$3267,P1209,$Q$6:$Q$3267,"&lt;="&amp;Q1209,$N$6:$N$3267,Calendar!$K$4),"")</f>
        <v/>
      </c>
      <c r="W1209" s="47">
        <f>IF(AND(B1209=Queue!$C$4,OR(Queue!$K$4="*",N1209=Queue!$K$4)),Q1209,"")</f>
        <v/>
      </c>
    </row>
    <row r="1210">
      <c r="A1210" s="38">
        <f>IF(M1210="","",HYPERLINK("https://www.youtube.com/watch?v="&amp;M1210,"▶"))</f>
        <v/>
      </c>
      <c r="B1210" s="39">
        <f>IF(C1210&lt;&gt;"",C1210,IF(P1210&lt;=IFERROR(INDEX(tblChannels[Watched Through],MATCH(N1210,tblChannels[Channel ID],0)),0),"Watched","Unwatched"))</f>
        <v/>
      </c>
      <c r="C1210" s="40" t="n"/>
      <c r="D1210" s="41" t="n"/>
      <c r="E1210" s="42" t="n">
        <v>44613.44652777778</v>
      </c>
      <c r="F1210" s="53" t="inlineStr">
        <is>
          <t>Jonathan Carlin</t>
        </is>
      </c>
      <c r="G1210" t="inlineStr">
        <is>
          <t>J TURNS 34!</t>
        </is>
      </c>
      <c r="H1210" s="44" t="n">
        <v>0.01383101851851852</v>
      </c>
      <c r="I1210" s="45" t="n">
        <v>16856</v>
      </c>
      <c r="J1210" s="45" t="n">
        <v>1140</v>
      </c>
      <c r="K1210" s="45" t="n">
        <v>109</v>
      </c>
      <c r="L1210" s="46" t="n"/>
      <c r="M1210" s="47" t="n"/>
      <c r="N1210" s="47" t="inlineStr">
        <is>
          <t>UCYPKFe86e6nm4TVUYKLsFUQ</t>
        </is>
      </c>
      <c r="O1210" s="48" t="n">
        <v>44613.65486111111</v>
      </c>
      <c r="P1210" s="49" t="n">
        <v>44613</v>
      </c>
      <c r="Q1210" s="47" t="n">
        <v>2058</v>
      </c>
      <c r="R1210" s="47" t="inlineStr">
        <is>
          <t>No Video ID yet</t>
        </is>
      </c>
      <c r="S1210" s="49" t="n"/>
      <c r="T1210" s="49" t="n"/>
      <c r="U1210" s="47" t="inlineStr">
        <is>
          <t>This week J gets a narwhal, Beth makes peasant bread, the kids play with beans, luke fixes a car and J HAS A BIRTHDAY Bread Recipe: Edited by Ethan Edghill</t>
        </is>
      </c>
      <c r="V1210" s="47">
        <f>IF(AND(P1210&gt;=Calendar!$K$2,P1210&lt;EDATE(Calendar!$K$2,1),OR(Calendar!$K$4="*",N1210=Calendar!$K$4)),P1210*100+COUNTIFS($P$6:$P$3267,P1210,$Q$6:$Q$3267,"&lt;="&amp;Q1210,$N$6:$N$3267,Calendar!$K$4),"")</f>
        <v/>
      </c>
      <c r="W1210" s="47">
        <f>IF(AND(B1210=Queue!$C$4,OR(Queue!$K$4="*",N1210=Queue!$K$4)),Q1210,"")</f>
        <v/>
      </c>
    </row>
    <row r="1211">
      <c r="A1211" s="38">
        <f>IF(M1211="","",HYPERLINK("https://www.youtube.com/watch?v="&amp;M1211,"▶"))</f>
        <v/>
      </c>
      <c r="B1211" s="39">
        <f>IF(C1211&lt;&gt;"",C1211,IF(P1211&lt;=IFERROR(INDEX(tblChannels[Watched Through],MATCH(N1211,tblChannels[Channel ID],0)),0),"Watched","Unwatched"))</f>
        <v/>
      </c>
      <c r="C1211" s="40" t="n"/>
      <c r="D1211" s="41" t="n"/>
      <c r="E1211" s="42" t="n">
        <v>44610.52083333334</v>
      </c>
      <c r="F1211" s="54" t="inlineStr">
        <is>
          <t>With the Carlins</t>
        </is>
      </c>
      <c r="G1211" t="inlineStr">
        <is>
          <t>Ben Roasts His Own Coffee</t>
        </is>
      </c>
      <c r="H1211" s="44" t="n">
        <v>0.01508101851851852</v>
      </c>
      <c r="I1211" s="45" t="n">
        <v>14208</v>
      </c>
      <c r="J1211" s="45" t="n">
        <v>1180</v>
      </c>
      <c r="K1211" s="45" t="n">
        <v>147</v>
      </c>
      <c r="L1211" s="46" t="n"/>
      <c r="M1211" s="47" t="n"/>
      <c r="N1211" s="47" t="inlineStr">
        <is>
          <t>UCVBTjN9WJU5Ac8yU7b2K-5g</t>
        </is>
      </c>
      <c r="O1211" s="48" t="n">
        <v>44610.72916666666</v>
      </c>
      <c r="P1211" s="49" t="n">
        <v>44610</v>
      </c>
      <c r="Q1211" s="47" t="n">
        <v>2057</v>
      </c>
      <c r="R1211" s="47" t="inlineStr">
        <is>
          <t>No Video ID yet</t>
        </is>
      </c>
      <c r="S1211" s="49" t="n"/>
      <c r="T1211" s="49" t="n"/>
      <c r="U1211" s="47" t="inlineStr">
        <is>
          <t>This week I make coffee. Follow Us! :: I N S T A G R A M➜ and Ben Carlin #SuperCarlinBrothers #CarlinFamily #FamilyVlog</t>
        </is>
      </c>
      <c r="V1211" s="47">
        <f>IF(AND(P1211&gt;=Calendar!$K$2,P1211&lt;EDATE(Calendar!$K$2,1),OR(Calendar!$K$4="*",N1211=Calendar!$K$4)),P1211*100+COUNTIFS($P$6:$P$3267,P1211,$Q$6:$Q$3267,"&lt;="&amp;Q1211,$N$6:$N$3267,Calendar!$K$4),"")</f>
        <v/>
      </c>
      <c r="W1211" s="47">
        <f>IF(AND(B1211=Queue!$C$4,OR(Queue!$K$4="*",N1211=Queue!$K$4)),Q1211,"")</f>
        <v/>
      </c>
    </row>
    <row r="1212">
      <c r="A1212" s="38">
        <f>IF(M1212="","",HYPERLINK("https://www.youtube.com/watch?v="&amp;M1212,"▶"))</f>
        <v/>
      </c>
      <c r="B1212" s="39">
        <f>IF(C1212&lt;&gt;"",C1212,IF(P1212&lt;=IFERROR(INDEX(tblChannels[Watched Through],MATCH(N1212,tblChannels[Channel ID],0)),0),"Watched","Unwatched"))</f>
        <v/>
      </c>
      <c r="C1212" s="40" t="n"/>
      <c r="D1212" s="41" t="n"/>
      <c r="E1212" s="42" t="n">
        <v>44610.41666666666</v>
      </c>
      <c r="F1212" s="43" t="inlineStr">
        <is>
          <t>Popcorn Culture</t>
        </is>
      </c>
      <c r="G1212" t="inlineStr">
        <is>
          <t>The Game that Shall Not Be Named | Popcorn Culture</t>
        </is>
      </c>
      <c r="H1212" s="44" t="n">
        <v>0.04978009259259259</v>
      </c>
      <c r="I1212" s="45" t="n">
        <v>8220</v>
      </c>
      <c r="J1212" s="45" t="n">
        <v>399</v>
      </c>
      <c r="K1212" s="45" t="n">
        <v>54</v>
      </c>
      <c r="L1212" s="46" t="n"/>
      <c r="M1212" s="47" t="n"/>
      <c r="N1212" s="47" t="inlineStr">
        <is>
          <t>UCHfIbq9thHPC8yrKjAdJgDA</t>
        </is>
      </c>
      <c r="O1212" s="48" t="n">
        <v>44610.625</v>
      </c>
      <c r="P1212" s="49" t="n">
        <v>44610</v>
      </c>
      <c r="Q1212" s="47" t="n">
        <v>2056</v>
      </c>
      <c r="R1212" s="47" t="inlineStr">
        <is>
          <t>No Video ID yet</t>
        </is>
      </c>
      <c r="S1212" s="49" t="n"/>
      <c r="T1212" s="49" t="n"/>
      <c r="U1212" s="47" t="inlineStr">
        <is>
          <t>In the 115th episode of the pop, Ben and J discuss Civil War pirates, seaball, Ben’s rebellious streak, water sports, the Superb Owl halftime show, misheard lyrics, leaning into the joke, artistic abilities, SPACE (it’s big!), and the Hedonic Treadmill vs Eudaimonic Approach. Take the Survey: GET YOUR WORDLE SHIRT: History of Piracy During the Civil War - “The Rocket” - Superbowl Halftime Show - “We Don’t Talk About Bruno” lyrics - “Sugar We’re Going Down “lyrics - “Semi-Charmed Life” lyrics - “White Woman’s Instagram” lyrics - Hedonic and Eudaimonic Approaches - Seaball - Ship to Ship Tennis Roger That, Quack Quack Meeveedagwan Goat Cheese Sammich You’re Barely a Whoville on a Snowflake 00:00 - Intro, Making Up History 05:10 - Fun Camp and Bachelor Party Stories 22:09 - The Worlde Shirt 29:01 - The Superb Owl 35:19 - Encanto and Other Lyrics 41:02 - Leaning into the Joke 50:37 - Art, Human Brain and Space 57:40 - Contentment</t>
        </is>
      </c>
      <c r="V1212" s="47">
        <f>IF(AND(P1212&gt;=Calendar!$K$2,P1212&lt;EDATE(Calendar!$K$2,1),OR(Calendar!$K$4="*",N1212=Calendar!$K$4)),P1212*100+COUNTIFS($P$6:$P$3267,P1212,$Q$6:$Q$3267,"&lt;="&amp;Q1212,$N$6:$N$3267,Calendar!$K$4),"")</f>
        <v/>
      </c>
      <c r="W1212" s="47">
        <f>IF(AND(B1212=Queue!$C$4,OR(Queue!$K$4="*",N1212=Queue!$K$4)),Q1212,"")</f>
        <v/>
      </c>
    </row>
    <row r="1213">
      <c r="A1213" s="38">
        <f>IF(M1213="","",HYPERLINK("https://www.youtube.com/watch?v="&amp;M1213,"▶"))</f>
        <v/>
      </c>
      <c r="B1213" s="39">
        <f>IF(C1213&lt;&gt;"",C1213,IF(P1213&lt;=IFERROR(INDEX(tblChannels[Watched Through],MATCH(N1213,tblChannels[Channel ID],0)),0),"Watched","Unwatched"))</f>
        <v/>
      </c>
      <c r="C1213" s="40" t="n"/>
      <c r="D1213" s="41" t="n"/>
      <c r="E1213" s="42" t="n">
        <v>44609.675</v>
      </c>
      <c r="F1213" s="50" t="inlineStr">
        <is>
          <t>Super Carlin Brothers</t>
        </is>
      </c>
      <c r="G1213" t="inlineStr">
        <is>
          <t>J vs Ben: ULTIMATE Crimes of Grindelwald Quiz | Harry Potter Trivia</t>
        </is>
      </c>
      <c r="H1213" s="44" t="n">
        <v>0.01987268518518518</v>
      </c>
      <c r="I1213" s="45" t="n">
        <v>148231</v>
      </c>
      <c r="J1213" s="45" t="n">
        <v>6194</v>
      </c>
      <c r="K1213" s="45" t="n">
        <v>543</v>
      </c>
      <c r="L1213" s="46" t="n"/>
      <c r="M1213" s="47" t="n"/>
      <c r="N1213" s="47" t="inlineStr">
        <is>
          <t>UCKZo4N0lVPccBkSiuyVh4yg</t>
        </is>
      </c>
      <c r="O1213" s="48" t="n">
        <v>44609.88333333333</v>
      </c>
      <c r="P1213" s="49" t="n">
        <v>44609</v>
      </c>
      <c r="Q1213" s="47" t="n">
        <v>2055</v>
      </c>
      <c r="R1213" s="47" t="inlineStr">
        <is>
          <t>No Video ID yet</t>
        </is>
      </c>
      <c r="S1213" s="49" t="n"/>
      <c r="T1213" s="49" t="n"/>
      <c r="U1213" s="47" t="inlineStr">
        <is>
          <t>Go to and use promo code JVSB to get 3 months free! Get 25% off and zero delivery fees on your first order of $15 or more when you download the DoorDash app and enter code JVSB. Today J and Ben Face off once more to find out who knows more about the Wizarding World of Harry Potter and Fantastic Beasts The Crimes of Grindelwald! #SuperCarlinBrothers #HarryPotter #JvsBen</t>
        </is>
      </c>
      <c r="V1213" s="47">
        <f>IF(AND(P1213&gt;=Calendar!$K$2,P1213&lt;EDATE(Calendar!$K$2,1),OR(Calendar!$K$4="*",N1213=Calendar!$K$4)),P1213*100+COUNTIFS($P$6:$P$3267,P1213,$Q$6:$Q$3267,"&lt;="&amp;Q1213,$N$6:$N$3267,Calendar!$K$4),"")</f>
        <v/>
      </c>
      <c r="W1213" s="47">
        <f>IF(AND(B1213=Queue!$C$4,OR(Queue!$K$4="*",N1213=Queue!$K$4)),Q1213,"")</f>
        <v/>
      </c>
    </row>
    <row r="1214">
      <c r="A1214" s="38">
        <f>IF(M1214="","",HYPERLINK("https://www.youtube.com/watch?v="&amp;M1214,"▶"))</f>
        <v/>
      </c>
      <c r="B1214" s="39">
        <f>IF(C1214&lt;&gt;"",C1214,IF(P1214&lt;=IFERROR(INDEX(tblChannels[Watched Through],MATCH(N1214,tblChannels[Channel ID],0)),0),"Watched","Unwatched"))</f>
        <v/>
      </c>
      <c r="C1214" s="40" t="n"/>
      <c r="D1214" s="41" t="n"/>
      <c r="E1214" s="42" t="n">
        <v>44607.7375</v>
      </c>
      <c r="F1214" s="50" t="inlineStr">
        <is>
          <t>Super Carlin Brothers</t>
        </is>
      </c>
      <c r="G1214" t="inlineStr">
        <is>
          <t>What Even IS The Multiverse of Madness? | Doctor Strange Film Theory</t>
        </is>
      </c>
      <c r="H1214" s="44" t="n">
        <v>0.01429398148148148</v>
      </c>
      <c r="I1214" s="45" t="n">
        <v>150704</v>
      </c>
      <c r="J1214" s="45" t="n">
        <v>8036</v>
      </c>
      <c r="K1214" s="45" t="n">
        <v>734</v>
      </c>
      <c r="L1214" s="46" t="n"/>
      <c r="M1214" s="47" t="n"/>
      <c r="N1214" s="47" t="inlineStr">
        <is>
          <t>UCKZo4N0lVPccBkSiuyVh4yg</t>
        </is>
      </c>
      <c r="O1214" s="48" t="n">
        <v>44607.94583333333</v>
      </c>
      <c r="P1214" s="49" t="n">
        <v>44607</v>
      </c>
      <c r="Q1214" s="47" t="n">
        <v>2054</v>
      </c>
      <c r="R1214" s="47" t="inlineStr">
        <is>
          <t>No Video ID yet</t>
        </is>
      </c>
      <c r="S1214" s="49" t="n"/>
      <c r="T1214" s="49" t="n"/>
      <c r="U1214" s="47" t="inlineStr">
        <is>
          <t>Go to and enter code SUPER at checkout for 20% off your first box! Trailer Breakdown - 12:45 Today J dives into the absolutely mind bending world of Doctor Strange to discuss what the Multiverse of Madness is and how the MCU arrived here. PLUS we breakdown the Super Bowl trailer for Doctor Strange in the Multiverse of Madness. #SuperCarlinBrothers #Marvel</t>
        </is>
      </c>
      <c r="V1214" s="47">
        <f>IF(AND(P1214&gt;=Calendar!$K$2,P1214&lt;EDATE(Calendar!$K$2,1),OR(Calendar!$K$4="*",N1214=Calendar!$K$4)),P1214*100+COUNTIFS($P$6:$P$3267,P1214,$Q$6:$Q$3267,"&lt;="&amp;Q1214,$N$6:$N$3267,Calendar!$K$4),"")</f>
        <v/>
      </c>
      <c r="W1214" s="47">
        <f>IF(AND(B1214=Queue!$C$4,OR(Queue!$K$4="*",N1214=Queue!$K$4)),Q1214,"")</f>
        <v/>
      </c>
    </row>
    <row r="1215">
      <c r="A1215" s="38">
        <f>IF(M1215="","",HYPERLINK("https://www.youtube.com/watch?v="&amp;M1215,"▶"))</f>
        <v/>
      </c>
      <c r="B1215" s="39">
        <f>IF(C1215&lt;&gt;"",C1215,IF(P1215&lt;=IFERROR(INDEX(tblChannels[Watched Through],MATCH(N1215,tblChannels[Channel ID],0)),0),"Watched","Unwatched"))</f>
        <v/>
      </c>
      <c r="C1215" s="40" t="n"/>
      <c r="D1215" s="41" t="n"/>
      <c r="E1215" s="42" t="n">
        <v>44603.5</v>
      </c>
      <c r="F1215" s="54" t="inlineStr">
        <is>
          <t>With the Carlins</t>
        </is>
      </c>
      <c r="G1215" t="inlineStr">
        <is>
          <t>Alyce Picks Out A Dress For The Ball</t>
        </is>
      </c>
      <c r="H1215" s="44" t="n">
        <v>0.0155787037037037</v>
      </c>
      <c r="I1215" s="45" t="n">
        <v>14429</v>
      </c>
      <c r="J1215" s="45" t="n">
        <v>1174</v>
      </c>
      <c r="K1215" s="45" t="n">
        <v>705</v>
      </c>
      <c r="L1215" s="46" t="n"/>
      <c r="M1215" s="47" t="n"/>
      <c r="N1215" s="47" t="inlineStr">
        <is>
          <t>UCVBTjN9WJU5Ac8yU7b2K-5g</t>
        </is>
      </c>
      <c r="O1215" s="48" t="n">
        <v>44603.70833333334</v>
      </c>
      <c r="P1215" s="49" t="n">
        <v>44603</v>
      </c>
      <c r="Q1215" s="47" t="n">
        <v>2053</v>
      </c>
      <c r="R1215" s="47" t="inlineStr">
        <is>
          <t>No Video ID yet</t>
        </is>
      </c>
      <c r="S1215" s="49" t="n"/>
      <c r="T1215" s="49" t="n"/>
      <c r="U1215" s="47" t="inlineStr">
        <is>
          <t>This week we make chocolate covered oranges, try out a desk based treadmill and Ally picks out some dresses! Tell us YOUR favorite down in the comments Follow Us! :: I N S T A G R A M➜ and Ben Carlin #SuperCarlinBrothers #CarlinFamily #FamilyVlog</t>
        </is>
      </c>
      <c r="V1215" s="47">
        <f>IF(AND(P1215&gt;=Calendar!$K$2,P1215&lt;EDATE(Calendar!$K$2,1),OR(Calendar!$K$4="*",N1215=Calendar!$K$4)),P1215*100+COUNTIFS($P$6:$P$3267,P1215,$Q$6:$Q$3267,"&lt;="&amp;Q1215,$N$6:$N$3267,Calendar!$K$4),"")</f>
        <v/>
      </c>
      <c r="W1215" s="47">
        <f>IF(AND(B1215=Queue!$C$4,OR(Queue!$K$4="*",N1215=Queue!$K$4)),Q1215,"")</f>
        <v/>
      </c>
    </row>
    <row r="1216">
      <c r="A1216" s="38">
        <f>IF(M1216="","",HYPERLINK("https://www.youtube.com/watch?v="&amp;M1216,"▶"))</f>
        <v/>
      </c>
      <c r="B1216" s="39">
        <f>IF(C1216&lt;&gt;"",C1216,IF(P1216&lt;=IFERROR(INDEX(tblChannels[Watched Through],MATCH(N1216,tblChannels[Channel ID],0)),0),"Watched","Unwatched"))</f>
        <v/>
      </c>
      <c r="C1216" s="40" t="n"/>
      <c r="D1216" s="41" t="n"/>
      <c r="E1216" s="42" t="n">
        <v>44603.41666666666</v>
      </c>
      <c r="F1216" s="43" t="inlineStr">
        <is>
          <t>Popcorn Culture</t>
        </is>
      </c>
      <c r="G1216" t="inlineStr">
        <is>
          <t>How to Win at Wordle | Popcorn Culture</t>
        </is>
      </c>
      <c r="H1216" s="44" t="n">
        <v>0.04594907407407407</v>
      </c>
      <c r="I1216" s="45" t="n">
        <v>8626</v>
      </c>
      <c r="J1216" s="45" t="n">
        <v>442</v>
      </c>
      <c r="K1216" s="45" t="n">
        <v>80</v>
      </c>
      <c r="L1216" s="46" t="n"/>
      <c r="M1216" s="47" t="n"/>
      <c r="N1216" s="47" t="inlineStr">
        <is>
          <t>UCHfIbq9thHPC8yrKjAdJgDA</t>
        </is>
      </c>
      <c r="O1216" s="48" t="n">
        <v>44603.625</v>
      </c>
      <c r="P1216" s="49" t="n">
        <v>44603</v>
      </c>
      <c r="Q1216" s="47" t="n">
        <v>2052</v>
      </c>
      <c r="R1216" s="47" t="inlineStr">
        <is>
          <t>No Video ID yet</t>
        </is>
      </c>
      <c r="S1216" s="49" t="n"/>
      <c r="T1216" s="49" t="n"/>
      <c r="U1216" s="47" t="inlineStr">
        <is>
          <t>In the 114th episode of the Pop, Ben and J discuss J’s newest Nuzlocke, the Wordle phenomenon and good Wordle strategies, the different light bulbs of your life, ticks and Paris, animals wandering, tackling the biggest problem in front of you, and their plan to steal Lincoln’s body. Pokemon Legends Arceus - Check out Super Carlin Gaming!!! - Wordle - www.Patreon.com/PopcornCulture The Sanctity of the Game J’s Secret First Word The Lightbulb Theory They’ll Suck the Blood Right Out of You You Can’t Actually Knock Over a Mountain Programming Snafu The Coordinates Lie with Lincoln’s Body 00:00 - Intro, Pokemon Legends Arceus 04:55 - Wordle 32:04 - The Lightbulb Theory 42:59 - The Corny Joke! 49:06 - The Next Right Thing 58:30 - Lincoln’s Body</t>
        </is>
      </c>
      <c r="V1216" s="47">
        <f>IF(AND(P1216&gt;=Calendar!$K$2,P1216&lt;EDATE(Calendar!$K$2,1),OR(Calendar!$K$4="*",N1216=Calendar!$K$4)),P1216*100+COUNTIFS($P$6:$P$3267,P1216,$Q$6:$Q$3267,"&lt;="&amp;Q1216,$N$6:$N$3267,Calendar!$K$4),"")</f>
        <v/>
      </c>
      <c r="W1216" s="47">
        <f>IF(AND(B1216=Queue!$C$4,OR(Queue!$K$4="*",N1216=Queue!$K$4)),Q1216,"")</f>
        <v/>
      </c>
    </row>
    <row r="1217">
      <c r="A1217" s="38">
        <f>IF(M1217="","",HYPERLINK("https://www.youtube.com/watch?v="&amp;M1217,"▶"))</f>
        <v/>
      </c>
      <c r="B1217" s="39">
        <f>IF(C1217&lt;&gt;"",C1217,IF(P1217&lt;=IFERROR(INDEX(tblChannels[Watched Through],MATCH(N1217,tblChannels[Channel ID],0)),0),"Watched","Unwatched"))</f>
        <v/>
      </c>
      <c r="C1217" s="40" t="n"/>
      <c r="D1217" s="41" t="n"/>
      <c r="E1217" s="42" t="n">
        <v>44602.69583333333</v>
      </c>
      <c r="F1217" s="50" t="inlineStr">
        <is>
          <t>Super Carlin Brothers</t>
        </is>
      </c>
      <c r="G1217" t="inlineStr">
        <is>
          <t>Did Elsa Actually Die In Frozen 2? | Frozen Film Theory</t>
        </is>
      </c>
      <c r="H1217" s="44" t="n">
        <v>0.01167824074074074</v>
      </c>
      <c r="I1217" s="45" t="n">
        <v>218490</v>
      </c>
      <c r="J1217" s="45" t="n">
        <v>9724</v>
      </c>
      <c r="K1217" s="45" t="n">
        <v>862</v>
      </c>
      <c r="L1217" s="46" t="n"/>
      <c r="M1217" s="47" t="n"/>
      <c r="N1217" s="47" t="inlineStr">
        <is>
          <t>UCKZo4N0lVPccBkSiuyVh4yg</t>
        </is>
      </c>
      <c r="O1217" s="48" t="n">
        <v>44602.90416666667</v>
      </c>
      <c r="P1217" s="49" t="n">
        <v>44602</v>
      </c>
      <c r="Q1217" s="47" t="n">
        <v>2051</v>
      </c>
      <c r="R1217" s="47" t="inlineStr">
        <is>
          <t>No Video ID yet</t>
        </is>
      </c>
      <c r="S1217" s="49" t="n"/>
      <c r="T1217" s="49" t="n"/>
      <c r="U1217" s="47" t="inlineStr">
        <is>
          <t>Go to and enter code SUPER at checkout for 20% off your first box! Today Ben dives into the frigid world of Disney’s Frozen to try and figure out exactly what even happened at the end of Frozen 2.. Did Elsa Die? Is she immortal? What does it mean to be a spirit? #SuperCarlinBrothers #Frozen</t>
        </is>
      </c>
      <c r="V1217" s="47">
        <f>IF(AND(P1217&gt;=Calendar!$K$2,P1217&lt;EDATE(Calendar!$K$2,1),OR(Calendar!$K$4="*",N1217=Calendar!$K$4)),P1217*100+COUNTIFS($P$6:$P$3267,P1217,$Q$6:$Q$3267,"&lt;="&amp;Q1217,$N$6:$N$3267,Calendar!$K$4),"")</f>
        <v/>
      </c>
      <c r="W1217" s="47">
        <f>IF(AND(B1217=Queue!$C$4,OR(Queue!$K$4="*",N1217=Queue!$K$4)),Q1217,"")</f>
        <v/>
      </c>
    </row>
    <row r="1218">
      <c r="A1218" s="38">
        <f>IF(M1218="","",HYPERLINK("https://www.youtube.com/watch?v="&amp;M1218,"▶"))</f>
        <v/>
      </c>
      <c r="B1218" s="39">
        <f>IF(C1218&lt;&gt;"",C1218,IF(P1218&lt;=IFERROR(INDEX(tblChannels[Watched Through],MATCH(N1218,tblChannels[Channel ID],0)),0),"Watched","Unwatched"))</f>
        <v/>
      </c>
      <c r="C1218" s="40" t="n"/>
      <c r="D1218" s="41" t="n"/>
      <c r="E1218" s="42" t="n">
        <v>44600.70972222222</v>
      </c>
      <c r="F1218" s="50" t="inlineStr">
        <is>
          <t>Super Carlin Brothers</t>
        </is>
      </c>
      <c r="G1218" t="inlineStr">
        <is>
          <t>Moana's Father Was The Chosen One Before Moana | Disney Film Theory</t>
        </is>
      </c>
      <c r="H1218" s="44" t="n">
        <v>0.00931712962962963</v>
      </c>
      <c r="I1218" s="45" t="n">
        <v>154998</v>
      </c>
      <c r="J1218" s="45" t="n">
        <v>8510</v>
      </c>
      <c r="K1218" s="45" t="n">
        <v>388</v>
      </c>
      <c r="L1218" s="46" t="n"/>
      <c r="M1218" s="47" t="n"/>
      <c r="N1218" s="47" t="inlineStr">
        <is>
          <t>UCKZo4N0lVPccBkSiuyVh4yg</t>
        </is>
      </c>
      <c r="O1218" s="48" t="n">
        <v>44600.91805555556</v>
      </c>
      <c r="P1218" s="49" t="n">
        <v>44600</v>
      </c>
      <c r="Q1218" s="47" t="n">
        <v>2050</v>
      </c>
      <c r="R1218" s="47" t="inlineStr">
        <is>
          <t>No Video ID yet</t>
        </is>
      </c>
      <c r="S1218" s="49" t="n"/>
      <c r="T1218" s="49" t="n"/>
      <c r="U1218" s="47" t="inlineStr">
        <is>
          <t>Go to and use code SUPERCARLIN to claim your special offer today! Today J dives into the world of Disney's Moana to determine if her father, Chief Tui was The Chosen one before she was, and if so... how did he fail?!</t>
        </is>
      </c>
      <c r="V1218" s="47">
        <f>IF(AND(P1218&gt;=Calendar!$K$2,P1218&lt;EDATE(Calendar!$K$2,1),OR(Calendar!$K$4="*",N1218=Calendar!$K$4)),P1218*100+COUNTIFS($P$6:$P$3267,P1218,$Q$6:$Q$3267,"&lt;="&amp;Q1218,$N$6:$N$3267,Calendar!$K$4),"")</f>
        <v/>
      </c>
      <c r="W1218" s="47">
        <f>IF(AND(B1218=Queue!$C$4,OR(Queue!$K$4="*",N1218=Queue!$K$4)),Q1218,"")</f>
        <v/>
      </c>
    </row>
    <row r="1219">
      <c r="A1219" s="38">
        <f>IF(M1219="","",HYPERLINK("https://www.youtube.com/watch?v="&amp;M1219,"▶"))</f>
        <v/>
      </c>
      <c r="B1219" s="39">
        <f>IF(C1219&lt;&gt;"",C1219,IF(P1219&lt;=IFERROR(INDEX(tblChannels[Watched Through],MATCH(N1219,tblChannels[Channel ID],0)),0),"Watched","Unwatched"))</f>
        <v/>
      </c>
      <c r="C1219" s="40" t="n"/>
      <c r="D1219" s="41" t="n"/>
      <c r="E1219" s="42" t="n">
        <v>44599.41666666666</v>
      </c>
      <c r="F1219" s="53" t="inlineStr">
        <is>
          <t>Jonathan Carlin</t>
        </is>
      </c>
      <c r="G1219" t="inlineStr">
        <is>
          <t>The Great Ski Adventure</t>
        </is>
      </c>
      <c r="H1219" s="44" t="n">
        <v>0.01394675925925926</v>
      </c>
      <c r="I1219" s="45" t="n">
        <v>13425</v>
      </c>
      <c r="J1219" s="45" t="n">
        <v>973</v>
      </c>
      <c r="K1219" s="45" t="n">
        <v>73</v>
      </c>
      <c r="L1219" s="46" t="n"/>
      <c r="M1219" s="47" t="n"/>
      <c r="N1219" s="47" t="inlineStr">
        <is>
          <t>UCYPKFe86e6nm4TVUYKLsFUQ</t>
        </is>
      </c>
      <c r="O1219" s="48" t="n">
        <v>44599.625</v>
      </c>
      <c r="P1219" s="49" t="n">
        <v>44599</v>
      </c>
      <c r="Q1219" s="47" t="n">
        <v>2049</v>
      </c>
      <c r="R1219" s="47" t="inlineStr">
        <is>
          <t>No Video ID yet</t>
        </is>
      </c>
      <c r="S1219" s="49" t="n"/>
      <c r="T1219" s="49" t="n"/>
      <c r="U1219" s="47" t="inlineStr">
        <is>
          <t>This week J and the fam have a snow day. Beth makes chili, J shovels the driveway, the SCB crew creates a FANTASTIC FISH ILLUSION, and then the whole fam gots on a Ski Trip to Wintergreen! The Shovel ::</t>
        </is>
      </c>
      <c r="V1219" s="47">
        <f>IF(AND(P1219&gt;=Calendar!$K$2,P1219&lt;EDATE(Calendar!$K$2,1),OR(Calendar!$K$4="*",N1219=Calendar!$K$4)),P1219*100+COUNTIFS($P$6:$P$3267,P1219,$Q$6:$Q$3267,"&lt;="&amp;Q1219,$N$6:$N$3267,Calendar!$K$4),"")</f>
        <v/>
      </c>
      <c r="W1219" s="47">
        <f>IF(AND(B1219=Queue!$C$4,OR(Queue!$K$4="*",N1219=Queue!$K$4)),Q1219,"")</f>
        <v/>
      </c>
    </row>
    <row r="1220">
      <c r="A1220" s="38">
        <f>IF(M1220="","",HYPERLINK("https://www.youtube.com/watch?v="&amp;M1220,"▶"))</f>
        <v/>
      </c>
      <c r="B1220" s="39">
        <f>IF(C1220&lt;&gt;"",C1220,IF(P1220&lt;=IFERROR(INDEX(tblChannels[Watched Through],MATCH(N1220,tblChannels[Channel ID],0)),0),"Watched","Unwatched"))</f>
        <v/>
      </c>
      <c r="C1220" s="40" t="n"/>
      <c r="D1220" s="41" t="n"/>
      <c r="E1220" s="42" t="n">
        <v>44596.5</v>
      </c>
      <c r="F1220" s="54" t="inlineStr">
        <is>
          <t>With the Carlins</t>
        </is>
      </c>
      <c r="G1220" t="inlineStr">
        <is>
          <t>I Build A Backyard Ice Bath</t>
        </is>
      </c>
      <c r="H1220" s="44" t="n">
        <v>0.01478009259259259</v>
      </c>
      <c r="I1220" s="45" t="n">
        <v>15957</v>
      </c>
      <c r="J1220" s="45" t="n">
        <v>1236</v>
      </c>
      <c r="K1220" s="45" t="n">
        <v>109</v>
      </c>
      <c r="L1220" s="46" t="n"/>
      <c r="M1220" s="47" t="n"/>
      <c r="N1220" s="47" t="inlineStr">
        <is>
          <t>UCVBTjN9WJU5Ac8yU7b2K-5g</t>
        </is>
      </c>
      <c r="O1220" s="48" t="n">
        <v>44596.70833333334</v>
      </c>
      <c r="P1220" s="49" t="n">
        <v>44596</v>
      </c>
      <c r="Q1220" s="47" t="n">
        <v>2048</v>
      </c>
      <c r="R1220" s="47" t="inlineStr">
        <is>
          <t>No Video ID yet</t>
        </is>
      </c>
      <c r="S1220" s="49" t="n"/>
      <c r="T1220" s="49" t="n"/>
      <c r="U1220" s="47" t="inlineStr">
        <is>
          <t>This week we go skiing, put together some Lego, I take a very cold bath and Addy turns 3 Months Old Follow Us! :: I N S T A G R A M➜ and Ben Carlin #SuperCarlinBrothers #CarlinFamily #FamilyVlog</t>
        </is>
      </c>
      <c r="V1220" s="47">
        <f>IF(AND(P1220&gt;=Calendar!$K$2,P1220&lt;EDATE(Calendar!$K$2,1),OR(Calendar!$K$4="*",N1220=Calendar!$K$4)),P1220*100+COUNTIFS($P$6:$P$3267,P1220,$Q$6:$Q$3267,"&lt;="&amp;Q1220,$N$6:$N$3267,Calendar!$K$4),"")</f>
        <v/>
      </c>
      <c r="W1220" s="47">
        <f>IF(AND(B1220=Queue!$C$4,OR(Queue!$K$4="*",N1220=Queue!$K$4)),Q1220,"")</f>
        <v/>
      </c>
    </row>
    <row r="1221">
      <c r="A1221" s="38">
        <f>IF(M1221="","",HYPERLINK("https://www.youtube.com/watch?v="&amp;M1221,"▶"))</f>
        <v/>
      </c>
      <c r="B1221" s="39">
        <f>IF(C1221&lt;&gt;"",C1221,IF(P1221&lt;=IFERROR(INDEX(tblChannels[Watched Through],MATCH(N1221,tblChannels[Channel ID],0)),0),"Watched","Unwatched"))</f>
        <v/>
      </c>
      <c r="C1221" s="40" t="n"/>
      <c r="D1221" s="41" t="n"/>
      <c r="E1221" s="42" t="n">
        <v>44596.41666666666</v>
      </c>
      <c r="F1221" s="43" t="inlineStr">
        <is>
          <t>Popcorn Culture</t>
        </is>
      </c>
      <c r="G1221" t="inlineStr">
        <is>
          <t>The Future Of Star Wars | Popcorn Culture</t>
        </is>
      </c>
      <c r="H1221" s="44" t="n">
        <v>0.04806712962962963</v>
      </c>
      <c r="I1221" s="45" t="n">
        <v>8369</v>
      </c>
      <c r="J1221" s="45" t="n">
        <v>461</v>
      </c>
      <c r="K1221" s="45" t="n">
        <v>49</v>
      </c>
      <c r="L1221" s="46" t="n"/>
      <c r="M1221" s="47" t="n"/>
      <c r="N1221" s="47" t="inlineStr">
        <is>
          <t>UCHfIbq9thHPC8yrKjAdJgDA</t>
        </is>
      </c>
      <c r="O1221" s="48" t="n">
        <v>44596.625</v>
      </c>
      <c r="P1221" s="49" t="n">
        <v>44596</v>
      </c>
      <c r="Q1221" s="47" t="n">
        <v>2047</v>
      </c>
      <c r="R1221" s="47" t="inlineStr">
        <is>
          <t>No Video ID yet</t>
        </is>
      </c>
      <c r="S1221" s="49" t="n"/>
      <c r="T1221" s="49" t="n"/>
      <c r="U1221" s="47" t="inlineStr">
        <is>
          <t>Ben and J discuss: school accolades, Ben’s worst date, fun and miserable GMA stories, awkward college orientation experiences, a friend breakup, “Natural Helpers”, our future predictions on Star Wars Linville Gorge - The Book of Boba Fett - All Jedi are Evil SCB Vid - All Fun Stories Include Misery Lemme Guess, Breakfast? It’s Not You, It’s Him! 8th Grade Game of Thrones The Sheer Glacial Passing of Time Cohesion Be Awesome 00:00 - Intro, Perfect Attendance 02:42 - Ben’s Worst Date 12:03 - Fun GMA Stories Include Misery 16:28 - Radford Orientation 28:29 - Friend Breakup 33:51 - Natural Helpers 40:29 - The Future of Star Wars</t>
        </is>
      </c>
      <c r="V1221" s="47">
        <f>IF(AND(P1221&gt;=Calendar!$K$2,P1221&lt;EDATE(Calendar!$K$2,1),OR(Calendar!$K$4="*",N1221=Calendar!$K$4)),P1221*100+COUNTIFS($P$6:$P$3267,P1221,$Q$6:$Q$3267,"&lt;="&amp;Q1221,$N$6:$N$3267,Calendar!$K$4),"")</f>
        <v/>
      </c>
      <c r="W1221" s="47">
        <f>IF(AND(B1221=Queue!$C$4,OR(Queue!$K$4="*",N1221=Queue!$K$4)),Q1221,"")</f>
        <v/>
      </c>
    </row>
    <row r="1222">
      <c r="A1222" s="38">
        <f>IF(M1222="","",HYPERLINK("https://www.youtube.com/watch?v="&amp;M1222,"▶"))</f>
        <v/>
      </c>
      <c r="B1222" s="39">
        <f>IF(C1222&lt;&gt;"",C1222,IF(P1222&lt;=IFERROR(INDEX(tblChannels[Watched Through],MATCH(N1222,tblChannels[Channel ID],0)),0),"Watched","Unwatched"))</f>
        <v/>
      </c>
      <c r="C1222" s="40" t="n"/>
      <c r="D1222" s="41" t="n"/>
      <c r="E1222" s="42" t="n">
        <v>44595.67708333334</v>
      </c>
      <c r="F1222" s="50" t="inlineStr">
        <is>
          <t>Super Carlin Brothers</t>
        </is>
      </c>
      <c r="G1222" t="inlineStr">
        <is>
          <t>J vs Ben: The PRETTY OBVIOUS Gilderoy Lockhart Harry Potter TRIVIA Quiz</t>
        </is>
      </c>
      <c r="H1222" s="44" t="n">
        <v>0.02068287037037037</v>
      </c>
      <c r="I1222" s="45" t="n">
        <v>291629</v>
      </c>
      <c r="J1222" s="45" t="n">
        <v>9969</v>
      </c>
      <c r="K1222" s="45" t="n">
        <v>591</v>
      </c>
      <c r="L1222" s="46" t="n"/>
      <c r="M1222" s="47" t="n"/>
      <c r="N1222" s="47" t="inlineStr">
        <is>
          <t>UCKZo4N0lVPccBkSiuyVh4yg</t>
        </is>
      </c>
      <c r="O1222" s="48" t="n">
        <v>44595.88541666666</v>
      </c>
      <c r="P1222" s="49" t="n">
        <v>44595</v>
      </c>
      <c r="Q1222" s="47" t="n">
        <v>2046</v>
      </c>
      <c r="R1222" s="47" t="inlineStr">
        <is>
          <t>No Video ID yet</t>
        </is>
      </c>
      <c r="S1222" s="49" t="n"/>
      <c r="T1222" s="49" t="n"/>
      <c r="U1222" s="47" t="inlineStr">
        <is>
          <t>Go to to get Honey for FREE! Get 25% off and zero delivery fees on your first order of $15 or more when you download the DoorDash app and enter code JVSB. Pretty STRAWBVIOUS Chocolate Bars :: Today J and Ben face off once more to find out who knows the most about Five Time Winner of Witch Weekly’s Most Charmin Smile Award, Honorary Member of the Dark Force Defense League and Order of Merlin Third Class: Gilderoy Lockhart Take the Quiz With Us :: #SuperCarlinBrothers #JvsBen #HarryPotter</t>
        </is>
      </c>
      <c r="V1222" s="47">
        <f>IF(AND(P1222&gt;=Calendar!$K$2,P1222&lt;EDATE(Calendar!$K$2,1),OR(Calendar!$K$4="*",N1222=Calendar!$K$4)),P1222*100+COUNTIFS($P$6:$P$3267,P1222,$Q$6:$Q$3267,"&lt;="&amp;Q1222,$N$6:$N$3267,Calendar!$K$4),"")</f>
        <v/>
      </c>
      <c r="W1222" s="47">
        <f>IF(AND(B1222=Queue!$C$4,OR(Queue!$K$4="*",N1222=Queue!$K$4)),Q1222,"")</f>
        <v/>
      </c>
    </row>
    <row r="1223">
      <c r="A1223" s="38">
        <f>IF(M1223="","",HYPERLINK("https://www.youtube.com/watch?v="&amp;M1223,"▶"))</f>
        <v/>
      </c>
      <c r="B1223" s="39">
        <f>IF(C1223&lt;&gt;"",C1223,IF(P1223&lt;=IFERROR(INDEX(tblChannels[Watched Through],MATCH(N1223,tblChannels[Channel ID],0)),0),"Watched","Unwatched"))</f>
        <v/>
      </c>
      <c r="C1223" s="40" t="n"/>
      <c r="D1223" s="41" t="n"/>
      <c r="E1223" s="42" t="n">
        <v>44593.56527777778</v>
      </c>
      <c r="F1223" s="50" t="inlineStr">
        <is>
          <t>Super Carlin Brothers</t>
        </is>
      </c>
      <c r="G1223" t="inlineStr">
        <is>
          <t>Did Maui Create the Druun?! | Disney Film Theory</t>
        </is>
      </c>
      <c r="H1223" s="44" t="n">
        <v>0.007731481481481482</v>
      </c>
      <c r="I1223" s="45" t="n">
        <v>190166</v>
      </c>
      <c r="J1223" s="45" t="n">
        <v>8800</v>
      </c>
      <c r="K1223" s="45" t="n">
        <v>476</v>
      </c>
      <c r="L1223" s="46" t="n"/>
      <c r="M1223" s="47" t="n"/>
      <c r="N1223" s="47" t="inlineStr">
        <is>
          <t>UCKZo4N0lVPccBkSiuyVh4yg</t>
        </is>
      </c>
      <c r="O1223" s="48" t="n">
        <v>44593.77361111111</v>
      </c>
      <c r="P1223" s="49" t="n">
        <v>44593</v>
      </c>
      <c r="Q1223" s="47" t="n">
        <v>2045</v>
      </c>
      <c r="R1223" s="47" t="inlineStr">
        <is>
          <t>No Video ID yet</t>
        </is>
      </c>
      <c r="S1223" s="49" t="n"/>
      <c r="T1223" s="49" t="n"/>
      <c r="U1223" s="47" t="inlineStr">
        <is>
          <t>Go to to get 25% off matching pairs, 15% off your first order, and free shipping! Today J dives into the world of Disney’s Raya and the Last Dragon and Moana to try and determine if Maui stealing the Heart of Te Fiti caused the creation of the Druun in Kumandra! #SuperCarlinBrothers #Disney</t>
        </is>
      </c>
      <c r="V1223" s="47">
        <f>IF(AND(P1223&gt;=Calendar!$K$2,P1223&lt;EDATE(Calendar!$K$2,1),OR(Calendar!$K$4="*",N1223=Calendar!$K$4)),P1223*100+COUNTIFS($P$6:$P$3267,P1223,$Q$6:$Q$3267,"&lt;="&amp;Q1223,$N$6:$N$3267,Calendar!$K$4),"")</f>
        <v/>
      </c>
      <c r="W1223" s="47">
        <f>IF(AND(B1223=Queue!$C$4,OR(Queue!$K$4="*",N1223=Queue!$K$4)),Q1223,"")</f>
        <v/>
      </c>
    </row>
    <row r="1224">
      <c r="A1224" s="38">
        <f>IF(M1224="","",HYPERLINK("https://www.youtube.com/watch?v="&amp;M1224,"▶"))</f>
        <v/>
      </c>
      <c r="B1224" s="39">
        <f>IF(C1224&lt;&gt;"",C1224,IF(P1224&lt;=IFERROR(INDEX(tblChannels[Watched Through],MATCH(N1224,tblChannels[Channel ID],0)),0),"Watched","Unwatched"))</f>
        <v/>
      </c>
      <c r="C1224" s="40" t="n"/>
      <c r="D1224" s="41" t="n"/>
      <c r="E1224" s="42" t="n">
        <v>44592.41666666666</v>
      </c>
      <c r="F1224" s="53" t="inlineStr">
        <is>
          <t>Jonathan Carlin</t>
        </is>
      </c>
      <c r="G1224" t="inlineStr">
        <is>
          <t>SNOW DAY!</t>
        </is>
      </c>
      <c r="H1224" s="44" t="n">
        <v>0.009606481481481481</v>
      </c>
      <c r="I1224" s="45" t="n">
        <v>12222</v>
      </c>
      <c r="J1224" s="45" t="n">
        <v>941</v>
      </c>
      <c r="K1224" s="45" t="n">
        <v>67</v>
      </c>
      <c r="L1224" s="46" t="n"/>
      <c r="M1224" s="47" t="n"/>
      <c r="N1224" s="47" t="inlineStr">
        <is>
          <t>UCYPKFe86e6nm4TVUYKLsFUQ</t>
        </is>
      </c>
      <c r="O1224" s="48" t="n">
        <v>44592.625</v>
      </c>
      <c r="P1224" s="49" t="n">
        <v>44592</v>
      </c>
      <c r="Q1224" s="47" t="n">
        <v>2044</v>
      </c>
      <c r="R1224" s="47" t="inlineStr">
        <is>
          <t>No Video ID yet</t>
        </is>
      </c>
      <c r="S1224" s="49" t="n"/>
      <c r="T1224" s="49" t="n"/>
      <c r="U1224" s="47" t="inlineStr">
        <is>
          <t>This week J and the fam enjoy a snow day, Ben and J open some Pokemon Cards, Beth goes for a FRIGID RUN, and Luke makes corn muffins!</t>
        </is>
      </c>
      <c r="V1224" s="47">
        <f>IF(AND(P1224&gt;=Calendar!$K$2,P1224&lt;EDATE(Calendar!$K$2,1),OR(Calendar!$K$4="*",N1224=Calendar!$K$4)),P1224*100+COUNTIFS($P$6:$P$3267,P1224,$Q$6:$Q$3267,"&lt;="&amp;Q1224,$N$6:$N$3267,Calendar!$K$4),"")</f>
        <v/>
      </c>
      <c r="W1224" s="47">
        <f>IF(AND(B1224=Queue!$C$4,OR(Queue!$K$4="*",N1224=Queue!$K$4)),Q1224,"")</f>
        <v/>
      </c>
    </row>
    <row r="1225">
      <c r="A1225" s="38">
        <f>IF(M1225="","",HYPERLINK("https://www.youtube.com/watch?v="&amp;M1225,"▶"))</f>
        <v/>
      </c>
      <c r="B1225" s="39">
        <f>IF(C1225&lt;&gt;"",C1225,IF(P1225&lt;=IFERROR(INDEX(tblChannels[Watched Through],MATCH(N1225,tblChannels[Channel ID],0)),0),"Watched","Unwatched"))</f>
        <v/>
      </c>
      <c r="C1225" s="40" t="n"/>
      <c r="D1225" s="41" t="n"/>
      <c r="E1225" s="42" t="n">
        <v>44589.41666666666</v>
      </c>
      <c r="F1225" s="43" t="inlineStr">
        <is>
          <t>Popcorn Culture</t>
        </is>
      </c>
      <c r="G1225" t="inlineStr">
        <is>
          <t>Should We Become Plungers?</t>
        </is>
      </c>
      <c r="H1225" s="44" t="n">
        <v>0.04723379629629629</v>
      </c>
      <c r="I1225" s="45" t="n">
        <v>7982</v>
      </c>
      <c r="J1225" s="45" t="n">
        <v>417</v>
      </c>
      <c r="K1225" s="45" t="n">
        <v>53</v>
      </c>
      <c r="L1225" s="46" t="n"/>
      <c r="M1225" s="47" t="n"/>
      <c r="N1225" s="47" t="inlineStr">
        <is>
          <t>UCHfIbq9thHPC8yrKjAdJgDA</t>
        </is>
      </c>
      <c r="O1225" s="48" t="n">
        <v>44589.625</v>
      </c>
      <c r="P1225" s="49" t="n">
        <v>44589</v>
      </c>
      <c r="Q1225" s="47" t="n">
        <v>2043</v>
      </c>
      <c r="R1225" s="47" t="inlineStr">
        <is>
          <t>No Video ID yet</t>
        </is>
      </c>
      <c r="S1225" s="49" t="n"/>
      <c r="T1225" s="49" t="n"/>
      <c r="U1225" s="47" t="inlineStr">
        <is>
          <t>Ben and J discuss: skiing, vacation packing as a parent, repeat travel vs. new adventures, doing things alone, hot springs and ice baths, comic con, and some fun paradoxes. Take the Annual Survey Here: Incredibles “We Get There When We Get There” clip - youtube.com/watch?v=fjsTZzP8nkI Roanoke valley Comic Con - untamedworlds.com/roanoke-valley-comicon Original Red Ranger- en.wikipedia.org/wiki/Jason_Lee_Scott SCB Encanto Theory Referenced - youtube.com/watch?v=1Pd24_2UNjM The Sorites Paradox -en.wikipedia.org/wiki/Sorites_paradox The Ship of Theseus Paradox - en.wikipedia.org/wiki/Ship_of_Theseus The Pittsburgh Potty - en.wikipedia.org/wiki/Pittsburgh_toilet Vlog of Restoring the Brass Doorknob - youtube.com/watch?v=tN7OxK6KT5w Why Were They So Tense?! Abruptly Woken Up By Packages Cartop Carrier = Failure I Can’t Think About the Wire Ball I Don’t Know If You Know How Secrets Work 00:00 - Intro and Ski Trip 04:58 - Vacation Packing 21:13 - Travel Traditions vs. New Adventures 33:12 - Hot Springs and Doing Things Alone 51:33 - Corny Joke! (With a Tangent) 53:37 - The Sorites Paradox</t>
        </is>
      </c>
      <c r="V1225" s="47">
        <f>IF(AND(P1225&gt;=Calendar!$K$2,P1225&lt;EDATE(Calendar!$K$2,1),OR(Calendar!$K$4="*",N1225=Calendar!$K$4)),P1225*100+COUNTIFS($P$6:$P$3267,P1225,$Q$6:$Q$3267,"&lt;="&amp;Q1225,$N$6:$N$3267,Calendar!$K$4),"")</f>
        <v/>
      </c>
      <c r="W1225" s="47">
        <f>IF(AND(B1225=Queue!$C$4,OR(Queue!$K$4="*",N1225=Queue!$K$4)),Q1225,"")</f>
        <v/>
      </c>
    </row>
    <row r="1226">
      <c r="A1226" s="38">
        <f>IF(M1226="","",HYPERLINK("https://www.youtube.com/watch?v="&amp;M1226,"▶"))</f>
        <v/>
      </c>
      <c r="B1226" s="39">
        <f>IF(C1226&lt;&gt;"",C1226,IF(P1226&lt;=IFERROR(INDEX(tblChannels[Watched Through],MATCH(N1226,tblChannels[Channel ID],0)),0),"Watched","Unwatched"))</f>
        <v/>
      </c>
      <c r="C1226" s="40" t="n"/>
      <c r="D1226" s="41" t="n"/>
      <c r="E1226" s="42" t="n">
        <v>44588.625</v>
      </c>
      <c r="F1226" s="50" t="inlineStr">
        <is>
          <t>Super Carlin Brothers</t>
        </is>
      </c>
      <c r="G1226" t="inlineStr">
        <is>
          <t>Does Pedro Become Casita? | Encanto Film Theory</t>
        </is>
      </c>
      <c r="H1226" s="44" t="n">
        <v>0.00982638888888889</v>
      </c>
      <c r="I1226" s="45" t="n">
        <v>219562</v>
      </c>
      <c r="J1226" s="45" t="n">
        <v>11340</v>
      </c>
      <c r="K1226" s="45" t="n">
        <v>1048</v>
      </c>
      <c r="L1226" s="46" t="n"/>
      <c r="M1226" s="47" t="n"/>
      <c r="N1226" s="47" t="inlineStr">
        <is>
          <t>UCKZo4N0lVPccBkSiuyVh4yg</t>
        </is>
      </c>
      <c r="O1226" s="48" t="n">
        <v>44588.83333333334</v>
      </c>
      <c r="P1226" s="49" t="n">
        <v>44588</v>
      </c>
      <c r="Q1226" s="47" t="n">
        <v>2042</v>
      </c>
      <c r="R1226" s="47" t="inlineStr">
        <is>
          <t>No Video ID yet</t>
        </is>
      </c>
      <c r="S1226" s="49" t="n"/>
      <c r="T1226" s="49" t="n"/>
      <c r="U1226" s="47" t="inlineStr">
        <is>
          <t>Go to and enter code SUPER at checkout for 20% off your first box! Follow: @hi_my_name_is_Riles_Jr Today Ben dives into the magical world of the Family Madrigal and Disney’s Encanto to try and determine if after his death Pedro became Casita! #SuperCarlinBrothers #Encanto</t>
        </is>
      </c>
      <c r="V1226" s="47">
        <f>IF(AND(P1226&gt;=Calendar!$K$2,P1226&lt;EDATE(Calendar!$K$2,1),OR(Calendar!$K$4="*",N1226=Calendar!$K$4)),P1226*100+COUNTIFS($P$6:$P$3267,P1226,$Q$6:$Q$3267,"&lt;="&amp;Q1226,$N$6:$N$3267,Calendar!$K$4),"")</f>
        <v/>
      </c>
      <c r="W1226" s="47">
        <f>IF(AND(B1226=Queue!$C$4,OR(Queue!$K$4="*",N1226=Queue!$K$4)),Q1226,"")</f>
        <v/>
      </c>
    </row>
    <row r="1227">
      <c r="A1227" s="38">
        <f>IF(M1227="","",HYPERLINK("https://www.youtube.com/watch?v="&amp;M1227,"▶"))</f>
        <v/>
      </c>
      <c r="B1227" s="39">
        <f>IF(C1227&lt;&gt;"",C1227,IF(P1227&lt;=IFERROR(INDEX(tblChannels[Watched Through],MATCH(N1227,tblChannels[Channel ID],0)),0),"Watched","Unwatched"))</f>
        <v/>
      </c>
      <c r="C1227" s="40" t="n"/>
      <c r="D1227" s="41" t="n"/>
      <c r="E1227" s="42" t="n">
        <v>44586.71041666667</v>
      </c>
      <c r="F1227" s="50" t="inlineStr">
        <is>
          <t>Super Carlin Brothers</t>
        </is>
      </c>
      <c r="G1227" t="inlineStr">
        <is>
          <t>What Is Abuela’s Gift? | Encanto Film Theory</t>
        </is>
      </c>
      <c r="H1227" s="44" t="n">
        <v>0.008506944444444444</v>
      </c>
      <c r="I1227" s="45" t="n">
        <v>324950</v>
      </c>
      <c r="J1227" s="45" t="n">
        <v>15444</v>
      </c>
      <c r="K1227" s="45" t="n">
        <v>1036</v>
      </c>
      <c r="L1227" s="46" t="n"/>
      <c r="M1227" s="47" t="n"/>
      <c r="N1227" s="47" t="inlineStr">
        <is>
          <t>UCKZo4N0lVPccBkSiuyVh4yg</t>
        </is>
      </c>
      <c r="O1227" s="48" t="n">
        <v>44586.91875</v>
      </c>
      <c r="P1227" s="49" t="n">
        <v>44586</v>
      </c>
      <c r="Q1227" s="47" t="n">
        <v>2041</v>
      </c>
      <c r="R1227" s="47" t="inlineStr">
        <is>
          <t>No Video ID yet</t>
        </is>
      </c>
      <c r="S1227" s="49" t="n"/>
      <c r="T1227" s="49" t="n"/>
      <c r="U1227" s="47" t="inlineStr">
        <is>
          <t>Take the SCB Annual Survey here - Today J dives into the magical world of the Family Madrigal and Disney’s Encanto try and uncover what Abuela’s gift is! #SuperCarlinBrothers #Encanto</t>
        </is>
      </c>
      <c r="V1227" s="47">
        <f>IF(AND(P1227&gt;=Calendar!$K$2,P1227&lt;EDATE(Calendar!$K$2,1),OR(Calendar!$K$4="*",N1227=Calendar!$K$4)),P1227*100+COUNTIFS($P$6:$P$3267,P1227,$Q$6:$Q$3267,"&lt;="&amp;Q1227,$N$6:$N$3267,Calendar!$K$4),"")</f>
        <v/>
      </c>
      <c r="W1227" s="47">
        <f>IF(AND(B1227=Queue!$C$4,OR(Queue!$K$4="*",N1227=Queue!$K$4)),Q1227,"")</f>
        <v/>
      </c>
    </row>
    <row r="1228">
      <c r="A1228" s="38">
        <f>IF(M1228="","",HYPERLINK("https://www.youtube.com/watch?v="&amp;M1228,"▶"))</f>
        <v/>
      </c>
      <c r="B1228" s="39">
        <f>IF(C1228&lt;&gt;"",C1228,IF(P1228&lt;=IFERROR(INDEX(tblChannels[Watched Through],MATCH(N1228,tblChannels[Channel ID],0)),0),"Watched","Unwatched"))</f>
        <v/>
      </c>
      <c r="C1228" s="40" t="n"/>
      <c r="D1228" s="41" t="n"/>
      <c r="E1228" s="42" t="n">
        <v>44585.41666666666</v>
      </c>
      <c r="F1228" s="53" t="inlineStr">
        <is>
          <t>Jonathan Carlin</t>
        </is>
      </c>
      <c r="G1228" t="inlineStr">
        <is>
          <t>Our Goals For 2022</t>
        </is>
      </c>
      <c r="H1228" s="44" t="n">
        <v>0.01216435185185185</v>
      </c>
      <c r="I1228" s="45" t="n">
        <v>14060</v>
      </c>
      <c r="J1228" s="45" t="n">
        <v>1045</v>
      </c>
      <c r="K1228" s="45" t="n">
        <v>104</v>
      </c>
      <c r="L1228" s="46" t="n"/>
      <c r="M1228" s="47" t="n"/>
      <c r="N1228" s="47" t="inlineStr">
        <is>
          <t>UCYPKFe86e6nm4TVUYKLsFUQ</t>
        </is>
      </c>
      <c r="O1228" s="48" t="n">
        <v>44585.625</v>
      </c>
      <c r="P1228" s="49" t="n">
        <v>44585</v>
      </c>
      <c r="Q1228" s="47" t="n">
        <v>2040</v>
      </c>
      <c r="R1228" s="47" t="inlineStr">
        <is>
          <t>No Video ID yet</t>
        </is>
      </c>
      <c r="S1228" s="49" t="n"/>
      <c r="T1228" s="49" t="n"/>
      <c r="U1228" s="47" t="inlineStr">
        <is>
          <t>This with J and the fam celebrate the new year, resolve to be more intentional with "friends" and clean out the fridge! Edited by Ethan Edghill</t>
        </is>
      </c>
      <c r="V1228" s="47">
        <f>IF(AND(P1228&gt;=Calendar!$K$2,P1228&lt;EDATE(Calendar!$K$2,1),OR(Calendar!$K$4="*",N1228=Calendar!$K$4)),P1228*100+COUNTIFS($P$6:$P$3267,P1228,$Q$6:$Q$3267,"&lt;="&amp;Q1228,$N$6:$N$3267,Calendar!$K$4),"")</f>
        <v/>
      </c>
      <c r="W1228" s="47">
        <f>IF(AND(B1228=Queue!$C$4,OR(Queue!$K$4="*",N1228=Queue!$K$4)),Q1228,"")</f>
        <v/>
      </c>
    </row>
    <row r="1229">
      <c r="A1229" s="38">
        <f>IF(M1229="","",HYPERLINK("https://www.youtube.com/watch?v="&amp;M1229,"▶"))</f>
        <v/>
      </c>
      <c r="B1229" s="39">
        <f>IF(C1229&lt;&gt;"",C1229,IF(P1229&lt;=IFERROR(INDEX(tblChannels[Watched Through],MATCH(N1229,tblChannels[Channel ID],0)),0),"Watched","Unwatched"))</f>
        <v/>
      </c>
      <c r="C1229" s="40" t="n"/>
      <c r="D1229" s="41" t="n"/>
      <c r="E1229" s="42" t="n">
        <v>44582.5</v>
      </c>
      <c r="F1229" s="54" t="inlineStr">
        <is>
          <t>With the Carlins</t>
        </is>
      </c>
      <c r="G1229" t="inlineStr">
        <is>
          <t>Addison's First Snow Day!</t>
        </is>
      </c>
      <c r="H1229" s="44" t="n">
        <v>0.01800925925925926</v>
      </c>
      <c r="I1229" s="45" t="n">
        <v>16135</v>
      </c>
      <c r="J1229" s="45" t="n">
        <v>1269</v>
      </c>
      <c r="K1229" s="45" t="n">
        <v>139</v>
      </c>
      <c r="L1229" s="46" t="n"/>
      <c r="M1229" s="47" t="n"/>
      <c r="N1229" s="47" t="inlineStr">
        <is>
          <t>UCVBTjN9WJU5Ac8yU7b2K-5g</t>
        </is>
      </c>
      <c r="O1229" s="48" t="n">
        <v>44582.70833333334</v>
      </c>
      <c r="P1229" s="49" t="n">
        <v>44582</v>
      </c>
      <c r="Q1229" s="47" t="n">
        <v>2039</v>
      </c>
      <c r="R1229" s="47" t="inlineStr">
        <is>
          <t>No Video ID yet</t>
        </is>
      </c>
      <c r="S1229" s="49" t="n"/>
      <c r="T1229" s="49" t="n"/>
      <c r="U1229" s="47" t="inlineStr">
        <is>
          <t>This week we make chocolate covered strawberries, deconstruct and then reconstruct a hundred year old door knob and Addy gets to enjoy snow for the first time! Follow Us! :: I N S T A G R A M➜ and Ben Carlin #SuperCarlinBrothers #CarlinFamily #FamilyVlog</t>
        </is>
      </c>
      <c r="V1229" s="47">
        <f>IF(AND(P1229&gt;=Calendar!$K$2,P1229&lt;EDATE(Calendar!$K$2,1),OR(Calendar!$K$4="*",N1229=Calendar!$K$4)),P1229*100+COUNTIFS($P$6:$P$3267,P1229,$Q$6:$Q$3267,"&lt;="&amp;Q1229,$N$6:$N$3267,Calendar!$K$4),"")</f>
        <v/>
      </c>
      <c r="W1229" s="47">
        <f>IF(AND(B1229=Queue!$C$4,OR(Queue!$K$4="*",N1229=Queue!$K$4)),Q1229,"")</f>
        <v/>
      </c>
    </row>
    <row r="1230">
      <c r="A1230" s="38">
        <f>IF(M1230="","",HYPERLINK("https://www.youtube.com/watch?v="&amp;M1230,"▶"))</f>
        <v/>
      </c>
      <c r="B1230" s="39">
        <f>IF(C1230&lt;&gt;"",C1230,IF(P1230&lt;=IFERROR(INDEX(tblChannels[Watched Through],MATCH(N1230,tblChannels[Channel ID],0)),0),"Watched","Unwatched"))</f>
        <v/>
      </c>
      <c r="C1230" s="40" t="n"/>
      <c r="D1230" s="41" t="n"/>
      <c r="E1230" s="42" t="n">
        <v>44582.41666666666</v>
      </c>
      <c r="F1230" s="43" t="inlineStr">
        <is>
          <t>Popcorn Culture</t>
        </is>
      </c>
      <c r="G1230" t="inlineStr">
        <is>
          <t>Full Contact Sledding | Popcorn Culture</t>
        </is>
      </c>
      <c r="H1230" s="44" t="n">
        <v>0.04648148148148148</v>
      </c>
      <c r="I1230" s="45" t="n">
        <v>8213</v>
      </c>
      <c r="J1230" s="45" t="n">
        <v>420</v>
      </c>
      <c r="K1230" s="45" t="n">
        <v>72</v>
      </c>
      <c r="L1230" s="46" t="n"/>
      <c r="M1230" s="47" t="n"/>
      <c r="N1230" s="47" t="inlineStr">
        <is>
          <t>UCHfIbq9thHPC8yrKjAdJgDA</t>
        </is>
      </c>
      <c r="O1230" s="48" t="n">
        <v>44582.625</v>
      </c>
      <c r="P1230" s="49" t="n">
        <v>44582</v>
      </c>
      <c r="Q1230" s="47" t="n">
        <v>2038</v>
      </c>
      <c r="R1230" s="47" t="inlineStr">
        <is>
          <t>No Video ID yet</t>
        </is>
      </c>
      <c r="S1230" s="49" t="n"/>
      <c r="T1230" s="49" t="n"/>
      <c r="U1230" s="47" t="inlineStr">
        <is>
          <t>In the 111th episode of the Pop, Ben and J discuss Pectus, extreme sledding, setting healthy expectations, a new board game idea, Q1 Merch Announcement! Egyptian Rat Screw, butter, cake baking, the current state of existence, training a dog, AND being an “and man.” Pectus- Pics from Ben's Pectus surgery - TV Show “Figure It Out” hosted by Summer Sanders - J’s video about the scar - Encanto - Kings Wild Project Playing Cards- Rules of Egyptian Rat Screw - Wendy's fpoon commercial - Carousel of Progress - 6th Grade Party Trick Adult Version of “Do You Wanna Come Out And Play?” Slap Doubles Fpoon Where Do You Keep Your Butter? You Can’t See the Forest Through the Trees</t>
        </is>
      </c>
      <c r="V1230" s="47">
        <f>IF(AND(P1230&gt;=Calendar!$K$2,P1230&lt;EDATE(Calendar!$K$2,1),OR(Calendar!$K$4="*",N1230=Calendar!$K$4)),P1230*100+COUNTIFS($P$6:$P$3267,P1230,$Q$6:$Q$3267,"&lt;="&amp;Q1230,$N$6:$N$3267,Calendar!$K$4),"")</f>
        <v/>
      </c>
      <c r="W1230" s="47">
        <f>IF(AND(B1230=Queue!$C$4,OR(Queue!$K$4="*",N1230=Queue!$K$4)),Q1230,"")</f>
        <v/>
      </c>
    </row>
    <row r="1231">
      <c r="A1231" s="38">
        <f>IF(M1231="","",HYPERLINK("https://www.youtube.com/watch?v="&amp;M1231,"▶"))</f>
        <v/>
      </c>
      <c r="B1231" s="39">
        <f>IF(C1231&lt;&gt;"",C1231,IF(P1231&lt;=IFERROR(INDEX(tblChannels[Watched Through],MATCH(N1231,tblChannels[Channel ID],0)),0),"Watched","Unwatched"))</f>
        <v/>
      </c>
      <c r="C1231" s="40" t="n"/>
      <c r="D1231" s="41" t="n"/>
      <c r="E1231" s="42" t="n">
        <v>44581.71944444445</v>
      </c>
      <c r="F1231" s="50" t="inlineStr">
        <is>
          <t>Super Carlin Brothers</t>
        </is>
      </c>
      <c r="G1231" t="inlineStr">
        <is>
          <t>Bruno’s SECRET Gift | Disney Encanto Film Theory</t>
        </is>
      </c>
      <c r="H1231" s="44" t="n">
        <v>0.007060185185185185</v>
      </c>
      <c r="I1231" s="45" t="n">
        <v>291372</v>
      </c>
      <c r="J1231" s="45" t="n">
        <v>14451</v>
      </c>
      <c r="K1231" s="45" t="n">
        <v>3351</v>
      </c>
      <c r="L1231" s="46" t="n"/>
      <c r="M1231" s="47" t="n"/>
      <c r="N1231" s="47" t="inlineStr">
        <is>
          <t>UCKZo4N0lVPccBkSiuyVh4yg</t>
        </is>
      </c>
      <c r="O1231" s="48" t="n">
        <v>44581.92777777778</v>
      </c>
      <c r="P1231" s="49" t="n">
        <v>44581</v>
      </c>
      <c r="Q1231" s="47" t="n">
        <v>2037</v>
      </c>
      <c r="R1231" s="47" t="inlineStr">
        <is>
          <t>No Video ID yet</t>
        </is>
      </c>
      <c r="S1231" s="49" t="n"/>
      <c r="T1231" s="49" t="n"/>
      <c r="U1231" s="47" t="inlineStr">
        <is>
          <t>Go to to get Honey for free! Today J dives into the magical world of the Family Madrigal and Disney’s Encanto to uh… Talk about Bruno and his SECRET Gift! #SuperCarlinBrothers #Encanto</t>
        </is>
      </c>
      <c r="V1231" s="47">
        <f>IF(AND(P1231&gt;=Calendar!$K$2,P1231&lt;EDATE(Calendar!$K$2,1),OR(Calendar!$K$4="*",N1231=Calendar!$K$4)),P1231*100+COUNTIFS($P$6:$P$3267,P1231,$Q$6:$Q$3267,"&lt;="&amp;Q1231,$N$6:$N$3267,Calendar!$K$4),"")</f>
        <v/>
      </c>
      <c r="W1231" s="47">
        <f>IF(AND(B1231=Queue!$C$4,OR(Queue!$K$4="*",N1231=Queue!$K$4)),Q1231,"")</f>
        <v/>
      </c>
    </row>
    <row r="1232">
      <c r="A1232" s="38">
        <f>IF(M1232="","",HYPERLINK("https://www.youtube.com/watch?v="&amp;M1232,"▶"))</f>
        <v/>
      </c>
      <c r="B1232" s="39">
        <f>IF(C1232&lt;&gt;"",C1232,IF(P1232&lt;=IFERROR(INDEX(tblChannels[Watched Through],MATCH(N1232,tblChannels[Channel ID],0)),0),"Watched","Unwatched"))</f>
        <v/>
      </c>
      <c r="C1232" s="40" t="n"/>
      <c r="D1232" s="41" t="n"/>
      <c r="E1232" s="42" t="n">
        <v>44579.7625</v>
      </c>
      <c r="F1232" s="50" t="inlineStr">
        <is>
          <t>Super Carlin Brothers</t>
        </is>
      </c>
      <c r="G1232" t="inlineStr">
        <is>
          <t>J vs Ben: ENCANTO Finish the Lyric Quiz!</t>
        </is>
      </c>
      <c r="H1232" s="44" t="n">
        <v>0.0165625</v>
      </c>
      <c r="I1232" s="45" t="n">
        <v>264057</v>
      </c>
      <c r="J1232" s="45" t="n">
        <v>9724</v>
      </c>
      <c r="K1232" s="45" t="n">
        <v>1316</v>
      </c>
      <c r="L1232" s="46" t="n"/>
      <c r="M1232" s="47" t="n"/>
      <c r="N1232" s="47" t="inlineStr">
        <is>
          <t>UCKZo4N0lVPccBkSiuyVh4yg</t>
        </is>
      </c>
      <c r="O1232" s="48" t="n">
        <v>44579.97083333333</v>
      </c>
      <c r="P1232" s="49" t="n">
        <v>44579</v>
      </c>
      <c r="Q1232" s="47" t="n">
        <v>2036</v>
      </c>
      <c r="R1232" s="47" t="inlineStr">
        <is>
          <t>No Video ID yet</t>
        </is>
      </c>
      <c r="S1232" s="49" t="n"/>
      <c r="T1232" s="49" t="n"/>
      <c r="U1232" s="47" t="inlineStr">
        <is>
          <t>Go to and use promo code JVSB to get an additional 3 months FREE! Go to and use code JVB to get 20% off with free shipping. Today J and Ben (who please remember are terrible at music) face off once more to find out who know the lyrics to the songs from Disney’s Encanto the best! #SuperCarlinBrothers #Encanto</t>
        </is>
      </c>
      <c r="V1232" s="47">
        <f>IF(AND(P1232&gt;=Calendar!$K$2,P1232&lt;EDATE(Calendar!$K$2,1),OR(Calendar!$K$4="*",N1232=Calendar!$K$4)),P1232*100+COUNTIFS($P$6:$P$3267,P1232,$Q$6:$Q$3267,"&lt;="&amp;Q1232,$N$6:$N$3267,Calendar!$K$4),"")</f>
        <v/>
      </c>
      <c r="W1232" s="47">
        <f>IF(AND(B1232=Queue!$C$4,OR(Queue!$K$4="*",N1232=Queue!$K$4)),Q1232,"")</f>
        <v/>
      </c>
    </row>
    <row r="1233">
      <c r="A1233" s="38">
        <f>IF(M1233="","",HYPERLINK("https://www.youtube.com/watch?v="&amp;M1233,"▶"))</f>
        <v/>
      </c>
      <c r="B1233" s="39">
        <f>IF(C1233&lt;&gt;"",C1233,IF(P1233&lt;=IFERROR(INDEX(tblChannels[Watched Through],MATCH(N1233,tblChannels[Channel ID],0)),0),"Watched","Unwatched"))</f>
        <v/>
      </c>
      <c r="C1233" s="40" t="n"/>
      <c r="D1233" s="41" t="n"/>
      <c r="E1233" s="42" t="n">
        <v>44578.88958333333</v>
      </c>
      <c r="F1233" s="53" t="inlineStr">
        <is>
          <t>Jonathan Carlin</t>
        </is>
      </c>
      <c r="G1233" t="inlineStr">
        <is>
          <t>NAAAAAAAAAATE!</t>
        </is>
      </c>
      <c r="H1233" s="44" t="n">
        <v>0.0007060185185185185</v>
      </c>
      <c r="I1233" s="45" t="n">
        <v>12427</v>
      </c>
      <c r="J1233" s="45" t="n">
        <v>1202</v>
      </c>
      <c r="K1233" s="45" t="n">
        <v>74</v>
      </c>
      <c r="L1233" s="46" t="n"/>
      <c r="M1233" s="47" t="n"/>
      <c r="N1233" s="47" t="inlineStr">
        <is>
          <t>UCYPKFe86e6nm4TVUYKLsFUQ</t>
        </is>
      </c>
      <c r="O1233" s="48" t="n">
        <v>44579.09791666667</v>
      </c>
      <c r="P1233" s="49" t="n">
        <v>44578</v>
      </c>
      <c r="Q1233" s="47" t="n">
        <v>2035</v>
      </c>
      <c r="R1233" s="47" t="inlineStr">
        <is>
          <t>No Video ID yet</t>
        </is>
      </c>
      <c r="S1233" s="49" t="n"/>
      <c r="T1233" s="49" t="n"/>
      <c r="U1233" s="47" t="inlineStr">
        <is>
          <t>Nick calling for NATE!</t>
        </is>
      </c>
      <c r="V1233" s="47">
        <f>IF(AND(P1233&gt;=Calendar!$K$2,P1233&lt;EDATE(Calendar!$K$2,1),OR(Calendar!$K$4="*",N1233=Calendar!$K$4)),P1233*100+COUNTIFS($P$6:$P$3267,P1233,$Q$6:$Q$3267,"&lt;="&amp;Q1233,$N$6:$N$3267,Calendar!$K$4),"")</f>
        <v/>
      </c>
      <c r="W1233" s="47">
        <f>IF(AND(B1233=Queue!$C$4,OR(Queue!$K$4="*",N1233=Queue!$K$4)),Q1233,"")</f>
        <v/>
      </c>
    </row>
    <row r="1234">
      <c r="A1234" s="38">
        <f>IF(M1234="","",HYPERLINK("https://www.youtube.com/watch?v="&amp;M1234,"▶"))</f>
        <v/>
      </c>
      <c r="B1234" s="39">
        <f>IF(C1234&lt;&gt;"",C1234,IF(P1234&lt;=IFERROR(INDEX(tblChannels[Watched Through],MATCH(N1234,tblChannels[Channel ID],0)),0),"Watched","Unwatched"))</f>
        <v/>
      </c>
      <c r="C1234" s="40" t="n"/>
      <c r="D1234" s="41" t="n"/>
      <c r="E1234" s="42" t="n">
        <v>44578.41666666666</v>
      </c>
      <c r="F1234" s="53" t="inlineStr">
        <is>
          <t>Jonathan Carlin</t>
        </is>
      </c>
      <c r="G1234" t="inlineStr">
        <is>
          <t>Luke Tries His New Bike!</t>
        </is>
      </c>
      <c r="H1234" s="44" t="n">
        <v>0.01150462962962963</v>
      </c>
      <c r="I1234" s="45" t="n">
        <v>16847</v>
      </c>
      <c r="J1234" s="45" t="n">
        <v>1147</v>
      </c>
      <c r="K1234" s="45" t="n">
        <v>0</v>
      </c>
      <c r="L1234" s="46" t="n"/>
      <c r="M1234" s="47" t="n"/>
      <c r="N1234" s="47" t="inlineStr">
        <is>
          <t>UCYPKFe86e6nm4TVUYKLsFUQ</t>
        </is>
      </c>
      <c r="O1234" s="48" t="n">
        <v>44578.625</v>
      </c>
      <c r="P1234" s="49" t="n">
        <v>44578</v>
      </c>
      <c r="Q1234" s="47" t="n">
        <v>2034</v>
      </c>
      <c r="R1234" s="47" t="inlineStr">
        <is>
          <t>No Video ID yet</t>
        </is>
      </c>
      <c r="S1234" s="49" t="n"/>
      <c r="T1234" s="49" t="n"/>
      <c r="U1234" s="47" t="inlineStr">
        <is>
          <t>This week J and the fam celebrate Christmas at the grandparents house, J tries to teach Luke how to ride his new bike, and the fam checks out Illuminights at Explore Park! Edited by Ethan Edghill</t>
        </is>
      </c>
      <c r="V1234" s="47">
        <f>IF(AND(P1234&gt;=Calendar!$K$2,P1234&lt;EDATE(Calendar!$K$2,1),OR(Calendar!$K$4="*",N1234=Calendar!$K$4)),P1234*100+COUNTIFS($P$6:$P$3267,P1234,$Q$6:$Q$3267,"&lt;="&amp;Q1234,$N$6:$N$3267,Calendar!$K$4),"")</f>
        <v/>
      </c>
      <c r="W1234" s="47">
        <f>IF(AND(B1234=Queue!$C$4,OR(Queue!$K$4="*",N1234=Queue!$K$4)),Q1234,"")</f>
        <v/>
      </c>
    </row>
    <row r="1235">
      <c r="A1235" s="38">
        <f>IF(M1235="","",HYPERLINK("https://www.youtube.com/watch?v="&amp;M1235,"▶"))</f>
        <v/>
      </c>
      <c r="B1235" s="39">
        <f>IF(C1235&lt;&gt;"",C1235,IF(P1235&lt;=IFERROR(INDEX(tblChannels[Watched Through],MATCH(N1235,tblChannels[Channel ID],0)),0),"Watched","Unwatched"))</f>
        <v/>
      </c>
      <c r="C1235" s="40" t="n"/>
      <c r="D1235" s="41" t="n"/>
      <c r="E1235" s="42" t="n">
        <v>44575.5</v>
      </c>
      <c r="F1235" s="54" t="inlineStr">
        <is>
          <t>With the Carlins</t>
        </is>
      </c>
      <c r="G1235" t="inlineStr">
        <is>
          <t>How To Make Clear Ice</t>
        </is>
      </c>
      <c r="H1235" s="44" t="n">
        <v>0.0153125</v>
      </c>
      <c r="I1235" s="45" t="n">
        <v>17670</v>
      </c>
      <c r="J1235" s="45" t="n">
        <v>1406</v>
      </c>
      <c r="K1235" s="45" t="n">
        <v>124</v>
      </c>
      <c r="L1235" s="46" t="n"/>
      <c r="M1235" s="47" t="n"/>
      <c r="N1235" s="47" t="inlineStr">
        <is>
          <t>UCVBTjN9WJU5Ac8yU7b2K-5g</t>
        </is>
      </c>
      <c r="O1235" s="48" t="n">
        <v>44575.70833333334</v>
      </c>
      <c r="P1235" s="49" t="n">
        <v>44575</v>
      </c>
      <c r="Q1235" s="47" t="n">
        <v>2033</v>
      </c>
      <c r="R1235" s="47" t="inlineStr">
        <is>
          <t>No Video ID yet</t>
        </is>
      </c>
      <c r="S1235" s="49" t="n"/>
      <c r="T1235" s="49" t="n"/>
      <c r="U1235" s="47" t="inlineStr">
        <is>
          <t>This week we celebrate two years of marriage, hang out in a salt cave and make clear ice! Follow Us! :: I N S T A G R A M➜ and Ben Carlin #SuperCarlinBrothers #CarlinFamily #FamilyVlog</t>
        </is>
      </c>
      <c r="V1235" s="47">
        <f>IF(AND(P1235&gt;=Calendar!$K$2,P1235&lt;EDATE(Calendar!$K$2,1),OR(Calendar!$K$4="*",N1235=Calendar!$K$4)),P1235*100+COUNTIFS($P$6:$P$3267,P1235,$Q$6:$Q$3267,"&lt;="&amp;Q1235,$N$6:$N$3267,Calendar!$K$4),"")</f>
        <v/>
      </c>
      <c r="W1235" s="47">
        <f>IF(AND(B1235=Queue!$C$4,OR(Queue!$K$4="*",N1235=Queue!$K$4)),Q1235,"")</f>
        <v/>
      </c>
    </row>
    <row r="1236">
      <c r="A1236" s="38">
        <f>IF(M1236="","",HYPERLINK("https://www.youtube.com/watch?v="&amp;M1236,"▶"))</f>
        <v/>
      </c>
      <c r="B1236" s="39">
        <f>IF(C1236&lt;&gt;"",C1236,IF(P1236&lt;=IFERROR(INDEX(tblChannels[Watched Through],MATCH(N1236,tblChannels[Channel ID],0)),0),"Watched","Unwatched"))</f>
        <v/>
      </c>
      <c r="C1236" s="40" t="n"/>
      <c r="D1236" s="41" t="n"/>
      <c r="E1236" s="42" t="n">
        <v>44575.41666666666</v>
      </c>
      <c r="F1236" s="43" t="inlineStr">
        <is>
          <t>Popcorn Culture</t>
        </is>
      </c>
      <c r="G1236" t="inlineStr">
        <is>
          <t>Hah Hah! Batman Wins</t>
        </is>
      </c>
      <c r="H1236" s="44" t="n">
        <v>0.05391203703703704</v>
      </c>
      <c r="I1236" s="45" t="n">
        <v>10277</v>
      </c>
      <c r="J1236" s="45" t="n">
        <v>460</v>
      </c>
      <c r="K1236" s="45" t="n">
        <v>52</v>
      </c>
      <c r="L1236" s="46" t="n"/>
      <c r="M1236" s="47" t="n"/>
      <c r="N1236" s="47" t="inlineStr">
        <is>
          <t>UCHfIbq9thHPC8yrKjAdJgDA</t>
        </is>
      </c>
      <c r="O1236" s="48" t="n">
        <v>44575.625</v>
      </c>
      <c r="P1236" s="49" t="n">
        <v>44575</v>
      </c>
      <c r="Q1236" s="47" t="n">
        <v>2032</v>
      </c>
      <c r="R1236" s="47" t="inlineStr">
        <is>
          <t>No Video ID yet</t>
        </is>
      </c>
      <c r="S1236" s="49" t="n"/>
      <c r="T1236" s="49" t="n"/>
      <c r="U1236" s="47" t="inlineStr">
        <is>
          <t>In the 110th episode of the Pop, Ben and J discuss being happy for other people’s success, Ben’s Spiderman suit, Walmart shenanigans, cop interactions, the people you surround yourself with, anonymity, dancing, VR is super fun, J’s Latin class, and Mexican restaurant stories. Indiana Jones Invisible Bridge Scene: Super Mario Brothers: Oculus Quest 2: O Brother Where Art Thou: J’s Wick of the Peek: Tic Tac KO and Beat Sabers on Oculus: and More Happier For People Making a Deal With Your Brain The Way to Win Mario Hah Hah! Batman Wins Four Teenage Boys Belting Green Day Getting Caught *NOT* Breaking the Rules 00:00 - Intro, Other People’s Success 04:44 - Anxiety Projection and Confidence 19:00 - GMA Story 26:30 - Interactions with Cops 32:59 - Are You the Average of the 5 People You Spend the Most Time With? 53:22 - Why is it so Hard to Dance? 1:10:57 - Latin Class</t>
        </is>
      </c>
      <c r="V1236" s="47">
        <f>IF(AND(P1236&gt;=Calendar!$K$2,P1236&lt;EDATE(Calendar!$K$2,1),OR(Calendar!$K$4="*",N1236=Calendar!$K$4)),P1236*100+COUNTIFS($P$6:$P$3267,P1236,$Q$6:$Q$3267,"&lt;="&amp;Q1236,$N$6:$N$3267,Calendar!$K$4),"")</f>
        <v/>
      </c>
      <c r="W1236" s="47">
        <f>IF(AND(B1236=Queue!$C$4,OR(Queue!$K$4="*",N1236=Queue!$K$4)),Q1236,"")</f>
        <v/>
      </c>
    </row>
    <row r="1237">
      <c r="A1237" s="38">
        <f>IF(M1237="","",HYPERLINK("https://www.youtube.com/watch?v="&amp;M1237,"▶"))</f>
        <v/>
      </c>
      <c r="B1237" s="39">
        <f>IF(C1237&lt;&gt;"",C1237,IF(P1237&lt;=IFERROR(INDEX(tblChannels[Watched Through],MATCH(N1237,tblChannels[Channel ID],0)),0),"Watched","Unwatched"))</f>
        <v/>
      </c>
      <c r="C1237" s="40" t="n"/>
      <c r="D1237" s="41" t="n"/>
      <c r="E1237" s="42" t="n">
        <v>44574.67638888889</v>
      </c>
      <c r="F1237" s="50" t="inlineStr">
        <is>
          <t>Super Carlin Brothers</t>
        </is>
      </c>
      <c r="G1237" t="inlineStr">
        <is>
          <t>Why Didn’t Mirabel Get A Gift? | Disney Encanto Film Theory</t>
        </is>
      </c>
      <c r="H1237" s="44" t="n">
        <v>0.01130787037037037</v>
      </c>
      <c r="I1237" s="45" t="n">
        <v>430833</v>
      </c>
      <c r="J1237" s="45" t="n">
        <v>18537</v>
      </c>
      <c r="K1237" s="45" t="n">
        <v>2212</v>
      </c>
      <c r="L1237" s="46" t="n"/>
      <c r="M1237" s="47" t="n"/>
      <c r="N1237" s="47" t="inlineStr">
        <is>
          <t>UCKZo4N0lVPccBkSiuyVh4yg</t>
        </is>
      </c>
      <c r="O1237" s="48" t="n">
        <v>44574.88472222222</v>
      </c>
      <c r="P1237" s="49" t="n">
        <v>44574</v>
      </c>
      <c r="Q1237" s="47" t="n">
        <v>2031</v>
      </c>
      <c r="R1237" s="47" t="inlineStr">
        <is>
          <t>No Video ID yet</t>
        </is>
      </c>
      <c r="S1237" s="49" t="n"/>
      <c r="T1237" s="49" t="n"/>
      <c r="U1237" s="47" t="inlineStr">
        <is>
          <t>Go to and use code SUPERCARLIN to claim your special offer today! Today Ben dives into the Magical world of Encanto and the Family Madrigal to find out Mirabel didn’t receive a gift from the miracle! #SuperCarlinBrothers #Encanto</t>
        </is>
      </c>
      <c r="V1237" s="47">
        <f>IF(AND(P1237&gt;=Calendar!$K$2,P1237&lt;EDATE(Calendar!$K$2,1),OR(Calendar!$K$4="*",N1237=Calendar!$K$4)),P1237*100+COUNTIFS($P$6:$P$3267,P1237,$Q$6:$Q$3267,"&lt;="&amp;Q1237,$N$6:$N$3267,Calendar!$K$4),"")</f>
        <v/>
      </c>
      <c r="W1237" s="47">
        <f>IF(AND(B1237=Queue!$C$4,OR(Queue!$K$4="*",N1237=Queue!$K$4)),Q1237,"")</f>
        <v/>
      </c>
    </row>
    <row r="1238">
      <c r="A1238" s="38">
        <f>IF(M1238="","",HYPERLINK("https://www.youtube.com/watch?v="&amp;M1238,"▶"))</f>
        <v/>
      </c>
      <c r="B1238" s="39">
        <f>IF(C1238&lt;&gt;"",C1238,IF(P1238&lt;=IFERROR(INDEX(tblChannels[Watched Through],MATCH(N1238,tblChannels[Channel ID],0)),0),"Watched","Unwatched"))</f>
        <v/>
      </c>
      <c r="C1238" s="40" t="n"/>
      <c r="D1238" s="41" t="n"/>
      <c r="E1238" s="42" t="n">
        <v>44572.70138888889</v>
      </c>
      <c r="F1238" s="50" t="inlineStr">
        <is>
          <t>Super Carlin Brothers</t>
        </is>
      </c>
      <c r="G1238" t="inlineStr">
        <is>
          <t>Are Boggarts Baby Dementors?? | Harry Potter Film Theory</t>
        </is>
      </c>
      <c r="H1238" s="44" t="n">
        <v>0.00986111111111111</v>
      </c>
      <c r="I1238" s="45" t="n">
        <v>379282</v>
      </c>
      <c r="J1238" s="45" t="n">
        <v>16977</v>
      </c>
      <c r="K1238" s="45" t="n">
        <v>1485</v>
      </c>
      <c r="L1238" s="46" t="n"/>
      <c r="M1238" s="47" t="n"/>
      <c r="N1238" s="47" t="inlineStr">
        <is>
          <t>UCKZo4N0lVPccBkSiuyVh4yg</t>
        </is>
      </c>
      <c r="O1238" s="48" t="n">
        <v>44572.90972222222</v>
      </c>
      <c r="P1238" s="49" t="n">
        <v>44572</v>
      </c>
      <c r="Q1238" s="47" t="n">
        <v>2030</v>
      </c>
      <c r="R1238" s="47" t="inlineStr">
        <is>
          <t>No Video ID yet</t>
        </is>
      </c>
      <c r="S1238" s="49" t="n"/>
      <c r="T1238" s="49" t="n"/>
      <c r="U1238" s="47" t="inlineStr">
        <is>
          <t>Go to to get 25% off matching pairs, 15% off your first order, and free shipping! Today J dives into the Wizarding World of Harry Potter to discuss the possible relation between two of the wizarding worlds most fearsome creatures: Boggarts and Dementors! Is it possible boggarts are simply undeveloped dementors? Roanoker Voting :: #SuperCarlinBrothers #Harry Potter</t>
        </is>
      </c>
      <c r="V1238" s="47">
        <f>IF(AND(P1238&gt;=Calendar!$K$2,P1238&lt;EDATE(Calendar!$K$2,1),OR(Calendar!$K$4="*",N1238=Calendar!$K$4)),P1238*100+COUNTIFS($P$6:$P$3267,P1238,$Q$6:$Q$3267,"&lt;="&amp;Q1238,$N$6:$N$3267,Calendar!$K$4),"")</f>
        <v/>
      </c>
      <c r="W1238" s="47">
        <f>IF(AND(B1238=Queue!$C$4,OR(Queue!$K$4="*",N1238=Queue!$K$4)),Q1238,"")</f>
        <v/>
      </c>
    </row>
    <row r="1239">
      <c r="A1239" s="38">
        <f>IF(M1239="","",HYPERLINK("https://www.youtube.com/watch?v="&amp;M1239,"▶"))</f>
        <v/>
      </c>
      <c r="B1239" s="39">
        <f>IF(C1239&lt;&gt;"",C1239,IF(P1239&lt;=IFERROR(INDEX(tblChannels[Watched Through],MATCH(N1239,tblChannels[Channel ID],0)),0),"Watched","Unwatched"))</f>
        <v/>
      </c>
      <c r="C1239" s="40" t="n"/>
      <c r="D1239" s="41" t="n"/>
      <c r="E1239" s="42" t="n">
        <v>44571.41666666666</v>
      </c>
      <c r="F1239" s="53" t="inlineStr">
        <is>
          <t>Jonathan Carlin</t>
        </is>
      </c>
      <c r="G1239" t="inlineStr">
        <is>
          <t>Christmas With The Carlins</t>
        </is>
      </c>
      <c r="H1239" s="44" t="n">
        <v>0.01295138888888889</v>
      </c>
      <c r="I1239" s="45" t="n">
        <v>17503</v>
      </c>
      <c r="J1239" s="45" t="n">
        <v>1270</v>
      </c>
      <c r="K1239" s="45" t="n">
        <v>0</v>
      </c>
      <c r="L1239" s="46" t="n"/>
      <c r="M1239" s="47" t="n"/>
      <c r="N1239" s="47" t="inlineStr">
        <is>
          <t>UCYPKFe86e6nm4TVUYKLsFUQ</t>
        </is>
      </c>
      <c r="O1239" s="48" t="n">
        <v>44571.625</v>
      </c>
      <c r="P1239" s="49" t="n">
        <v>44571</v>
      </c>
      <c r="Q1239" s="47" t="n">
        <v>2029</v>
      </c>
      <c r="R1239" s="47" t="inlineStr">
        <is>
          <t>No Video ID yet</t>
        </is>
      </c>
      <c r="S1239" s="49" t="n"/>
      <c r="T1239" s="49" t="n"/>
      <c r="U1239" s="47" t="inlineStr">
        <is>
          <t>This week Luke gets his first bike with pedals, J smashes some rocks... and a plate and everyone has a dance party! Luke's Bike :: Nick &amp; Nates Race Track :: Sky Lite :: Geodes :: Oculus Quest 2 :: Pirate Ship ::</t>
        </is>
      </c>
      <c r="V1239" s="47">
        <f>IF(AND(P1239&gt;=Calendar!$K$2,P1239&lt;EDATE(Calendar!$K$2,1),OR(Calendar!$K$4="*",N1239=Calendar!$K$4)),P1239*100+COUNTIFS($P$6:$P$3267,P1239,$Q$6:$Q$3267,"&lt;="&amp;Q1239,$N$6:$N$3267,Calendar!$K$4),"")</f>
        <v/>
      </c>
      <c r="W1239" s="47">
        <f>IF(AND(B1239=Queue!$C$4,OR(Queue!$K$4="*",N1239=Queue!$K$4)),Q1239,"")</f>
        <v/>
      </c>
    </row>
    <row r="1240">
      <c r="A1240" s="38">
        <f>IF(M1240="","",HYPERLINK("https://www.youtube.com/watch?v="&amp;M1240,"▶"))</f>
        <v/>
      </c>
      <c r="B1240" s="39">
        <f>IF(C1240&lt;&gt;"",C1240,IF(P1240&lt;=IFERROR(INDEX(tblChannels[Watched Through],MATCH(N1240,tblChannels[Channel ID],0)),0),"Watched","Unwatched"))</f>
        <v/>
      </c>
      <c r="C1240" s="40" t="n"/>
      <c r="D1240" s="41" t="n"/>
      <c r="E1240" s="42" t="n">
        <v>44569.41666666666</v>
      </c>
      <c r="F1240" s="50" t="inlineStr">
        <is>
          <t>Super Carlin Brothers</t>
        </is>
      </c>
      <c r="G1240" t="inlineStr">
        <is>
          <t>Encanto is Disney's BEST Movie in Years! | REVIEW</t>
        </is>
      </c>
      <c r="H1240" s="44" t="n">
        <v>0.03111111111111111</v>
      </c>
      <c r="I1240" s="45" t="n">
        <v>564460</v>
      </c>
      <c r="J1240" s="45" t="n">
        <v>12012</v>
      </c>
      <c r="K1240" s="45" t="n">
        <v>1812</v>
      </c>
      <c r="L1240" s="46" t="n"/>
      <c r="M1240" s="47" t="n"/>
      <c r="N1240" s="47" t="inlineStr">
        <is>
          <t>UCKZo4N0lVPccBkSiuyVh4yg</t>
        </is>
      </c>
      <c r="O1240" s="48" t="n">
        <v>44569.625</v>
      </c>
      <c r="P1240" s="49" t="n">
        <v>44569</v>
      </c>
      <c r="Q1240" s="47" t="n">
        <v>2028</v>
      </c>
      <c r="R1240" s="47" t="inlineStr">
        <is>
          <t>No Video ID yet</t>
        </is>
      </c>
      <c r="S1240" s="49" t="n"/>
      <c r="T1240" s="49" t="n"/>
      <c r="U1240" s="47" t="inlineStr">
        <is>
          <t>Today J and Ben dive into the magical home of the Family Madrigal and Disney’s Encanto to give it their full SPOILER Review! SCB in Podcast form :: #SuperCarlinBrothers #Disney</t>
        </is>
      </c>
      <c r="V1240" s="47">
        <f>IF(AND(P1240&gt;=Calendar!$K$2,P1240&lt;EDATE(Calendar!$K$2,1),OR(Calendar!$K$4="*",N1240=Calendar!$K$4)),P1240*100+COUNTIFS($P$6:$P$3267,P1240,$Q$6:$Q$3267,"&lt;="&amp;Q1240,$N$6:$N$3267,Calendar!$K$4),"")</f>
        <v/>
      </c>
      <c r="W1240" s="47">
        <f>IF(AND(B1240=Queue!$C$4,OR(Queue!$K$4="*",N1240=Queue!$K$4)),Q1240,"")</f>
        <v/>
      </c>
    </row>
    <row r="1241">
      <c r="A1241" s="38">
        <f>IF(M1241="","",HYPERLINK("https://www.youtube.com/watch?v="&amp;M1241,"▶"))</f>
        <v/>
      </c>
      <c r="B1241" s="39">
        <f>IF(C1241&lt;&gt;"",C1241,IF(P1241&lt;=IFERROR(INDEX(tblChannels[Watched Through],MATCH(N1241,tblChannels[Channel ID],0)),0),"Watched","Unwatched"))</f>
        <v/>
      </c>
      <c r="C1241" s="40" t="n"/>
      <c r="D1241" s="41" t="n"/>
      <c r="E1241" s="42" t="n">
        <v>44568.5</v>
      </c>
      <c r="F1241" s="54" t="inlineStr">
        <is>
          <t>With the Carlins</t>
        </is>
      </c>
      <c r="G1241" t="inlineStr">
        <is>
          <t>Addison's First Christmas!</t>
        </is>
      </c>
      <c r="H1241" s="44" t="n">
        <v>0.02072916666666667</v>
      </c>
      <c r="I1241" s="45" t="n">
        <v>18836</v>
      </c>
      <c r="J1241" s="45" t="n">
        <v>1359</v>
      </c>
      <c r="K1241" s="45" t="n">
        <v>123</v>
      </c>
      <c r="L1241" s="46" t="n"/>
      <c r="M1241" s="47" t="n"/>
      <c r="N1241" s="47" t="inlineStr">
        <is>
          <t>UCVBTjN9WJU5Ac8yU7b2K-5g</t>
        </is>
      </c>
      <c r="O1241" s="48" t="n">
        <v>44568.70833333334</v>
      </c>
      <c r="P1241" s="49" t="n">
        <v>44568</v>
      </c>
      <c r="Q1241" s="47" t="n">
        <v>2027</v>
      </c>
      <c r="R1241" s="47" t="inlineStr">
        <is>
          <t>No Video ID yet</t>
        </is>
      </c>
      <c r="S1241" s="49" t="n"/>
      <c r="T1241" s="49" t="n"/>
      <c r="U1241" s="47" t="inlineStr">
        <is>
          <t>This week we wrap more presents, hike up a mountain, make instant cocktails and celebrate Addison turning TWO MONTHS OLD (CAN YOU BELIEVE IT) Links for things in the video: Bartesian Cocktail Machine: Hollywood Mirror: Alyce's Vanity: Follow Us! :: I N S T A G R A M➜ and Ben Carlin #SuperCarlinBrothers #CarlinFamily #FamilyVlog</t>
        </is>
      </c>
      <c r="V1241" s="47">
        <f>IF(AND(P1241&gt;=Calendar!$K$2,P1241&lt;EDATE(Calendar!$K$2,1),OR(Calendar!$K$4="*",N1241=Calendar!$K$4)),P1241*100+COUNTIFS($P$6:$P$3267,P1241,$Q$6:$Q$3267,"&lt;="&amp;Q1241,$N$6:$N$3267,Calendar!$K$4),"")</f>
        <v/>
      </c>
      <c r="W1241" s="47">
        <f>IF(AND(B1241=Queue!$C$4,OR(Queue!$K$4="*",N1241=Queue!$K$4)),Q1241,"")</f>
        <v/>
      </c>
    </row>
    <row r="1242">
      <c r="A1242" s="38">
        <f>IF(M1242="","",HYPERLINK("https://www.youtube.com/watch?v="&amp;M1242,"▶"))</f>
        <v/>
      </c>
      <c r="B1242" s="39">
        <f>IF(C1242&lt;&gt;"",C1242,IF(P1242&lt;=IFERROR(INDEX(tblChannels[Watched Through],MATCH(N1242,tblChannels[Channel ID],0)),0),"Watched","Unwatched"))</f>
        <v/>
      </c>
      <c r="C1242" s="40" t="n"/>
      <c r="D1242" s="41" t="n"/>
      <c r="E1242" s="42" t="n">
        <v>44568.41666666666</v>
      </c>
      <c r="F1242" s="43" t="inlineStr">
        <is>
          <t>Popcorn Culture</t>
        </is>
      </c>
      <c r="G1242" t="inlineStr">
        <is>
          <t>J Is Really Good At Winning Raffles | Popcorn Culture</t>
        </is>
      </c>
      <c r="H1242" s="44" t="n">
        <v>0.04841435185185185</v>
      </c>
      <c r="I1242" s="45" t="n">
        <v>10149</v>
      </c>
      <c r="J1242" s="45" t="n">
        <v>486</v>
      </c>
      <c r="K1242" s="45" t="n">
        <v>66</v>
      </c>
      <c r="L1242" s="46" t="n"/>
      <c r="M1242" s="47" t="n"/>
      <c r="N1242" s="47" t="inlineStr">
        <is>
          <t>UCHfIbq9thHPC8yrKjAdJgDA</t>
        </is>
      </c>
      <c r="O1242" s="48" t="n">
        <v>44568.625</v>
      </c>
      <c r="P1242" s="49" t="n">
        <v>44568</v>
      </c>
      <c r="Q1242" s="47" t="n">
        <v>2026</v>
      </c>
      <c r="R1242" s="47" t="inlineStr">
        <is>
          <t>No Video ID yet</t>
        </is>
      </c>
      <c r="S1242" s="49" t="n"/>
      <c r="T1242" s="49" t="n"/>
      <c r="U1242" s="47" t="inlineStr">
        <is>
          <t>In the 109th episode of the Pop, Ben and J discuss time off from work, Hawkeye, vacation workouts, Christmas presents, Truman Show Multiverse Experience, manifesting, more Roanoker Magazine voting and the Washington Dinosaurs. Hawkeye - Gran Fondo definition - Space Projector - Vote for us! (Use First Name: Super, Last Name: Carlin Brothers) - Unicorn Scotland Animal - 00:00 - Intro, Talking about Time Off 04:50 - Hawkeye, Parenting and Hobbies 19:10 - Cool Christmas Presents 33:15 - Truman Show Experience and Manifesting 53:41 - Vote for Us on the Roanoker Magazine!!! 57:29 - Rudolph Alternate Lyric Updates Do You Know What A “Fondo” Is? The Best Christmas Present - A Block of Wood Starlight Family Dance Parties Sleep, Seat, Feet, Teeth Truman Show Meets Multiverse Manifestation Rocket The Washington Dinosaurs The NFL is a Soap Opera</t>
        </is>
      </c>
      <c r="V1242" s="47">
        <f>IF(AND(P1242&gt;=Calendar!$K$2,P1242&lt;EDATE(Calendar!$K$2,1),OR(Calendar!$K$4="*",N1242=Calendar!$K$4)),P1242*100+COUNTIFS($P$6:$P$3267,P1242,$Q$6:$Q$3267,"&lt;="&amp;Q1242,$N$6:$N$3267,Calendar!$K$4),"")</f>
        <v/>
      </c>
      <c r="W1242" s="47">
        <f>IF(AND(B1242=Queue!$C$4,OR(Queue!$K$4="*",N1242=Queue!$K$4)),Q1242,"")</f>
        <v/>
      </c>
    </row>
    <row r="1243">
      <c r="A1243" s="38">
        <f>IF(M1243="","",HYPERLINK("https://www.youtube.com/watch?v="&amp;M1243,"▶"))</f>
        <v/>
      </c>
      <c r="B1243" s="39">
        <f>IF(C1243&lt;&gt;"",C1243,IF(P1243&lt;=IFERROR(INDEX(tblChannels[Watched Through],MATCH(N1243,tblChannels[Channel ID],0)),0),"Watched","Unwatched"))</f>
        <v/>
      </c>
      <c r="C1243" s="40" t="n"/>
      <c r="D1243" s="41" t="n"/>
      <c r="E1243" s="42" t="n">
        <v>44567.67569444444</v>
      </c>
      <c r="F1243" s="50" t="inlineStr">
        <is>
          <t>Super Carlin Brothers</t>
        </is>
      </c>
      <c r="G1243" t="inlineStr">
        <is>
          <t>Bruno is Alberto’s Father?! | Pixar Theory</t>
        </is>
      </c>
      <c r="H1243" s="44" t="n">
        <v>0.009016203703703703</v>
      </c>
      <c r="I1243" s="45" t="n">
        <v>743525</v>
      </c>
      <c r="J1243" s="45" t="n">
        <v>23024</v>
      </c>
      <c r="K1243" s="45" t="n">
        <v>3260</v>
      </c>
      <c r="L1243" s="46" t="n"/>
      <c r="M1243" s="47" t="n"/>
      <c r="N1243" s="47" t="inlineStr">
        <is>
          <t>UCKZo4N0lVPccBkSiuyVh4yg</t>
        </is>
      </c>
      <c r="O1243" s="48" t="n">
        <v>44567.88402777778</v>
      </c>
      <c r="P1243" s="49" t="n">
        <v>44567</v>
      </c>
      <c r="Q1243" s="47" t="n">
        <v>2025</v>
      </c>
      <c r="R1243" s="47" t="inlineStr">
        <is>
          <t>No Video ID yet</t>
        </is>
      </c>
      <c r="S1243" s="49" t="n"/>
      <c r="T1243" s="49" t="n"/>
      <c r="U1243" s="47" t="inlineStr">
        <is>
          <t>Go to and use code SUPERCARLIN to claim your special offer today! Today Ben dives into the world of Disney and Pixar to try and determine if Bruno from Encanto is Alberto’s missing father in Luca! Check out Ben Stanley’s original TikTok :: #SuperCarlinBrothers #Pixar #Disney</t>
        </is>
      </c>
      <c r="V1243" s="47">
        <f>IF(AND(P1243&gt;=Calendar!$K$2,P1243&lt;EDATE(Calendar!$K$2,1),OR(Calendar!$K$4="*",N1243=Calendar!$K$4)),P1243*100+COUNTIFS($P$6:$P$3267,P1243,$Q$6:$Q$3267,"&lt;="&amp;Q1243,$N$6:$N$3267,Calendar!$K$4),"")</f>
        <v/>
      </c>
      <c r="W1243" s="47">
        <f>IF(AND(B1243=Queue!$C$4,OR(Queue!$K$4="*",N1243=Queue!$K$4)),Q1243,"")</f>
        <v/>
      </c>
    </row>
    <row r="1244">
      <c r="A1244" s="38">
        <f>IF(M1244="","",HYPERLINK("https://www.youtube.com/watch?v="&amp;M1244,"▶"))</f>
        <v/>
      </c>
      <c r="B1244" s="39">
        <f>IF(C1244&lt;&gt;"",C1244,IF(P1244&lt;=IFERROR(INDEX(tblChannels[Watched Through],MATCH(N1244,tblChannels[Channel ID],0)),0),"Watched","Unwatched"))</f>
        <v/>
      </c>
      <c r="C1244" s="40" t="n"/>
      <c r="D1244" s="41" t="n"/>
      <c r="E1244" s="42" t="n">
        <v>44565.72430555556</v>
      </c>
      <c r="F1244" s="50" t="inlineStr">
        <is>
          <t>Super Carlin Brothers</t>
        </is>
      </c>
      <c r="G1244" t="inlineStr">
        <is>
          <t>WE SORT EACH OTHER INTO HOGWARTS HOUSES! [J vs Ben]</t>
        </is>
      </c>
      <c r="H1244" s="44" t="n">
        <v>0.02407407407407407</v>
      </c>
      <c r="I1244" s="45" t="n">
        <v>321853</v>
      </c>
      <c r="J1244" s="45" t="n">
        <v>11475</v>
      </c>
      <c r="K1244" s="45" t="n">
        <v>1347</v>
      </c>
      <c r="L1244" s="46" t="n"/>
      <c r="M1244" s="47" t="n"/>
      <c r="N1244" s="47" t="inlineStr">
        <is>
          <t>UCKZo4N0lVPccBkSiuyVh4yg</t>
        </is>
      </c>
      <c r="O1244" s="48" t="n">
        <v>44565.93263888889</v>
      </c>
      <c r="P1244" s="49" t="n">
        <v>44565</v>
      </c>
      <c r="Q1244" s="47" t="n">
        <v>2024</v>
      </c>
      <c r="R1244" s="47" t="inlineStr">
        <is>
          <t>No Video ID yet</t>
        </is>
      </c>
      <c r="S1244" s="49" t="n"/>
      <c r="T1244" s="49" t="n"/>
      <c r="U1244" s="47" t="inlineStr">
        <is>
          <t>Visit to get Honey for free. Go to to get an extra 3 months FREE! Today J and Ben kick off 2022 by doing their annual resorting ceremony but this year with a twist! This year they will be taking the quiz on each other’s behalf to find out if they know each other better than they know themselves! #SuperCarlinBrothers #HarryPotter #JvsBen</t>
        </is>
      </c>
      <c r="V1244" s="47">
        <f>IF(AND(P1244&gt;=Calendar!$K$2,P1244&lt;EDATE(Calendar!$K$2,1),OR(Calendar!$K$4="*",N1244=Calendar!$K$4)),P1244*100+COUNTIFS($P$6:$P$3267,P1244,$Q$6:$Q$3267,"&lt;="&amp;Q1244,$N$6:$N$3267,Calendar!$K$4),"")</f>
        <v/>
      </c>
      <c r="W1244" s="47">
        <f>IF(AND(B1244=Queue!$C$4,OR(Queue!$K$4="*",N1244=Queue!$K$4)),Q1244,"")</f>
        <v/>
      </c>
    </row>
    <row r="1245">
      <c r="A1245" s="38">
        <f>IF(M1245="","",HYPERLINK("https://www.youtube.com/watch?v="&amp;M1245,"▶"))</f>
        <v/>
      </c>
      <c r="B1245" s="39">
        <f>IF(C1245&lt;&gt;"",C1245,IF(P1245&lt;=IFERROR(INDEX(tblChannels[Watched Through],MATCH(N1245,tblChannels[Channel ID],0)),0),"Watched","Unwatched"))</f>
        <v/>
      </c>
      <c r="C1245" s="40" t="n"/>
      <c r="D1245" s="41" t="n"/>
      <c r="E1245" s="42" t="n">
        <v>44564.69375</v>
      </c>
      <c r="F1245" s="53" t="inlineStr">
        <is>
          <t>Jonathan Carlin</t>
        </is>
      </c>
      <c r="G1245" t="inlineStr">
        <is>
          <t>Baking With Luke</t>
        </is>
      </c>
      <c r="H1245" s="44" t="n">
        <v>0.01243055555555556</v>
      </c>
      <c r="I1245" s="45" t="n">
        <v>15853</v>
      </c>
      <c r="J1245" s="45" t="n">
        <v>1202</v>
      </c>
      <c r="K1245" s="45" t="n">
        <v>137</v>
      </c>
      <c r="L1245" s="46" t="n"/>
      <c r="M1245" s="47" t="n"/>
      <c r="N1245" s="47" t="inlineStr">
        <is>
          <t>UCYPKFe86e6nm4TVUYKLsFUQ</t>
        </is>
      </c>
      <c r="O1245" s="48" t="n">
        <v>44564.90208333333</v>
      </c>
      <c r="P1245" s="49" t="n">
        <v>44564</v>
      </c>
      <c r="Q1245" s="47" t="n">
        <v>2023</v>
      </c>
      <c r="R1245" s="47" t="inlineStr">
        <is>
          <t>No Video ID yet</t>
        </is>
      </c>
      <c r="S1245" s="49" t="n"/>
      <c r="T1245" s="49" t="n"/>
      <c r="U1245" s="47" t="inlineStr">
        <is>
          <t>This week Luke takes to the Kitchen to bake up some scrumptious Banana Bread and some pancakes! J and Beth get boosted, and the boys head to a Children's Museum! Our favorite pancake mix ::</t>
        </is>
      </c>
      <c r="V1245" s="47">
        <f>IF(AND(P1245&gt;=Calendar!$K$2,P1245&lt;EDATE(Calendar!$K$2,1),OR(Calendar!$K$4="*",N1245=Calendar!$K$4)),P1245*100+COUNTIFS($P$6:$P$3267,P1245,$Q$6:$Q$3267,"&lt;="&amp;Q1245,$N$6:$N$3267,Calendar!$K$4),"")</f>
        <v/>
      </c>
      <c r="W1245" s="47">
        <f>IF(AND(B1245=Queue!$C$4,OR(Queue!$K$4="*",N1245=Queue!$K$4)),Q1245,"")</f>
        <v/>
      </c>
    </row>
    <row r="1246">
      <c r="A1246" s="38">
        <f>IF(M1246="","",HYPERLINK("https://www.youtube.com/watch?v="&amp;M1246,"▶"))</f>
        <v/>
      </c>
      <c r="B1246" s="39">
        <f>IF(C1246&lt;&gt;"",C1246,IF(P1246&lt;=IFERROR(INDEX(tblChannels[Watched Through],MATCH(N1246,tblChannels[Channel ID],0)),0),"Watched","Unwatched"))</f>
        <v/>
      </c>
      <c r="C1246" s="40" t="n"/>
      <c r="D1246" s="41" t="n"/>
      <c r="E1246" s="42" t="n">
        <v>44561.55069444444</v>
      </c>
      <c r="F1246" s="54" t="inlineStr">
        <is>
          <t>With the Carlins</t>
        </is>
      </c>
      <c r="G1246" t="inlineStr">
        <is>
          <t>Live Q&amp;A with Ben and Alyce!</t>
        </is>
      </c>
      <c r="H1246" s="44" t="n">
        <v>0.0487962962962963</v>
      </c>
      <c r="I1246" s="45" t="n">
        <v>12880</v>
      </c>
      <c r="J1246" s="45" t="n">
        <v>642</v>
      </c>
      <c r="K1246" s="45" t="n">
        <v>37</v>
      </c>
      <c r="L1246" s="46" t="n"/>
      <c r="M1246" s="47" t="n"/>
      <c r="N1246" s="47" t="inlineStr">
        <is>
          <t>UCVBTjN9WJU5Ac8yU7b2K-5g</t>
        </is>
      </c>
      <c r="O1246" s="48" t="n">
        <v>44561.75902777778</v>
      </c>
      <c r="P1246" s="49" t="n">
        <v>44561</v>
      </c>
      <c r="Q1246" s="47" t="n">
        <v>2022</v>
      </c>
      <c r="R1246" s="47" t="inlineStr">
        <is>
          <t>No Video ID yet</t>
        </is>
      </c>
      <c r="S1246" s="49" t="n"/>
      <c r="T1246" s="49" t="n"/>
      <c r="U1246" s="47" t="inlineStr">
        <is>
          <t>Hi Guys! Since we take the last week of the year off we wanted to go live for a Q&amp;A! Come hang out with us!</t>
        </is>
      </c>
      <c r="V1246" s="47">
        <f>IF(AND(P1246&gt;=Calendar!$K$2,P1246&lt;EDATE(Calendar!$K$2,1),OR(Calendar!$K$4="*",N1246=Calendar!$K$4)),P1246*100+COUNTIFS($P$6:$P$3267,P1246,$Q$6:$Q$3267,"&lt;="&amp;Q1246,$N$6:$N$3267,Calendar!$K$4),"")</f>
        <v/>
      </c>
      <c r="W1246" s="47">
        <f>IF(AND(B1246=Queue!$C$4,OR(Queue!$K$4="*",N1246=Queue!$K$4)),Q1246,"")</f>
        <v/>
      </c>
    </row>
    <row r="1247">
      <c r="A1247" s="38">
        <f>IF(M1247="","",HYPERLINK("https://www.youtube.com/watch?v="&amp;M1247,"▶"))</f>
        <v/>
      </c>
      <c r="B1247" s="39">
        <f>IF(C1247&lt;&gt;"",C1247,IF(P1247&lt;=IFERROR(INDEX(tblChannels[Watched Through],MATCH(N1247,tblChannels[Channel ID],0)),0),"Watched","Unwatched"))</f>
        <v/>
      </c>
      <c r="C1247" s="40" t="n"/>
      <c r="D1247" s="41" t="n"/>
      <c r="E1247" s="42" t="n">
        <v>44561.41666666666</v>
      </c>
      <c r="F1247" s="43" t="inlineStr">
        <is>
          <t>Popcorn Culture</t>
        </is>
      </c>
      <c r="G1247" t="inlineStr">
        <is>
          <t>The Year In Popcorn</t>
        </is>
      </c>
      <c r="H1247" s="44" t="n">
        <v>0.04363425925925926</v>
      </c>
      <c r="I1247" s="45" t="n">
        <v>8859</v>
      </c>
      <c r="J1247" s="45" t="n">
        <v>519</v>
      </c>
      <c r="K1247" s="45" t="n">
        <v>45</v>
      </c>
      <c r="L1247" s="46" t="n"/>
      <c r="M1247" s="47" t="n"/>
      <c r="N1247" s="47" t="inlineStr">
        <is>
          <t>UCHfIbq9thHPC8yrKjAdJgDA</t>
        </is>
      </c>
      <c r="O1247" s="48" t="n">
        <v>44561.625</v>
      </c>
      <c r="P1247" s="49" t="n">
        <v>44561</v>
      </c>
      <c r="Q1247" s="47" t="n">
        <v>2021</v>
      </c>
      <c r="R1247" s="47" t="inlineStr">
        <is>
          <t>No Video ID yet</t>
        </is>
      </c>
      <c r="S1247" s="49" t="n"/>
      <c r="T1247" s="49" t="n"/>
      <c r="U1247" s="47" t="inlineStr">
        <is>
          <t>In the last episode of 2021 we wanted to give you all some highlights from our favorite episodes! Everything from Christmas movies to vampire teeth straws to our worst breakups! Thank you all so much for listening and we’ll see you in the New Year!</t>
        </is>
      </c>
      <c r="V1247" s="47">
        <f>IF(AND(P1247&gt;=Calendar!$K$2,P1247&lt;EDATE(Calendar!$K$2,1),OR(Calendar!$K$4="*",N1247=Calendar!$K$4)),P1247*100+COUNTIFS($P$6:$P$3267,P1247,$Q$6:$Q$3267,"&lt;="&amp;Q1247,$N$6:$N$3267,Calendar!$K$4),"")</f>
        <v/>
      </c>
      <c r="W1247" s="47">
        <f>IF(AND(B1247=Queue!$C$4,OR(Queue!$K$4="*",N1247=Queue!$K$4)),Q1247,"")</f>
        <v/>
      </c>
    </row>
    <row r="1248">
      <c r="A1248" s="38">
        <f>IF(M1248="","",HYPERLINK("https://www.youtube.com/watch?v="&amp;M1248,"▶"))</f>
        <v/>
      </c>
      <c r="B1248" s="39">
        <f>IF(C1248&lt;&gt;"",C1248,IF(P1248&lt;=IFERROR(INDEX(tblChannels[Watched Through],MATCH(N1248,tblChannels[Channel ID],0)),0),"Watched","Unwatched"))</f>
        <v/>
      </c>
      <c r="C1248" s="40" t="n"/>
      <c r="D1248" s="41" t="n"/>
      <c r="E1248" s="42" t="n">
        <v>44557.41666666666</v>
      </c>
      <c r="F1248" s="53" t="inlineStr">
        <is>
          <t>Jonathan Carlin</t>
        </is>
      </c>
      <c r="G1248" t="inlineStr">
        <is>
          <t>The Kids Decorate the Tree!</t>
        </is>
      </c>
      <c r="H1248" s="44" t="n">
        <v>0.01011574074074074</v>
      </c>
      <c r="I1248" s="45" t="n">
        <v>15554</v>
      </c>
      <c r="J1248" s="45" t="n">
        <v>1232</v>
      </c>
      <c r="K1248" s="45" t="n">
        <v>0</v>
      </c>
      <c r="L1248" s="46" t="n"/>
      <c r="M1248" s="47" t="n"/>
      <c r="N1248" s="47" t="inlineStr">
        <is>
          <t>UCYPKFe86e6nm4TVUYKLsFUQ</t>
        </is>
      </c>
      <c r="O1248" s="48" t="n">
        <v>44557.625</v>
      </c>
      <c r="P1248" s="49" t="n">
        <v>44557</v>
      </c>
      <c r="Q1248" s="47" t="n">
        <v>2020</v>
      </c>
      <c r="R1248" s="47" t="inlineStr">
        <is>
          <t>No Video ID yet</t>
        </is>
      </c>
      <c r="S1248" s="49" t="n"/>
      <c r="T1248" s="49" t="n"/>
      <c r="U1248" s="47" t="inlineStr">
        <is>
          <t>This week J and the family decorate the tree, prepare for Christmas, go to the park, do some shopping and set some goals!</t>
        </is>
      </c>
      <c r="V1248" s="47">
        <f>IF(AND(P1248&gt;=Calendar!$K$2,P1248&lt;EDATE(Calendar!$K$2,1),OR(Calendar!$K$4="*",N1248=Calendar!$K$4)),P1248*100+COUNTIFS($P$6:$P$3267,P1248,$Q$6:$Q$3267,"&lt;="&amp;Q1248,$N$6:$N$3267,Calendar!$K$4),"")</f>
        <v/>
      </c>
      <c r="W1248" s="47">
        <f>IF(AND(B1248=Queue!$C$4,OR(Queue!$K$4="*",N1248=Queue!$K$4)),Q1248,"")</f>
        <v/>
      </c>
    </row>
    <row r="1249">
      <c r="A1249" s="38">
        <f>IF(M1249="","",HYPERLINK("https://www.youtube.com/watch?v="&amp;M1249,"▶"))</f>
        <v/>
      </c>
      <c r="B1249" s="39">
        <f>IF(C1249&lt;&gt;"",C1249,IF(P1249&lt;=IFERROR(INDEX(tblChannels[Watched Through],MATCH(N1249,tblChannels[Channel ID],0)),0),"Watched","Unwatched"))</f>
        <v/>
      </c>
      <c r="C1249" s="40" t="n"/>
      <c r="D1249" s="41" t="n"/>
      <c r="E1249" s="42" t="n">
        <v>44555.375</v>
      </c>
      <c r="F1249" s="50" t="inlineStr">
        <is>
          <t>Super Carlin Brothers</t>
        </is>
      </c>
      <c r="G1249" t="inlineStr">
        <is>
          <t>J vs Ben: ULTIMATE Harry Potter Christmas TRIVIA Quiz</t>
        </is>
      </c>
      <c r="H1249" s="44" t="n">
        <v>0.02256944444444444</v>
      </c>
      <c r="I1249" s="45" t="n">
        <v>310081</v>
      </c>
      <c r="J1249" s="45" t="n">
        <v>11842</v>
      </c>
      <c r="K1249" s="45" t="n">
        <v>1464</v>
      </c>
      <c r="L1249" s="46" t="n"/>
      <c r="M1249" s="47" t="n"/>
      <c r="N1249" s="47" t="inlineStr">
        <is>
          <t>UCKZo4N0lVPccBkSiuyVh4yg</t>
        </is>
      </c>
      <c r="O1249" s="48" t="n">
        <v>44555.58333333334</v>
      </c>
      <c r="P1249" s="49" t="n">
        <v>44555</v>
      </c>
      <c r="Q1249" s="47" t="n">
        <v>2019</v>
      </c>
      <c r="R1249" s="47" t="inlineStr">
        <is>
          <t>No Video ID yet</t>
        </is>
      </c>
      <c r="S1249" s="49" t="n"/>
      <c r="T1249" s="49" t="n"/>
      <c r="U1249" s="47" t="inlineStr">
        <is>
          <t>HAPPY CHRISTMAS! Today J and Ben face off once again to find out who knows more about what happens on Christmas in Harry Potter and are joined by a special guest host: THEIR DAD! Listen to SCB as a Podcast ::</t>
        </is>
      </c>
      <c r="V1249" s="47">
        <f>IF(AND(P1249&gt;=Calendar!$K$2,P1249&lt;EDATE(Calendar!$K$2,1),OR(Calendar!$K$4="*",N1249=Calendar!$K$4)),P1249*100+COUNTIFS($P$6:$P$3267,P1249,$Q$6:$Q$3267,"&lt;="&amp;Q1249,$N$6:$N$3267,Calendar!$K$4),"")</f>
        <v/>
      </c>
      <c r="W1249" s="47">
        <f>IF(AND(B1249=Queue!$C$4,OR(Queue!$K$4="*",N1249=Queue!$K$4)),Q1249,"")</f>
        <v/>
      </c>
    </row>
    <row r="1250">
      <c r="A1250" s="38">
        <f>IF(M1250="","",HYPERLINK("https://www.youtube.com/watch?v="&amp;M1250,"▶"))</f>
        <v/>
      </c>
      <c r="B1250" s="39">
        <f>IF(C1250&lt;&gt;"",C1250,IF(P1250&lt;=IFERROR(INDEX(tblChannels[Watched Through],MATCH(N1250,tblChannels[Channel ID],0)),0),"Watched","Unwatched"))</f>
        <v/>
      </c>
      <c r="C1250" s="40" t="n"/>
      <c r="D1250" s="41" t="n"/>
      <c r="E1250" s="42" t="n">
        <v>44554.5</v>
      </c>
      <c r="F1250" s="54" t="inlineStr">
        <is>
          <t>With the Carlins</t>
        </is>
      </c>
      <c r="G1250" t="inlineStr">
        <is>
          <t>Death by Push-Ups (and other stuff too!)</t>
        </is>
      </c>
      <c r="H1250" s="44" t="n">
        <v>0.01461805555555556</v>
      </c>
      <c r="I1250" s="45" t="n">
        <v>15486</v>
      </c>
      <c r="J1250" s="45" t="n">
        <v>1208</v>
      </c>
      <c r="K1250" s="45" t="n">
        <v>70</v>
      </c>
      <c r="L1250" s="46" t="n"/>
      <c r="M1250" s="47" t="n"/>
      <c r="N1250" s="47" t="inlineStr">
        <is>
          <t>UCVBTjN9WJU5Ac8yU7b2K-5g</t>
        </is>
      </c>
      <c r="O1250" s="48" t="n">
        <v>44554.70833333334</v>
      </c>
      <c r="P1250" s="49" t="n">
        <v>44554</v>
      </c>
      <c r="Q1250" s="47" t="n">
        <v>2018</v>
      </c>
      <c r="R1250" s="47" t="inlineStr">
        <is>
          <t>No Video ID yet</t>
        </is>
      </c>
      <c r="S1250" s="49" t="n"/>
      <c r="T1250" s="49" t="n"/>
      <c r="U1250" s="47" t="inlineStr">
        <is>
          <t>This week we build a rather libatious advent calendar, do some push-ups, Spider-Man SUIT UP for the No Way Home Premiere, do some more push-ups, wrap some gifts, and explore downtown! (and maybe a few more push-ups). Follow Us! :: I N S T A G R A M➜ and Ben Carlin #SuperCarlinBrothers #CarlinFamily #FamilyVlog</t>
        </is>
      </c>
      <c r="V1250" s="47">
        <f>IF(AND(P1250&gt;=Calendar!$K$2,P1250&lt;EDATE(Calendar!$K$2,1),OR(Calendar!$K$4="*",N1250=Calendar!$K$4)),P1250*100+COUNTIFS($P$6:$P$3267,P1250,$Q$6:$Q$3267,"&lt;="&amp;Q1250,$N$6:$N$3267,Calendar!$K$4),"")</f>
        <v/>
      </c>
      <c r="W1250" s="47">
        <f>IF(AND(B1250=Queue!$C$4,OR(Queue!$K$4="*",N1250=Queue!$K$4)),Q1250,"")</f>
        <v/>
      </c>
    </row>
    <row r="1251">
      <c r="A1251" s="38">
        <f>IF(M1251="","",HYPERLINK("https://www.youtube.com/watch?v="&amp;M1251,"▶"))</f>
        <v/>
      </c>
      <c r="B1251" s="39">
        <f>IF(C1251&lt;&gt;"",C1251,IF(P1251&lt;=IFERROR(INDEX(tblChannels[Watched Through],MATCH(N1251,tblChannels[Channel ID],0)),0),"Watched","Unwatched"))</f>
        <v/>
      </c>
      <c r="C1251" s="40" t="n"/>
      <c r="D1251" s="41" t="n"/>
      <c r="E1251" s="42" t="n">
        <v>44554.41666666666</v>
      </c>
      <c r="F1251" s="43" t="inlineStr">
        <is>
          <t>Popcorn Culture</t>
        </is>
      </c>
      <c r="G1251" t="inlineStr">
        <is>
          <t>Can I Tell You What I Love About Cheetahs (A Christmas Special)</t>
        </is>
      </c>
      <c r="H1251" s="44" t="n">
        <v>0.05586805555555555</v>
      </c>
      <c r="I1251" s="45" t="n">
        <v>10704</v>
      </c>
      <c r="J1251" s="45" t="n">
        <v>506</v>
      </c>
      <c r="K1251" s="45" t="n">
        <v>204</v>
      </c>
      <c r="L1251" s="46" t="n"/>
      <c r="M1251" s="47" t="n"/>
      <c r="N1251" s="47" t="inlineStr">
        <is>
          <t>UCHfIbq9thHPC8yrKjAdJgDA</t>
        </is>
      </c>
      <c r="O1251" s="48" t="n">
        <v>44554.625</v>
      </c>
      <c r="P1251" s="49" t="n">
        <v>44554</v>
      </c>
      <c r="Q1251" s="47" t="n">
        <v>2017</v>
      </c>
      <c r="R1251" s="47" t="inlineStr">
        <is>
          <t>No Video ID yet</t>
        </is>
      </c>
      <c r="S1251" s="49" t="n"/>
      <c r="T1251" s="49" t="n"/>
      <c r="U1251" s="47" t="inlineStr">
        <is>
          <t>In the 107th Christmas Episode of the Pop, Ben and J discuss Addison’s first Christmas plans, voting for the Roanoke Magazine, confusing Christmas song lyrics, skepticism, narwhals, unicorns and cheetahs, vegan food, and Christmas morning traditions. Sparkle Glitter Keds: Vote for us for Best Influencer and Best Podcast in Roanoke here!: Rudolph the Red-Nosed Reindeer: Parson Brown: Love Hard “Baby It’s Cold Outside” lyrics: When Did We Start Keeping Dogs for Pets: Signing “Dad” for the First Time Confusing Christmas Song Lyrics Christmas’s New Favorite Punching Bag “Uber” is the Future’s “Parson Brown” Is Skepticism a Healthy Part of the Collective Conscious? The Narwhal Conspiracy The Vegan Food is for Everyone, Right? A Splendid Pair of Socks</t>
        </is>
      </c>
      <c r="V1251" s="47">
        <f>IF(AND(P1251&gt;=Calendar!$K$2,P1251&lt;EDATE(Calendar!$K$2,1),OR(Calendar!$K$4="*",N1251=Calendar!$K$4)),P1251*100+COUNTIFS($P$6:$P$3267,P1251,$Q$6:$Q$3267,"&lt;="&amp;Q1251,$N$6:$N$3267,Calendar!$K$4),"")</f>
        <v/>
      </c>
      <c r="W1251" s="47">
        <f>IF(AND(B1251=Queue!$C$4,OR(Queue!$K$4="*",N1251=Queue!$K$4)),Q1251,"")</f>
        <v/>
      </c>
    </row>
    <row r="1252">
      <c r="A1252" s="38">
        <f>IF(M1252="","",HYPERLINK("https://www.youtube.com/watch?v="&amp;M1252,"▶"))</f>
        <v/>
      </c>
      <c r="B1252" s="39">
        <f>IF(C1252&lt;&gt;"",C1252,IF(P1252&lt;=IFERROR(INDEX(tblChannels[Watched Through],MATCH(N1252,tblChannels[Channel ID],0)),0),"Watched","Unwatched"))</f>
        <v/>
      </c>
      <c r="C1252" s="40" t="n"/>
      <c r="D1252" s="41" t="n"/>
      <c r="E1252" s="42" t="n">
        <v>44553.64861111111</v>
      </c>
      <c r="F1252" s="50" t="inlineStr">
        <is>
          <t>Super Carlin Brothers</t>
        </is>
      </c>
      <c r="G1252" t="inlineStr">
        <is>
          <t>Why They're Called Death Eaters | Harry Potter Theory</t>
        </is>
      </c>
      <c r="H1252" s="44" t="n">
        <v>0.008784722222222222</v>
      </c>
      <c r="I1252" s="45" t="n">
        <v>327795</v>
      </c>
      <c r="J1252" s="45" t="n">
        <v>13608</v>
      </c>
      <c r="K1252" s="45" t="n">
        <v>1439</v>
      </c>
      <c r="L1252" s="46" t="n"/>
      <c r="M1252" s="47" t="n"/>
      <c r="N1252" s="47" t="inlineStr">
        <is>
          <t>UCKZo4N0lVPccBkSiuyVh4yg</t>
        </is>
      </c>
      <c r="O1252" s="48" t="n">
        <v>44553.85694444444</v>
      </c>
      <c r="P1252" s="49" t="n">
        <v>44553</v>
      </c>
      <c r="Q1252" s="47" t="n">
        <v>2016</v>
      </c>
      <c r="R1252" s="47" t="inlineStr">
        <is>
          <t>No Video ID yet</t>
        </is>
      </c>
      <c r="S1252" s="49" t="n"/>
      <c r="T1252" s="49" t="n"/>
      <c r="U1252" s="47" t="inlineStr">
        <is>
          <t>Today Ben dives into the Wizarding World of Harry Potter to revisit an old question and add some additional context to WHY Voldemorts followers are called Death Eaters! Check out Kirby.Alice’s TikTok :: More reading about the Yew &amp; Holly Trees ::</t>
        </is>
      </c>
      <c r="V1252" s="47">
        <f>IF(AND(P1252&gt;=Calendar!$K$2,P1252&lt;EDATE(Calendar!$K$2,1),OR(Calendar!$K$4="*",N1252=Calendar!$K$4)),P1252*100+COUNTIFS($P$6:$P$3267,P1252,$Q$6:$Q$3267,"&lt;="&amp;Q1252,$N$6:$N$3267,Calendar!$K$4),"")</f>
        <v/>
      </c>
      <c r="W1252" s="47">
        <f>IF(AND(B1252=Queue!$C$4,OR(Queue!$K$4="*",N1252=Queue!$K$4)),Q1252,"")</f>
        <v/>
      </c>
    </row>
    <row r="1253">
      <c r="A1253" s="38">
        <f>IF(M1253="","",HYPERLINK("https://www.youtube.com/watch?v="&amp;M1253,"▶"))</f>
        <v/>
      </c>
      <c r="B1253" s="39">
        <f>IF(C1253&lt;&gt;"",C1253,IF(P1253&lt;=IFERROR(INDEX(tblChannels[Watched Through],MATCH(N1253,tblChannels[Channel ID],0)),0),"Watched","Unwatched"))</f>
        <v/>
      </c>
      <c r="C1253" s="40" t="n"/>
      <c r="D1253" s="41" t="n"/>
      <c r="E1253" s="42" t="n">
        <v>44551.68125</v>
      </c>
      <c r="F1253" s="50" t="inlineStr">
        <is>
          <t>Super Carlin Brothers</t>
        </is>
      </c>
      <c r="G1253" t="inlineStr">
        <is>
          <t>Why Spider-Man No Way Home is our New FAVORITE Marvel Movie | REVIEW [J vs Ben]</t>
        </is>
      </c>
      <c r="H1253" s="44" t="n">
        <v>0.03430555555555555</v>
      </c>
      <c r="I1253" s="45" t="n">
        <v>342256</v>
      </c>
      <c r="J1253" s="45" t="n">
        <v>11141</v>
      </c>
      <c r="K1253" s="45" t="n">
        <v>1825</v>
      </c>
      <c r="L1253" s="46" t="n"/>
      <c r="M1253" s="47" t="n"/>
      <c r="N1253" s="47" t="inlineStr">
        <is>
          <t>UCKZo4N0lVPccBkSiuyVh4yg</t>
        </is>
      </c>
      <c r="O1253" s="48" t="n">
        <v>44551.88958333333</v>
      </c>
      <c r="P1253" s="49" t="n">
        <v>44551</v>
      </c>
      <c r="Q1253" s="47" t="n">
        <v>2015</v>
      </c>
      <c r="R1253" s="47" t="inlineStr">
        <is>
          <t>No Video ID yet</t>
        </is>
      </c>
      <c r="S1253" s="49" t="n"/>
      <c r="T1253" s="49" t="n"/>
      <c r="U1253" s="47" t="inlineStr">
        <is>
          <t>Get 25% off and zero delivery fees on their first order of $15 or more, when you download the DoorDash app and enter code JVSB2021 Go to and enter code SUPER at checkout to get 20% off your first box! Today J and Ben give their full SPOILER Review of Spider-Man No Way Home and try and determine if is in fact the greatest Marvel movie ever made! #SuperCarlinBrothers #SpiderManNoWayHome #Marvel</t>
        </is>
      </c>
      <c r="V1253" s="47">
        <f>IF(AND(P1253&gt;=Calendar!$K$2,P1253&lt;EDATE(Calendar!$K$2,1),OR(Calendar!$K$4="*",N1253=Calendar!$K$4)),P1253*100+COUNTIFS($P$6:$P$3267,P1253,$Q$6:$Q$3267,"&lt;="&amp;Q1253,$N$6:$N$3267,Calendar!$K$4),"")</f>
        <v/>
      </c>
      <c r="W1253" s="47">
        <f>IF(AND(B1253=Queue!$C$4,OR(Queue!$K$4="*",N1253=Queue!$K$4)),Q1253,"")</f>
        <v/>
      </c>
    </row>
    <row r="1254">
      <c r="A1254" s="38">
        <f>IF(M1254="","",HYPERLINK("https://www.youtube.com/watch?v="&amp;M1254,"▶"))</f>
        <v/>
      </c>
      <c r="B1254" s="39">
        <f>IF(C1254&lt;&gt;"",C1254,IF(P1254&lt;=IFERROR(INDEX(tblChannels[Watched Through],MATCH(N1254,tblChannels[Channel ID],0)),0),"Watched","Unwatched"))</f>
        <v/>
      </c>
      <c r="C1254" s="40" t="n"/>
      <c r="D1254" s="41" t="n"/>
      <c r="E1254" s="42" t="n">
        <v>44550.41666666666</v>
      </c>
      <c r="F1254" s="53" t="inlineStr">
        <is>
          <t>Jonathan Carlin</t>
        </is>
      </c>
      <c r="G1254" t="inlineStr">
        <is>
          <t>Home Alone - Beths Lost in New York</t>
        </is>
      </c>
      <c r="H1254" s="44" t="n">
        <v>0.01605324074074074</v>
      </c>
      <c r="I1254" s="45" t="n">
        <v>22423</v>
      </c>
      <c r="J1254" s="45" t="n">
        <v>1524</v>
      </c>
      <c r="K1254" s="45" t="n">
        <v>145</v>
      </c>
      <c r="L1254" s="46" t="n"/>
      <c r="M1254" s="47" t="n"/>
      <c r="N1254" s="47" t="inlineStr">
        <is>
          <t>UCYPKFe86e6nm4TVUYKLsFUQ</t>
        </is>
      </c>
      <c r="O1254" s="48" t="n">
        <v>44550.625</v>
      </c>
      <c r="P1254" s="49" t="n">
        <v>44550</v>
      </c>
      <c r="Q1254" s="47" t="n">
        <v>2014</v>
      </c>
      <c r="R1254" s="47" t="inlineStr">
        <is>
          <t>No Video ID yet</t>
        </is>
      </c>
      <c r="S1254" s="49" t="n"/>
      <c r="T1254" s="49" t="n"/>
      <c r="U1254" s="47" t="inlineStr">
        <is>
          <t>This week J is Home Alone with the kids for a few days while Beth takes a trip to NYC! We also begin our Christmas celebrations with a Roanoke Classic: Dicken’s of a Christmas and trek out to find our own family Christmas tree!</t>
        </is>
      </c>
      <c r="V1254" s="47">
        <f>IF(AND(P1254&gt;=Calendar!$K$2,P1254&lt;EDATE(Calendar!$K$2,1),OR(Calendar!$K$4="*",N1254=Calendar!$K$4)),P1254*100+COUNTIFS($P$6:$P$3267,P1254,$Q$6:$Q$3267,"&lt;="&amp;Q1254,$N$6:$N$3267,Calendar!$K$4),"")</f>
        <v/>
      </c>
      <c r="W1254" s="47">
        <f>IF(AND(B1254=Queue!$C$4,OR(Queue!$K$4="*",N1254=Queue!$K$4)),Q1254,"")</f>
        <v/>
      </c>
    </row>
    <row r="1255">
      <c r="A1255" s="38">
        <f>IF(M1255="","",HYPERLINK("https://www.youtube.com/watch?v="&amp;M1255,"▶"))</f>
        <v/>
      </c>
      <c r="B1255" s="39">
        <f>IF(C1255&lt;&gt;"",C1255,IF(P1255&lt;=IFERROR(INDEX(tblChannels[Watched Through],MATCH(N1255,tblChannels[Channel ID],0)),0),"Watched","Unwatched"))</f>
        <v/>
      </c>
      <c r="C1255" s="40" t="n"/>
      <c r="D1255" s="41" t="n"/>
      <c r="E1255" s="42" t="n">
        <v>44547.5</v>
      </c>
      <c r="F1255" s="54" t="inlineStr">
        <is>
          <t>With the Carlins</t>
        </is>
      </c>
      <c r="G1255" t="inlineStr">
        <is>
          <t>The Great Office OVERHAUL(ish)</t>
        </is>
      </c>
      <c r="H1255" s="44" t="n">
        <v>0.01853009259259259</v>
      </c>
      <c r="I1255" s="45" t="n">
        <v>20343</v>
      </c>
      <c r="J1255" s="45" t="n">
        <v>1541</v>
      </c>
      <c r="K1255" s="45" t="n">
        <v>115</v>
      </c>
      <c r="L1255" s="46" t="n"/>
      <c r="M1255" s="47" t="n"/>
      <c r="N1255" s="47" t="inlineStr">
        <is>
          <t>UCVBTjN9WJU5Ac8yU7b2K-5g</t>
        </is>
      </c>
      <c r="O1255" s="48" t="n">
        <v>44547.70833333334</v>
      </c>
      <c r="P1255" s="49" t="n">
        <v>44547</v>
      </c>
      <c r="Q1255" s="47" t="n">
        <v>2013</v>
      </c>
      <c r="R1255" s="47" t="inlineStr">
        <is>
          <t>No Video ID yet</t>
        </is>
      </c>
      <c r="S1255" s="49" t="n"/>
      <c r="T1255" s="49" t="n"/>
      <c r="U1255" s="47" t="inlineStr">
        <is>
          <t>This week we go to dinner with some friends, finish a home project, start a home project, and reflect on how parenting is so, so worth it! In case you're at all interested: Desk: Chair: Follow Us! :: I N S T A G R A M➜ and Ben Carlin #SuperCarlinBrothers #CarlinFamily #FamilyVlog</t>
        </is>
      </c>
      <c r="V1255" s="47">
        <f>IF(AND(P1255&gt;=Calendar!$K$2,P1255&lt;EDATE(Calendar!$K$2,1),OR(Calendar!$K$4="*",N1255=Calendar!$K$4)),P1255*100+COUNTIFS($P$6:$P$3267,P1255,$Q$6:$Q$3267,"&lt;="&amp;Q1255,$N$6:$N$3267,Calendar!$K$4),"")</f>
        <v/>
      </c>
      <c r="W1255" s="47">
        <f>IF(AND(B1255=Queue!$C$4,OR(Queue!$K$4="*",N1255=Queue!$K$4)),Q1255,"")</f>
        <v/>
      </c>
    </row>
    <row r="1256">
      <c r="A1256" s="38">
        <f>IF(M1256="","",HYPERLINK("https://www.youtube.com/watch?v="&amp;M1256,"▶"))</f>
        <v/>
      </c>
      <c r="B1256" s="39">
        <f>IF(C1256&lt;&gt;"",C1256,IF(P1256&lt;=IFERROR(INDEX(tblChannels[Watched Through],MATCH(N1256,tblChannels[Channel ID],0)),0),"Watched","Unwatched"))</f>
        <v/>
      </c>
      <c r="C1256" s="40" t="n"/>
      <c r="D1256" s="41" t="n"/>
      <c r="E1256" s="42" t="n">
        <v>44547.41666666666</v>
      </c>
      <c r="F1256" s="43" t="inlineStr">
        <is>
          <t>Popcorn Culture</t>
        </is>
      </c>
      <c r="G1256" t="inlineStr">
        <is>
          <t>15 Page Long Banner of a Hot Dog | Popcorn Culture</t>
        </is>
      </c>
      <c r="H1256" s="44" t="n">
        <v>0.04542824074074074</v>
      </c>
      <c r="I1256" s="45" t="n">
        <v>8434</v>
      </c>
      <c r="J1256" s="45" t="n">
        <v>515</v>
      </c>
      <c r="K1256" s="45" t="n">
        <v>50</v>
      </c>
      <c r="L1256" s="46" t="n"/>
      <c r="M1256" s="47" t="n"/>
      <c r="N1256" s="47" t="inlineStr">
        <is>
          <t>UCHfIbq9thHPC8yrKjAdJgDA</t>
        </is>
      </c>
      <c r="O1256" s="48" t="n">
        <v>44547.625</v>
      </c>
      <c r="P1256" s="49" t="n">
        <v>44547</v>
      </c>
      <c r="Q1256" s="47" t="n">
        <v>2012</v>
      </c>
      <c r="R1256" s="47" t="inlineStr">
        <is>
          <t>No Video ID yet</t>
        </is>
      </c>
      <c r="S1256" s="49" t="n"/>
      <c r="T1256" s="49" t="n"/>
      <c r="U1256" s="47" t="inlineStr">
        <is>
          <t>In the 106th episode of the pop, Ben and J discuss utility problems, printer updates, the wide variety of baby products, THE dress, the breastfeeding conundrum, picking hold music, search engine optimization, and happiness related to security. Magnetic Onesie Online Store - Blue or Gold Dress - “Dude Where’s My Car” Tattoo Scene - Pop Flag Survey: The Time Ben Bought 300,000 Gallons of Water Not All Babies Are the Same NO SNAP ONESIES Is Happiness Related to Security? Cavemen vs. Insurance Salesmen</t>
        </is>
      </c>
      <c r="V1256" s="47">
        <f>IF(AND(P1256&gt;=Calendar!$K$2,P1256&lt;EDATE(Calendar!$K$2,1),OR(Calendar!$K$4="*",N1256=Calendar!$K$4)),P1256*100+COUNTIFS($P$6:$P$3267,P1256,$Q$6:$Q$3267,"&lt;="&amp;Q1256,$N$6:$N$3267,Calendar!$K$4),"")</f>
        <v/>
      </c>
      <c r="W1256" s="47">
        <f>IF(AND(B1256=Queue!$C$4,OR(Queue!$K$4="*",N1256=Queue!$K$4)),Q1256,"")</f>
        <v/>
      </c>
    </row>
    <row r="1257">
      <c r="A1257" s="38">
        <f>IF(M1257="","",HYPERLINK("https://www.youtube.com/watch?v="&amp;M1257,"▶"))</f>
        <v/>
      </c>
      <c r="B1257" s="39">
        <f>IF(C1257&lt;&gt;"",C1257,IF(P1257&lt;=IFERROR(INDEX(tblChannels[Watched Through],MATCH(N1257,tblChannels[Channel ID],0)),0),"Watched","Unwatched"))</f>
        <v/>
      </c>
      <c r="C1257" s="40" t="n"/>
      <c r="D1257" s="41" t="n"/>
      <c r="E1257" s="42" t="n">
        <v>44546.62638888889</v>
      </c>
      <c r="F1257" s="50" t="inlineStr">
        <is>
          <t>Super Carlin Brothers</t>
        </is>
      </c>
      <c r="G1257" t="inlineStr">
        <is>
          <t>Dumbledore's Big Plan: Fantastic Beasts [Harry Potter Theory]</t>
        </is>
      </c>
      <c r="H1257" s="44" t="n">
        <v>0.01207175925925926</v>
      </c>
      <c r="I1257" s="45" t="n">
        <v>359146</v>
      </c>
      <c r="J1257" s="45" t="n">
        <v>12970</v>
      </c>
      <c r="K1257" s="45" t="n">
        <v>1115</v>
      </c>
      <c r="L1257" s="46" t="n"/>
      <c r="M1257" s="47" t="n"/>
      <c r="N1257" s="47" t="inlineStr">
        <is>
          <t>UCKZo4N0lVPccBkSiuyVh4yg</t>
        </is>
      </c>
      <c r="O1257" s="48" t="n">
        <v>44546.83472222222</v>
      </c>
      <c r="P1257" s="49" t="n">
        <v>44546</v>
      </c>
      <c r="Q1257" s="47" t="n">
        <v>2011</v>
      </c>
      <c r="R1257" s="47" t="inlineStr">
        <is>
          <t>No Video ID yet</t>
        </is>
      </c>
      <c r="S1257" s="49" t="n"/>
      <c r="T1257" s="49" t="n"/>
      <c r="U1257" s="47" t="inlineStr">
        <is>
          <t>Go to and use promo code ‘SUPERCARLIN’ to claim your special offer today! Today Ben dives back into the Wizarding World of Harry Potter to analyze the wild mind of Albus Dumbledore and all the various ways he's secretly pulling the strings in Fantastic Beasts and Where to Find Them.</t>
        </is>
      </c>
      <c r="V1257" s="47">
        <f>IF(AND(P1257&gt;=Calendar!$K$2,P1257&lt;EDATE(Calendar!$K$2,1),OR(Calendar!$K$4="*",N1257=Calendar!$K$4)),P1257*100+COUNTIFS($P$6:$P$3267,P1257,$Q$6:$Q$3267,"&lt;="&amp;Q1257,$N$6:$N$3267,Calendar!$K$4),"")</f>
        <v/>
      </c>
      <c r="W1257" s="47">
        <f>IF(AND(B1257=Queue!$C$4,OR(Queue!$K$4="*",N1257=Queue!$K$4)),Q1257,"")</f>
        <v/>
      </c>
    </row>
    <row r="1258">
      <c r="A1258" s="38">
        <f>IF(M1258="","",HYPERLINK("https://www.youtube.com/watch?v="&amp;M1258,"▶"))</f>
        <v/>
      </c>
      <c r="B1258" s="39">
        <f>IF(C1258&lt;&gt;"",C1258,IF(P1258&lt;=IFERROR(INDEX(tblChannels[Watched Through],MATCH(N1258,tblChannels[Channel ID],0)),0),"Watched","Unwatched"))</f>
        <v/>
      </c>
      <c r="C1258" s="40" t="n"/>
      <c r="D1258" s="41" t="n"/>
      <c r="E1258" s="42" t="n">
        <v>44544.81805555556</v>
      </c>
      <c r="F1258" s="50" t="inlineStr">
        <is>
          <t>Super Carlin Brothers</t>
        </is>
      </c>
      <c r="G1258" t="inlineStr">
        <is>
          <t>Tobey WAS Uncle Ben in the MCU | Spider-Man Theory</t>
        </is>
      </c>
      <c r="H1258" s="44" t="n">
        <v>0.0007060185185185185</v>
      </c>
      <c r="I1258" s="45" t="n">
        <v>83250</v>
      </c>
      <c r="J1258" s="45" t="n">
        <v>4201</v>
      </c>
      <c r="K1258" s="45" t="n">
        <v>283</v>
      </c>
      <c r="L1258" s="46" t="n"/>
      <c r="M1258" s="47" t="n"/>
      <c r="N1258" s="47" t="inlineStr">
        <is>
          <t>UCKZo4N0lVPccBkSiuyVh4yg</t>
        </is>
      </c>
      <c r="O1258" s="48" t="n">
        <v>44545.02638888889</v>
      </c>
      <c r="P1258" s="49" t="n">
        <v>44544</v>
      </c>
      <c r="Q1258" s="47" t="n">
        <v>2010</v>
      </c>
      <c r="R1258" s="47" t="inlineStr">
        <is>
          <t>No Video ID yet</t>
        </is>
      </c>
      <c r="S1258" s="49" t="n"/>
      <c r="T1258" s="49" t="n"/>
      <c r="U1258" s="47" t="inlineStr">
        <is>
          <t>What if.. Uncle Ben in the MCU looked exactly like Peter Parker from anoyher universe..?</t>
        </is>
      </c>
      <c r="V1258" s="47">
        <f>IF(AND(P1258&gt;=Calendar!$K$2,P1258&lt;EDATE(Calendar!$K$2,1),OR(Calendar!$K$4="*",N1258=Calendar!$K$4)),P1258*100+COUNTIFS($P$6:$P$3267,P1258,$Q$6:$Q$3267,"&lt;="&amp;Q1258,$N$6:$N$3267,Calendar!$K$4),"")</f>
        <v/>
      </c>
      <c r="W1258" s="47">
        <f>IF(AND(B1258=Queue!$C$4,OR(Queue!$K$4="*",N1258=Queue!$K$4)),Q1258,"")</f>
        <v/>
      </c>
    </row>
    <row r="1259">
      <c r="A1259" s="38">
        <f>IF(M1259="","",HYPERLINK("https://www.youtube.com/watch?v="&amp;M1259,"▶"))</f>
        <v/>
      </c>
      <c r="B1259" s="39">
        <f>IF(C1259&lt;&gt;"",C1259,IF(P1259&lt;=IFERROR(INDEX(tblChannels[Watched Through],MATCH(N1259,tblChannels[Channel ID],0)),0),"Watched","Unwatched"))</f>
        <v/>
      </c>
      <c r="C1259" s="40" t="n"/>
      <c r="D1259" s="41" t="n"/>
      <c r="E1259" s="42" t="n">
        <v>44544.80555555555</v>
      </c>
      <c r="F1259" s="50" t="inlineStr">
        <is>
          <t>Super Carlin Brothers</t>
        </is>
      </c>
      <c r="G1259" t="inlineStr">
        <is>
          <t>Secrets of Dumbledore Trailer Breakdown | Harry Potter Theory</t>
        </is>
      </c>
      <c r="H1259" s="44" t="n">
        <v>0.01287037037037037</v>
      </c>
      <c r="I1259" s="45" t="n">
        <v>445596</v>
      </c>
      <c r="J1259" s="45" t="n">
        <v>17457</v>
      </c>
      <c r="K1259" s="45" t="n">
        <v>2194</v>
      </c>
      <c r="L1259" s="46" t="n"/>
      <c r="M1259" s="47" t="n"/>
      <c r="N1259" s="47" t="inlineStr">
        <is>
          <t>UCKZo4N0lVPccBkSiuyVh4yg</t>
        </is>
      </c>
      <c r="O1259" s="48" t="n">
        <v>44545.01388888889</v>
      </c>
      <c r="P1259" s="49" t="n">
        <v>44544</v>
      </c>
      <c r="Q1259" s="47" t="n">
        <v>2009</v>
      </c>
      <c r="R1259" s="47" t="inlineStr">
        <is>
          <t>No Video ID yet</t>
        </is>
      </c>
      <c r="S1259" s="49" t="n"/>
      <c r="T1259" s="49" t="n"/>
      <c r="U1259" s="47" t="inlineStr">
        <is>
          <t>​​Head on over to and take care of yourself. Today J dives into the Wizarding World of Harry Potter to breakdown the latest Fantastic Beasts: Secrets of Dumbledore trailer! Where is Tina? What memory was Grindelwald taking from Yusef? What are those odd crab creatures?! Check out the full trailer :: #SuperCarlinBrothers #HarryPotter #SecretsOfDumbledore</t>
        </is>
      </c>
      <c r="V1259" s="47">
        <f>IF(AND(P1259&gt;=Calendar!$K$2,P1259&lt;EDATE(Calendar!$K$2,1),OR(Calendar!$K$4="*",N1259=Calendar!$K$4)),P1259*100+COUNTIFS($P$6:$P$3267,P1259,$Q$6:$Q$3267,"&lt;="&amp;Q1259,$N$6:$N$3267,Calendar!$K$4),"")</f>
        <v/>
      </c>
      <c r="W1259" s="47">
        <f>IF(AND(B1259=Queue!$C$4,OR(Queue!$K$4="*",N1259=Queue!$K$4)),Q1259,"")</f>
        <v/>
      </c>
    </row>
    <row r="1260">
      <c r="A1260" s="38">
        <f>IF(M1260="","",HYPERLINK("https://www.youtube.com/watch?v="&amp;M1260,"▶"))</f>
        <v/>
      </c>
      <c r="B1260" s="39">
        <f>IF(C1260&lt;&gt;"",C1260,IF(P1260&lt;=IFERROR(INDEX(tblChannels[Watched Through],MATCH(N1260,tblChannels[Channel ID],0)),0),"Watched","Unwatched"))</f>
        <v/>
      </c>
      <c r="C1260" s="40" t="n"/>
      <c r="D1260" s="41" t="n"/>
      <c r="E1260" s="42" t="n">
        <v>44543.41666666666</v>
      </c>
      <c r="F1260" s="53" t="inlineStr">
        <is>
          <t>Jonathan Carlin</t>
        </is>
      </c>
      <c r="G1260" t="inlineStr">
        <is>
          <t>LUKE TURNS FOUR!</t>
        </is>
      </c>
      <c r="H1260" s="44" t="n">
        <v>0.01633101851851852</v>
      </c>
      <c r="I1260" s="45" t="n">
        <v>21315</v>
      </c>
      <c r="J1260" s="45" t="n">
        <v>1593</v>
      </c>
      <c r="K1260" s="45" t="n">
        <v>177</v>
      </c>
      <c r="L1260" s="46" t="n"/>
      <c r="M1260" s="47" t="n"/>
      <c r="N1260" s="47" t="inlineStr">
        <is>
          <t>UCYPKFe86e6nm4TVUYKLsFUQ</t>
        </is>
      </c>
      <c r="O1260" s="48" t="n">
        <v>44543.625</v>
      </c>
      <c r="P1260" s="49" t="n">
        <v>44543</v>
      </c>
      <c r="Q1260" s="47" t="n">
        <v>2008</v>
      </c>
      <c r="R1260" s="47" t="inlineStr">
        <is>
          <t>No Video ID yet</t>
        </is>
      </c>
      <c r="S1260" s="49" t="n"/>
      <c r="T1260" s="49" t="n"/>
      <c r="U1260" s="47" t="inlineStr">
        <is>
          <t>This week J and the family celebrate Thanksgiving, run a 5k, celebrate Luke’s 4th birthday. Also J struggles to build the Paw Patrol Tower. Paw Patrol Tower :: Dinosaur Eggs :: Fire Truck Puzzle :: Pokemon Chess Set ::</t>
        </is>
      </c>
      <c r="V1260" s="47">
        <f>IF(AND(P1260&gt;=Calendar!$K$2,P1260&lt;EDATE(Calendar!$K$2,1),OR(Calendar!$K$4="*",N1260=Calendar!$K$4)),P1260*100+COUNTIFS($P$6:$P$3267,P1260,$Q$6:$Q$3267,"&lt;="&amp;Q1260,$N$6:$N$3267,Calendar!$K$4),"")</f>
        <v/>
      </c>
      <c r="W1260" s="47">
        <f>IF(AND(B1260=Queue!$C$4,OR(Queue!$K$4="*",N1260=Queue!$K$4)),Q1260,"")</f>
        <v/>
      </c>
    </row>
    <row r="1261">
      <c r="A1261" s="38">
        <f>IF(M1261="","",HYPERLINK("https://www.youtube.com/watch?v="&amp;M1261,"▶"))</f>
        <v/>
      </c>
      <c r="B1261" s="39">
        <f>IF(C1261&lt;&gt;"",C1261,IF(P1261&lt;=IFERROR(INDEX(tblChannels[Watched Through],MATCH(N1261,tblChannels[Channel ID],0)),0),"Watched","Unwatched"))</f>
        <v/>
      </c>
      <c r="C1261" s="40" t="n"/>
      <c r="D1261" s="41" t="n"/>
      <c r="E1261" s="42" t="n">
        <v>44540.71944444445</v>
      </c>
      <c r="F1261" s="50" t="inlineStr">
        <is>
          <t>Super Carlin Brothers</t>
        </is>
      </c>
      <c r="G1261" t="inlineStr">
        <is>
          <t>Ranking EVERY Harry Potter Movie</t>
        </is>
      </c>
      <c r="H1261" s="44" t="n">
        <v>0.04184027777777777</v>
      </c>
      <c r="I1261" s="45" t="n">
        <v>940524</v>
      </c>
      <c r="J1261" s="45" t="n">
        <v>18753</v>
      </c>
      <c r="K1261" s="45" t="n">
        <v>3054</v>
      </c>
      <c r="L1261" s="46" t="n"/>
      <c r="M1261" s="47" t="n"/>
      <c r="N1261" s="47" t="inlineStr">
        <is>
          <t>UCKZo4N0lVPccBkSiuyVh4yg</t>
        </is>
      </c>
      <c r="O1261" s="48" t="n">
        <v>44540.92777777778</v>
      </c>
      <c r="P1261" s="49" t="n">
        <v>44540</v>
      </c>
      <c r="Q1261" s="47" t="n">
        <v>2007</v>
      </c>
      <c r="R1261" s="47" t="inlineStr">
        <is>
          <t>No Video ID yet</t>
        </is>
      </c>
      <c r="S1261" s="49" t="n"/>
      <c r="T1261" s="49" t="n"/>
      <c r="U1261" s="47" t="inlineStr">
        <is>
          <t>Be sure to check out the Secretlab Harry Potter Chair by going to: bit.ly/SecretlabSCB Go to and use code scb14 for up to 14 free meals AND 3 free gifts! Today J and Ben sit down (in some very comfy chairs) to rank EVERY Harry Potter movie from Sorcerer’s Stone to Fantastic Beasts The Crimes of Grindelwald Make your own tier list ::</t>
        </is>
      </c>
      <c r="V1261" s="47">
        <f>IF(AND(P1261&gt;=Calendar!$K$2,P1261&lt;EDATE(Calendar!$K$2,1),OR(Calendar!$K$4="*",N1261=Calendar!$K$4)),P1261*100+COUNTIFS($P$6:$P$3267,P1261,$Q$6:$Q$3267,"&lt;="&amp;Q1261,$N$6:$N$3267,Calendar!$K$4),"")</f>
        <v/>
      </c>
      <c r="W1261" s="47">
        <f>IF(AND(B1261=Queue!$C$4,OR(Queue!$K$4="*",N1261=Queue!$K$4)),Q1261,"")</f>
        <v/>
      </c>
    </row>
    <row r="1262">
      <c r="A1262" s="38">
        <f>IF(M1262="","",HYPERLINK("https://www.youtube.com/watch?v="&amp;M1262,"▶"))</f>
        <v/>
      </c>
      <c r="B1262" s="39">
        <f>IF(C1262&lt;&gt;"",C1262,IF(P1262&lt;=IFERROR(INDEX(tblChannels[Watched Through],MATCH(N1262,tblChannels[Channel ID],0)),0),"Watched","Unwatched"))</f>
        <v/>
      </c>
      <c r="C1262" s="40" t="n"/>
      <c r="D1262" s="41" t="n"/>
      <c r="E1262" s="42" t="n">
        <v>44540.5</v>
      </c>
      <c r="F1262" s="54" t="inlineStr">
        <is>
          <t>With the Carlins</t>
        </is>
      </c>
      <c r="G1262" t="inlineStr">
        <is>
          <t>Addison Meets Spider Man!</t>
        </is>
      </c>
      <c r="H1262" s="44" t="n">
        <v>0.01003472222222222</v>
      </c>
      <c r="I1262" s="45" t="n">
        <v>17218</v>
      </c>
      <c r="J1262" s="45" t="n">
        <v>1528</v>
      </c>
      <c r="K1262" s="45" t="n">
        <v>83</v>
      </c>
      <c r="L1262" s="46" t="n"/>
      <c r="M1262" s="47" t="n"/>
      <c r="N1262" s="47" t="inlineStr">
        <is>
          <t>UCVBTjN9WJU5Ac8yU7b2K-5g</t>
        </is>
      </c>
      <c r="O1262" s="48" t="n">
        <v>44540.70833333334</v>
      </c>
      <c r="P1262" s="49" t="n">
        <v>44540</v>
      </c>
      <c r="Q1262" s="47" t="n">
        <v>2006</v>
      </c>
      <c r="R1262" s="47" t="inlineStr">
        <is>
          <t>No Video ID yet</t>
        </is>
      </c>
      <c r="S1262" s="49" t="n"/>
      <c r="T1262" s="49" t="n"/>
      <c r="U1262" s="47" t="inlineStr">
        <is>
          <t>This week we take a long walk through our past, celebrate 1205 day, and Addison gets to meet Spider-Man! Follow Us! :: I N S T A G R A M➜ and Ben Carlin #SuperCarlinBrothers #CarlinFamily #FamilyVlog</t>
        </is>
      </c>
      <c r="V1262" s="47">
        <f>IF(AND(P1262&gt;=Calendar!$K$2,P1262&lt;EDATE(Calendar!$K$2,1),OR(Calendar!$K$4="*",N1262=Calendar!$K$4)),P1262*100+COUNTIFS($P$6:$P$3267,P1262,$Q$6:$Q$3267,"&lt;="&amp;Q1262,$N$6:$N$3267,Calendar!$K$4),"")</f>
        <v/>
      </c>
      <c r="W1262" s="47">
        <f>IF(AND(B1262=Queue!$C$4,OR(Queue!$K$4="*",N1262=Queue!$K$4)),Q1262,"")</f>
        <v/>
      </c>
    </row>
    <row r="1263">
      <c r="A1263" s="38">
        <f>IF(M1263="","",HYPERLINK("https://www.youtube.com/watch?v="&amp;M1263,"▶"))</f>
        <v/>
      </c>
      <c r="B1263" s="39">
        <f>IF(C1263&lt;&gt;"",C1263,IF(P1263&lt;=IFERROR(INDEX(tblChannels[Watched Through],MATCH(N1263,tblChannels[Channel ID],0)),0),"Watched","Unwatched"))</f>
        <v/>
      </c>
      <c r="C1263" s="40" t="n"/>
      <c r="D1263" s="41" t="n"/>
      <c r="E1263" s="42" t="n">
        <v>44540.41666666666</v>
      </c>
      <c r="F1263" s="43" t="inlineStr">
        <is>
          <t>Popcorn Culture</t>
        </is>
      </c>
      <c r="G1263" t="inlineStr">
        <is>
          <t>Is Disney World A Little Kernel?! | Popcorn Culture</t>
        </is>
      </c>
      <c r="H1263" s="44" t="n">
        <v>0.0500462962962963</v>
      </c>
      <c r="I1263" s="45" t="n">
        <v>10324</v>
      </c>
      <c r="J1263" s="45" t="n">
        <v>460</v>
      </c>
      <c r="K1263" s="45" t="n">
        <v>57</v>
      </c>
      <c r="L1263" s="46" t="n"/>
      <c r="M1263" s="47" t="n"/>
      <c r="N1263" s="47" t="inlineStr">
        <is>
          <t>UCHfIbq9thHPC8yrKjAdJgDA</t>
        </is>
      </c>
      <c r="O1263" s="48" t="n">
        <v>44540.625</v>
      </c>
      <c r="P1263" s="49" t="n">
        <v>44540</v>
      </c>
      <c r="Q1263" s="47" t="n">
        <v>2005</v>
      </c>
      <c r="R1263" s="47" t="inlineStr">
        <is>
          <t>No Video ID yet</t>
        </is>
      </c>
      <c r="S1263" s="49" t="n"/>
      <c r="T1263" s="49" t="n"/>
      <c r="U1263" s="47" t="inlineStr">
        <is>
          <t>On the 105th episode of the pop, Ben and J discuss The Duckorn, pizza places, satisficers vs. maximizers, movie theater experiences, ideal vacations, sand art, laser tag/arcades, the new Disney cookie, and the Berenstain Bears. Big Bang Theory: Satisficing Theory: X-Men arcade game: Disney’s Food and Wine Festival: The green eyed monster Berenstain bears: Pop Flag Survey:</t>
        </is>
      </c>
      <c r="V1263" s="47">
        <f>IF(AND(P1263&gt;=Calendar!$K$2,P1263&lt;EDATE(Calendar!$K$2,1),OR(Calendar!$K$4="*",N1263=Calendar!$K$4)),P1263*100+COUNTIFS($P$6:$P$3267,P1263,$Q$6:$Q$3267,"&lt;="&amp;Q1263,$N$6:$N$3267,Calendar!$K$4),"")</f>
        <v/>
      </c>
      <c r="W1263" s="47">
        <f>IF(AND(B1263=Queue!$C$4,OR(Queue!$K$4="*",N1263=Queue!$K$4)),Q1263,"")</f>
        <v/>
      </c>
    </row>
    <row r="1264">
      <c r="A1264" s="38">
        <f>IF(M1264="","",HYPERLINK("https://www.youtube.com/watch?v="&amp;M1264,"▶"))</f>
        <v/>
      </c>
      <c r="B1264" s="39">
        <f>IF(C1264&lt;&gt;"",C1264,IF(P1264&lt;=IFERROR(INDEX(tblChannels[Watched Through],MATCH(N1264,tblChannels[Channel ID],0)),0),"Watched","Unwatched"))</f>
        <v/>
      </c>
      <c r="C1264" s="40" t="n"/>
      <c r="D1264" s="41" t="n"/>
      <c r="E1264" s="42" t="n">
        <v>44539.70902777778</v>
      </c>
      <c r="F1264" s="50" t="inlineStr">
        <is>
          <t>Super Carlin Brothers</t>
        </is>
      </c>
      <c r="G1264" t="inlineStr">
        <is>
          <t>Will Mirabel Be A Disney Princess? | Disney Theory</t>
        </is>
      </c>
      <c r="H1264" s="44" t="n">
        <v>0.009444444444444445</v>
      </c>
      <c r="I1264" s="45" t="n">
        <v>234585</v>
      </c>
      <c r="J1264" s="45" t="n">
        <v>10497</v>
      </c>
      <c r="K1264" s="45" t="n">
        <v>1477</v>
      </c>
      <c r="L1264" s="46" t="n"/>
      <c r="M1264" s="47" t="n"/>
      <c r="N1264" s="47" t="inlineStr">
        <is>
          <t>UCKZo4N0lVPccBkSiuyVh4yg</t>
        </is>
      </c>
      <c r="O1264" s="48" t="n">
        <v>44539.91736111111</v>
      </c>
      <c r="P1264" s="49" t="n">
        <v>44539</v>
      </c>
      <c r="Q1264" s="47" t="n">
        <v>2004</v>
      </c>
      <c r="R1264" s="47" t="inlineStr">
        <is>
          <t>No Video ID yet</t>
        </is>
      </c>
      <c r="S1264" s="49" t="n"/>
      <c r="T1264" s="49" t="n"/>
      <c r="U1264" s="47" t="inlineStr">
        <is>
          <t>Visit to get Honey for free Get 25% off and zero delivery fees on their first order of $15 or more, when you download the DoorDash app and enter code JVSB2021. Today J dives into the magical world of Disney’s Encanto to try and determine if Mirabel will become an official Disney Princess! #SuperCarlinBrothers #Disney #Encanto #DisneyPrincess</t>
        </is>
      </c>
      <c r="V1264" s="47">
        <f>IF(AND(P1264&gt;=Calendar!$K$2,P1264&lt;EDATE(Calendar!$K$2,1),OR(Calendar!$K$4="*",N1264=Calendar!$K$4)),P1264*100+COUNTIFS($P$6:$P$3267,P1264,$Q$6:$Q$3267,"&lt;="&amp;Q1264,$N$6:$N$3267,Calendar!$K$4),"")</f>
        <v/>
      </c>
      <c r="W1264" s="47">
        <f>IF(AND(B1264=Queue!$C$4,OR(Queue!$K$4="*",N1264=Queue!$K$4)),Q1264,"")</f>
        <v/>
      </c>
    </row>
    <row r="1265">
      <c r="A1265" s="38">
        <f>IF(M1265="","",HYPERLINK("https://www.youtube.com/watch?v="&amp;M1265,"▶"))</f>
        <v/>
      </c>
      <c r="B1265" s="39">
        <f>IF(C1265&lt;&gt;"",C1265,IF(P1265&lt;=IFERROR(INDEX(tblChannels[Watched Through],MATCH(N1265,tblChannels[Channel ID],0)),0),"Watched","Unwatched"))</f>
        <v/>
      </c>
      <c r="C1265" s="40" t="n"/>
      <c r="D1265" s="41" t="n"/>
      <c r="E1265" s="42" t="n">
        <v>44537.76875</v>
      </c>
      <c r="F1265" s="50" t="inlineStr">
        <is>
          <t>Super Carlin Brothers</t>
        </is>
      </c>
      <c r="G1265" t="inlineStr">
        <is>
          <t>J vs Ben: ULTIMATE Golden Trio Harry Potter TRIVIA Quiz</t>
        </is>
      </c>
      <c r="H1265" s="44" t="n">
        <v>0.02199074074074074</v>
      </c>
      <c r="I1265" s="45" t="n">
        <v>396498</v>
      </c>
      <c r="J1265" s="45" t="n">
        <v>11496</v>
      </c>
      <c r="K1265" s="45" t="n">
        <v>997</v>
      </c>
      <c r="L1265" s="46" t="n"/>
      <c r="M1265" s="47" t="n"/>
      <c r="N1265" s="47" t="inlineStr">
        <is>
          <t>UCKZo4N0lVPccBkSiuyVh4yg</t>
        </is>
      </c>
      <c r="O1265" s="48" t="n">
        <v>44537.97708333333</v>
      </c>
      <c r="P1265" s="49" t="n">
        <v>44537</v>
      </c>
      <c r="Q1265" s="47" t="n">
        <v>2003</v>
      </c>
      <c r="R1265" s="47" t="inlineStr">
        <is>
          <t>No Video ID yet</t>
        </is>
      </c>
      <c r="S1265" s="49" t="n"/>
      <c r="T1265" s="49" t="n"/>
      <c r="U1265" s="47" t="inlineStr">
        <is>
          <t>Visit to get Honey for free Get 25% off and zero delivery fees on their first order of $15 or more, when you download the DoorDash app and enter code JVSB2021. Today J and Ben face off once more to find out who knows the most about the Wizarding Worlds Golden Trio: Harry Potter, Hermione Granger and Ron Weasley Play Along With Us ::</t>
        </is>
      </c>
      <c r="V1265" s="47">
        <f>IF(AND(P1265&gt;=Calendar!$K$2,P1265&lt;EDATE(Calendar!$K$2,1),OR(Calendar!$K$4="*",N1265=Calendar!$K$4)),P1265*100+COUNTIFS($P$6:$P$3267,P1265,$Q$6:$Q$3267,"&lt;="&amp;Q1265,$N$6:$N$3267,Calendar!$K$4),"")</f>
        <v/>
      </c>
      <c r="W1265" s="47">
        <f>IF(AND(B1265=Queue!$C$4,OR(Queue!$K$4="*",N1265=Queue!$K$4)),Q1265,"")</f>
        <v/>
      </c>
    </row>
    <row r="1266">
      <c r="A1266" s="38">
        <f>IF(M1266="","",HYPERLINK("https://www.youtube.com/watch?v="&amp;M1266,"▶"))</f>
        <v/>
      </c>
      <c r="B1266" s="39">
        <f>IF(C1266&lt;&gt;"",C1266,IF(P1266&lt;=IFERROR(INDEX(tblChannels[Watched Through],MATCH(N1266,tblChannels[Channel ID],0)),0),"Watched","Unwatched"))</f>
        <v/>
      </c>
      <c r="C1266" s="40" t="n"/>
      <c r="D1266" s="41" t="n"/>
      <c r="E1266" s="42" t="n">
        <v>44536.41666666666</v>
      </c>
      <c r="F1266" s="53" t="inlineStr">
        <is>
          <t>Jonathan Carlin</t>
        </is>
      </c>
      <c r="G1266" t="inlineStr">
        <is>
          <t>Beth Runs A Half-Marathon!</t>
        </is>
      </c>
      <c r="H1266" s="44" t="n">
        <v>0.01336805555555555</v>
      </c>
      <c r="I1266" s="45" t="n">
        <v>19154</v>
      </c>
      <c r="J1266" s="45" t="n">
        <v>1416</v>
      </c>
      <c r="K1266" s="45" t="n">
        <v>0</v>
      </c>
      <c r="L1266" s="46" t="n"/>
      <c r="M1266" s="47" t="n"/>
      <c r="N1266" s="47" t="inlineStr">
        <is>
          <t>UCYPKFe86e6nm4TVUYKLsFUQ</t>
        </is>
      </c>
      <c r="O1266" s="48" t="n">
        <v>44536.625</v>
      </c>
      <c r="P1266" s="49" t="n">
        <v>44536</v>
      </c>
      <c r="Q1266" s="47" t="n">
        <v>2002</v>
      </c>
      <c r="R1266" s="47" t="inlineStr">
        <is>
          <t>No Video ID yet</t>
        </is>
      </c>
      <c r="S1266" s="49" t="n"/>
      <c r="T1266" s="49" t="n"/>
      <c r="U1266" s="47" t="inlineStr">
        <is>
          <t>This week Beth, to the surprise of know one, reproves what a beast she is and completes her 2nd half marathon in a month with a crazy PR! Also J and Ben eat some Blazin wings, host a live stream and Luke cooks some dinner!</t>
        </is>
      </c>
      <c r="V1266" s="47">
        <f>IF(AND(P1266&gt;=Calendar!$K$2,P1266&lt;EDATE(Calendar!$K$2,1),OR(Calendar!$K$4="*",N1266=Calendar!$K$4)),P1266*100+COUNTIFS($P$6:$P$3267,P1266,$Q$6:$Q$3267,"&lt;="&amp;Q1266,$N$6:$N$3267,Calendar!$K$4),"")</f>
        <v/>
      </c>
      <c r="W1266" s="47">
        <f>IF(AND(B1266=Queue!$C$4,OR(Queue!$K$4="*",N1266=Queue!$K$4)),Q1266,"")</f>
        <v/>
      </c>
    </row>
    <row r="1267">
      <c r="A1267" s="38">
        <f>IF(M1267="","",HYPERLINK("https://www.youtube.com/watch?v="&amp;M1267,"▶"))</f>
        <v/>
      </c>
      <c r="B1267" s="39">
        <f>IF(C1267&lt;&gt;"",C1267,IF(P1267&lt;=IFERROR(INDEX(tblChannels[Watched Through],MATCH(N1267,tblChannels[Channel ID],0)),0),"Watched","Unwatched"))</f>
        <v/>
      </c>
      <c r="C1267" s="40" t="n"/>
      <c r="D1267" s="41" t="n"/>
      <c r="E1267" s="42" t="n">
        <v>44533.5</v>
      </c>
      <c r="F1267" s="54" t="inlineStr">
        <is>
          <t>With the Carlins</t>
        </is>
      </c>
      <c r="G1267" t="inlineStr">
        <is>
          <t>Addison is One Month Old!</t>
        </is>
      </c>
      <c r="H1267" s="44" t="n">
        <v>0.01211805555555556</v>
      </c>
      <c r="I1267" s="45" t="n">
        <v>19441</v>
      </c>
      <c r="J1267" s="45" t="n">
        <v>1721</v>
      </c>
      <c r="K1267" s="45" t="n">
        <v>182</v>
      </c>
      <c r="L1267" s="46" t="n"/>
      <c r="M1267" s="47" t="n"/>
      <c r="N1267" s="47" t="inlineStr">
        <is>
          <t>UCVBTjN9WJU5Ac8yU7b2K-5g</t>
        </is>
      </c>
      <c r="O1267" s="48" t="n">
        <v>44533.70833333334</v>
      </c>
      <c r="P1267" s="49" t="n">
        <v>44533</v>
      </c>
      <c r="Q1267" s="47" t="n">
        <v>2001</v>
      </c>
      <c r="R1267" s="47" t="inlineStr">
        <is>
          <t>No Video ID yet</t>
        </is>
      </c>
      <c r="S1267" s="49" t="n"/>
      <c r="T1267" s="49" t="n"/>
      <c r="U1267" s="47" t="inlineStr">
        <is>
          <t>This week we make our first ever turkey, decorate for Christmas and Addison turns 1-month old! Follow Us! :: I N S T A G R A M➜ and Ben Carlin #SuperCarlinBrothers #CarlinFamily #FamilyVlog</t>
        </is>
      </c>
      <c r="V1267" s="47">
        <f>IF(AND(P1267&gt;=Calendar!$K$2,P1267&lt;EDATE(Calendar!$K$2,1),OR(Calendar!$K$4="*",N1267=Calendar!$K$4)),P1267*100+COUNTIFS($P$6:$P$3267,P1267,$Q$6:$Q$3267,"&lt;="&amp;Q1267,$N$6:$N$3267,Calendar!$K$4),"")</f>
        <v/>
      </c>
      <c r="W1267" s="47">
        <f>IF(AND(B1267=Queue!$C$4,OR(Queue!$K$4="*",N1267=Queue!$K$4)),Q1267,"")</f>
        <v/>
      </c>
    </row>
    <row r="1268">
      <c r="A1268" s="38">
        <f>IF(M1268="","",HYPERLINK("https://www.youtube.com/watch?v="&amp;M1268,"▶"))</f>
        <v/>
      </c>
      <c r="B1268" s="39">
        <f>IF(C1268&lt;&gt;"",C1268,IF(P1268&lt;=IFERROR(INDEX(tblChannels[Watched Through],MATCH(N1268,tblChannels[Channel ID],0)),0),"Watched","Unwatched"))</f>
        <v/>
      </c>
      <c r="C1268" s="40" t="n"/>
      <c r="D1268" s="41" t="n"/>
      <c r="E1268" s="42" t="n">
        <v>44533.41666666666</v>
      </c>
      <c r="F1268" s="43" t="inlineStr">
        <is>
          <t>Popcorn Culture</t>
        </is>
      </c>
      <c r="G1268" t="inlineStr">
        <is>
          <t>It's... It's Not Dirt... | Popcorn Culture</t>
        </is>
      </c>
      <c r="H1268" s="44" t="n">
        <v>0.04637731481481482</v>
      </c>
      <c r="I1268" s="45" t="n">
        <v>9589</v>
      </c>
      <c r="J1268" s="45" t="n">
        <v>491</v>
      </c>
      <c r="K1268" s="45" t="n">
        <v>74</v>
      </c>
      <c r="L1268" s="46" t="n"/>
      <c r="M1268" s="47" t="n"/>
      <c r="N1268" s="47" t="inlineStr">
        <is>
          <t>UCHfIbq9thHPC8yrKjAdJgDA</t>
        </is>
      </c>
      <c r="O1268" s="48" t="n">
        <v>44533.625</v>
      </c>
      <c r="P1268" s="49" t="n">
        <v>44533</v>
      </c>
      <c r="Q1268" s="47" t="n">
        <v>2000</v>
      </c>
      <c r="R1268" s="47" t="inlineStr">
        <is>
          <t>No Video ID yet</t>
        </is>
      </c>
      <c r="S1268" s="49" t="n"/>
      <c r="T1268" s="49" t="n"/>
      <c r="U1268" s="47" t="inlineStr">
        <is>
          <t>In the 104th episode of the Pop, Ben and J discuss Star Wars changes, path to success in the film industry, Luke’s birthday presents, the VT/UVA football game, bath time pandemonium, and gave an update on the Pop flag. SCB Star Wars Video referenced: Dinosaur Egg Geodes: VT/UVA Game: Flag Submissions:</t>
        </is>
      </c>
      <c r="V1268" s="47">
        <f>IF(AND(P1268&gt;=Calendar!$K$2,P1268&lt;EDATE(Calendar!$K$2,1),OR(Calendar!$K$4="*",N1268=Calendar!$K$4)),P1268*100+COUNTIFS($P$6:$P$3267,P1268,$Q$6:$Q$3267,"&lt;="&amp;Q1268,$N$6:$N$3267,Calendar!$K$4),"")</f>
        <v/>
      </c>
      <c r="W1268" s="47">
        <f>IF(AND(B1268=Queue!$C$4,OR(Queue!$K$4="*",N1268=Queue!$K$4)),Q1268,"")</f>
        <v/>
      </c>
    </row>
    <row r="1269">
      <c r="A1269" s="38">
        <f>IF(M1269="","",HYPERLINK("https://www.youtube.com/watch?v="&amp;M1269,"▶"))</f>
        <v/>
      </c>
      <c r="B1269" s="39">
        <f>IF(C1269&lt;&gt;"",C1269,IF(P1269&lt;=IFERROR(INDEX(tblChannels[Watched Through],MATCH(N1269,tblChannels[Channel ID],0)),0),"Watched","Unwatched"))</f>
        <v/>
      </c>
      <c r="C1269" s="40" t="n"/>
      <c r="D1269" s="41" t="n"/>
      <c r="E1269" s="42" t="n">
        <v>44532.73472222222</v>
      </c>
      <c r="F1269" s="50" t="inlineStr">
        <is>
          <t>Super Carlin Brothers</t>
        </is>
      </c>
      <c r="G1269" t="inlineStr">
        <is>
          <t>I Fixed the Star Wars Sequel Trilogy | Star Wars Theory</t>
        </is>
      </c>
      <c r="H1269" s="44" t="n">
        <v>0.01334490740740741</v>
      </c>
      <c r="I1269" s="45" t="n">
        <v>159370</v>
      </c>
      <c r="J1269" s="45" t="n">
        <v>8614</v>
      </c>
      <c r="K1269" s="45" t="n">
        <v>1222</v>
      </c>
      <c r="L1269" s="46" t="n"/>
      <c r="M1269" s="47" t="n"/>
      <c r="N1269" s="47" t="inlineStr">
        <is>
          <t>UCKZo4N0lVPccBkSiuyVh4yg</t>
        </is>
      </c>
      <c r="O1269" s="48" t="n">
        <v>44532.94305555556</v>
      </c>
      <c r="P1269" s="49" t="n">
        <v>44532</v>
      </c>
      <c r="Q1269" s="47" t="n">
        <v>1999</v>
      </c>
      <c r="R1269" s="47" t="inlineStr">
        <is>
          <t>No Video ID yet</t>
        </is>
      </c>
      <c r="S1269" s="49" t="n"/>
      <c r="T1269" s="49" t="n"/>
      <c r="U1269" s="47" t="inlineStr">
        <is>
          <t>Go to to get 15% off your first orders and free shipping! Today Ben fixes the Star Wars sequel trilogy with a single change in each movie. LETS GO</t>
        </is>
      </c>
      <c r="V1269" s="47">
        <f>IF(AND(P1269&gt;=Calendar!$K$2,P1269&lt;EDATE(Calendar!$K$2,1),OR(Calendar!$K$4="*",N1269=Calendar!$K$4)),P1269*100+COUNTIFS($P$6:$P$3267,P1269,$Q$6:$Q$3267,"&lt;="&amp;Q1269,$N$6:$N$3267,Calendar!$K$4),"")</f>
        <v/>
      </c>
      <c r="W1269" s="47">
        <f>IF(AND(B1269=Queue!$C$4,OR(Queue!$K$4="*",N1269=Queue!$K$4)),Q1269,"")</f>
        <v/>
      </c>
    </row>
    <row r="1270">
      <c r="A1270" s="38">
        <f>IF(M1270="","",HYPERLINK("https://www.youtube.com/watch?v="&amp;M1270,"▶"))</f>
        <v/>
      </c>
      <c r="B1270" s="39">
        <f>IF(C1270&lt;&gt;"",C1270,IF(P1270&lt;=IFERROR(INDEX(tblChannels[Watched Through],MATCH(N1270,tblChannels[Channel ID],0)),0),"Watched","Unwatched"))</f>
        <v/>
      </c>
      <c r="C1270" s="40" t="n"/>
      <c r="D1270" s="41" t="n"/>
      <c r="E1270" s="42" t="n">
        <v>44530.61597222222</v>
      </c>
      <c r="F1270" s="50" t="inlineStr">
        <is>
          <t>Super Carlin Brothers</t>
        </is>
      </c>
      <c r="G1270" t="inlineStr">
        <is>
          <t>Dumbledore Was A Tri-Wizard Champion | Harry Potter Theory</t>
        </is>
      </c>
      <c r="H1270" s="44" t="n">
        <v>0.009097222222222222</v>
      </c>
      <c r="I1270" s="45" t="n">
        <v>556912</v>
      </c>
      <c r="J1270" s="45" t="n">
        <v>19430</v>
      </c>
      <c r="K1270" s="45" t="n">
        <v>1310</v>
      </c>
      <c r="L1270" s="46" t="n"/>
      <c r="M1270" s="47" t="n"/>
      <c r="N1270" s="47" t="inlineStr">
        <is>
          <t>UCKZo4N0lVPccBkSiuyVh4yg</t>
        </is>
      </c>
      <c r="O1270" s="48" t="n">
        <v>44530.82430555556</v>
      </c>
      <c r="P1270" s="49" t="n">
        <v>44530</v>
      </c>
      <c r="Q1270" s="47" t="n">
        <v>1998</v>
      </c>
      <c r="R1270" s="47" t="inlineStr">
        <is>
          <t>No Video ID yet</t>
        </is>
      </c>
      <c r="S1270" s="49" t="n"/>
      <c r="T1270" s="49" t="n"/>
      <c r="U1270" s="47" t="inlineStr">
        <is>
          <t>Go to to get 10% off and free shipping! Today J dives into the Wizarding World of Harry Potter to reveal yet another of Albus Dumbledore’s big lies to Harry that he too was a Tri-Wizard Champion.. And won!</t>
        </is>
      </c>
      <c r="V1270" s="47">
        <f>IF(AND(P1270&gt;=Calendar!$K$2,P1270&lt;EDATE(Calendar!$K$2,1),OR(Calendar!$K$4="*",N1270=Calendar!$K$4)),P1270*100+COUNTIFS($P$6:$P$3267,P1270,$Q$6:$Q$3267,"&lt;="&amp;Q1270,$N$6:$N$3267,Calendar!$K$4),"")</f>
        <v/>
      </c>
      <c r="W1270" s="47">
        <f>IF(AND(B1270=Queue!$C$4,OR(Queue!$K$4="*",N1270=Queue!$K$4)),Q1270,"")</f>
        <v/>
      </c>
    </row>
    <row r="1271">
      <c r="A1271" s="38">
        <f>IF(M1271="","",HYPERLINK("https://www.youtube.com/watch?v="&amp;M1271,"▶"))</f>
        <v/>
      </c>
      <c r="B1271" s="39">
        <f>IF(C1271&lt;&gt;"",C1271,IF(P1271&lt;=IFERROR(INDEX(tblChannels[Watched Through],MATCH(N1271,tblChannels[Channel ID],0)),0),"Watched","Unwatched"))</f>
        <v/>
      </c>
      <c r="C1271" s="40" t="n"/>
      <c r="D1271" s="41" t="n"/>
      <c r="E1271" s="42" t="n">
        <v>44529.41666666666</v>
      </c>
      <c r="F1271" s="53" t="inlineStr">
        <is>
          <t>Jonathan Carlin</t>
        </is>
      </c>
      <c r="G1271" t="inlineStr">
        <is>
          <t>Pancakes. Pancakes. Pancakes.</t>
        </is>
      </c>
      <c r="H1271" s="44" t="n">
        <v>0.01361111111111111</v>
      </c>
      <c r="I1271" s="45" t="n">
        <v>20573</v>
      </c>
      <c r="J1271" s="45" t="n">
        <v>1457</v>
      </c>
      <c r="K1271" s="45" t="n">
        <v>101</v>
      </c>
      <c r="L1271" s="46" t="n"/>
      <c r="M1271" s="47" t="n"/>
      <c r="N1271" s="47" t="inlineStr">
        <is>
          <t>UCYPKFe86e6nm4TVUYKLsFUQ</t>
        </is>
      </c>
      <c r="O1271" s="48" t="n">
        <v>44529.625</v>
      </c>
      <c r="P1271" s="49" t="n">
        <v>44529</v>
      </c>
      <c r="Q1271" s="47" t="n">
        <v>1997</v>
      </c>
      <c r="R1271" s="47" t="inlineStr">
        <is>
          <t>No Video ID yet</t>
        </is>
      </c>
      <c r="S1271" s="49" t="n"/>
      <c r="T1271" s="49" t="n"/>
      <c r="U1271" s="47" t="inlineStr">
        <is>
          <t>This week J and Luke make pancakes, buy pancakes, and eat pancakes and Nana’s. Also J unboxes some pokemon cards and goes hunting for some treasures at his parents house Ben’s Mimosa Recipe: 85-93% Champagne Add orange juice to color. ENJOY!</t>
        </is>
      </c>
      <c r="V1271" s="47">
        <f>IF(AND(P1271&gt;=Calendar!$K$2,P1271&lt;EDATE(Calendar!$K$2,1),OR(Calendar!$K$4="*",N1271=Calendar!$K$4)),P1271*100+COUNTIFS($P$6:$P$3267,P1271,$Q$6:$Q$3267,"&lt;="&amp;Q1271,$N$6:$N$3267,Calendar!$K$4),"")</f>
        <v/>
      </c>
      <c r="W1271" s="47">
        <f>IF(AND(B1271=Queue!$C$4,OR(Queue!$K$4="*",N1271=Queue!$K$4)),Q1271,"")</f>
        <v/>
      </c>
    </row>
    <row r="1272">
      <c r="A1272" s="38">
        <f>IF(M1272="","",HYPERLINK("https://www.youtube.com/watch?v="&amp;M1272,"▶"))</f>
        <v/>
      </c>
      <c r="B1272" s="39">
        <f>IF(C1272&lt;&gt;"",C1272,IF(P1272&lt;=IFERROR(INDEX(tblChannels[Watched Through],MATCH(N1272,tblChannels[Channel ID],0)),0),"Watched","Unwatched"))</f>
        <v/>
      </c>
      <c r="C1272" s="40" t="n"/>
      <c r="D1272" s="41" t="n"/>
      <c r="E1272" s="42" t="n">
        <v>44526.5</v>
      </c>
      <c r="F1272" s="54" t="inlineStr">
        <is>
          <t>With the Carlins</t>
        </is>
      </c>
      <c r="G1272" t="inlineStr">
        <is>
          <t>Addison's First Bath and Baking with Ben!</t>
        </is>
      </c>
      <c r="H1272" s="44" t="n">
        <v>0.0153587962962963</v>
      </c>
      <c r="I1272" s="45" t="n">
        <v>23299</v>
      </c>
      <c r="J1272" s="45" t="n">
        <v>1997</v>
      </c>
      <c r="K1272" s="45" t="n">
        <v>219</v>
      </c>
      <c r="L1272" s="46" t="n"/>
      <c r="M1272" s="47" t="n"/>
      <c r="N1272" s="47" t="inlineStr">
        <is>
          <t>UCVBTjN9WJU5Ac8yU7b2K-5g</t>
        </is>
      </c>
      <c r="O1272" s="48" t="n">
        <v>44526.70833333334</v>
      </c>
      <c r="P1272" s="49" t="n">
        <v>44526</v>
      </c>
      <c r="Q1272" s="47" t="n">
        <v>1996</v>
      </c>
      <c r="R1272" s="47" t="inlineStr">
        <is>
          <t>No Video ID yet</t>
        </is>
      </c>
      <c r="S1272" s="49" t="n"/>
      <c r="T1272" s="49" t="n"/>
      <c r="U1272" s="47" t="inlineStr">
        <is>
          <t>This week we go for a run, spend time with friends, give Addison a bath and BAKE! Macarons Recipe: Follow Us! :: I N S T A G R A M➜ and Ben Carlin #SuperCarlinBrothers #CarlinFamily #FamilyVlog</t>
        </is>
      </c>
      <c r="V1272" s="47">
        <f>IF(AND(P1272&gt;=Calendar!$K$2,P1272&lt;EDATE(Calendar!$K$2,1),OR(Calendar!$K$4="*",N1272=Calendar!$K$4)),P1272*100+COUNTIFS($P$6:$P$3267,P1272,$Q$6:$Q$3267,"&lt;="&amp;Q1272,$N$6:$N$3267,Calendar!$K$4),"")</f>
        <v/>
      </c>
      <c r="W1272" s="47">
        <f>IF(AND(B1272=Queue!$C$4,OR(Queue!$K$4="*",N1272=Queue!$K$4)),Q1272,"")</f>
        <v/>
      </c>
    </row>
    <row r="1273">
      <c r="A1273" s="38">
        <f>IF(M1273="","",HYPERLINK("https://www.youtube.com/watch?v="&amp;M1273,"▶"))</f>
        <v/>
      </c>
      <c r="B1273" s="39">
        <f>IF(C1273&lt;&gt;"",C1273,IF(P1273&lt;=IFERROR(INDEX(tblChannels[Watched Through],MATCH(N1273,tblChannels[Channel ID],0)),0),"Watched","Unwatched"))</f>
        <v/>
      </c>
      <c r="C1273" s="40" t="n"/>
      <c r="D1273" s="41" t="n"/>
      <c r="E1273" s="42" t="n">
        <v>44526.41666666666</v>
      </c>
      <c r="F1273" s="43" t="inlineStr">
        <is>
          <t>Popcorn Culture</t>
        </is>
      </c>
      <c r="G1273" t="inlineStr">
        <is>
          <t>We’ve Got 16 Years to Make Anti-Gravity Brooms | Popcorn Culture</t>
        </is>
      </c>
      <c r="H1273" s="44" t="n">
        <v>0.05012731481481481</v>
      </c>
      <c r="I1273" s="45" t="n">
        <v>11036</v>
      </c>
      <c r="J1273" s="45" t="n">
        <v>507</v>
      </c>
      <c r="K1273" s="45" t="n">
        <v>73</v>
      </c>
      <c r="L1273" s="46" t="n"/>
      <c r="M1273" s="47" t="n"/>
      <c r="N1273" s="47" t="inlineStr">
        <is>
          <t>UCHfIbq9thHPC8yrKjAdJgDA</t>
        </is>
      </c>
      <c r="O1273" s="48" t="n">
        <v>44526.625</v>
      </c>
      <c r="P1273" s="49" t="n">
        <v>44526</v>
      </c>
      <c r="Q1273" s="47" t="n">
        <v>1995</v>
      </c>
      <c r="R1273" s="47" t="inlineStr">
        <is>
          <t>No Video ID yet</t>
        </is>
      </c>
      <c r="S1273" s="49" t="n"/>
      <c r="T1273" s="49" t="n"/>
      <c r="U1273" s="47" t="inlineStr">
        <is>
          <t>In the 103rd episode of the pop, Ben and J discuss children's books, lack of boredom, libraries, individualism vs. collectivism, differences among states, college rivalries, flags, Black Friday, and nonsense cookie names. Berenstain bears books: Cultural Dimension of Individualism vs. Collectivism: Virginia Tech Mascot: University of Virginia Mascot: Roanoke’s Nicknames: Rail Yard Dogs: Various Cookie Sources:</t>
        </is>
      </c>
      <c r="V1273" s="47">
        <f>IF(AND(P1273&gt;=Calendar!$K$2,P1273&lt;EDATE(Calendar!$K$2,1),OR(Calendar!$K$4="*",N1273=Calendar!$K$4)),P1273*100+COUNTIFS($P$6:$P$3267,P1273,$Q$6:$Q$3267,"&lt;="&amp;Q1273,$N$6:$N$3267,Calendar!$K$4),"")</f>
        <v/>
      </c>
      <c r="W1273" s="47">
        <f>IF(AND(B1273=Queue!$C$4,OR(Queue!$K$4="*",N1273=Queue!$K$4)),Q1273,"")</f>
        <v/>
      </c>
    </row>
    <row r="1274">
      <c r="A1274" s="38">
        <f>IF(M1274="","",HYPERLINK("https://www.youtube.com/watch?v="&amp;M1274,"▶"))</f>
        <v/>
      </c>
      <c r="B1274" s="39">
        <f>IF(C1274&lt;&gt;"",C1274,IF(P1274&lt;=IFERROR(INDEX(tblChannels[Watched Through],MATCH(N1274,tblChannels[Channel ID],0)),0),"Watched","Unwatched"))</f>
        <v/>
      </c>
      <c r="C1274" s="40" t="n"/>
      <c r="D1274" s="41" t="n"/>
      <c r="E1274" s="42" t="n">
        <v>44525.625</v>
      </c>
      <c r="F1274" s="50" t="inlineStr">
        <is>
          <t>Super Carlin Brothers</t>
        </is>
      </c>
      <c r="G1274" t="inlineStr">
        <is>
          <t>J vs Ben: ULTIMATE Goblet of Fire Harry Potter Trivia | HOT WINGS PUNISHMENT</t>
        </is>
      </c>
      <c r="H1274" s="44" t="n">
        <v>0.02332175925925926</v>
      </c>
      <c r="I1274" s="45" t="n">
        <v>361613</v>
      </c>
      <c r="J1274" s="45" t="n">
        <v>13565</v>
      </c>
      <c r="K1274" s="45" t="n">
        <v>1267</v>
      </c>
      <c r="L1274" s="46" t="n"/>
      <c r="M1274" s="47" t="n"/>
      <c r="N1274" s="47" t="inlineStr">
        <is>
          <t>UCKZo4N0lVPccBkSiuyVh4yg</t>
        </is>
      </c>
      <c r="O1274" s="48" t="n">
        <v>44525.83333333334</v>
      </c>
      <c r="P1274" s="49" t="n">
        <v>44525</v>
      </c>
      <c r="Q1274" s="47" t="n">
        <v>1994</v>
      </c>
      <c r="R1274" s="47" t="inlineStr">
        <is>
          <t>No Video ID yet</t>
        </is>
      </c>
      <c r="S1274" s="49" t="n"/>
      <c r="T1274" s="49" t="n"/>
      <c r="U1274" s="47" t="inlineStr">
        <is>
          <t>Visit to get Honey for FREE! Go to to get 10% off your first month! Happy Thanksgiving! Today J and Ben face off once more to find out who knows more about Harry Potter, the Wizarding World and the GOBLET OF FIRE! PLUS as a Thanksgiving treat, anytime we miss a question we will be forced to some extremely hot BLAZIN WINGS!</t>
        </is>
      </c>
      <c r="V1274" s="47">
        <f>IF(AND(P1274&gt;=Calendar!$K$2,P1274&lt;EDATE(Calendar!$K$2,1),OR(Calendar!$K$4="*",N1274=Calendar!$K$4)),P1274*100+COUNTIFS($P$6:$P$3267,P1274,$Q$6:$Q$3267,"&lt;="&amp;Q1274,$N$6:$N$3267,Calendar!$K$4),"")</f>
        <v/>
      </c>
      <c r="W1274" s="47">
        <f>IF(AND(B1274=Queue!$C$4,OR(Queue!$K$4="*",N1274=Queue!$K$4)),Q1274,"")</f>
        <v/>
      </c>
    </row>
    <row r="1275">
      <c r="A1275" s="38">
        <f>IF(M1275="","",HYPERLINK("https://www.youtube.com/watch?v="&amp;M1275,"▶"))</f>
        <v/>
      </c>
      <c r="B1275" s="39">
        <f>IF(C1275&lt;&gt;"",C1275,IF(P1275&lt;=IFERROR(INDEX(tblChannels[Watched Through],MATCH(N1275,tblChannels[Channel ID],0)),0),"Watched","Unwatched"))</f>
        <v/>
      </c>
      <c r="C1275" s="40" t="n"/>
      <c r="D1275" s="41" t="n"/>
      <c r="E1275" s="42" t="n">
        <v>44523.63194444445</v>
      </c>
      <c r="F1275" s="50" t="inlineStr">
        <is>
          <t>Super Carlin Brothers</t>
        </is>
      </c>
      <c r="G1275" t="inlineStr">
        <is>
          <t>What is Neville Longbottom’s Patronus? | Harry Potter Theory</t>
        </is>
      </c>
      <c r="H1275" s="44" t="n">
        <v>0.01021990740740741</v>
      </c>
      <c r="I1275" s="45" t="n">
        <v>254937</v>
      </c>
      <c r="J1275" s="45" t="n">
        <v>12001</v>
      </c>
      <c r="K1275" s="45" t="n">
        <v>1402</v>
      </c>
      <c r="L1275" s="46" t="n"/>
      <c r="M1275" s="47" t="n"/>
      <c r="N1275" s="47" t="inlineStr">
        <is>
          <t>UCKZo4N0lVPccBkSiuyVh4yg</t>
        </is>
      </c>
      <c r="O1275" s="48" t="n">
        <v>44523.84027777778</v>
      </c>
      <c r="P1275" s="49" t="n">
        <v>44523</v>
      </c>
      <c r="Q1275" s="47" t="n">
        <v>1993</v>
      </c>
      <c r="R1275" s="47" t="inlineStr">
        <is>
          <t>No Video ID yet</t>
        </is>
      </c>
      <c r="S1275" s="49" t="n"/>
      <c r="T1275" s="49" t="n"/>
      <c r="U1275" s="47" t="inlineStr">
        <is>
          <t>Go to and use code SCB to save $75 on your starter kit! Today J dives into the Wizarding World of Harry Potter to try and determine the animal shape of Neville Longbottom’s Patronus!</t>
        </is>
      </c>
      <c r="V1275" s="47">
        <f>IF(AND(P1275&gt;=Calendar!$K$2,P1275&lt;EDATE(Calendar!$K$2,1),OR(Calendar!$K$4="*",N1275=Calendar!$K$4)),P1275*100+COUNTIFS($P$6:$P$3267,P1275,$Q$6:$Q$3267,"&lt;="&amp;Q1275,$N$6:$N$3267,Calendar!$K$4),"")</f>
        <v/>
      </c>
      <c r="W1275" s="47">
        <f>IF(AND(B1275=Queue!$C$4,OR(Queue!$K$4="*",N1275=Queue!$K$4)),Q1275,"")</f>
        <v/>
      </c>
    </row>
    <row r="1276">
      <c r="A1276" s="38">
        <f>IF(M1276="","",HYPERLINK("https://www.youtube.com/watch?v="&amp;M1276,"▶"))</f>
        <v/>
      </c>
      <c r="B1276" s="39">
        <f>IF(C1276&lt;&gt;"",C1276,IF(P1276&lt;=IFERROR(INDEX(tblChannels[Watched Through],MATCH(N1276,tblChannels[Channel ID],0)),0),"Watched","Unwatched"))</f>
        <v/>
      </c>
      <c r="C1276" s="40" t="n"/>
      <c r="D1276" s="41" t="n"/>
      <c r="E1276" s="42" t="n">
        <v>44522.41666666666</v>
      </c>
      <c r="F1276" s="53" t="inlineStr">
        <is>
          <t>Jonathan Carlin</t>
        </is>
      </c>
      <c r="G1276" t="inlineStr">
        <is>
          <t>I Applied for Survivor..</t>
        </is>
      </c>
      <c r="H1276" s="44" t="n">
        <v>0.01321759259259259</v>
      </c>
      <c r="I1276" s="45" t="n">
        <v>31951</v>
      </c>
      <c r="J1276" s="45" t="n">
        <v>2284</v>
      </c>
      <c r="K1276" s="45" t="n">
        <v>221</v>
      </c>
      <c r="L1276" s="46" t="n"/>
      <c r="M1276" s="47" t="n"/>
      <c r="N1276" s="47" t="inlineStr">
        <is>
          <t>UCYPKFe86e6nm4TVUYKLsFUQ</t>
        </is>
      </c>
      <c r="O1276" s="48" t="n">
        <v>44522.625</v>
      </c>
      <c r="P1276" s="49" t="n">
        <v>44522</v>
      </c>
      <c r="Q1276" s="47" t="n">
        <v>1992</v>
      </c>
      <c r="R1276" s="47" t="inlineStr">
        <is>
          <t>No Video ID yet</t>
        </is>
      </c>
      <c r="S1276" s="49" t="n"/>
      <c r="T1276" s="49" t="n"/>
      <c r="U1276" s="47" t="inlineStr">
        <is>
          <t>This week J and Beth deal with a sick Lukester all week, J applies to Survivor, the twins get into mischief, and of course we unbox some Pokemon stuff! Beth’s Autumn Mule Recipe: 1 Shot Bourbon 1 Shot Apple Cider Top off with Ginger Beer Squeeze of Orange Swirl and Garnish with Cinnamon Stick ENJOY! #Survivor Edited by Ethan Edghill</t>
        </is>
      </c>
      <c r="V1276" s="47">
        <f>IF(AND(P1276&gt;=Calendar!$K$2,P1276&lt;EDATE(Calendar!$K$2,1),OR(Calendar!$K$4="*",N1276=Calendar!$K$4)),P1276*100+COUNTIFS($P$6:$P$3267,P1276,$Q$6:$Q$3267,"&lt;="&amp;Q1276,$N$6:$N$3267,Calendar!$K$4),"")</f>
        <v/>
      </c>
      <c r="W1276" s="47">
        <f>IF(AND(B1276=Queue!$C$4,OR(Queue!$K$4="*",N1276=Queue!$K$4)),Q1276,"")</f>
        <v/>
      </c>
    </row>
    <row r="1277">
      <c r="A1277" s="38">
        <f>IF(M1277="","",HYPERLINK("https://www.youtube.com/watch?v="&amp;M1277,"▶"))</f>
        <v/>
      </c>
      <c r="B1277" s="39">
        <f>IF(C1277&lt;&gt;"",C1277,IF(P1277&lt;=IFERROR(INDEX(tblChannels[Watched Through],MATCH(N1277,tblChannels[Channel ID],0)),0),"Watched","Unwatched"))</f>
        <v/>
      </c>
      <c r="C1277" s="40" t="n"/>
      <c r="D1277" s="41" t="n"/>
      <c r="E1277" s="42" t="n">
        <v>44519.84583333333</v>
      </c>
      <c r="F1277" s="50" t="inlineStr">
        <is>
          <t>Super Carlin Brothers</t>
        </is>
      </c>
      <c r="G1277" t="inlineStr">
        <is>
          <t>ALL FANDOMS Trivia Night and House Mug Launch LIVE STREAM!</t>
        </is>
      </c>
      <c r="H1277" s="44" t="n">
        <v>0.09795138888888889</v>
      </c>
      <c r="I1277" s="45" t="n">
        <v>60810</v>
      </c>
      <c r="J1277" s="45" t="n">
        <v>1638</v>
      </c>
      <c r="K1277" s="45" t="n">
        <v>93</v>
      </c>
      <c r="L1277" s="46" t="n"/>
      <c r="M1277" s="47" t="n"/>
      <c r="N1277" s="47" t="inlineStr">
        <is>
          <t>UCKZo4N0lVPccBkSiuyVh4yg</t>
        </is>
      </c>
      <c r="O1277" s="48" t="n">
        <v>44520.05416666667</v>
      </c>
      <c r="P1277" s="49" t="n">
        <v>44519</v>
      </c>
      <c r="Q1277" s="47" t="n">
        <v>1991</v>
      </c>
      <c r="R1277" s="47" t="inlineStr">
        <is>
          <t>No Video ID yet</t>
        </is>
      </c>
      <c r="S1277" s="49" t="n"/>
      <c r="T1277" s="49" t="n"/>
      <c r="U1277" s="47" t="inlineStr">
        <is>
          <t>DO YOU HAVE WHAT IT TAKES TO BECOME THE CHAMPION OF ALL SIX FANDOMS?! - Test your knowledge of Disney, Pixar, Marvel, Star Wars, Harry Potter and Avatar: The Last Airbender! And check out some BRAND NEW products we're launching at carlinbrotherscoffee.com, including our 2021 House Mugs Series! Animal Mugs: Tankards: Holiday Bundle: Chocolate: Seasonal Coffee: Winners and Top Five email: secretcarlinbrothers@gmail.com with a screenshot of your winning score! You MUST Email by 11/29 to receive your prize! HOW TO PLAY Kahoot with the Carlins! 1. Download the Kahoot app to your mobile device, or go to Kahoot.it to join the game! If the app is already installed on your device we recommend making sure it is up to date before the game starts! 2. Make sure you’re running the SCB Livestream on a different device or a different window than Kahoot! (We recommend having Kahoot on your phone and the stream on a computer or TV, but two tabs/windows on the same computer works as well!) 3. Shortly before we start the game, SCB will announce the game PIN. Enter the pin into your Kahoot App or at Kahoot.it 4. Enter a nickname for yourself and join the game! 5. Points are awarded for accuracy and spe</t>
        </is>
      </c>
      <c r="V1277" s="47">
        <f>IF(AND(P1277&gt;=Calendar!$K$2,P1277&lt;EDATE(Calendar!$K$2,1),OR(Calendar!$K$4="*",N1277=Calendar!$K$4)),P1277*100+COUNTIFS($P$6:$P$3267,P1277,$Q$6:$Q$3267,"&lt;="&amp;Q1277,$N$6:$N$3267,Calendar!$K$4),"")</f>
        <v/>
      </c>
      <c r="W1277" s="47">
        <f>IF(AND(B1277=Queue!$C$4,OR(Queue!$K$4="*",N1277=Queue!$K$4)),Q1277,"")</f>
        <v/>
      </c>
    </row>
    <row r="1278">
      <c r="A1278" s="38">
        <f>IF(M1278="","",HYPERLINK("https://www.youtube.com/watch?v="&amp;M1278,"▶"))</f>
        <v/>
      </c>
      <c r="B1278" s="39">
        <f>IF(C1278&lt;&gt;"",C1278,IF(P1278&lt;=IFERROR(INDEX(tblChannels[Watched Through],MATCH(N1278,tblChannels[Channel ID],0)),0),"Watched","Unwatched"))</f>
        <v/>
      </c>
      <c r="C1278" s="40" t="n"/>
      <c r="D1278" s="41" t="n"/>
      <c r="E1278" s="42" t="n">
        <v>44519.5</v>
      </c>
      <c r="F1278" s="54" t="inlineStr">
        <is>
          <t>With the Carlins</t>
        </is>
      </c>
      <c r="G1278" t="inlineStr">
        <is>
          <t>OUR First Baby Steps as New Parents</t>
        </is>
      </c>
      <c r="H1278" s="44" t="n">
        <v>0.01133101851851852</v>
      </c>
      <c r="I1278" s="45" t="n">
        <v>27409</v>
      </c>
      <c r="J1278" s="45" t="n">
        <v>2772</v>
      </c>
      <c r="K1278" s="45" t="n">
        <v>217</v>
      </c>
      <c r="L1278" s="46" t="n"/>
      <c r="M1278" s="47" t="n"/>
      <c r="N1278" s="47" t="inlineStr">
        <is>
          <t>UCVBTjN9WJU5Ac8yU7b2K-5g</t>
        </is>
      </c>
      <c r="O1278" s="48" t="n">
        <v>44519.70833333334</v>
      </c>
      <c r="P1278" s="49" t="n">
        <v>44519</v>
      </c>
      <c r="Q1278" s="47" t="n">
        <v>1990</v>
      </c>
      <c r="R1278" s="47" t="inlineStr">
        <is>
          <t>No Video ID yet</t>
        </is>
      </c>
      <c r="S1278" s="49" t="n"/>
      <c r="T1278" s="49" t="n"/>
      <c r="U1278" s="47" t="inlineStr">
        <is>
          <t>This week Alyce and I learned what it's like to be new parents and how even the smallest steps can feel like major accomplishments. Wood Splitting Tool: Follow Us! :: I N S T A G R A M➜ and Ben Carlin #SuperCarlinBrothers #CarlinFamily #FamilyVlog</t>
        </is>
      </c>
      <c r="V1278" s="47">
        <f>IF(AND(P1278&gt;=Calendar!$K$2,P1278&lt;EDATE(Calendar!$K$2,1),OR(Calendar!$K$4="*",N1278=Calendar!$K$4)),P1278*100+COUNTIFS($P$6:$P$3267,P1278,$Q$6:$Q$3267,"&lt;="&amp;Q1278,$N$6:$N$3267,Calendar!$K$4),"")</f>
        <v/>
      </c>
      <c r="W1278" s="47">
        <f>IF(AND(B1278=Queue!$C$4,OR(Queue!$K$4="*",N1278=Queue!$K$4)),Q1278,"")</f>
        <v/>
      </c>
    </row>
    <row r="1279">
      <c r="A1279" s="38">
        <f>IF(M1279="","",HYPERLINK("https://www.youtube.com/watch?v="&amp;M1279,"▶"))</f>
        <v/>
      </c>
      <c r="B1279" s="39">
        <f>IF(C1279&lt;&gt;"",C1279,IF(P1279&lt;=IFERROR(INDEX(tblChannels[Watched Through],MATCH(N1279,tblChannels[Channel ID],0)),0),"Watched","Unwatched"))</f>
        <v/>
      </c>
      <c r="C1279" s="40" t="n"/>
      <c r="D1279" s="41" t="n"/>
      <c r="E1279" s="42" t="n">
        <v>44519.41666666666</v>
      </c>
      <c r="F1279" s="43" t="inlineStr">
        <is>
          <t>Popcorn Culture</t>
        </is>
      </c>
      <c r="G1279" t="inlineStr">
        <is>
          <t>Cucumbers are Undercooked Pickles | Popcorn Culture</t>
        </is>
      </c>
      <c r="H1279" s="44" t="n">
        <v>0.04625</v>
      </c>
      <c r="I1279" s="45" t="n">
        <v>9843</v>
      </c>
      <c r="J1279" s="45" t="n">
        <v>524</v>
      </c>
      <c r="K1279" s="45" t="n">
        <v>103</v>
      </c>
      <c r="L1279" s="46" t="n"/>
      <c r="M1279" s="47" t="n"/>
      <c r="N1279" s="47" t="inlineStr">
        <is>
          <t>UCHfIbq9thHPC8yrKjAdJgDA</t>
        </is>
      </c>
      <c r="O1279" s="48" t="n">
        <v>44519.625</v>
      </c>
      <c r="P1279" s="49" t="n">
        <v>44519</v>
      </c>
      <c r="Q1279" s="47" t="n">
        <v>1989</v>
      </c>
      <c r="R1279" s="47" t="inlineStr">
        <is>
          <t>No Video ID yet</t>
        </is>
      </c>
      <c r="S1279" s="49" t="n"/>
      <c r="T1279" s="49" t="n"/>
      <c r="U1279" s="47" t="inlineStr">
        <is>
          <t>In the 102nd episode of the Pop, Ben and J discuss J’s breaducation, Ben’s Isuzu Trooper, gloves, disappointing foods, “toxic” people, and making things more difficult because it seems to be the right way to do things. Great British Baking Show: Big Bang Theory Sheldon knocking montage: Ethan’s Dog (probably) Pickles: Steamroller: Mannheim Steamroller: Millennial TikTok referenced: How I Met Your Mother episode referenced: Toxic People WebMD Article: Trivia Stream: J’s Wick of the Peek - The Shrink Next Door (TV Show): (Podcast):</t>
        </is>
      </c>
      <c r="V1279" s="47">
        <f>IF(AND(P1279&gt;=Calendar!$K$2,P1279&lt;EDATE(Calendar!$K$2,1),OR(Calendar!$K$4="*",N1279=Calendar!$K$4)),P1279*100+COUNTIFS($P$6:$P$3267,P1279,$Q$6:$Q$3267,"&lt;="&amp;Q1279,$N$6:$N$3267,Calendar!$K$4),"")</f>
        <v/>
      </c>
      <c r="W1279" s="47">
        <f>IF(AND(B1279=Queue!$C$4,OR(Queue!$K$4="*",N1279=Queue!$K$4)),Q1279,"")</f>
        <v/>
      </c>
    </row>
    <row r="1280">
      <c r="A1280" s="38">
        <f>IF(M1280="","",HYPERLINK("https://www.youtube.com/watch?v="&amp;M1280,"▶"))</f>
        <v/>
      </c>
      <c r="B1280" s="39">
        <f>IF(C1280&lt;&gt;"",C1280,IF(P1280&lt;=IFERROR(INDEX(tblChannels[Watched Through],MATCH(N1280,tblChannels[Channel ID],0)),0),"Watched","Unwatched"))</f>
        <v/>
      </c>
      <c r="C1280" s="40" t="n"/>
      <c r="D1280" s="41" t="n"/>
      <c r="E1280" s="42" t="n">
        <v>44518.69027777778</v>
      </c>
      <c r="F1280" s="50" t="inlineStr">
        <is>
          <t>Super Carlin Brothers</t>
        </is>
      </c>
      <c r="G1280" t="inlineStr">
        <is>
          <t>The Hogwarts Founders OTHER Secret Chambers | Harry Potter Theory</t>
        </is>
      </c>
      <c r="H1280" s="44" t="n">
        <v>0.01038194444444444</v>
      </c>
      <c r="I1280" s="45" t="n">
        <v>961693</v>
      </c>
      <c r="J1280" s="45" t="n">
        <v>33567</v>
      </c>
      <c r="K1280" s="45" t="n">
        <v>1904</v>
      </c>
      <c r="L1280" s="46" t="n"/>
      <c r="M1280" s="47" t="n"/>
      <c r="N1280" s="47" t="inlineStr">
        <is>
          <t>UCKZo4N0lVPccBkSiuyVh4yg</t>
        </is>
      </c>
      <c r="O1280" s="48" t="n">
        <v>44518.89861111111</v>
      </c>
      <c r="P1280" s="49" t="n">
        <v>44518</v>
      </c>
      <c r="Q1280" s="47" t="n">
        <v>1988</v>
      </c>
      <c r="R1280" s="47" t="inlineStr">
        <is>
          <t>No Video ID yet</t>
        </is>
      </c>
      <c r="S1280" s="49" t="n"/>
      <c r="T1280" s="49" t="n"/>
      <c r="U1280" s="47" t="inlineStr">
        <is>
          <t>Hogwarts is simply to full of secrets for only Salazar Slytherin to have created a secret chamber! Today J dives into the Wizarding World to discover which rooms Gryffindor, Ravenclaw and Hufflepuff hid in the castle as well! Set a Reminder NOW! Join us this Friday, November 19th at 6pm Eastern for a Trivia Live Stream where we will be revealing this years animal mugs and more fun coffee surprises!</t>
        </is>
      </c>
      <c r="V1280" s="47">
        <f>IF(AND(P1280&gt;=Calendar!$K$2,P1280&lt;EDATE(Calendar!$K$2,1),OR(Calendar!$K$4="*",N1280=Calendar!$K$4)),P1280*100+COUNTIFS($P$6:$P$3267,P1280,$Q$6:$Q$3267,"&lt;="&amp;Q1280,$N$6:$N$3267,Calendar!$K$4),"")</f>
        <v/>
      </c>
      <c r="W1280" s="47">
        <f>IF(AND(B1280=Queue!$C$4,OR(Queue!$K$4="*",N1280=Queue!$K$4)),Q1280,"")</f>
        <v/>
      </c>
    </row>
    <row r="1281">
      <c r="A1281" s="38">
        <f>IF(M1281="","",HYPERLINK("https://www.youtube.com/watch?v="&amp;M1281,"▶"))</f>
        <v/>
      </c>
      <c r="B1281" s="39">
        <f>IF(C1281&lt;&gt;"",C1281,IF(P1281&lt;=IFERROR(INDEX(tblChannels[Watched Through],MATCH(N1281,tblChannels[Channel ID],0)),0),"Watched","Unwatched"))</f>
        <v/>
      </c>
      <c r="C1281" s="40" t="n"/>
      <c r="D1281" s="41" t="n"/>
      <c r="E1281" s="42" t="n">
        <v>44516.69236111111</v>
      </c>
      <c r="F1281" s="50" t="inlineStr">
        <is>
          <t>Super Carlin Brothers</t>
        </is>
      </c>
      <c r="G1281" t="inlineStr">
        <is>
          <t>How Did Voldemort Get His Original Wand Back? | Harry Potter Theory</t>
        </is>
      </c>
      <c r="H1281" s="44" t="n">
        <v>0.008946759259259258</v>
      </c>
      <c r="I1281" s="45" t="n">
        <v>363690</v>
      </c>
      <c r="J1281" s="45" t="n">
        <v>14371</v>
      </c>
      <c r="K1281" s="45" t="n">
        <v>951</v>
      </c>
      <c r="L1281" s="46" t="n"/>
      <c r="M1281" s="47" t="n"/>
      <c r="N1281" s="47" t="inlineStr">
        <is>
          <t>UCKZo4N0lVPccBkSiuyVh4yg</t>
        </is>
      </c>
      <c r="O1281" s="48" t="n">
        <v>44516.90069444444</v>
      </c>
      <c r="P1281" s="49" t="n">
        <v>44516</v>
      </c>
      <c r="Q1281" s="47" t="n">
        <v>1987</v>
      </c>
      <c r="R1281" s="47" t="inlineStr">
        <is>
          <t>No Video ID yet</t>
        </is>
      </c>
      <c r="S1281" s="49" t="n"/>
      <c r="T1281" s="49" t="n"/>
      <c r="U1281" s="47" t="inlineStr">
        <is>
          <t>Go to to get 10% off and free shipping! Today J dives into the Wizarding World of Harry Potter to try and determine how Lord Voldemort reclaimed his original Yew Wand after returning in Goblet of Fire! Set a Reminder NOW! Join us this Friday, November 19th at 6pm Easter for a Trivia Live Stream where we will be revealing this years animal mugs and more fun coffee surprises!</t>
        </is>
      </c>
      <c r="V1281" s="47">
        <f>IF(AND(P1281&gt;=Calendar!$K$2,P1281&lt;EDATE(Calendar!$K$2,1),OR(Calendar!$K$4="*",N1281=Calendar!$K$4)),P1281*100+COUNTIFS($P$6:$P$3267,P1281,$Q$6:$Q$3267,"&lt;="&amp;Q1281,$N$6:$N$3267,Calendar!$K$4),"")</f>
        <v/>
      </c>
      <c r="W1281" s="47">
        <f>IF(AND(B1281=Queue!$C$4,OR(Queue!$K$4="*",N1281=Queue!$K$4)),Q1281,"")</f>
        <v/>
      </c>
    </row>
    <row r="1282">
      <c r="A1282" s="38">
        <f>IF(M1282="","",HYPERLINK("https://www.youtube.com/watch?v="&amp;M1282,"▶"))</f>
        <v/>
      </c>
      <c r="B1282" s="39">
        <f>IF(C1282&lt;&gt;"",C1282,IF(P1282&lt;=IFERROR(INDEX(tblChannels[Watched Through],MATCH(N1282,tblChannels[Channel ID],0)),0),"Watched","Unwatched"))</f>
        <v/>
      </c>
      <c r="C1282" s="40" t="n"/>
      <c r="D1282" s="41" t="n"/>
      <c r="E1282" s="42" t="n">
        <v>44515.41666666666</v>
      </c>
      <c r="F1282" s="53" t="inlineStr">
        <is>
          <t>Jonathan Carlin</t>
        </is>
      </c>
      <c r="G1282" t="inlineStr">
        <is>
          <t>The Boys First REAL Halloween!</t>
        </is>
      </c>
      <c r="H1282" s="44" t="n">
        <v>0.01369212962962963</v>
      </c>
      <c r="I1282" s="45" t="n">
        <v>26574</v>
      </c>
      <c r="J1282" s="45" t="n">
        <v>1991</v>
      </c>
      <c r="K1282" s="45" t="n">
        <v>148</v>
      </c>
      <c r="L1282" s="46" t="n"/>
      <c r="M1282" s="47" t="n"/>
      <c r="N1282" s="47" t="inlineStr">
        <is>
          <t>UCYPKFe86e6nm4TVUYKLsFUQ</t>
        </is>
      </c>
      <c r="O1282" s="48" t="n">
        <v>44515.625</v>
      </c>
      <c r="P1282" s="49" t="n">
        <v>44515</v>
      </c>
      <c r="Q1282" s="47" t="n">
        <v>1986</v>
      </c>
      <c r="R1282" s="47" t="inlineStr">
        <is>
          <t>No Video ID yet</t>
        </is>
      </c>
      <c r="S1282" s="49" t="n"/>
      <c r="T1282" s="49" t="n"/>
      <c r="U1282" s="47" t="inlineStr">
        <is>
          <t>This week J and the fam make up for last year when Halloween was effectively cancelled due to Covid - Luke, Nick and Nate all get their first real trick or treating experience AND Beth and J get to meet their new niece Addison!</t>
        </is>
      </c>
      <c r="V1282" s="47">
        <f>IF(AND(P1282&gt;=Calendar!$K$2,P1282&lt;EDATE(Calendar!$K$2,1),OR(Calendar!$K$4="*",N1282=Calendar!$K$4)),P1282*100+COUNTIFS($P$6:$P$3267,P1282,$Q$6:$Q$3267,"&lt;="&amp;Q1282,$N$6:$N$3267,Calendar!$K$4),"")</f>
        <v/>
      </c>
      <c r="W1282" s="47">
        <f>IF(AND(B1282=Queue!$C$4,OR(Queue!$K$4="*",N1282=Queue!$K$4)),Q1282,"")</f>
        <v/>
      </c>
    </row>
    <row r="1283">
      <c r="A1283" s="38">
        <f>IF(M1283="","",HYPERLINK("https://www.youtube.com/watch?v="&amp;M1283,"▶"))</f>
        <v/>
      </c>
      <c r="B1283" s="39">
        <f>IF(C1283&lt;&gt;"",C1283,IF(P1283&lt;=IFERROR(INDEX(tblChannels[Watched Through],MATCH(N1283,tblChannels[Channel ID],0)),0),"Watched","Unwatched"))</f>
        <v/>
      </c>
      <c r="C1283" s="40" t="n"/>
      <c r="D1283" s="41" t="n"/>
      <c r="E1283" s="42" t="n">
        <v>44512.5</v>
      </c>
      <c r="F1283" s="54" t="inlineStr">
        <is>
          <t>With the Carlins</t>
        </is>
      </c>
      <c r="G1283" t="inlineStr">
        <is>
          <t>Welcome to Life with the Carlins | Addison is Born</t>
        </is>
      </c>
      <c r="H1283" s="44" t="n">
        <v>0.00542824074074074</v>
      </c>
      <c r="I1283" s="45" t="n">
        <v>39858</v>
      </c>
      <c r="J1283" s="45" t="n">
        <v>4035</v>
      </c>
      <c r="K1283" s="45" t="n">
        <v>471</v>
      </c>
      <c r="L1283" s="46" t="n"/>
      <c r="M1283" s="47" t="n"/>
      <c r="N1283" s="47" t="inlineStr">
        <is>
          <t>UCVBTjN9WJU5Ac8yU7b2K-5g</t>
        </is>
      </c>
      <c r="O1283" s="48" t="n">
        <v>44512.70833333334</v>
      </c>
      <c r="P1283" s="49" t="n">
        <v>44512</v>
      </c>
      <c r="Q1283" s="47" t="n">
        <v>1985</v>
      </c>
      <c r="R1283" s="47" t="inlineStr">
        <is>
          <t>No Video ID yet</t>
        </is>
      </c>
      <c r="S1283" s="49" t="n"/>
      <c r="T1283" s="49" t="n"/>
      <c r="U1283" s="47" t="inlineStr">
        <is>
          <t>Welcome to Life with the Carlins! Tune in for weekly adventures with Ben, Alyce, and Addison as we enter parenthood, travel, track milestones, (maybe build a home?!), and so much more. Who are we? Alyce and I are both natives to Southwest Virginia. We both own small businesses, we were married at Disney World, are both huge dreamers and love adventure. We hope this project will be both entertaining for you and be a way to document the life of our growing family. Follow Us! :: I N S T A G R A M➜ and Ben Carlin #SuperCarlinBrothers #CarlinFamily #FamilyVlog</t>
        </is>
      </c>
      <c r="V1283" s="47">
        <f>IF(AND(P1283&gt;=Calendar!$K$2,P1283&lt;EDATE(Calendar!$K$2,1),OR(Calendar!$K$4="*",N1283=Calendar!$K$4)),P1283*100+COUNTIFS($P$6:$P$3267,P1283,$Q$6:$Q$3267,"&lt;="&amp;Q1283,$N$6:$N$3267,Calendar!$K$4),"")</f>
        <v/>
      </c>
      <c r="W1283" s="47">
        <f>IF(AND(B1283=Queue!$C$4,OR(Queue!$K$4="*",N1283=Queue!$K$4)),Q1283,"")</f>
        <v/>
      </c>
    </row>
    <row r="1284">
      <c r="A1284" s="38">
        <f>IF(M1284="","",HYPERLINK("https://www.youtube.com/watch?v="&amp;M1284,"▶"))</f>
        <v/>
      </c>
      <c r="B1284" s="39">
        <f>IF(C1284&lt;&gt;"",C1284,IF(P1284&lt;=IFERROR(INDEX(tblChannels[Watched Through],MATCH(N1284,tblChannels[Channel ID],0)),0),"Watched","Unwatched"))</f>
        <v/>
      </c>
      <c r="C1284" s="40" t="n"/>
      <c r="D1284" s="41" t="n"/>
      <c r="E1284" s="42" t="n">
        <v>44512.41666666666</v>
      </c>
      <c r="F1284" s="43" t="inlineStr">
        <is>
          <t>Popcorn Culture</t>
        </is>
      </c>
      <c r="G1284" t="inlineStr">
        <is>
          <t>The NONE True Host | Popcorn Culture</t>
        </is>
      </c>
      <c r="H1284" s="44" t="n">
        <v>0.04545138888888889</v>
      </c>
      <c r="I1284" s="45" t="n">
        <v>12369</v>
      </c>
      <c r="J1284" s="45" t="n">
        <v>812</v>
      </c>
      <c r="K1284" s="45" t="n">
        <v>176</v>
      </c>
      <c r="L1284" s="46" t="n"/>
      <c r="M1284" s="47" t="n"/>
      <c r="N1284" s="47" t="inlineStr">
        <is>
          <t>UCHfIbq9thHPC8yrKjAdJgDA</t>
        </is>
      </c>
      <c r="O1284" s="48" t="n">
        <v>44512.625</v>
      </c>
      <c r="P1284" s="49" t="n">
        <v>44512</v>
      </c>
      <c r="Q1284" s="47" t="n">
        <v>1984</v>
      </c>
      <c r="R1284" s="47" t="inlineStr">
        <is>
          <t>No Video ID yet</t>
        </is>
      </c>
      <c r="S1284" s="49" t="n"/>
      <c r="T1284" s="49" t="n"/>
      <c r="U1284" s="47" t="inlineStr">
        <is>
          <t>In this emotional episode of the Pop, Ben and J discuss: Ben being a dad!!! Ben and Alyce’s incredible doctor, snickerdoodles and fruitcake, J applying for Survivor and Survivor strategies. Snickerdoodles: Snickers: Russell on Survivor: J’s Wick of the Peek - Survivor</t>
        </is>
      </c>
      <c r="V1284" s="47">
        <f>IF(AND(P1284&gt;=Calendar!$K$2,P1284&lt;EDATE(Calendar!$K$2,1),OR(Calendar!$K$4="*",N1284=Calendar!$K$4)),P1284*100+COUNTIFS($P$6:$P$3267,P1284,$Q$6:$Q$3267,"&lt;="&amp;Q1284,$N$6:$N$3267,Calendar!$K$4),"")</f>
        <v/>
      </c>
      <c r="W1284" s="47">
        <f>IF(AND(B1284=Queue!$C$4,OR(Queue!$K$4="*",N1284=Queue!$K$4)),Q1284,"")</f>
        <v/>
      </c>
    </row>
    <row r="1285">
      <c r="A1285" s="38">
        <f>IF(M1285="","",HYPERLINK("https://www.youtube.com/watch?v="&amp;M1285,"▶"))</f>
        <v/>
      </c>
      <c r="B1285" s="39">
        <f>IF(C1285&lt;&gt;"",C1285,IF(P1285&lt;=IFERROR(INDEX(tblChannels[Watched Through],MATCH(N1285,tblChannels[Channel ID],0)),0),"Watched","Unwatched"))</f>
        <v/>
      </c>
      <c r="C1285" s="40" t="n"/>
      <c r="D1285" s="41" t="n"/>
      <c r="E1285" s="42" t="n">
        <v>44511.69722222222</v>
      </c>
      <c r="F1285" s="50" t="inlineStr">
        <is>
          <t>Super Carlin Brothers</t>
        </is>
      </c>
      <c r="G1285" t="inlineStr">
        <is>
          <t>J vs Ben: ULTIMATE Defense Against The Dark Arts Professor TRIVIA Quiz</t>
        </is>
      </c>
      <c r="H1285" s="44" t="n">
        <v>0.01585648148148148</v>
      </c>
      <c r="I1285" s="45" t="n">
        <v>222012</v>
      </c>
      <c r="J1285" s="45" t="n">
        <v>8485</v>
      </c>
      <c r="K1285" s="45" t="n">
        <v>526</v>
      </c>
      <c r="L1285" s="46" t="n"/>
      <c r="M1285" s="47" t="n"/>
      <c r="N1285" s="47" t="inlineStr">
        <is>
          <t>UCKZo4N0lVPccBkSiuyVh4yg</t>
        </is>
      </c>
      <c r="O1285" s="48" t="n">
        <v>44511.90555555555</v>
      </c>
      <c r="P1285" s="49" t="n">
        <v>44511</v>
      </c>
      <c r="Q1285" s="47" t="n">
        <v>1983</v>
      </c>
      <c r="R1285" s="47" t="inlineStr">
        <is>
          <t>No Video ID yet</t>
        </is>
      </c>
      <c r="S1285" s="49" t="n"/>
      <c r="T1285" s="49" t="n"/>
      <c r="U1285" s="47" t="inlineStr">
        <is>
          <t>Go to and enter code super at checkout to get 20% off your first monthly box! Get 25% off and zero delivery fees on their first order of $15 or more, when you download the DoorDash app and enter code JVSB2021 Today J and Ben face off once more to determine who knows everybody’s favorite rotation post at Hogwarts: Defense Against The Dark Arts Professor! Ben's V L O G➜ Play Along with us: #SuperCarlinBrothers #JvsBen #HarryPotter</t>
        </is>
      </c>
      <c r="V1285" s="47">
        <f>IF(AND(P1285&gt;=Calendar!$K$2,P1285&lt;EDATE(Calendar!$K$2,1),OR(Calendar!$K$4="*",N1285=Calendar!$K$4)),P1285*100+COUNTIFS($P$6:$P$3267,P1285,$Q$6:$Q$3267,"&lt;="&amp;Q1285,$N$6:$N$3267,Calendar!$K$4),"")</f>
        <v/>
      </c>
      <c r="W1285" s="47">
        <f>IF(AND(B1285=Queue!$C$4,OR(Queue!$K$4="*",N1285=Queue!$K$4)),Q1285,"")</f>
        <v/>
      </c>
    </row>
    <row r="1286">
      <c r="A1286" s="38">
        <f>IF(M1286="","",HYPERLINK("https://www.youtube.com/watch?v="&amp;M1286,"▶"))</f>
        <v/>
      </c>
      <c r="B1286" s="39">
        <f>IF(C1286&lt;&gt;"",C1286,IF(P1286&lt;=IFERROR(INDEX(tblChannels[Watched Through],MATCH(N1286,tblChannels[Channel ID],0)),0),"Watched","Unwatched"))</f>
        <v/>
      </c>
      <c r="C1286" s="40" t="n"/>
      <c r="D1286" s="41" t="n"/>
      <c r="E1286" s="42" t="n">
        <v>44509.70347222222</v>
      </c>
      <c r="F1286" s="50" t="inlineStr">
        <is>
          <t>Super Carlin Brothers</t>
        </is>
      </c>
      <c r="G1286" t="inlineStr">
        <is>
          <t>Eternals Post Credit Scene Explained: Who Is The Black Knight?</t>
        </is>
      </c>
      <c r="H1286" s="44" t="n">
        <v>0.01087962962962963</v>
      </c>
      <c r="I1286" s="45" t="n">
        <v>132613</v>
      </c>
      <c r="J1286" s="45" t="n">
        <v>5560</v>
      </c>
      <c r="K1286" s="45" t="n">
        <v>370</v>
      </c>
      <c r="L1286" s="46" t="n"/>
      <c r="M1286" s="47" t="n"/>
      <c r="N1286" s="47" t="inlineStr">
        <is>
          <t>UCKZo4N0lVPccBkSiuyVh4yg</t>
        </is>
      </c>
      <c r="O1286" s="48" t="n">
        <v>44509.91180555556</v>
      </c>
      <c r="P1286" s="49" t="n">
        <v>44509</v>
      </c>
      <c r="Q1286" s="47" t="n">
        <v>1982</v>
      </c>
      <c r="R1286" s="47" t="inlineStr">
        <is>
          <t>No Video ID yet</t>
        </is>
      </c>
      <c r="S1286" s="49" t="n"/>
      <c r="T1286" s="49" t="n"/>
      <c r="U1286" s="47" t="inlineStr">
        <is>
          <t>Head over to and take care of yourself! Go to to get an extra 3 months FREE! J’s Vlog :: Ben’s Vlog :: Today J dives in to the Marvel Cinematic Universe to explain the mid-credit scene and post credit scene from the Eternals. Who is the Black Knight? Who is Dane Whitman? Who is Eros aka Starfox aka Harry Styles?? Today we find out! #SuperCarlinBrothers #Marvel #TheEternals #YouKnowNothingDaneWhitman</t>
        </is>
      </c>
      <c r="V1286" s="47">
        <f>IF(AND(P1286&gt;=Calendar!$K$2,P1286&lt;EDATE(Calendar!$K$2,1),OR(Calendar!$K$4="*",N1286=Calendar!$K$4)),P1286*100+COUNTIFS($P$6:$P$3267,P1286,$Q$6:$Q$3267,"&lt;="&amp;Q1286,$N$6:$N$3267,Calendar!$K$4),"")</f>
        <v/>
      </c>
      <c r="W1286" s="47">
        <f>IF(AND(B1286=Queue!$C$4,OR(Queue!$K$4="*",N1286=Queue!$K$4)),Q1286,"")</f>
        <v/>
      </c>
    </row>
    <row r="1287">
      <c r="A1287" s="38">
        <f>IF(M1287="","",HYPERLINK("https://www.youtube.com/watch?v="&amp;M1287,"▶"))</f>
        <v/>
      </c>
      <c r="B1287" s="39">
        <f>IF(C1287&lt;&gt;"",C1287,IF(P1287&lt;=IFERROR(INDEX(tblChannels[Watched Through],MATCH(N1287,tblChannels[Channel ID],0)),0),"Watched","Unwatched"))</f>
        <v/>
      </c>
      <c r="C1287" s="40" t="n"/>
      <c r="D1287" s="41" t="n"/>
      <c r="E1287" s="42" t="n">
        <v>44508.41666666666</v>
      </c>
      <c r="F1287" s="53" t="inlineStr">
        <is>
          <t>Jonathan Carlin</t>
        </is>
      </c>
      <c r="G1287" t="inlineStr">
        <is>
          <t>THE VLOG IS BACK!</t>
        </is>
      </c>
      <c r="H1287" s="44" t="n">
        <v>0.01766203703703704</v>
      </c>
      <c r="I1287" s="45" t="n">
        <v>35380</v>
      </c>
      <c r="J1287" s="45" t="n">
        <v>2741</v>
      </c>
      <c r="K1287" s="45" t="n">
        <v>239</v>
      </c>
      <c r="L1287" s="46" t="n"/>
      <c r="M1287" s="47" t="n"/>
      <c r="N1287" s="47" t="inlineStr">
        <is>
          <t>UCYPKFe86e6nm4TVUYKLsFUQ</t>
        </is>
      </c>
      <c r="O1287" s="48" t="n">
        <v>44508.625</v>
      </c>
      <c r="P1287" s="49" t="n">
        <v>44508</v>
      </c>
      <c r="Q1287" s="47" t="n">
        <v>1981</v>
      </c>
      <c r="R1287" s="47" t="inlineStr">
        <is>
          <t>No Video ID yet</t>
        </is>
      </c>
      <c r="S1287" s="49" t="n"/>
      <c r="T1287" s="49" t="n"/>
      <c r="U1287" s="47" t="inlineStr">
        <is>
          <t>The Vlog is Back!! This week J and the fam head to Season's Yield Farm for some Fall time fun, Ben preps for his incoming baby, Nick and Nate get haircuts, and we open a lot of Pokemon Cards! Subscribe to Ben's Vlog ::</t>
        </is>
      </c>
      <c r="V1287" s="47">
        <f>IF(AND(P1287&gt;=Calendar!$K$2,P1287&lt;EDATE(Calendar!$K$2,1),OR(Calendar!$K$4="*",N1287=Calendar!$K$4)),P1287*100+COUNTIFS($P$6:$P$3267,P1287,$Q$6:$Q$3267,"&lt;="&amp;Q1287,$N$6:$N$3267,Calendar!$K$4),"")</f>
        <v/>
      </c>
      <c r="W1287" s="47">
        <f>IF(AND(B1287=Queue!$C$4,OR(Queue!$K$4="*",N1287=Queue!$K$4)),Q1287,"")</f>
        <v/>
      </c>
    </row>
    <row r="1288">
      <c r="A1288" s="38">
        <f>IF(M1288="","",HYPERLINK("https://www.youtube.com/watch?v="&amp;M1288,"▶"))</f>
        <v/>
      </c>
      <c r="B1288" s="39">
        <f>IF(C1288&lt;&gt;"",C1288,IF(P1288&lt;=IFERROR(INDEX(tblChannels[Watched Through],MATCH(N1288,tblChannels[Channel ID],0)),0),"Watched","Unwatched"))</f>
        <v/>
      </c>
      <c r="C1288" s="40" t="n"/>
      <c r="D1288" s="41" t="n"/>
      <c r="E1288" s="42" t="n">
        <v>44505.41666666666</v>
      </c>
      <c r="F1288" s="43" t="inlineStr">
        <is>
          <t>Popcorn Culture</t>
        </is>
      </c>
      <c r="G1288" t="inlineStr">
        <is>
          <t>The Wives Episode - How to be Effortlessly Cool | Popcorn Culture</t>
        </is>
      </c>
      <c r="H1288" s="44" t="n">
        <v>0.05927083333333334</v>
      </c>
      <c r="I1288" s="45" t="n">
        <v>24667</v>
      </c>
      <c r="J1288" s="45" t="n">
        <v>1049</v>
      </c>
      <c r="K1288" s="45" t="n">
        <v>109</v>
      </c>
      <c r="L1288" s="46" t="n"/>
      <c r="M1288" s="47" t="n"/>
      <c r="N1288" s="47" t="inlineStr">
        <is>
          <t>UCHfIbq9thHPC8yrKjAdJgDA</t>
        </is>
      </c>
      <c r="O1288" s="48" t="n">
        <v>44505.58333333334</v>
      </c>
      <c r="P1288" s="49" t="n">
        <v>44505</v>
      </c>
      <c r="Q1288" s="47" t="n">
        <v>1980</v>
      </c>
      <c r="R1288" s="47" t="inlineStr">
        <is>
          <t>No Video ID yet</t>
        </is>
      </c>
      <c r="S1288" s="49" t="n"/>
      <c r="T1288" s="49" t="n"/>
      <c r="U1288" s="47" t="inlineStr">
        <is>
          <t>In the 100th EPISODE (!!!) of the Pop, Ben and J AND Beth and Alyce discuss parenthood, work/life balance, sick days as kids, different perspectives, eyebrows and tweezers, family mottos, ideal Sundays, social media vices, and trying to be cool. Beth’s Instagram: Alyce’s Instagram: Alyce’s Bridal Shop: Questions for game pulled from: J’s Wick of the Peek - Revlon tweezers:</t>
        </is>
      </c>
      <c r="V1288" s="47">
        <f>IF(AND(P1288&gt;=Calendar!$K$2,P1288&lt;EDATE(Calendar!$K$2,1),OR(Calendar!$K$4="*",N1288=Calendar!$K$4)),P1288*100+COUNTIFS($P$6:$P$3267,P1288,$Q$6:$Q$3267,"&lt;="&amp;Q1288,$N$6:$N$3267,Calendar!$K$4),"")</f>
        <v/>
      </c>
      <c r="W1288" s="47">
        <f>IF(AND(B1288=Queue!$C$4,OR(Queue!$K$4="*",N1288=Queue!$K$4)),Q1288,"")</f>
        <v/>
      </c>
    </row>
    <row r="1289">
      <c r="A1289" s="38">
        <f>IF(M1289="","",HYPERLINK("https://www.youtube.com/watch?v="&amp;M1289,"▶"))</f>
        <v/>
      </c>
      <c r="B1289" s="39">
        <f>IF(C1289&lt;&gt;"",C1289,IF(P1289&lt;=IFERROR(INDEX(tblChannels[Watched Through],MATCH(N1289,tblChannels[Channel ID],0)),0),"Watched","Unwatched"))</f>
        <v/>
      </c>
      <c r="C1289" s="40" t="n"/>
      <c r="D1289" s="41" t="n"/>
      <c r="E1289" s="42" t="n">
        <v>44504.61388888889</v>
      </c>
      <c r="F1289" s="50" t="inlineStr">
        <is>
          <t>Super Carlin Brothers</t>
        </is>
      </c>
      <c r="G1289" t="inlineStr">
        <is>
          <t>Pokemon’s OTHER Least Favorite Pokemon | Theory</t>
        </is>
      </c>
      <c r="H1289" s="44" t="n">
        <v>0.01101851851851852</v>
      </c>
      <c r="I1289" s="45" t="n">
        <v>250186</v>
      </c>
      <c r="J1289" s="45" t="n">
        <v>12091</v>
      </c>
      <c r="K1289" s="45" t="n">
        <v>2042</v>
      </c>
      <c r="L1289" s="46" t="n"/>
      <c r="M1289" s="47" t="n"/>
      <c r="N1289" s="47" t="inlineStr">
        <is>
          <t>UCKZo4N0lVPccBkSiuyVh4yg</t>
        </is>
      </c>
      <c r="O1289" s="48" t="n">
        <v>44504.78055555555</v>
      </c>
      <c r="P1289" s="49" t="n">
        <v>44504</v>
      </c>
      <c r="Q1289" s="47" t="n">
        <v>1979</v>
      </c>
      <c r="R1289" s="47" t="inlineStr">
        <is>
          <t>No Video ID yet</t>
        </is>
      </c>
      <c r="S1289" s="49" t="n"/>
      <c r="T1289" s="49" t="n"/>
      <c r="U1289" s="47" t="inlineStr">
        <is>
          <t>Head over to and take care of yourself! Go to to get your new wireless plan for just $15 a month! Today J dives into the world of Pokemon to discuss the oft forgotten, overlooked, and snubbed evolution of Pikachu: Raichu. #SuperCarlinBrothers #Pokemon</t>
        </is>
      </c>
      <c r="V1289" s="47">
        <f>IF(AND(P1289&gt;=Calendar!$K$2,P1289&lt;EDATE(Calendar!$K$2,1),OR(Calendar!$K$4="*",N1289=Calendar!$K$4)),P1289*100+COUNTIFS($P$6:$P$3267,P1289,$Q$6:$Q$3267,"&lt;="&amp;Q1289,$N$6:$N$3267,Calendar!$K$4),"")</f>
        <v/>
      </c>
      <c r="W1289" s="47">
        <f>IF(AND(B1289=Queue!$C$4,OR(Queue!$K$4="*",N1289=Queue!$K$4)),Q1289,"")</f>
        <v/>
      </c>
    </row>
    <row r="1290">
      <c r="A1290" s="38">
        <f>IF(M1290="","",HYPERLINK("https://www.youtube.com/watch?v="&amp;M1290,"▶"))</f>
        <v/>
      </c>
      <c r="B1290" s="39">
        <f>IF(C1290&lt;&gt;"",C1290,IF(P1290&lt;=IFERROR(INDEX(tblChannels[Watched Through],MATCH(N1290,tblChannels[Channel ID],0)),0),"Watched","Unwatched"))</f>
        <v/>
      </c>
      <c r="C1290" s="40" t="n"/>
      <c r="D1290" s="41" t="n"/>
      <c r="E1290" s="42" t="n">
        <v>44502.61319444444</v>
      </c>
      <c r="F1290" s="50" t="inlineStr">
        <is>
          <t>Super Carlin Brothers</t>
        </is>
      </c>
      <c r="G1290" t="inlineStr">
        <is>
          <t>Viktor Krum’s BIG Secret | Harry Potter Theory</t>
        </is>
      </c>
      <c r="H1290" s="44" t="n">
        <v>0.009027777777777777</v>
      </c>
      <c r="I1290" s="45" t="n">
        <v>451618</v>
      </c>
      <c r="J1290" s="45" t="n">
        <v>19847</v>
      </c>
      <c r="K1290" s="45" t="n">
        <v>1905</v>
      </c>
      <c r="L1290" s="46" t="n"/>
      <c r="M1290" s="47" t="n"/>
      <c r="N1290" s="47" t="inlineStr">
        <is>
          <t>UCKZo4N0lVPccBkSiuyVh4yg</t>
        </is>
      </c>
      <c r="O1290" s="48" t="n">
        <v>44502.77986111111</v>
      </c>
      <c r="P1290" s="49" t="n">
        <v>44502</v>
      </c>
      <c r="Q1290" s="47" t="n">
        <v>1978</v>
      </c>
      <c r="R1290" s="47" t="inlineStr">
        <is>
          <t>No Video ID yet</t>
        </is>
      </c>
      <c r="S1290" s="49" t="n"/>
      <c r="T1290" s="49" t="n"/>
      <c r="U1290" s="47" t="inlineStr">
        <is>
          <t>Head on over to to get 10% off your order. Head over to and take care of yourself! Today J dives deep into the Wizarding World and Hogwarts Great Lake to learn the TRUTH about Viktor Krum’s BIG Secret!</t>
        </is>
      </c>
      <c r="V1290" s="47">
        <f>IF(AND(P1290&gt;=Calendar!$K$2,P1290&lt;EDATE(Calendar!$K$2,1),OR(Calendar!$K$4="*",N1290=Calendar!$K$4)),P1290*100+COUNTIFS($P$6:$P$3267,P1290,$Q$6:$Q$3267,"&lt;="&amp;Q1290,$N$6:$N$3267,Calendar!$K$4),"")</f>
        <v/>
      </c>
      <c r="W1290" s="47">
        <f>IF(AND(B1290=Queue!$C$4,OR(Queue!$K$4="*",N1290=Queue!$K$4)),Q1290,"")</f>
        <v/>
      </c>
    </row>
    <row r="1291">
      <c r="A1291" s="38">
        <f>IF(M1291="","",HYPERLINK("https://www.youtube.com/watch?v="&amp;M1291,"▶"))</f>
        <v/>
      </c>
      <c r="B1291" s="39">
        <f>IF(C1291&lt;&gt;"",C1291,IF(P1291&lt;=IFERROR(INDEX(tblChannels[Watched Through],MATCH(N1291,tblChannels[Channel ID],0)),0),"Watched","Unwatched"))</f>
        <v/>
      </c>
      <c r="C1291" s="40" t="n"/>
      <c r="D1291" s="41" t="n"/>
      <c r="E1291" s="42" t="n">
        <v>44501.59652777778</v>
      </c>
      <c r="F1291" s="53" t="inlineStr">
        <is>
          <t>Jonathan Carlin</t>
        </is>
      </c>
      <c r="G1291" t="inlineStr">
        <is>
          <t>Return of the VLOG | Trailer</t>
        </is>
      </c>
      <c r="H1291" s="44" t="n">
        <v>0.0006828703703703704</v>
      </c>
      <c r="I1291" s="45" t="n">
        <v>16754</v>
      </c>
      <c r="J1291" s="45" t="n">
        <v>2067</v>
      </c>
      <c r="K1291" s="45" t="n">
        <v>274</v>
      </c>
      <c r="L1291" s="46" t="n"/>
      <c r="M1291" s="47" t="n"/>
      <c r="N1291" s="47" t="inlineStr">
        <is>
          <t>UCYPKFe86e6nm4TVUYKLsFUQ</t>
        </is>
      </c>
      <c r="O1291" s="48" t="n">
        <v>44501.76319444444</v>
      </c>
      <c r="P1291" s="49" t="n">
        <v>44501</v>
      </c>
      <c r="Q1291" s="47" t="n">
        <v>1977</v>
      </c>
      <c r="R1291" s="47" t="inlineStr">
        <is>
          <t>No Video ID yet</t>
        </is>
      </c>
      <c r="S1291" s="49" t="n"/>
      <c r="T1291" s="49" t="n"/>
      <c r="U1291" s="47" t="inlineStr">
        <is>
          <t>On November 8th... we're back!</t>
        </is>
      </c>
      <c r="V1291" s="47">
        <f>IF(AND(P1291&gt;=Calendar!$K$2,P1291&lt;EDATE(Calendar!$K$2,1),OR(Calendar!$K$4="*",N1291=Calendar!$K$4)),P1291*100+COUNTIFS($P$6:$P$3267,P1291,$Q$6:$Q$3267,"&lt;="&amp;Q1291,$N$6:$N$3267,Calendar!$K$4),"")</f>
        <v/>
      </c>
      <c r="W1291" s="47">
        <f>IF(AND(B1291=Queue!$C$4,OR(Queue!$K$4="*",N1291=Queue!$K$4)),Q1291,"")</f>
        <v/>
      </c>
    </row>
    <row r="1292">
      <c r="A1292" s="38">
        <f>IF(M1292="","",HYPERLINK("https://www.youtube.com/watch?v="&amp;M1292,"▶"))</f>
        <v/>
      </c>
      <c r="B1292" s="39">
        <f>IF(C1292&lt;&gt;"",C1292,IF(P1292&lt;=IFERROR(INDEX(tblChannels[Watched Through],MATCH(N1292,tblChannels[Channel ID],0)),0),"Watched","Unwatched"))</f>
        <v/>
      </c>
      <c r="C1292" s="40" t="n"/>
      <c r="D1292" s="41" t="n"/>
      <c r="E1292" s="42" t="n">
        <v>44501.41666666666</v>
      </c>
      <c r="F1292" s="52" t="inlineStr">
        <is>
          <t>Super Carlin Gaming</t>
        </is>
      </c>
      <c r="G1292" t="inlineStr">
        <is>
          <t>THE RED BATTLE |  Pokémon SoulSilver Randomizer Nuzlocke #33</t>
        </is>
      </c>
      <c r="H1292" s="44" t="n">
        <v>0.02525462962962963</v>
      </c>
      <c r="I1292" s="45" t="n">
        <v>12173</v>
      </c>
      <c r="J1292" s="45" t="n">
        <v>841</v>
      </c>
      <c r="K1292" s="45" t="n">
        <v>246</v>
      </c>
      <c r="L1292" s="46" t="n"/>
      <c r="M1292" s="47" t="n"/>
      <c r="N1292" s="47" t="inlineStr">
        <is>
          <t>UCor_9jRnNNZVzTuQ92PKsaQ</t>
        </is>
      </c>
      <c r="O1292" s="48" t="n">
        <v>44501.58333333334</v>
      </c>
      <c r="P1292" s="49" t="n">
        <v>44501</v>
      </c>
      <c r="Q1292" s="47" t="n">
        <v>1976</v>
      </c>
      <c r="R1292" s="47" t="inlineStr">
        <is>
          <t>No Video ID yet</t>
        </is>
      </c>
      <c r="S1292" s="49" t="n"/>
      <c r="T1292" s="49" t="n"/>
      <c r="U1292" s="47" t="inlineStr">
        <is>
          <t>It all comes down to this. J finally takes on Red for the last battle of a tough, loss-filled Nuzlocke. Does the remaining team stand a chance against Red's INSANE Pokémon?</t>
        </is>
      </c>
      <c r="V1292" s="47">
        <f>IF(AND(P1292&gt;=Calendar!$K$2,P1292&lt;EDATE(Calendar!$K$2,1),OR(Calendar!$K$4="*",N1292=Calendar!$K$4)),P1292*100+COUNTIFS($P$6:$P$3267,P1292,$Q$6:$Q$3267,"&lt;="&amp;Q1292,$N$6:$N$3267,Calendar!$K$4),"")</f>
        <v/>
      </c>
      <c r="W1292" s="47">
        <f>IF(AND(B1292=Queue!$C$4,OR(Queue!$K$4="*",N1292=Queue!$K$4)),Q1292,"")</f>
        <v/>
      </c>
    </row>
    <row r="1293">
      <c r="A1293" s="38">
        <f>IF(M1293="","",HYPERLINK("https://www.youtube.com/watch?v="&amp;M1293,"▶"))</f>
        <v/>
      </c>
      <c r="B1293" s="39">
        <f>IF(C1293&lt;&gt;"",C1293,IF(P1293&lt;=IFERROR(INDEX(tblChannels[Watched Through],MATCH(N1293,tblChannels[Channel ID],0)),0),"Watched","Unwatched"))</f>
        <v/>
      </c>
      <c r="C1293" s="40" t="n"/>
      <c r="D1293" s="41" t="n"/>
      <c r="E1293" s="42" t="n">
        <v>44498.69513888889</v>
      </c>
      <c r="F1293" s="50" t="inlineStr">
        <is>
          <t>Super Carlin Brothers</t>
        </is>
      </c>
      <c r="G1293" t="inlineStr">
        <is>
          <t>Ranking EVERY Marvel Movie | 2021</t>
        </is>
      </c>
      <c r="H1293" s="44" t="n">
        <v>0.04454861111111111</v>
      </c>
      <c r="I1293" s="45" t="n">
        <v>247902</v>
      </c>
      <c r="J1293" s="45" t="n">
        <v>6819</v>
      </c>
      <c r="K1293" s="45" t="n">
        <v>1081</v>
      </c>
      <c r="L1293" s="46" t="n"/>
      <c r="M1293" s="47" t="n"/>
      <c r="N1293" s="47" t="inlineStr">
        <is>
          <t>UCKZo4N0lVPccBkSiuyVh4yg</t>
        </is>
      </c>
      <c r="O1293" s="48" t="n">
        <v>44498.86180555556</v>
      </c>
      <c r="P1293" s="49" t="n">
        <v>44498</v>
      </c>
      <c r="Q1293" s="47" t="n">
        <v>1975</v>
      </c>
      <c r="R1293" s="47" t="inlineStr">
        <is>
          <t>No Video ID yet</t>
        </is>
      </c>
      <c r="S1293" s="49" t="n"/>
      <c r="T1293" s="49" t="n"/>
      <c r="U1293" s="47" t="inlineStr">
        <is>
          <t>Get your own Marvel Dice Throne Here: Today J and Ben compare notes as they RANK every single movie in the MCU thus far! Make your own tier list and share it with us :: #SuperCarlinBrothers #Pixar #Lightyear</t>
        </is>
      </c>
      <c r="V1293" s="47">
        <f>IF(AND(P1293&gt;=Calendar!$K$2,P1293&lt;EDATE(Calendar!$K$2,1),OR(Calendar!$K$4="*",N1293=Calendar!$K$4)),P1293*100+COUNTIFS($P$6:$P$3267,P1293,$Q$6:$Q$3267,"&lt;="&amp;Q1293,$N$6:$N$3267,Calendar!$K$4),"")</f>
        <v/>
      </c>
      <c r="W1293" s="47">
        <f>IF(AND(B1293=Queue!$C$4,OR(Queue!$K$4="*",N1293=Queue!$K$4)),Q1293,"")</f>
        <v/>
      </c>
    </row>
    <row r="1294">
      <c r="A1294" s="38">
        <f>IF(M1294="","",HYPERLINK("https://www.youtube.com/watch?v="&amp;M1294,"▶"))</f>
        <v/>
      </c>
      <c r="B1294" s="39">
        <f>IF(C1294&lt;&gt;"",C1294,IF(P1294&lt;=IFERROR(INDEX(tblChannels[Watched Through],MATCH(N1294,tblChannels[Channel ID],0)),0),"Watched","Unwatched"))</f>
        <v/>
      </c>
      <c r="C1294" s="40" t="n"/>
      <c r="D1294" s="41" t="n"/>
      <c r="E1294" s="42" t="n">
        <v>44498.41666666666</v>
      </c>
      <c r="F1294" s="43" t="inlineStr">
        <is>
          <t>Popcorn Culture</t>
        </is>
      </c>
      <c r="G1294" t="inlineStr">
        <is>
          <t>How Do You Throw Away a Trash Can? | Popcorn Culture</t>
        </is>
      </c>
      <c r="H1294" s="44" t="n">
        <v>0.04766203703703704</v>
      </c>
      <c r="I1294" s="45" t="n">
        <v>11269</v>
      </c>
      <c r="J1294" s="45" t="n">
        <v>536</v>
      </c>
      <c r="K1294" s="45" t="n">
        <v>44</v>
      </c>
      <c r="L1294" s="46" t="n"/>
      <c r="M1294" s="47" t="n"/>
      <c r="N1294" s="47" t="inlineStr">
        <is>
          <t>UCHfIbq9thHPC8yrKjAdJgDA</t>
        </is>
      </c>
      <c r="O1294" s="48" t="n">
        <v>44498.58333333334</v>
      </c>
      <c r="P1294" s="49" t="n">
        <v>44498</v>
      </c>
      <c r="Q1294" s="47" t="n">
        <v>1974</v>
      </c>
      <c r="R1294" s="47" t="inlineStr">
        <is>
          <t>No Video ID yet</t>
        </is>
      </c>
      <c r="S1294" s="49" t="n"/>
      <c r="T1294" s="49" t="n"/>
      <c r="U1294" s="47" t="inlineStr">
        <is>
          <t>In the 99th (!!!) episode of the Pop, Ben and J discuss ALL the birthdays, Carp Girl, the Marie Kondo method, cardboard mountains, shredding things, alibis, trash cans, and Luke’s Christmas gifts for mommy. Serial Podcast: J’s Wick of the Peek: “The Life-Changing Magic of Tidying Up” by Marie Kondo:</t>
        </is>
      </c>
      <c r="V1294" s="47">
        <f>IF(AND(P1294&gt;=Calendar!$K$2,P1294&lt;EDATE(Calendar!$K$2,1),OR(Calendar!$K$4="*",N1294=Calendar!$K$4)),P1294*100+COUNTIFS($P$6:$P$3267,P1294,$Q$6:$Q$3267,"&lt;="&amp;Q1294,$N$6:$N$3267,Calendar!$K$4),"")</f>
        <v/>
      </c>
      <c r="W1294" s="47">
        <f>IF(AND(B1294=Queue!$C$4,OR(Queue!$K$4="*",N1294=Queue!$K$4)),Q1294,"")</f>
        <v/>
      </c>
    </row>
    <row r="1295">
      <c r="A1295" s="38">
        <f>IF(M1295="","",HYPERLINK("https://www.youtube.com/watch?v="&amp;M1295,"▶"))</f>
        <v/>
      </c>
      <c r="B1295" s="39">
        <f>IF(C1295&lt;&gt;"",C1295,IF(P1295&lt;=IFERROR(INDEX(tblChannels[Watched Through],MATCH(N1295,tblChannels[Channel ID],0)),0),"Watched","Unwatched"))</f>
        <v/>
      </c>
      <c r="C1295" s="40" t="n"/>
      <c r="D1295" s="41" t="n"/>
      <c r="E1295" s="42" t="n">
        <v>44497.71180555555</v>
      </c>
      <c r="F1295" s="50" t="inlineStr">
        <is>
          <t>Super Carlin Brothers</t>
        </is>
      </c>
      <c r="G1295" t="inlineStr">
        <is>
          <t>Lightyear Trailer CONFIRMS Time Travel! | Pixar Theory</t>
        </is>
      </c>
      <c r="H1295" s="44" t="n">
        <v>0.01006944444444445</v>
      </c>
      <c r="I1295" s="45" t="n">
        <v>225925</v>
      </c>
      <c r="J1295" s="45" t="n">
        <v>10726</v>
      </c>
      <c r="K1295" s="45" t="n">
        <v>1324</v>
      </c>
      <c r="L1295" s="46" t="n"/>
      <c r="M1295" s="47" t="n"/>
      <c r="N1295" s="47" t="inlineStr">
        <is>
          <t>UCKZo4N0lVPccBkSiuyVh4yg</t>
        </is>
      </c>
      <c r="O1295" s="48" t="n">
        <v>44497.87847222222</v>
      </c>
      <c r="P1295" s="49" t="n">
        <v>44497</v>
      </c>
      <c r="Q1295" s="47" t="n">
        <v>1973</v>
      </c>
      <c r="R1295" s="47" t="inlineStr">
        <is>
          <t>No Video ID yet</t>
        </is>
      </c>
      <c r="S1295" s="49" t="n"/>
      <c r="T1295" s="49" t="n"/>
      <c r="U1295" s="47" t="inlineStr">
        <is>
          <t>Go to to get 10% off your first month! Go to and use code SCB to save $75 on your starter kit! Today J travels to Infinity and Beyond to breakdown the latest Lightyear trailer from Pixar, to try and figure out Zurg’s plan, and what Buzz’s mission is! #SuperCarlinBrothers #Pixar #Lightyear</t>
        </is>
      </c>
      <c r="V1295" s="47">
        <f>IF(AND(P1295&gt;=Calendar!$K$2,P1295&lt;EDATE(Calendar!$K$2,1),OR(Calendar!$K$4="*",N1295=Calendar!$K$4)),P1295*100+COUNTIFS($P$6:$P$3267,P1295,$Q$6:$Q$3267,"&lt;="&amp;Q1295,$N$6:$N$3267,Calendar!$K$4),"")</f>
        <v/>
      </c>
      <c r="W1295" s="47">
        <f>IF(AND(B1295=Queue!$C$4,OR(Queue!$K$4="*",N1295=Queue!$K$4)),Q1295,"")</f>
        <v/>
      </c>
    </row>
    <row r="1296">
      <c r="A1296" s="38">
        <f>IF(M1296="","",HYPERLINK("https://www.youtube.com/watch?v="&amp;M1296,"▶"))</f>
        <v/>
      </c>
      <c r="B1296" s="39">
        <f>IF(C1296&lt;&gt;"",C1296,IF(P1296&lt;=IFERROR(INDEX(tblChannels[Watched Through],MATCH(N1296,tblChannels[Channel ID],0)),0),"Watched","Unwatched"))</f>
        <v/>
      </c>
      <c r="C1296" s="40" t="n"/>
      <c r="D1296" s="41" t="n"/>
      <c r="E1296" s="42" t="n">
        <v>44495.66111111111</v>
      </c>
      <c r="F1296" s="50" t="inlineStr">
        <is>
          <t>Super Carlin Brothers</t>
        </is>
      </c>
      <c r="G1296" t="inlineStr">
        <is>
          <t>J vs Ben: HARDEST Marvel Trivia Quiz EVER [Quiz Master Edition]</t>
        </is>
      </c>
      <c r="H1296" s="44" t="n">
        <v>0.01861111111111111</v>
      </c>
      <c r="I1296" s="45" t="n">
        <v>167245</v>
      </c>
      <c r="J1296" s="45" t="n">
        <v>7063</v>
      </c>
      <c r="K1296" s="45" t="n">
        <v>638</v>
      </c>
      <c r="L1296" s="46" t="n"/>
      <c r="M1296" s="47" t="n"/>
      <c r="N1296" s="47" t="inlineStr">
        <is>
          <t>UCKZo4N0lVPccBkSiuyVh4yg</t>
        </is>
      </c>
      <c r="O1296" s="48" t="n">
        <v>44495.82777777778</v>
      </c>
      <c r="P1296" s="49" t="n">
        <v>44495</v>
      </c>
      <c r="Q1296" s="47" t="n">
        <v>1972</v>
      </c>
      <c r="R1296" s="47" t="inlineStr">
        <is>
          <t>No Video ID yet</t>
        </is>
      </c>
      <c r="S1296" s="49" t="n"/>
      <c r="T1296" s="49" t="n"/>
      <c r="U1296" s="47" t="inlineStr">
        <is>
          <t>Visit to get Honey for FREE! Get your own Marvel Dice Throne Here: Today J and Ben face off once more to find out who knows the most about the Marvel Cinematic Universe by answering questions submitted by our Quiz Masters! #SuperCarlinBrothers #Marvel #jvsben</t>
        </is>
      </c>
      <c r="V1296" s="47">
        <f>IF(AND(P1296&gt;=Calendar!$K$2,P1296&lt;EDATE(Calendar!$K$2,1),OR(Calendar!$K$4="*",N1296=Calendar!$K$4)),P1296*100+COUNTIFS($P$6:$P$3267,P1296,$Q$6:$Q$3267,"&lt;="&amp;Q1296,$N$6:$N$3267,Calendar!$K$4),"")</f>
        <v/>
      </c>
      <c r="W1296" s="47">
        <f>IF(AND(B1296=Queue!$C$4,OR(Queue!$K$4="*",N1296=Queue!$K$4)),Q1296,"")</f>
        <v/>
      </c>
    </row>
    <row r="1297">
      <c r="A1297" s="38">
        <f>IF(M1297="","",HYPERLINK("https://www.youtube.com/watch?v="&amp;M1297,"▶"))</f>
        <v/>
      </c>
      <c r="B1297" s="39">
        <f>IF(C1297&lt;&gt;"",C1297,IF(P1297&lt;=IFERROR(INDEX(tblChannels[Watched Through],MATCH(N1297,tblChannels[Channel ID],0)),0),"Watched","Unwatched"))</f>
        <v/>
      </c>
      <c r="C1297" s="40" t="n"/>
      <c r="D1297" s="41" t="n"/>
      <c r="E1297" s="42" t="n">
        <v>44494.41666666666</v>
      </c>
      <c r="F1297" s="52" t="inlineStr">
        <is>
          <t>Super Carlin Gaming</t>
        </is>
      </c>
      <c r="G1297" t="inlineStr">
        <is>
          <t>THE POKEMON LEAGUE'S REVENGE |  Pokémon SoulSilver Randomizer Nuzlocke #32</t>
        </is>
      </c>
      <c r="H1297" s="44" t="n">
        <v>0.04865740740740741</v>
      </c>
      <c r="I1297" s="45" t="n">
        <v>14506</v>
      </c>
      <c r="J1297" s="45" t="n">
        <v>764</v>
      </c>
      <c r="K1297" s="45" t="n">
        <v>226</v>
      </c>
      <c r="L1297" s="46" t="n"/>
      <c r="M1297" s="47" t="n"/>
      <c r="N1297" s="47" t="inlineStr">
        <is>
          <t>UCor_9jRnNNZVzTuQ92PKsaQ</t>
        </is>
      </c>
      <c r="O1297" s="48" t="n">
        <v>44494.58333333334</v>
      </c>
      <c r="P1297" s="49" t="n">
        <v>44494</v>
      </c>
      <c r="Q1297" s="47" t="n">
        <v>1971</v>
      </c>
      <c r="R1297" s="47" t="inlineStr">
        <is>
          <t>No Video ID yet</t>
        </is>
      </c>
      <c r="S1297" s="49" t="n"/>
      <c r="T1297" s="49" t="n"/>
      <c r="U1297" s="47" t="inlineStr">
        <is>
          <t>In this episode, J and the team take their second shot at the Pokémon league. Will Lance let them through? Will they survive to take on Red?</t>
        </is>
      </c>
      <c r="V1297" s="47">
        <f>IF(AND(P1297&gt;=Calendar!$K$2,P1297&lt;EDATE(Calendar!$K$2,1),OR(Calendar!$K$4="*",N1297=Calendar!$K$4)),P1297*100+COUNTIFS($P$6:$P$3267,P1297,$Q$6:$Q$3267,"&lt;="&amp;Q1297,$N$6:$N$3267,Calendar!$K$4),"")</f>
        <v/>
      </c>
      <c r="W1297" s="47">
        <f>IF(AND(B1297=Queue!$C$4,OR(Queue!$K$4="*",N1297=Queue!$K$4)),Q1297,"")</f>
        <v/>
      </c>
    </row>
    <row r="1298">
      <c r="A1298" s="38">
        <f>IF(M1298="","",HYPERLINK("https://www.youtube.com/watch?v="&amp;M1298,"▶"))</f>
        <v/>
      </c>
      <c r="B1298" s="39">
        <f>IF(C1298&lt;&gt;"",C1298,IF(P1298&lt;=IFERROR(INDEX(tblChannels[Watched Through],MATCH(N1298,tblChannels[Channel ID],0)),0),"Watched","Unwatched"))</f>
        <v/>
      </c>
      <c r="C1298" s="40" t="n"/>
      <c r="D1298" s="41" t="n"/>
      <c r="E1298" s="42" t="n">
        <v>44491.41666666666</v>
      </c>
      <c r="F1298" s="43" t="inlineStr">
        <is>
          <t>Popcorn Culture</t>
        </is>
      </c>
      <c r="G1298" t="inlineStr">
        <is>
          <t>Cows Make Bad Currency | Popcorn Culture</t>
        </is>
      </c>
      <c r="H1298" s="44" t="n">
        <v>0.04597222222222222</v>
      </c>
      <c r="I1298" s="45" t="n">
        <v>9900</v>
      </c>
      <c r="J1298" s="45" t="n">
        <v>477</v>
      </c>
      <c r="K1298" s="45" t="n">
        <v>56</v>
      </c>
      <c r="L1298" s="46" t="n"/>
      <c r="M1298" s="47" t="n"/>
      <c r="N1298" s="47" t="inlineStr">
        <is>
          <t>UCHfIbq9thHPC8yrKjAdJgDA</t>
        </is>
      </c>
      <c r="O1298" s="48" t="n">
        <v>44491.58333333334</v>
      </c>
      <c r="P1298" s="49" t="n">
        <v>44491</v>
      </c>
      <c r="Q1298" s="47" t="n">
        <v>1970</v>
      </c>
      <c r="R1298" s="47" t="inlineStr">
        <is>
          <t>No Video ID yet</t>
        </is>
      </c>
      <c r="S1298" s="49" t="n"/>
      <c r="T1298" s="49" t="n"/>
      <c r="U1298" s="47" t="inlineStr">
        <is>
          <t>In the 98th Episode of the Pop, Ben and J discuss: vinyl records, health trends, people disagreeing, alien invasions, the word “culture”, the pope, scarcity mindsets, Squidgame, and barely broken things “Project Hail Mary” by Andy Weir: “Parks and Recreation” episode referenced: J’s Wick of the Peek: Squidgame:</t>
        </is>
      </c>
      <c r="V1298" s="47">
        <f>IF(AND(P1298&gt;=Calendar!$K$2,P1298&lt;EDATE(Calendar!$K$2,1),OR(Calendar!$K$4="*",N1298=Calendar!$K$4)),P1298*100+COUNTIFS($P$6:$P$3267,P1298,$Q$6:$Q$3267,"&lt;="&amp;Q1298,$N$6:$N$3267,Calendar!$K$4),"")</f>
        <v/>
      </c>
      <c r="W1298" s="47">
        <f>IF(AND(B1298=Queue!$C$4,OR(Queue!$K$4="*",N1298=Queue!$K$4)),Q1298,"")</f>
        <v/>
      </c>
    </row>
    <row r="1299">
      <c r="A1299" s="38">
        <f>IF(M1299="","",HYPERLINK("https://www.youtube.com/watch?v="&amp;M1299,"▶"))</f>
        <v/>
      </c>
      <c r="B1299" s="39">
        <f>IF(C1299&lt;&gt;"",C1299,IF(P1299&lt;=IFERROR(INDEX(tblChannels[Watched Through],MATCH(N1299,tblChannels[Channel ID],0)),0),"Watched","Unwatched"))</f>
        <v/>
      </c>
      <c r="C1299" s="40" t="n"/>
      <c r="D1299" s="41" t="n"/>
      <c r="E1299" s="42" t="n">
        <v>44490.68541666667</v>
      </c>
      <c r="F1299" s="50" t="inlineStr">
        <is>
          <t>Super Carlin Brothers</t>
        </is>
      </c>
      <c r="G1299" t="inlineStr">
        <is>
          <t>Will Newt Give Up His Magic? | Harry Potter Theory</t>
        </is>
      </c>
      <c r="H1299" s="44" t="n">
        <v>0.01021990740740741</v>
      </c>
      <c r="I1299" s="45" t="n">
        <v>200048</v>
      </c>
      <c r="J1299" s="45" t="n">
        <v>9043</v>
      </c>
      <c r="K1299" s="45" t="n">
        <v>694</v>
      </c>
      <c r="L1299" s="46" t="n"/>
      <c r="M1299" s="47" t="n"/>
      <c r="N1299" s="47" t="inlineStr">
        <is>
          <t>UCKZo4N0lVPccBkSiuyVh4yg</t>
        </is>
      </c>
      <c r="O1299" s="48" t="n">
        <v>44490.85208333333</v>
      </c>
      <c r="P1299" s="49" t="n">
        <v>44490</v>
      </c>
      <c r="Q1299" s="47" t="n">
        <v>1969</v>
      </c>
      <c r="R1299" s="47" t="inlineStr">
        <is>
          <t>No Video ID yet</t>
        </is>
      </c>
      <c r="S1299" s="49" t="n"/>
      <c r="T1299" s="49" t="n"/>
      <c r="U1299" s="47" t="inlineStr">
        <is>
          <t>Head over to to get 10% off your first month! Today Ben dives into the Wizarding World of Harry Potter to try and determine if Newt Scamander will give up his magical powers in order to save Credence by the end of the Fantastic Beasts movies!</t>
        </is>
      </c>
      <c r="V1299" s="47">
        <f>IF(AND(P1299&gt;=Calendar!$K$2,P1299&lt;EDATE(Calendar!$K$2,1),OR(Calendar!$K$4="*",N1299=Calendar!$K$4)),P1299*100+COUNTIFS($P$6:$P$3267,P1299,$Q$6:$Q$3267,"&lt;="&amp;Q1299,$N$6:$N$3267,Calendar!$K$4),"")</f>
        <v/>
      </c>
      <c r="W1299" s="47">
        <f>IF(AND(B1299=Queue!$C$4,OR(Queue!$K$4="*",N1299=Queue!$K$4)),Q1299,"")</f>
        <v/>
      </c>
    </row>
    <row r="1300">
      <c r="A1300" s="38">
        <f>IF(M1300="","",HYPERLINK("https://www.youtube.com/watch?v="&amp;M1300,"▶"))</f>
        <v/>
      </c>
      <c r="B1300" s="39">
        <f>IF(C1300&lt;&gt;"",C1300,IF(P1300&lt;=IFERROR(INDEX(tblChannels[Watched Through],MATCH(N1300,tblChannels[Channel ID],0)),0),"Watched","Unwatched"))</f>
        <v/>
      </c>
      <c r="C1300" s="40" t="n"/>
      <c r="D1300" s="41" t="n"/>
      <c r="E1300" s="42" t="n">
        <v>44488.69930555556</v>
      </c>
      <c r="F1300" s="50" t="inlineStr">
        <is>
          <t>Super Carlin Brothers</t>
        </is>
      </c>
      <c r="G1300" t="inlineStr">
        <is>
          <t>Can A Wizard Run Out Of Magic? | Harry Potter Theory</t>
        </is>
      </c>
      <c r="H1300" s="44" t="n">
        <v>0.0100462962962963</v>
      </c>
      <c r="I1300" s="45" t="n">
        <v>369002</v>
      </c>
      <c r="J1300" s="45" t="n">
        <v>15228</v>
      </c>
      <c r="K1300" s="45" t="n">
        <v>1093</v>
      </c>
      <c r="L1300" s="46" t="n"/>
      <c r="M1300" s="47" t="n"/>
      <c r="N1300" s="47" t="inlineStr">
        <is>
          <t>UCKZo4N0lVPccBkSiuyVh4yg</t>
        </is>
      </c>
      <c r="O1300" s="48" t="n">
        <v>44488.86597222222</v>
      </c>
      <c r="P1300" s="49" t="n">
        <v>44488</v>
      </c>
      <c r="Q1300" s="47" t="n">
        <v>1968</v>
      </c>
      <c r="R1300" s="47" t="inlineStr">
        <is>
          <t>No Video ID yet</t>
        </is>
      </c>
      <c r="S1300" s="49" t="n"/>
      <c r="T1300" s="49" t="n"/>
      <c r="U1300" s="47" t="inlineStr">
        <is>
          <t>Go to to get 15% off your first order and free shipping! Head over to and take care of yourself! Today J dives into the wizarding world of Harry Potter to determine if witches and wizards can ever run out of magic or if they ever need to recharge in order to perform more spells!</t>
        </is>
      </c>
      <c r="V1300" s="47">
        <f>IF(AND(P1300&gt;=Calendar!$K$2,P1300&lt;EDATE(Calendar!$K$2,1),OR(Calendar!$K$4="*",N1300=Calendar!$K$4)),P1300*100+COUNTIFS($P$6:$P$3267,P1300,$Q$6:$Q$3267,"&lt;="&amp;Q1300,$N$6:$N$3267,Calendar!$K$4),"")</f>
        <v/>
      </c>
      <c r="W1300" s="47">
        <f>IF(AND(B1300=Queue!$C$4,OR(Queue!$K$4="*",N1300=Queue!$K$4)),Q1300,"")</f>
        <v/>
      </c>
    </row>
    <row r="1301">
      <c r="A1301" s="38">
        <f>IF(M1301="","",HYPERLINK("https://www.youtube.com/watch?v="&amp;M1301,"▶"))</f>
        <v/>
      </c>
      <c r="B1301" s="39">
        <f>IF(C1301&lt;&gt;"",C1301,IF(P1301&lt;=IFERROR(INDEX(tblChannels[Watched Through],MATCH(N1301,tblChannels[Channel ID],0)),0),"Watched","Unwatched"))</f>
        <v/>
      </c>
      <c r="C1301" s="40" t="n"/>
      <c r="D1301" s="41" t="n"/>
      <c r="E1301" s="42" t="n">
        <v>44487.4625</v>
      </c>
      <c r="F1301" s="52" t="inlineStr">
        <is>
          <t>Super Carlin Gaming</t>
        </is>
      </c>
      <c r="G1301" t="inlineStr">
        <is>
          <t>SCG Super Smash Brothers Saturday SHOWDOWN</t>
        </is>
      </c>
      <c r="H1301" s="44" t="n">
        <v>0.02494212962962963</v>
      </c>
      <c r="I1301" s="45" t="n">
        <v>5854</v>
      </c>
      <c r="J1301" s="45" t="n">
        <v>339</v>
      </c>
      <c r="K1301" s="45" t="n">
        <v>29</v>
      </c>
      <c r="L1301" s="46" t="n"/>
      <c r="M1301" s="47" t="n"/>
      <c r="N1301" s="47" t="inlineStr">
        <is>
          <t>UCor_9jRnNNZVzTuQ92PKsaQ</t>
        </is>
      </c>
      <c r="O1301" s="48" t="n">
        <v>44487.62916666667</v>
      </c>
      <c r="P1301" s="49" t="n">
        <v>44487</v>
      </c>
      <c r="Q1301" s="47" t="n">
        <v>1967</v>
      </c>
      <c r="R1301" s="47" t="inlineStr">
        <is>
          <t>No Video ID yet</t>
        </is>
      </c>
      <c r="S1301" s="49" t="n"/>
      <c r="T1301" s="49" t="n"/>
      <c r="U1301" s="47" t="inlineStr">
        <is>
          <t>Welcome to the Super Carlin Gaming Super Smash Brothers Saturday Morning Showdown (or SCGSSBSMS for short)! In lieu of today's Nuzlocke, we give you this week's Patreon-exclusive bonus gaming content! Join the SCB team as they battle it out in epic Smash Brothers fashion while answering YOUR questions on topics ranging from desert island desserts, comfort movies and the great Nightmare Before Christmas debate. Join the $5 tier on Patreon.com/SuperCarlinGaming for access to bonus gaming EVERY WEEK!</t>
        </is>
      </c>
      <c r="V1301" s="47">
        <f>IF(AND(P1301&gt;=Calendar!$K$2,P1301&lt;EDATE(Calendar!$K$2,1),OR(Calendar!$K$4="*",N1301=Calendar!$K$4)),P1301*100+COUNTIFS($P$6:$P$3267,P1301,$Q$6:$Q$3267,"&lt;="&amp;Q1301,$N$6:$N$3267,Calendar!$K$4),"")</f>
        <v/>
      </c>
      <c r="W1301" s="47">
        <f>IF(AND(B1301=Queue!$C$4,OR(Queue!$K$4="*",N1301=Queue!$K$4)),Q1301,"")</f>
        <v/>
      </c>
    </row>
    <row r="1302">
      <c r="A1302" s="38">
        <f>IF(M1302="","",HYPERLINK("https://www.youtube.com/watch?v="&amp;M1302,"▶"))</f>
        <v/>
      </c>
      <c r="B1302" s="39">
        <f>IF(C1302&lt;&gt;"",C1302,IF(P1302&lt;=IFERROR(INDEX(tblChannels[Watched Through],MATCH(N1302,tblChannels[Channel ID],0)),0),"Watched","Unwatched"))</f>
        <v/>
      </c>
      <c r="C1302" s="40" t="n"/>
      <c r="D1302" s="41" t="n"/>
      <c r="E1302" s="42" t="n">
        <v>44484.41666666666</v>
      </c>
      <c r="F1302" s="43" t="inlineStr">
        <is>
          <t>Popcorn Culture</t>
        </is>
      </c>
      <c r="G1302" t="inlineStr">
        <is>
          <t>All My Interests Have Cheated On Me | Popcorn Culture</t>
        </is>
      </c>
      <c r="H1302" s="44" t="n">
        <v>0.04726851851851852</v>
      </c>
      <c r="I1302" s="45" t="n">
        <v>10878</v>
      </c>
      <c r="J1302" s="45" t="n">
        <v>539</v>
      </c>
      <c r="K1302" s="45" t="n">
        <v>87</v>
      </c>
      <c r="L1302" s="46" t="n"/>
      <c r="M1302" s="47" t="n"/>
      <c r="N1302" s="47" t="inlineStr">
        <is>
          <t>UCHfIbq9thHPC8yrKjAdJgDA</t>
        </is>
      </c>
      <c r="O1302" s="48" t="n">
        <v>44484.58333333334</v>
      </c>
      <c r="P1302" s="49" t="n">
        <v>44484</v>
      </c>
      <c r="Q1302" s="47" t="n">
        <v>1966</v>
      </c>
      <c r="R1302" s="47" t="inlineStr">
        <is>
          <t>No Video ID yet</t>
        </is>
      </c>
      <c r="S1302" s="49" t="n"/>
      <c r="T1302" s="49" t="n"/>
      <c r="U1302" s="47" t="inlineStr">
        <is>
          <t>In the 97th episode of the Pop, Ben and J discuss trains of thought, how memory works, animated shows, the “let people enjoy things” meme, getting into the nitty gritty, trust issues with our interests, and going viral on TikTok. “The Mind, Explained” (Netflix documentary on memory): “Criminal” (podcast): “Hey! Arnold”: “Reply All” (podcast): “Daniel Tiger”: “Avatar: The Last Airbender””: “The Ren &amp; Stimpy Show”: “CatDog”: “Let People Enjoy Things” meme: Jason Sudekis/Chris Evans suit: “Ratatouille” Trailer:</t>
        </is>
      </c>
      <c r="V1302" s="47">
        <f>IF(AND(P1302&gt;=Calendar!$K$2,P1302&lt;EDATE(Calendar!$K$2,1),OR(Calendar!$K$4="*",N1302=Calendar!$K$4)),P1302*100+COUNTIFS($P$6:$P$3267,P1302,$Q$6:$Q$3267,"&lt;="&amp;Q1302,$N$6:$N$3267,Calendar!$K$4),"")</f>
        <v/>
      </c>
      <c r="W1302" s="47">
        <f>IF(AND(B1302=Queue!$C$4,OR(Queue!$K$4="*",N1302=Queue!$K$4)),Q1302,"")</f>
        <v/>
      </c>
    </row>
    <row r="1303">
      <c r="A1303" s="38">
        <f>IF(M1303="","",HYPERLINK("https://www.youtube.com/watch?v="&amp;M1303,"▶"))</f>
        <v/>
      </c>
      <c r="B1303" s="39">
        <f>IF(C1303&lt;&gt;"",C1303,IF(P1303&lt;=IFERROR(INDEX(tblChannels[Watched Through],MATCH(N1303,tblChannels[Channel ID],0)),0),"Watched","Unwatched"))</f>
        <v/>
      </c>
      <c r="C1303" s="40" t="n"/>
      <c r="D1303" s="41" t="n"/>
      <c r="E1303" s="42" t="n">
        <v>44483.70694444444</v>
      </c>
      <c r="F1303" s="50" t="inlineStr">
        <is>
          <t>Super Carlin Brothers</t>
        </is>
      </c>
      <c r="G1303" t="inlineStr">
        <is>
          <t>J vs Ben: ULTIMATE Harry Potter Ghosts Trivia Quiz</t>
        </is>
      </c>
      <c r="H1303" s="44" t="n">
        <v>0.02034722222222222</v>
      </c>
      <c r="I1303" s="45" t="n">
        <v>272843</v>
      </c>
      <c r="J1303" s="45" t="n">
        <v>9126</v>
      </c>
      <c r="K1303" s="45" t="n">
        <v>815</v>
      </c>
      <c r="L1303" s="46" t="n"/>
      <c r="M1303" s="47" t="n"/>
      <c r="N1303" s="47" t="inlineStr">
        <is>
          <t>UCKZo4N0lVPccBkSiuyVh4yg</t>
        </is>
      </c>
      <c r="O1303" s="48" t="n">
        <v>44483.87361111111</v>
      </c>
      <c r="P1303" s="49" t="n">
        <v>44483</v>
      </c>
      <c r="Q1303" s="47" t="n">
        <v>1965</v>
      </c>
      <c r="R1303" s="47" t="inlineStr">
        <is>
          <t>No Video ID yet</t>
        </is>
      </c>
      <c r="S1303" s="49" t="n"/>
      <c r="T1303" s="49" t="n"/>
      <c r="U1303" s="47" t="inlineStr">
        <is>
          <t>Get 25% off and zero delivery fees on their first order of $15 or more, when you download the DoorDash app and enter code JVSB2021 Go to and enter code super at checkout to get 20% off your first monthly box! SCB PUZZLE :: Today J and Ben face off once more to find out who knows the most about Nearly Headless Nick, Moaning Myrtle, They Gray Lady and the rest of the ghosts in Harry Potter! (also Helen Hunt) Get your own SCB Trivia Night Puzzle :: #SuperCarlinBrothers #HarryPotter #JvsBen</t>
        </is>
      </c>
      <c r="V1303" s="47">
        <f>IF(AND(P1303&gt;=Calendar!$K$2,P1303&lt;EDATE(Calendar!$K$2,1),OR(Calendar!$K$4="*",N1303=Calendar!$K$4)),P1303*100+COUNTIFS($P$6:$P$3267,P1303,$Q$6:$Q$3267,"&lt;="&amp;Q1303,$N$6:$N$3267,Calendar!$K$4),"")</f>
        <v/>
      </c>
      <c r="W1303" s="47">
        <f>IF(AND(B1303=Queue!$C$4,OR(Queue!$K$4="*",N1303=Queue!$K$4)),Q1303,"")</f>
        <v/>
      </c>
    </row>
    <row r="1304">
      <c r="A1304" s="38">
        <f>IF(M1304="","",HYPERLINK("https://www.youtube.com/watch?v="&amp;M1304,"▶"))</f>
        <v/>
      </c>
      <c r="B1304" s="39">
        <f>IF(C1304&lt;&gt;"",C1304,IF(P1304&lt;=IFERROR(INDEX(tblChannels[Watched Through],MATCH(N1304,tblChannels[Channel ID],0)),0),"Watched","Unwatched"))</f>
        <v/>
      </c>
      <c r="C1304" s="40" t="n"/>
      <c r="D1304" s="41" t="n"/>
      <c r="E1304" s="42" t="n">
        <v>44481.64236111111</v>
      </c>
      <c r="F1304" s="50" t="inlineStr">
        <is>
          <t>Super Carlin Brothers</t>
        </is>
      </c>
      <c r="G1304" t="inlineStr">
        <is>
          <t>Could The Veil Kill A Ghost? | Harry Potter Theory</t>
        </is>
      </c>
      <c r="H1304" s="44" t="n">
        <v>0.00974537037037037</v>
      </c>
      <c r="I1304" s="45" t="n">
        <v>255074</v>
      </c>
      <c r="J1304" s="45" t="n">
        <v>11098</v>
      </c>
      <c r="K1304" s="45" t="n">
        <v>1271</v>
      </c>
      <c r="L1304" s="46" t="n"/>
      <c r="M1304" s="47" t="n"/>
      <c r="N1304" s="47" t="inlineStr">
        <is>
          <t>UCKZo4N0lVPccBkSiuyVh4yg</t>
        </is>
      </c>
      <c r="O1304" s="48" t="n">
        <v>44481.80902777778</v>
      </c>
      <c r="P1304" s="49" t="n">
        <v>44481</v>
      </c>
      <c r="Q1304" s="47" t="n">
        <v>1964</v>
      </c>
      <c r="R1304" s="47" t="inlineStr">
        <is>
          <t>No Video ID yet</t>
        </is>
      </c>
      <c r="S1304" s="49" t="n"/>
      <c r="T1304" s="49" t="n"/>
      <c r="U1304" s="47" t="inlineStr">
        <is>
          <t>Head on over to to get 10% off your first month! Video Sponsored by Ridge Wallet. Check them out here: Use Code “SCB” for 10% off your order Today J dives into the Wizarding World of Harry Potter to try and determine what would happen if a ghost traveled through the Veil in the Department of Mysteries?! T I K T O K ➜</t>
        </is>
      </c>
      <c r="V1304" s="47">
        <f>IF(AND(P1304&gt;=Calendar!$K$2,P1304&lt;EDATE(Calendar!$K$2,1),OR(Calendar!$K$4="*",N1304=Calendar!$K$4)),P1304*100+COUNTIFS($P$6:$P$3267,P1304,$Q$6:$Q$3267,"&lt;="&amp;Q1304,$N$6:$N$3267,Calendar!$K$4),"")</f>
        <v/>
      </c>
      <c r="W1304" s="47">
        <f>IF(AND(B1304=Queue!$C$4,OR(Queue!$K$4="*",N1304=Queue!$K$4)),Q1304,"")</f>
        <v/>
      </c>
    </row>
    <row r="1305">
      <c r="A1305" s="38">
        <f>IF(M1305="","",HYPERLINK("https://www.youtube.com/watch?v="&amp;M1305,"▶"))</f>
        <v/>
      </c>
      <c r="B1305" s="39">
        <f>IF(C1305&lt;&gt;"",C1305,IF(P1305&lt;=IFERROR(INDEX(tblChannels[Watched Through],MATCH(N1305,tblChannels[Channel ID],0)),0),"Watched","Unwatched"))</f>
        <v/>
      </c>
      <c r="C1305" s="40" t="n"/>
      <c r="D1305" s="41" t="n"/>
      <c r="E1305" s="42" t="n">
        <v>44480.41666666666</v>
      </c>
      <c r="F1305" s="52" t="inlineStr">
        <is>
          <t>Super Carlin Gaming</t>
        </is>
      </c>
      <c r="G1305" t="inlineStr">
        <is>
          <t>BATTLE PREPARATIONS! |  Pokémon SoulSilver Randomizer Nuzlocke #31</t>
        </is>
      </c>
      <c r="H1305" s="44" t="n">
        <v>0.02902777777777778</v>
      </c>
      <c r="I1305" s="45" t="n">
        <v>11162</v>
      </c>
      <c r="J1305" s="45" t="n">
        <v>611</v>
      </c>
      <c r="K1305" s="45" t="n">
        <v>110</v>
      </c>
      <c r="L1305" s="46" t="n"/>
      <c r="M1305" s="47" t="n"/>
      <c r="N1305" s="47" t="inlineStr">
        <is>
          <t>UCor_9jRnNNZVzTuQ92PKsaQ</t>
        </is>
      </c>
      <c r="O1305" s="48" t="n">
        <v>44480.58333333334</v>
      </c>
      <c r="P1305" s="49" t="n">
        <v>44480</v>
      </c>
      <c r="Q1305" s="47" t="n">
        <v>1963</v>
      </c>
      <c r="R1305" s="47" t="inlineStr">
        <is>
          <t>No Video ID yet</t>
        </is>
      </c>
      <c r="S1305" s="49" t="n"/>
      <c r="T1305" s="49" t="n"/>
      <c r="U1305" s="47" t="inlineStr">
        <is>
          <t>Today J Rutana and the team prepare for the coming battles, and try to level up as much as they can!</t>
        </is>
      </c>
      <c r="V1305" s="47">
        <f>IF(AND(P1305&gt;=Calendar!$K$2,P1305&lt;EDATE(Calendar!$K$2,1),OR(Calendar!$K$4="*",N1305=Calendar!$K$4)),P1305*100+COUNTIFS($P$6:$P$3267,P1305,$Q$6:$Q$3267,"&lt;="&amp;Q1305,$N$6:$N$3267,Calendar!$K$4),"")</f>
        <v/>
      </c>
      <c r="W1305" s="47">
        <f>IF(AND(B1305=Queue!$C$4,OR(Queue!$K$4="*",N1305=Queue!$K$4)),Q1305,"")</f>
        <v/>
      </c>
    </row>
    <row r="1306">
      <c r="A1306" s="38">
        <f>IF(M1306="","",HYPERLINK("https://www.youtube.com/watch?v="&amp;M1306,"▶"))</f>
        <v/>
      </c>
      <c r="B1306" s="39">
        <f>IF(C1306&lt;&gt;"",C1306,IF(P1306&lt;=IFERROR(INDEX(tblChannels[Watched Through],MATCH(N1306,tblChannels[Channel ID],0)),0),"Watched","Unwatched"))</f>
        <v/>
      </c>
      <c r="C1306" s="40" t="n"/>
      <c r="D1306" s="41" t="n"/>
      <c r="E1306" s="42" t="n">
        <v>44477.48680555556</v>
      </c>
      <c r="F1306" s="52" t="inlineStr">
        <is>
          <t>Super Carlin Gaming</t>
        </is>
      </c>
      <c r="G1306" t="inlineStr">
        <is>
          <t>Can We Pull a CHARIZARD? | Pokemon Celebrations UNBOXING</t>
        </is>
      </c>
      <c r="H1306" s="44" t="n">
        <v>0.02350694444444444</v>
      </c>
      <c r="I1306" s="45" t="n">
        <v>6584</v>
      </c>
      <c r="J1306" s="45" t="n">
        <v>391</v>
      </c>
      <c r="K1306" s="45" t="n">
        <v>56</v>
      </c>
      <c r="L1306" s="46" t="n"/>
      <c r="M1306" s="47" t="n"/>
      <c r="N1306" s="47" t="inlineStr">
        <is>
          <t>UCor_9jRnNNZVzTuQ92PKsaQ</t>
        </is>
      </c>
      <c r="O1306" s="48" t="n">
        <v>44477.65347222222</v>
      </c>
      <c r="P1306" s="49" t="n">
        <v>44477</v>
      </c>
      <c r="Q1306" s="47" t="n">
        <v>1962</v>
      </c>
      <c r="R1306" s="47" t="inlineStr">
        <is>
          <t>No Video ID yet</t>
        </is>
      </c>
      <c r="S1306" s="49" t="n"/>
      <c r="T1306" s="49" t="n"/>
      <c r="U1306" s="47" t="inlineStr">
        <is>
          <t>Today J unboxes a HUGE gift box of the Pokemon Trading Card Game Celebrations set (courtesy of Pokemon) to try and pull a Base Set Charizard, Venusaur, Blastoise, or Full Art Pikachu. Wouldn't mind a GOLD MEW either... just saying.. #Pokemon #PokemonTradingCardGame Edited by: Riley Murtagh</t>
        </is>
      </c>
      <c r="V1306" s="47">
        <f>IF(AND(P1306&gt;=Calendar!$K$2,P1306&lt;EDATE(Calendar!$K$2,1),OR(Calendar!$K$4="*",N1306=Calendar!$K$4)),P1306*100+COUNTIFS($P$6:$P$3267,P1306,$Q$6:$Q$3267,"&lt;="&amp;Q1306,$N$6:$N$3267,Calendar!$K$4),"")</f>
        <v/>
      </c>
      <c r="W1306" s="47">
        <f>IF(AND(B1306=Queue!$C$4,OR(Queue!$K$4="*",N1306=Queue!$K$4)),Q1306,"")</f>
        <v/>
      </c>
    </row>
    <row r="1307">
      <c r="A1307" s="38">
        <f>IF(M1307="","",HYPERLINK("https://www.youtube.com/watch?v="&amp;M1307,"▶"))</f>
        <v/>
      </c>
      <c r="B1307" s="39">
        <f>IF(C1307&lt;&gt;"",C1307,IF(P1307&lt;=IFERROR(INDEX(tblChannels[Watched Through],MATCH(N1307,tblChannels[Channel ID],0)),0),"Watched","Unwatched"))</f>
        <v/>
      </c>
      <c r="C1307" s="40" t="n"/>
      <c r="D1307" s="41" t="n"/>
      <c r="E1307" s="42" t="n">
        <v>44477.41666666666</v>
      </c>
      <c r="F1307" s="43" t="inlineStr">
        <is>
          <t>Popcorn Culture</t>
        </is>
      </c>
      <c r="G1307" t="inlineStr">
        <is>
          <t>Follow Your Dreams... UNLESS | Popcorn Culture</t>
        </is>
      </c>
      <c r="H1307" s="44" t="n">
        <v>0.04498842592592592</v>
      </c>
      <c r="I1307" s="45" t="n">
        <v>9493</v>
      </c>
      <c r="J1307" s="45" t="n">
        <v>482</v>
      </c>
      <c r="K1307" s="45" t="n">
        <v>66</v>
      </c>
      <c r="L1307" s="46" t="n"/>
      <c r="M1307" s="47" t="n"/>
      <c r="N1307" s="47" t="inlineStr">
        <is>
          <t>UCHfIbq9thHPC8yrKjAdJgDA</t>
        </is>
      </c>
      <c r="O1307" s="48" t="n">
        <v>44477.58333333334</v>
      </c>
      <c r="P1307" s="49" t="n">
        <v>44477</v>
      </c>
      <c r="Q1307" s="47" t="n">
        <v>1961</v>
      </c>
      <c r="R1307" s="47" t="inlineStr">
        <is>
          <t>No Video ID yet</t>
        </is>
      </c>
      <c r="S1307" s="49" t="n"/>
      <c r="T1307" s="49" t="n"/>
      <c r="U1307" s="47" t="inlineStr">
        <is>
          <t>In the 96th episode of the Pop, Ben and J discuss nesting and prepping, pre-kid limbo, billionaires’ race to space, childhood dreams, being a pro Pokémon player, the age of nostalgia, evolution of social media, vintage apps, Gossip Girl, underground weightlifting, 17 inch biceps, and tattoos. Billionaire Space Race - Play Pokémon events - Gossip Girl - Pokémon World Championships -</t>
        </is>
      </c>
      <c r="V1307" s="47">
        <f>IF(AND(P1307&gt;=Calendar!$K$2,P1307&lt;EDATE(Calendar!$K$2,1),OR(Calendar!$K$4="*",N1307=Calendar!$K$4)),P1307*100+COUNTIFS($P$6:$P$3267,P1307,$Q$6:$Q$3267,"&lt;="&amp;Q1307,$N$6:$N$3267,Calendar!$K$4),"")</f>
        <v/>
      </c>
      <c r="W1307" s="47">
        <f>IF(AND(B1307=Queue!$C$4,OR(Queue!$K$4="*",N1307=Queue!$K$4)),Q1307,"")</f>
        <v/>
      </c>
    </row>
    <row r="1308">
      <c r="A1308" s="38">
        <f>IF(M1308="","",HYPERLINK("https://www.youtube.com/watch?v="&amp;M1308,"▶"))</f>
        <v/>
      </c>
      <c r="B1308" s="39">
        <f>IF(C1308&lt;&gt;"",C1308,IF(P1308&lt;=IFERROR(INDEX(tblChannels[Watched Through],MATCH(N1308,tblChannels[Channel ID],0)),0),"Watched","Unwatched"))</f>
        <v/>
      </c>
      <c r="C1308" s="40" t="n"/>
      <c r="D1308" s="41" t="n"/>
      <c r="E1308" s="42" t="n">
        <v>44476.63055555556</v>
      </c>
      <c r="F1308" s="50" t="inlineStr">
        <is>
          <t>Super Carlin Brothers</t>
        </is>
      </c>
      <c r="G1308" t="inlineStr">
        <is>
          <t>Mother Gothel Is Meg from Hercules | Disney Theory</t>
        </is>
      </c>
      <c r="H1308" s="44" t="n">
        <v>0.01033564814814815</v>
      </c>
      <c r="I1308" s="45" t="n">
        <v>475265</v>
      </c>
      <c r="J1308" s="45" t="n">
        <v>23274</v>
      </c>
      <c r="K1308" s="45" t="n">
        <v>2276</v>
      </c>
      <c r="L1308" s="46" t="n"/>
      <c r="M1308" s="47" t="n"/>
      <c r="N1308" s="47" t="inlineStr">
        <is>
          <t>UCKZo4N0lVPccBkSiuyVh4yg</t>
        </is>
      </c>
      <c r="O1308" s="48" t="n">
        <v>44476.79722222222</v>
      </c>
      <c r="P1308" s="49" t="n">
        <v>44476</v>
      </c>
      <c r="Q1308" s="47" t="n">
        <v>1960</v>
      </c>
      <c r="R1308" s="47" t="inlineStr">
        <is>
          <t>No Video ID yet</t>
        </is>
      </c>
      <c r="S1308" s="49" t="n"/>
      <c r="T1308" s="49" t="n"/>
      <c r="U1308" s="47" t="inlineStr">
        <is>
          <t>Head on over to to get 10% off your first month! Today Ben dives into the world of Disney to discuss two absolute classics: Hercules and Tangled and uncovers the TRUTH about Mother Gothel and her origins as none other than: MEG! #SuperCarlinBrothers #Disney #Theory Edited by: Riley Murtagh</t>
        </is>
      </c>
      <c r="V1308" s="47">
        <f>IF(AND(P1308&gt;=Calendar!$K$2,P1308&lt;EDATE(Calendar!$K$2,1),OR(Calendar!$K$4="*",N1308=Calendar!$K$4)),P1308*100+COUNTIFS($P$6:$P$3267,P1308,$Q$6:$Q$3267,"&lt;="&amp;Q1308,$N$6:$N$3267,Calendar!$K$4),"")</f>
        <v/>
      </c>
      <c r="W1308" s="47">
        <f>IF(AND(B1308=Queue!$C$4,OR(Queue!$K$4="*",N1308=Queue!$K$4)),Q1308,"")</f>
        <v/>
      </c>
    </row>
    <row r="1309">
      <c r="A1309" s="38">
        <f>IF(M1309="","",HYPERLINK("https://www.youtube.com/watch?v="&amp;M1309,"▶"))</f>
        <v/>
      </c>
      <c r="B1309" s="39">
        <f>IF(C1309&lt;&gt;"",C1309,IF(P1309&lt;=IFERROR(INDEX(tblChannels[Watched Through],MATCH(N1309,tblChannels[Channel ID],0)),0),"Watched","Unwatched"))</f>
        <v/>
      </c>
      <c r="C1309" s="40" t="n"/>
      <c r="D1309" s="41" t="n"/>
      <c r="E1309" s="42" t="n">
        <v>44475.41666666666</v>
      </c>
      <c r="F1309" s="52" t="inlineStr">
        <is>
          <t>Super Carlin Gaming</t>
        </is>
      </c>
      <c r="G1309" t="inlineStr">
        <is>
          <t>BLUE'S BETRAYAL |  Pokémon SoulSilver Randomizer Nuzlocke #30</t>
        </is>
      </c>
      <c r="H1309" s="44" t="n">
        <v>0.02832175925925926</v>
      </c>
      <c r="I1309" s="45" t="n">
        <v>10877</v>
      </c>
      <c r="J1309" s="45" t="n">
        <v>661</v>
      </c>
      <c r="K1309" s="45" t="n">
        <v>160</v>
      </c>
      <c r="L1309" s="46" t="n"/>
      <c r="M1309" s="47" t="n"/>
      <c r="N1309" s="47" t="inlineStr">
        <is>
          <t>UCor_9jRnNNZVzTuQ92PKsaQ</t>
        </is>
      </c>
      <c r="O1309" s="48" t="n">
        <v>44475.58333333334</v>
      </c>
      <c r="P1309" s="49" t="n">
        <v>44475</v>
      </c>
      <c r="Q1309" s="47" t="n">
        <v>1959</v>
      </c>
      <c r="R1309" s="47" t="inlineStr">
        <is>
          <t>No Video ID yet</t>
        </is>
      </c>
      <c r="S1309" s="49" t="n"/>
      <c r="T1309" s="49" t="n"/>
      <c r="U1309" s="47" t="inlineStr">
        <is>
          <t>Today J and the team attempt to earn their final Kanto badge by defeating Blue... but are they prepared for his dastardly plan of attack???</t>
        </is>
      </c>
      <c r="V1309" s="47">
        <f>IF(AND(P1309&gt;=Calendar!$K$2,P1309&lt;EDATE(Calendar!$K$2,1),OR(Calendar!$K$4="*",N1309=Calendar!$K$4)),P1309*100+COUNTIFS($P$6:$P$3267,P1309,$Q$6:$Q$3267,"&lt;="&amp;Q1309,$N$6:$N$3267,Calendar!$K$4),"")</f>
        <v/>
      </c>
      <c r="W1309" s="47">
        <f>IF(AND(B1309=Queue!$C$4,OR(Queue!$K$4="*",N1309=Queue!$K$4)),Q1309,"")</f>
        <v/>
      </c>
    </row>
    <row r="1310">
      <c r="A1310" s="38">
        <f>IF(M1310="","",HYPERLINK("https://www.youtube.com/watch?v="&amp;M1310,"▶"))</f>
        <v/>
      </c>
      <c r="B1310" s="39">
        <f>IF(C1310&lt;&gt;"",C1310,IF(P1310&lt;=IFERROR(INDEX(tblChannels[Watched Through],MATCH(N1310,tblChannels[Channel ID],0)),0),"Watched","Unwatched"))</f>
        <v/>
      </c>
      <c r="C1310" s="40" t="n"/>
      <c r="D1310" s="41" t="n"/>
      <c r="E1310" s="42" t="n">
        <v>44474.69861111111</v>
      </c>
      <c r="F1310" s="50" t="inlineStr">
        <is>
          <t>Super Carlin Brothers</t>
        </is>
      </c>
      <c r="G1310" t="inlineStr">
        <is>
          <t>Answering Google's TOP 25 Disney Princess Questions</t>
        </is>
      </c>
      <c r="H1310" s="44" t="n">
        <v>0.01001157407407407</v>
      </c>
      <c r="I1310" s="45" t="n">
        <v>113015</v>
      </c>
      <c r="J1310" s="45" t="n">
        <v>5754</v>
      </c>
      <c r="K1310" s="45" t="n">
        <v>678</v>
      </c>
      <c r="L1310" s="46" t="n"/>
      <c r="M1310" s="47" t="n"/>
      <c r="N1310" s="47" t="inlineStr">
        <is>
          <t>UCKZo4N0lVPccBkSiuyVh4yg</t>
        </is>
      </c>
      <c r="O1310" s="48" t="n">
        <v>44474.86527777778</v>
      </c>
      <c r="P1310" s="49" t="n">
        <v>44474</v>
      </c>
      <c r="Q1310" s="47" t="n">
        <v>1958</v>
      </c>
      <c r="R1310" s="47" t="inlineStr">
        <is>
          <t>No Video ID yet</t>
        </is>
      </c>
      <c r="S1310" s="49" t="n"/>
      <c r="T1310" s="49" t="n"/>
      <c r="U1310" s="47" t="inlineStr">
        <is>
          <t>Visit to get an extra 3 months for free! Today J dives into the wonderful world of Disney Princesses to answer all of Google’s TOP questions about everyone’s favorite characters! #SuperCarlinBrothers #DisneyPrincesses</t>
        </is>
      </c>
      <c r="V1310" s="47">
        <f>IF(AND(P1310&gt;=Calendar!$K$2,P1310&lt;EDATE(Calendar!$K$2,1),OR(Calendar!$K$4="*",N1310=Calendar!$K$4)),P1310*100+COUNTIFS($P$6:$P$3267,P1310,$Q$6:$Q$3267,"&lt;="&amp;Q1310,$N$6:$N$3267,Calendar!$K$4),"")</f>
        <v/>
      </c>
      <c r="W1310" s="47">
        <f>IF(AND(B1310=Queue!$C$4,OR(Queue!$K$4="*",N1310=Queue!$K$4)),Q1310,"")</f>
        <v/>
      </c>
    </row>
    <row r="1311">
      <c r="A1311" s="38">
        <f>IF(M1311="","",HYPERLINK("https://www.youtube.com/watch?v="&amp;M1311,"▶"))</f>
        <v/>
      </c>
      <c r="B1311" s="39">
        <f>IF(C1311&lt;&gt;"",C1311,IF(P1311&lt;=IFERROR(INDEX(tblChannels[Watched Through],MATCH(N1311,tblChannels[Channel ID],0)),0),"Watched","Unwatched"))</f>
        <v/>
      </c>
      <c r="C1311" s="40" t="n"/>
      <c r="D1311" s="41" t="n"/>
      <c r="E1311" s="42" t="n">
        <v>44473.41666666666</v>
      </c>
      <c r="F1311" s="52" t="inlineStr">
        <is>
          <t>Super Carlin Gaming</t>
        </is>
      </c>
      <c r="G1311" t="inlineStr">
        <is>
          <t>CELEBI'S SURPRISE |  Pokémon SoulSilver Randomizer Nuzlocke #29</t>
        </is>
      </c>
      <c r="H1311" s="44" t="n">
        <v>0.03685185185185185</v>
      </c>
      <c r="I1311" s="45" t="n">
        <v>12445</v>
      </c>
      <c r="J1311" s="45" t="n">
        <v>621</v>
      </c>
      <c r="K1311" s="45" t="n">
        <v>155</v>
      </c>
      <c r="L1311" s="46" t="n"/>
      <c r="M1311" s="47" t="n"/>
      <c r="N1311" s="47" t="inlineStr">
        <is>
          <t>UCor_9jRnNNZVzTuQ92PKsaQ</t>
        </is>
      </c>
      <c r="O1311" s="48" t="n">
        <v>44473.58333333334</v>
      </c>
      <c r="P1311" s="49" t="n">
        <v>44473</v>
      </c>
      <c r="Q1311" s="47" t="n">
        <v>1957</v>
      </c>
      <c r="R1311" s="47" t="inlineStr">
        <is>
          <t>No Video ID yet</t>
        </is>
      </c>
      <c r="S1311" s="49" t="n"/>
      <c r="T1311" s="49" t="n"/>
      <c r="U1311" s="47" t="inlineStr">
        <is>
          <t>Today J, Rutana and the team head down to Cinnabar island in search of Blaine and our 15th Gym Badge! Are we prepared for his high powered team??</t>
        </is>
      </c>
      <c r="V1311" s="47">
        <f>IF(AND(P1311&gt;=Calendar!$K$2,P1311&lt;EDATE(Calendar!$K$2,1),OR(Calendar!$K$4="*",N1311=Calendar!$K$4)),P1311*100+COUNTIFS($P$6:$P$3267,P1311,$Q$6:$Q$3267,"&lt;="&amp;Q1311,$N$6:$N$3267,Calendar!$K$4),"")</f>
        <v/>
      </c>
      <c r="W1311" s="47">
        <f>IF(AND(B1311=Queue!$C$4,OR(Queue!$K$4="*",N1311=Queue!$K$4)),Q1311,"")</f>
        <v/>
      </c>
    </row>
    <row r="1312">
      <c r="A1312" s="38">
        <f>IF(M1312="","",HYPERLINK("https://www.youtube.com/watch?v="&amp;M1312,"▶"))</f>
        <v/>
      </c>
      <c r="B1312" s="39">
        <f>IF(C1312&lt;&gt;"",C1312,IF(P1312&lt;=IFERROR(INDEX(tblChannels[Watched Through],MATCH(N1312,tblChannels[Channel ID],0)),0),"Watched","Unwatched"))</f>
        <v/>
      </c>
      <c r="C1312" s="40" t="n"/>
      <c r="D1312" s="41" t="n"/>
      <c r="E1312" s="42" t="n">
        <v>44471.51388888889</v>
      </c>
      <c r="F1312" s="50" t="inlineStr">
        <is>
          <t>Super Carlin Brothers</t>
        </is>
      </c>
      <c r="G1312" t="inlineStr">
        <is>
          <t>SCB and Fandom Forward 10k for CHARITY!</t>
        </is>
      </c>
      <c r="H1312" s="44" t="n">
        <v>0.1316666666666667</v>
      </c>
      <c r="I1312" s="45" t="n">
        <v>46414</v>
      </c>
      <c r="J1312" s="45" t="n">
        <v>644</v>
      </c>
      <c r="K1312" s="45" t="n">
        <v>31</v>
      </c>
      <c r="L1312" s="46" t="n"/>
      <c r="M1312" s="47" t="n"/>
      <c r="N1312" s="47" t="inlineStr">
        <is>
          <t>UCKZo4N0lVPccBkSiuyVh4yg</t>
        </is>
      </c>
      <c r="O1312" s="48" t="n">
        <v>44471.68055555555</v>
      </c>
      <c r="P1312" s="49" t="n">
        <v>44471</v>
      </c>
      <c r="Q1312" s="47" t="n">
        <v>1956</v>
      </c>
      <c r="R1312" s="47" t="inlineStr">
        <is>
          <t>No Video ID yet</t>
        </is>
      </c>
      <c r="S1312" s="49" t="n"/>
      <c r="T1312" s="49" t="n"/>
      <c r="U1312" s="47" t="inlineStr">
        <is>
          <t>Join us in our Charity 10k Read and Run! You can participate by moving your body 10 kilometers (6.2 miles) by Walking, Running, Biking, Hiking, Rolling, or however you move! OR move your mind for 10k by reading for 10,000 seconds (about 2 hours and 47 minutes). We'll be live during the whole event with a kickoff stream starting at 8:30am EDT (1:30pm BST). Then we'll hit the starting lines at 9am EDT (2pm BST)! Finally, we'll come back after our readers finish at 11:47am EDT (4:47 BST) and celebrate our fundraising, our fandoms, and ourselves with a special medal ceremony! Get your own medal here:</t>
        </is>
      </c>
      <c r="V1312" s="47">
        <f>IF(AND(P1312&gt;=Calendar!$K$2,P1312&lt;EDATE(Calendar!$K$2,1),OR(Calendar!$K$4="*",N1312=Calendar!$K$4)),P1312*100+COUNTIFS($P$6:$P$3267,P1312,$Q$6:$Q$3267,"&lt;="&amp;Q1312,$N$6:$N$3267,Calendar!$K$4),"")</f>
        <v/>
      </c>
      <c r="W1312" s="47">
        <f>IF(AND(B1312=Queue!$C$4,OR(Queue!$K$4="*",N1312=Queue!$K$4)),Q1312,"")</f>
        <v/>
      </c>
    </row>
    <row r="1313">
      <c r="A1313" s="38">
        <f>IF(M1313="","",HYPERLINK("https://www.youtube.com/watch?v="&amp;M1313,"▶"))</f>
        <v/>
      </c>
      <c r="B1313" s="39">
        <f>IF(C1313&lt;&gt;"",C1313,IF(P1313&lt;=IFERROR(INDEX(tblChannels[Watched Through],MATCH(N1313,tblChannels[Channel ID],0)),0),"Watched","Unwatched"))</f>
        <v/>
      </c>
      <c r="C1313" s="40" t="n"/>
      <c r="D1313" s="41" t="n"/>
      <c r="E1313" s="42" t="n">
        <v>44470.41666666666</v>
      </c>
      <c r="F1313" s="43" t="inlineStr">
        <is>
          <t>Popcorn Culture</t>
        </is>
      </c>
      <c r="G1313" t="inlineStr">
        <is>
          <t>Hot Wheels: A History | Popcorn Culture</t>
        </is>
      </c>
      <c r="H1313" s="44" t="n">
        <v>0.04813657407407407</v>
      </c>
      <c r="I1313" s="45" t="n">
        <v>10266</v>
      </c>
      <c r="J1313" s="45" t="n">
        <v>472</v>
      </c>
      <c r="K1313" s="45" t="n">
        <v>62</v>
      </c>
      <c r="L1313" s="46" t="n"/>
      <c r="M1313" s="47" t="n"/>
      <c r="N1313" s="47" t="inlineStr">
        <is>
          <t>UCHfIbq9thHPC8yrKjAdJgDA</t>
        </is>
      </c>
      <c r="O1313" s="48" t="n">
        <v>44470.58333333334</v>
      </c>
      <c r="P1313" s="49" t="n">
        <v>44470</v>
      </c>
      <c r="Q1313" s="47" t="n">
        <v>1955</v>
      </c>
      <c r="R1313" s="47" t="inlineStr">
        <is>
          <t>No Video ID yet</t>
        </is>
      </c>
      <c r="S1313" s="49" t="n"/>
      <c r="T1313" s="49" t="n"/>
      <c r="U1313" s="47" t="inlineStr">
        <is>
          <t>In the 95th episode of the POP, Ben and J discuss bean bag chairs, new Patreon quarterly merch announcements (!!), hot wheels, 6th grade history project contest, the Something Store, therapy breakthroughs, and more chatbot giggles. LoveSacs: Litographs: Sugar Caddy pic Diablo 2 Resurrected: Difference between anxiety and nerves: People pleasing: Super Carlin Chatbot: Ben’s Wick of the Peek - Creamer before coffee (Perpetual Wick of the Peek- Ted Lasso: www.Patreon.com/PopcornCulture</t>
        </is>
      </c>
      <c r="V1313" s="47">
        <f>IF(AND(P1313&gt;=Calendar!$K$2,P1313&lt;EDATE(Calendar!$K$2,1),OR(Calendar!$K$4="*",N1313=Calendar!$K$4)),P1313*100+COUNTIFS($P$6:$P$3267,P1313,$Q$6:$Q$3267,"&lt;="&amp;Q1313,$N$6:$N$3267,Calendar!$K$4),"")</f>
        <v/>
      </c>
      <c r="W1313" s="47">
        <f>IF(AND(B1313=Queue!$C$4,OR(Queue!$K$4="*",N1313=Queue!$K$4)),Q1313,"")</f>
        <v/>
      </c>
    </row>
    <row r="1314">
      <c r="A1314" s="38">
        <f>IF(M1314="","",HYPERLINK("https://www.youtube.com/watch?v="&amp;M1314,"▶"))</f>
        <v/>
      </c>
      <c r="B1314" s="39">
        <f>IF(C1314&lt;&gt;"",C1314,IF(P1314&lt;=IFERROR(INDEX(tblChannels[Watched Through],MATCH(N1314,tblChannels[Channel ID],0)),0),"Watched","Unwatched"))</f>
        <v/>
      </c>
      <c r="C1314" s="40" t="n"/>
      <c r="D1314" s="41" t="n"/>
      <c r="E1314" s="42" t="n">
        <v>44469.70763888889</v>
      </c>
      <c r="F1314" s="50" t="inlineStr">
        <is>
          <t>Super Carlin Brothers</t>
        </is>
      </c>
      <c r="G1314" t="inlineStr">
        <is>
          <t>J vs Ben: Can We SPELL Harry Potter Spells?</t>
        </is>
      </c>
      <c r="H1314" s="44" t="n">
        <v>0.01855324074074074</v>
      </c>
      <c r="I1314" s="45" t="n">
        <v>176335</v>
      </c>
      <c r="J1314" s="45" t="n">
        <v>7386</v>
      </c>
      <c r="K1314" s="45" t="n">
        <v>865</v>
      </c>
      <c r="L1314" s="46" t="n"/>
      <c r="M1314" s="47" t="n"/>
      <c r="N1314" s="47" t="inlineStr">
        <is>
          <t>UCKZo4N0lVPccBkSiuyVh4yg</t>
        </is>
      </c>
      <c r="O1314" s="48" t="n">
        <v>44469.87430555555</v>
      </c>
      <c r="P1314" s="49" t="n">
        <v>44469</v>
      </c>
      <c r="Q1314" s="47" t="n">
        <v>1954</v>
      </c>
      <c r="R1314" s="47" t="inlineStr">
        <is>
          <t>No Video ID yet</t>
        </is>
      </c>
      <c r="S1314" s="49" t="n"/>
      <c r="T1314" s="49" t="n"/>
      <c r="U1314" s="47" t="inlineStr">
        <is>
          <t>Head on over to to get an extra 3 months FREE! Get 25% off and zero delivery fees on their first order of $15 or more, when you download the DoorDash app and enter code JVSB2021. Today J and Ben face off once more in their first ever Harry Potter SPELL-ing Bee to determine who can spell more Harry Potter Spell correctly! #SuperCarlinBrothers #HarryPotter #JvsBen</t>
        </is>
      </c>
      <c r="V1314" s="47">
        <f>IF(AND(P1314&gt;=Calendar!$K$2,P1314&lt;EDATE(Calendar!$K$2,1),OR(Calendar!$K$4="*",N1314=Calendar!$K$4)),P1314*100+COUNTIFS($P$6:$P$3267,P1314,$Q$6:$Q$3267,"&lt;="&amp;Q1314,$N$6:$N$3267,Calendar!$K$4),"")</f>
        <v/>
      </c>
      <c r="W1314" s="47">
        <f>IF(AND(B1314=Queue!$C$4,OR(Queue!$K$4="*",N1314=Queue!$K$4)),Q1314,"")</f>
        <v/>
      </c>
    </row>
    <row r="1315">
      <c r="A1315" s="38">
        <f>IF(M1315="","",HYPERLINK("https://www.youtube.com/watch?v="&amp;M1315,"▶"))</f>
        <v/>
      </c>
      <c r="B1315" s="39">
        <f>IF(C1315&lt;&gt;"",C1315,IF(P1315&lt;=IFERROR(INDEX(tblChannels[Watched Through],MATCH(N1315,tblChannels[Channel ID],0)),0),"Watched","Unwatched"))</f>
        <v/>
      </c>
      <c r="C1315" s="40" t="n"/>
      <c r="D1315" s="41" t="n"/>
      <c r="E1315" s="42" t="n">
        <v>44468.41666666666</v>
      </c>
      <c r="F1315" s="52" t="inlineStr">
        <is>
          <t>Super Carlin Gaming</t>
        </is>
      </c>
      <c r="G1315" t="inlineStr">
        <is>
          <t>CELERY'S SURPRISE |  Pokémon SoulSilver Randomizer Nuzlocke #28</t>
        </is>
      </c>
      <c r="H1315" s="44" t="n">
        <v>0.02862268518518519</v>
      </c>
      <c r="I1315" s="45" t="n">
        <v>11535</v>
      </c>
      <c r="J1315" s="45" t="n">
        <v>654</v>
      </c>
      <c r="K1315" s="45" t="n">
        <v>200</v>
      </c>
      <c r="L1315" s="46" t="n"/>
      <c r="M1315" s="47" t="n"/>
      <c r="N1315" s="47" t="inlineStr">
        <is>
          <t>UCor_9jRnNNZVzTuQ92PKsaQ</t>
        </is>
      </c>
      <c r="O1315" s="48" t="n">
        <v>44468.58333333334</v>
      </c>
      <c r="P1315" s="49" t="n">
        <v>44468</v>
      </c>
      <c r="Q1315" s="47" t="n">
        <v>1953</v>
      </c>
      <c r="R1315" s="47" t="inlineStr">
        <is>
          <t>No Video ID yet</t>
        </is>
      </c>
      <c r="S1315" s="49" t="n"/>
      <c r="T1315" s="49" t="n"/>
      <c r="U1315" s="47" t="inlineStr">
        <is>
          <t>Today J, Rutana and the team head towards Mt. Moon in search or new friends.. but instead find nothing but an old smelly enemy: CELERY! Is the team prepared for his SNEAK ATTACK?? #Pokemon #Nuzlocke Edited by: Riley Murtagh</t>
        </is>
      </c>
      <c r="V1315" s="47">
        <f>IF(AND(P1315&gt;=Calendar!$K$2,P1315&lt;EDATE(Calendar!$K$2,1),OR(Calendar!$K$4="*",N1315=Calendar!$K$4)),P1315*100+COUNTIFS($P$6:$P$3267,P1315,$Q$6:$Q$3267,"&lt;="&amp;Q1315,$N$6:$N$3267,Calendar!$K$4),"")</f>
        <v/>
      </c>
      <c r="W1315" s="47">
        <f>IF(AND(B1315=Queue!$C$4,OR(Queue!$K$4="*",N1315=Queue!$K$4)),Q1315,"")</f>
        <v/>
      </c>
    </row>
    <row r="1316">
      <c r="A1316" s="38">
        <f>IF(M1316="","",HYPERLINK("https://www.youtube.com/watch?v="&amp;M1316,"▶"))</f>
        <v/>
      </c>
      <c r="B1316" s="39">
        <f>IF(C1316&lt;&gt;"",C1316,IF(P1316&lt;=IFERROR(INDEX(tblChannels[Watched Through],MATCH(N1316,tblChannels[Channel ID],0)),0),"Watched","Unwatched"))</f>
        <v/>
      </c>
      <c r="C1316" s="40" t="n"/>
      <c r="D1316" s="41" t="n"/>
      <c r="E1316" s="42" t="n">
        <v>44467.7125</v>
      </c>
      <c r="F1316" s="50" t="inlineStr">
        <is>
          <t>Super Carlin Brothers</t>
        </is>
      </c>
      <c r="G1316" t="inlineStr">
        <is>
          <t>Why Umbridge Is The WORST Kind of EVIL | Harry Potter Film Theory</t>
        </is>
      </c>
      <c r="H1316" s="44" t="n">
        <v>0.01228009259259259</v>
      </c>
      <c r="I1316" s="45" t="n">
        <v>643006</v>
      </c>
      <c r="J1316" s="45" t="n">
        <v>22681</v>
      </c>
      <c r="K1316" s="45" t="n">
        <v>4544</v>
      </c>
      <c r="L1316" s="46" t="n"/>
      <c r="M1316" s="47" t="n"/>
      <c r="N1316" s="47" t="inlineStr">
        <is>
          <t>UCKZo4N0lVPccBkSiuyVh4yg</t>
        </is>
      </c>
      <c r="O1316" s="48" t="n">
        <v>44467.87916666667</v>
      </c>
      <c r="P1316" s="49" t="n">
        <v>44467</v>
      </c>
      <c r="Q1316" s="47" t="n">
        <v>1952</v>
      </c>
      <c r="R1316" s="47" t="inlineStr">
        <is>
          <t>No Video ID yet</t>
        </is>
      </c>
      <c r="S1316" s="49" t="n"/>
      <c r="T1316" s="49" t="n"/>
      <c r="U1316" s="47" t="inlineStr">
        <is>
          <t>Go to and use code SCB to save $75 on your starter kit! Today J dives into the Wizarding World of Harry Potter to sort the characters into the 9 moral alignments popularized by Dungeons and Dragons! Who’s Chaotic Neutral? Who is Lawful Good? Find out today!</t>
        </is>
      </c>
      <c r="V1316" s="47">
        <f>IF(AND(P1316&gt;=Calendar!$K$2,P1316&lt;EDATE(Calendar!$K$2,1),OR(Calendar!$K$4="*",N1316=Calendar!$K$4)),P1316*100+COUNTIFS($P$6:$P$3267,P1316,$Q$6:$Q$3267,"&lt;="&amp;Q1316,$N$6:$N$3267,Calendar!$K$4),"")</f>
        <v/>
      </c>
      <c r="W1316" s="47">
        <f>IF(AND(B1316=Queue!$C$4,OR(Queue!$K$4="*",N1316=Queue!$K$4)),Q1316,"")</f>
        <v/>
      </c>
    </row>
    <row r="1317">
      <c r="A1317" s="38">
        <f>IF(M1317="","",HYPERLINK("https://www.youtube.com/watch?v="&amp;M1317,"▶"))</f>
        <v/>
      </c>
      <c r="B1317" s="39">
        <f>IF(C1317&lt;&gt;"",C1317,IF(P1317&lt;=IFERROR(INDEX(tblChannels[Watched Through],MATCH(N1317,tblChannels[Channel ID],0)),0),"Watched","Unwatched"))</f>
        <v/>
      </c>
      <c r="C1317" s="40" t="n"/>
      <c r="D1317" s="41" t="n"/>
      <c r="E1317" s="42" t="n">
        <v>44466.41666666666</v>
      </c>
      <c r="F1317" s="52" t="inlineStr">
        <is>
          <t>Super Carlin Gaming</t>
        </is>
      </c>
      <c r="G1317" t="inlineStr">
        <is>
          <t>BROCK AND MISTY |  Pokémon SoulSilver Randomizer Nuzlocke #27</t>
        </is>
      </c>
      <c r="H1317" s="44" t="n">
        <v>0.04034722222222222</v>
      </c>
      <c r="I1317" s="45" t="n">
        <v>13646</v>
      </c>
      <c r="J1317" s="45" t="n">
        <v>667</v>
      </c>
      <c r="K1317" s="45" t="n">
        <v>227</v>
      </c>
      <c r="L1317" s="46" t="n"/>
      <c r="M1317" s="47" t="n"/>
      <c r="N1317" s="47" t="inlineStr">
        <is>
          <t>UCor_9jRnNNZVzTuQ92PKsaQ</t>
        </is>
      </c>
      <c r="O1317" s="48" t="n">
        <v>44466.58333333334</v>
      </c>
      <c r="P1317" s="49" t="n">
        <v>44466</v>
      </c>
      <c r="Q1317" s="47" t="n">
        <v>1951</v>
      </c>
      <c r="R1317" s="47" t="inlineStr">
        <is>
          <t>No Video ID yet</t>
        </is>
      </c>
      <c r="S1317" s="49" t="n"/>
      <c r="T1317" s="49" t="n"/>
      <c r="U1317" s="47" t="inlineStr">
        <is>
          <t>Today J, Rutana and the team take on Kanto's most famous Gym Leaders Brock and Misty.. can they survive the legends teams?? #Pokemon #Nuzlocke</t>
        </is>
      </c>
      <c r="V1317" s="47">
        <f>IF(AND(P1317&gt;=Calendar!$K$2,P1317&lt;EDATE(Calendar!$K$2,1),OR(Calendar!$K$4="*",N1317=Calendar!$K$4)),P1317*100+COUNTIFS($P$6:$P$3267,P1317,$Q$6:$Q$3267,"&lt;="&amp;Q1317,$N$6:$N$3267,Calendar!$K$4),"")</f>
        <v/>
      </c>
      <c r="W1317" s="47">
        <f>IF(AND(B1317=Queue!$C$4,OR(Queue!$K$4="*",N1317=Queue!$K$4)),Q1317,"")</f>
        <v/>
      </c>
    </row>
    <row r="1318">
      <c r="A1318" s="38">
        <f>IF(M1318="","",HYPERLINK("https://www.youtube.com/watch?v="&amp;M1318,"▶"))</f>
        <v/>
      </c>
      <c r="B1318" s="39">
        <f>IF(C1318&lt;&gt;"",C1318,IF(P1318&lt;=IFERROR(INDEX(tblChannels[Watched Through],MATCH(N1318,tblChannels[Channel ID],0)),0),"Watched","Unwatched"))</f>
        <v/>
      </c>
      <c r="C1318" s="40" t="n"/>
      <c r="D1318" s="41" t="n"/>
      <c r="E1318" s="42" t="n">
        <v>44463.84236111111</v>
      </c>
      <c r="F1318" s="50" t="inlineStr">
        <is>
          <t>Super Carlin Brothers</t>
        </is>
      </c>
      <c r="G1318" t="inlineStr">
        <is>
          <t>ALL FANDOMS Trivia Night and Coffee Product Reveal LIVE STREAM!</t>
        </is>
      </c>
      <c r="H1318" s="44" t="n">
        <v>0.08123842592592592</v>
      </c>
      <c r="I1318" s="45" t="n">
        <v>42175</v>
      </c>
      <c r="J1318" s="45" t="n">
        <v>1326</v>
      </c>
      <c r="K1318" s="45" t="n">
        <v>60</v>
      </c>
      <c r="L1318" s="46" t="n"/>
      <c r="M1318" s="47" t="n"/>
      <c r="N1318" s="47" t="inlineStr">
        <is>
          <t>UCKZo4N0lVPccBkSiuyVh4yg</t>
        </is>
      </c>
      <c r="O1318" s="48" t="n">
        <v>44464.00902777778</v>
      </c>
      <c r="P1318" s="49" t="n">
        <v>44463</v>
      </c>
      <c r="Q1318" s="47" t="n">
        <v>1950</v>
      </c>
      <c r="R1318" s="47" t="inlineStr">
        <is>
          <t>No Video ID yet</t>
        </is>
      </c>
      <c r="S1318" s="49" t="n"/>
      <c r="T1318" s="49" t="n"/>
      <c r="U1318" s="47" t="inlineStr">
        <is>
          <t>DO YOU HAVE WHAT IT TAKES TO BECOME THE CHAMPION OF ALL SIX FANDOMS?! - Test your knowledge of Disney, Pixar, Marvel, Star Wars, Harry Potter and Avatar: The Last Airbender! And check out some BRAND NEW products we're launching at carlinbrotherscoffee.com! Winners and Top Five email: secretcarlinbrothers@gmail.com with a screenshot of your winning score! HOW TO PLAY Kahoot with the Carlins! 1. Download the Kahoot app to your mobile device, or go to Kahoot.it to join the game! If the app is already installed on your device we recommend making sure it is up to date before the game starts! 2. Make sure you’re running the SCB Livestream on a different device or a different window than Kahoot! (We recommend having Kahoot on your phone and the stream on a computer or TV, but two tabs/windows on the same computer works as well!) 3. Shortly before we start the game, SCB will announce the game PIN. Enter the pin into your Kahoot App or at Kahoot.it 4. Enter a nickname for yourself and join the game! 5. Points are awarded for accuracy and speed, so make sure your live stream is caught up! You can skip ahead in the video, or set your video speed to 2x to catch up! (To increase video speed, cl</t>
        </is>
      </c>
      <c r="V1318" s="47">
        <f>IF(AND(P1318&gt;=Calendar!$K$2,P1318&lt;EDATE(Calendar!$K$2,1),OR(Calendar!$K$4="*",N1318=Calendar!$K$4)),P1318*100+COUNTIFS($P$6:$P$3267,P1318,$Q$6:$Q$3267,"&lt;="&amp;Q1318,$N$6:$N$3267,Calendar!$K$4),"")</f>
        <v/>
      </c>
      <c r="W1318" s="47">
        <f>IF(AND(B1318=Queue!$C$4,OR(Queue!$K$4="*",N1318=Queue!$K$4)),Q1318,"")</f>
        <v/>
      </c>
    </row>
    <row r="1319">
      <c r="A1319" s="38">
        <f>IF(M1319="","",HYPERLINK("https://www.youtube.com/watch?v="&amp;M1319,"▶"))</f>
        <v/>
      </c>
      <c r="B1319" s="39">
        <f>IF(C1319&lt;&gt;"",C1319,IF(P1319&lt;=IFERROR(INDEX(tblChannels[Watched Through],MATCH(N1319,tblChannels[Channel ID],0)),0),"Watched","Unwatched"))</f>
        <v/>
      </c>
      <c r="C1319" s="40" t="n"/>
      <c r="D1319" s="41" t="n"/>
      <c r="E1319" s="42" t="n">
        <v>44463.41666666666</v>
      </c>
      <c r="F1319" s="43" t="inlineStr">
        <is>
          <t>Popcorn Culture</t>
        </is>
      </c>
      <c r="G1319" t="inlineStr">
        <is>
          <t>50 First Dates of Frozen | Popcorn Culture</t>
        </is>
      </c>
      <c r="H1319" s="44" t="n">
        <v>0.04846064814814815</v>
      </c>
      <c r="I1319" s="45" t="n">
        <v>11460</v>
      </c>
      <c r="J1319" s="45" t="n">
        <v>535</v>
      </c>
      <c r="K1319" s="45" t="n">
        <v>68</v>
      </c>
      <c r="L1319" s="46" t="n"/>
      <c r="M1319" s="47" t="n"/>
      <c r="N1319" s="47" t="inlineStr">
        <is>
          <t>UCHfIbq9thHPC8yrKjAdJgDA</t>
        </is>
      </c>
      <c r="O1319" s="48" t="n">
        <v>44463.58333333334</v>
      </c>
      <c r="P1319" s="49" t="n">
        <v>44463</v>
      </c>
      <c r="Q1319" s="47" t="n">
        <v>1949</v>
      </c>
      <c r="R1319" s="47" t="inlineStr">
        <is>
          <t>No Video ID yet</t>
        </is>
      </c>
      <c r="S1319" s="49" t="n"/>
      <c r="T1319" s="49" t="n"/>
      <c r="U1319" s="47" t="inlineStr">
        <is>
          <t>In the 94th episode of the Pop, Ben and J discuss van life escapism, first breakups, Beard episode of Ted Lasso, comfort movies, flying in a Tie Fighter, get-shuffle chat bot, update on Facebook events button and texting habits. Vandwelling wiki: Ben’s favorite movie trailer playlist: Check out this awesome chatbot!!! (Literally sooooo funny! Screenshot the answers and share them to us with #popcornculture on instagram or twitter, or email them to us) SmarterChild wiki: SmarterChild example pic: J’s Wick of the Peek - Project Hail Mary by Andy Weir: (Perpetual Wick of the Peek- Ted Lasso: Get your Popcast Bingo Card:</t>
        </is>
      </c>
      <c r="V1319" s="47">
        <f>IF(AND(P1319&gt;=Calendar!$K$2,P1319&lt;EDATE(Calendar!$K$2,1),OR(Calendar!$K$4="*",N1319=Calendar!$K$4)),P1319*100+COUNTIFS($P$6:$P$3267,P1319,$Q$6:$Q$3267,"&lt;="&amp;Q1319,$N$6:$N$3267,Calendar!$K$4),"")</f>
        <v/>
      </c>
      <c r="W1319" s="47">
        <f>IF(AND(B1319=Queue!$C$4,OR(Queue!$K$4="*",N1319=Queue!$K$4)),Q1319,"")</f>
        <v/>
      </c>
    </row>
    <row r="1320">
      <c r="A1320" s="38">
        <f>IF(M1320="","",HYPERLINK("https://www.youtube.com/watch?v="&amp;M1320,"▶"))</f>
        <v/>
      </c>
      <c r="B1320" s="39">
        <f>IF(C1320&lt;&gt;"",C1320,IF(P1320&lt;=IFERROR(INDEX(tblChannels[Watched Through],MATCH(N1320,tblChannels[Channel ID],0)),0),"Watched","Unwatched"))</f>
        <v/>
      </c>
      <c r="C1320" s="40" t="n"/>
      <c r="D1320" s="41" t="n"/>
      <c r="E1320" s="42" t="n">
        <v>44462.66875</v>
      </c>
      <c r="F1320" s="50" t="inlineStr">
        <is>
          <t>Super Carlin Brothers</t>
        </is>
      </c>
      <c r="G1320" t="inlineStr">
        <is>
          <t>"The Secrets of Dumbledore" Title Explained | Harry Potter Theory</t>
        </is>
      </c>
      <c r="H1320" s="44" t="n">
        <v>0.01009259259259259</v>
      </c>
      <c r="I1320" s="45" t="n">
        <v>267643</v>
      </c>
      <c r="J1320" s="45" t="n">
        <v>12234</v>
      </c>
      <c r="K1320" s="45" t="n">
        <v>1229</v>
      </c>
      <c r="L1320" s="46" t="n"/>
      <c r="M1320" s="47" t="n"/>
      <c r="N1320" s="47" t="inlineStr">
        <is>
          <t>UCKZo4N0lVPccBkSiuyVh4yg</t>
        </is>
      </c>
      <c r="O1320" s="48" t="n">
        <v>44462.83541666667</v>
      </c>
      <c r="P1320" s="49" t="n">
        <v>44462</v>
      </c>
      <c r="Q1320" s="47" t="n">
        <v>1948</v>
      </c>
      <c r="R1320" s="47" t="inlineStr">
        <is>
          <t>No Video ID yet</t>
        </is>
      </c>
      <c r="S1320" s="49" t="n"/>
      <c r="T1320" s="49" t="n"/>
      <c r="U1320" s="47" t="inlineStr">
        <is>
          <t>Head on over to to for 10% off! Today Ben dives into the Wizarding World of Harry Potter to discuss the newly revealed title of the next Fantastic Beasts movie: The Secrets of Dumbledore!</t>
        </is>
      </c>
      <c r="V1320" s="47">
        <f>IF(AND(P1320&gt;=Calendar!$K$2,P1320&lt;EDATE(Calendar!$K$2,1),OR(Calendar!$K$4="*",N1320=Calendar!$K$4)),P1320*100+COUNTIFS($P$6:$P$3267,P1320,$Q$6:$Q$3267,"&lt;="&amp;Q1320,$N$6:$N$3267,Calendar!$K$4),"")</f>
        <v/>
      </c>
      <c r="W1320" s="47">
        <f>IF(AND(B1320=Queue!$C$4,OR(Queue!$K$4="*",N1320=Queue!$K$4)),Q1320,"")</f>
        <v/>
      </c>
    </row>
    <row r="1321">
      <c r="A1321" s="38">
        <f>IF(M1321="","",HYPERLINK("https://www.youtube.com/watch?v="&amp;M1321,"▶"))</f>
        <v/>
      </c>
      <c r="B1321" s="39">
        <f>IF(C1321&lt;&gt;"",C1321,IF(P1321&lt;=IFERROR(INDEX(tblChannels[Watched Through],MATCH(N1321,tblChannels[Channel ID],0)),0),"Watched","Unwatched"))</f>
        <v/>
      </c>
      <c r="C1321" s="40" t="n"/>
      <c r="D1321" s="41" t="n"/>
      <c r="E1321" s="42" t="n">
        <v>44461.41666666666</v>
      </c>
      <c r="F1321" s="52" t="inlineStr">
        <is>
          <t>Super Carlin Gaming</t>
        </is>
      </c>
      <c r="G1321" t="inlineStr">
        <is>
          <t>ICE. ICE. BABY. |  Pokémon SoulSilver Randomizer Nuzlocke #26</t>
        </is>
      </c>
      <c r="H1321" s="44" t="n">
        <v>0.02555555555555556</v>
      </c>
      <c r="I1321" s="45" t="n">
        <v>12592</v>
      </c>
      <c r="J1321" s="45" t="n">
        <v>695</v>
      </c>
      <c r="K1321" s="45" t="n">
        <v>96</v>
      </c>
      <c r="L1321" s="46" t="n"/>
      <c r="M1321" s="47" t="n"/>
      <c r="N1321" s="47" t="inlineStr">
        <is>
          <t>UCor_9jRnNNZVzTuQ92PKsaQ</t>
        </is>
      </c>
      <c r="O1321" s="48" t="n">
        <v>44461.58333333334</v>
      </c>
      <c r="P1321" s="49" t="n">
        <v>44461</v>
      </c>
      <c r="Q1321" s="47" t="n">
        <v>1947</v>
      </c>
      <c r="R1321" s="47" t="inlineStr">
        <is>
          <t>No Video ID yet</t>
        </is>
      </c>
      <c r="S1321" s="49" t="n"/>
      <c r="T1321" s="49" t="n"/>
      <c r="U1321" s="47" t="inlineStr">
        <is>
          <t>Today J, Rutana, Ice and the team try to catch lots of new friends and fix the Power Plant! You know.. a regular job for a 10 year old. Also Ice uses his literal canon for an arm... A LOT.</t>
        </is>
      </c>
      <c r="V1321" s="47">
        <f>IF(AND(P1321&gt;=Calendar!$K$2,P1321&lt;EDATE(Calendar!$K$2,1),OR(Calendar!$K$4="*",N1321=Calendar!$K$4)),P1321*100+COUNTIFS($P$6:$P$3267,P1321,$Q$6:$Q$3267,"&lt;="&amp;Q1321,$N$6:$N$3267,Calendar!$K$4),"")</f>
        <v/>
      </c>
      <c r="W1321" s="47">
        <f>IF(AND(B1321=Queue!$C$4,OR(Queue!$K$4="*",N1321=Queue!$K$4)),Q1321,"")</f>
        <v/>
      </c>
    </row>
    <row r="1322">
      <c r="A1322" s="38">
        <f>IF(M1322="","",HYPERLINK("https://www.youtube.com/watch?v="&amp;M1322,"▶"))</f>
        <v/>
      </c>
      <c r="B1322" s="39">
        <f>IF(C1322&lt;&gt;"",C1322,IF(P1322&lt;=IFERROR(INDEX(tblChannels[Watched Through],MATCH(N1322,tblChannels[Channel ID],0)),0),"Watched","Unwatched"))</f>
        <v/>
      </c>
      <c r="C1322" s="40" t="n"/>
      <c r="D1322" s="41" t="n"/>
      <c r="E1322" s="42" t="n">
        <v>44460.70694444444</v>
      </c>
      <c r="F1322" s="50" t="inlineStr">
        <is>
          <t>Super Carlin Brothers</t>
        </is>
      </c>
      <c r="G1322" t="inlineStr">
        <is>
          <t>The THUNDERBOLTS Are Coming! | Marvel Film Theory</t>
        </is>
      </c>
      <c r="H1322" s="44" t="n">
        <v>0.01140046296296296</v>
      </c>
      <c r="I1322" s="45" t="n">
        <v>156616</v>
      </c>
      <c r="J1322" s="45" t="n">
        <v>8083</v>
      </c>
      <c r="K1322" s="45" t="n">
        <v>875</v>
      </c>
      <c r="L1322" s="46" t="n"/>
      <c r="M1322" s="47" t="n"/>
      <c r="N1322" s="47" t="inlineStr">
        <is>
          <t>UCKZo4N0lVPccBkSiuyVh4yg</t>
        </is>
      </c>
      <c r="O1322" s="48" t="n">
        <v>44460.87361111111</v>
      </c>
      <c r="P1322" s="49" t="n">
        <v>44460</v>
      </c>
      <c r="Q1322" s="47" t="n">
        <v>1946</v>
      </c>
      <c r="R1322" s="47" t="inlineStr">
        <is>
          <t>No Video ID yet</t>
        </is>
      </c>
      <c r="S1322" s="49" t="n"/>
      <c r="T1322" s="49" t="n"/>
      <c r="U1322" s="47" t="inlineStr">
        <is>
          <t>Go to to get 15% off your first order plus free shipping! Today J dives into the Marvel Cinematic Universe to try and predict what Val’s big plan is - is she assembling the THUNDERBOLTS and if so who are the potential members?? #SuperCarlinBrothers #Marvel #Thunderbolts</t>
        </is>
      </c>
      <c r="V1322" s="47">
        <f>IF(AND(P1322&gt;=Calendar!$K$2,P1322&lt;EDATE(Calendar!$K$2,1),OR(Calendar!$K$4="*",N1322=Calendar!$K$4)),P1322*100+COUNTIFS($P$6:$P$3267,P1322,$Q$6:$Q$3267,"&lt;="&amp;Q1322,$N$6:$N$3267,Calendar!$K$4),"")</f>
        <v/>
      </c>
      <c r="W1322" s="47">
        <f>IF(AND(B1322=Queue!$C$4,OR(Queue!$K$4="*",N1322=Queue!$K$4)),Q1322,"")</f>
        <v/>
      </c>
    </row>
    <row r="1323">
      <c r="A1323" s="38">
        <f>IF(M1323="","",HYPERLINK("https://www.youtube.com/watch?v="&amp;M1323,"▶"))</f>
        <v/>
      </c>
      <c r="B1323" s="39">
        <f>IF(C1323&lt;&gt;"",C1323,IF(P1323&lt;=IFERROR(INDEX(tblChannels[Watched Through],MATCH(N1323,tblChannels[Channel ID],0)),0),"Watched","Unwatched"))</f>
        <v/>
      </c>
      <c r="C1323" s="40" t="n"/>
      <c r="D1323" s="41" t="n"/>
      <c r="E1323" s="42" t="n">
        <v>44459.41666666666</v>
      </c>
      <c r="F1323" s="52" t="inlineStr">
        <is>
          <t>Super Carlin Gaming</t>
        </is>
      </c>
      <c r="G1323" t="inlineStr">
        <is>
          <t>THE BUG'S LIFE |  Pokémon SoulSilver Randomizer Nuzlocke #25</t>
        </is>
      </c>
      <c r="H1323" s="44" t="n">
        <v>0.0319675925925926</v>
      </c>
      <c r="I1323" s="45" t="n">
        <v>14262</v>
      </c>
      <c r="J1323" s="45" t="n">
        <v>741</v>
      </c>
      <c r="K1323" s="45" t="n">
        <v>158</v>
      </c>
      <c r="L1323" s="46" t="n"/>
      <c r="M1323" s="47" t="n"/>
      <c r="N1323" s="47" t="inlineStr">
        <is>
          <t>UCor_9jRnNNZVzTuQ92PKsaQ</t>
        </is>
      </c>
      <c r="O1323" s="48" t="n">
        <v>44459.58333333334</v>
      </c>
      <c r="P1323" s="49" t="n">
        <v>44459</v>
      </c>
      <c r="Q1323" s="47" t="n">
        <v>1945</v>
      </c>
      <c r="R1323" s="47" t="inlineStr">
        <is>
          <t>No Video ID yet</t>
        </is>
      </c>
      <c r="S1323" s="49" t="n"/>
      <c r="T1323" s="49" t="n"/>
      <c r="U1323" s="47" t="inlineStr">
        <is>
          <t>Today J, Rutana and the team face off against Janine for their 4th Kanto Gym Badge! Can they navigate her invisible walls and walk away safe?!?!</t>
        </is>
      </c>
      <c r="V1323" s="47">
        <f>IF(AND(P1323&gt;=Calendar!$K$2,P1323&lt;EDATE(Calendar!$K$2,1),OR(Calendar!$K$4="*",N1323=Calendar!$K$4)),P1323*100+COUNTIFS($P$6:$P$3267,P1323,$Q$6:$Q$3267,"&lt;="&amp;Q1323,$N$6:$N$3267,Calendar!$K$4),"")</f>
        <v/>
      </c>
      <c r="W1323" s="47">
        <f>IF(AND(B1323=Queue!$C$4,OR(Queue!$K$4="*",N1323=Queue!$K$4)),Q1323,"")</f>
        <v/>
      </c>
    </row>
    <row r="1324">
      <c r="A1324" s="38">
        <f>IF(M1324="","",HYPERLINK("https://www.youtube.com/watch?v="&amp;M1324,"▶"))</f>
        <v/>
      </c>
      <c r="B1324" s="39">
        <f>IF(C1324&lt;&gt;"",C1324,IF(P1324&lt;=IFERROR(INDEX(tblChannels[Watched Through],MATCH(N1324,tblChannels[Channel ID],0)),0),"Watched","Unwatched"))</f>
        <v/>
      </c>
      <c r="C1324" s="40" t="n"/>
      <c r="D1324" s="41" t="n"/>
      <c r="E1324" s="42" t="n">
        <v>44456.41666666666</v>
      </c>
      <c r="F1324" s="43" t="inlineStr">
        <is>
          <t>Popcorn Culture</t>
        </is>
      </c>
      <c r="G1324" t="inlineStr">
        <is>
          <t>How to Win at Tic-Tac-Toe | Popcorn Culture</t>
        </is>
      </c>
      <c r="H1324" s="44" t="n">
        <v>0.05668981481481482</v>
      </c>
      <c r="I1324" s="45" t="n">
        <v>14599</v>
      </c>
      <c r="J1324" s="45" t="n">
        <v>668</v>
      </c>
      <c r="K1324" s="45" t="n">
        <v>99</v>
      </c>
      <c r="L1324" s="46" t="n"/>
      <c r="M1324" s="47" t="n"/>
      <c r="N1324" s="47" t="inlineStr">
        <is>
          <t>UCHfIbq9thHPC8yrKjAdJgDA</t>
        </is>
      </c>
      <c r="O1324" s="48" t="n">
        <v>44456.58333333334</v>
      </c>
      <c r="P1324" s="49" t="n">
        <v>44456</v>
      </c>
      <c r="Q1324" s="47" t="n">
        <v>1944</v>
      </c>
      <c r="R1324" s="47" t="inlineStr">
        <is>
          <t>No Video ID yet</t>
        </is>
      </c>
      <c r="S1324" s="49" t="n"/>
      <c r="T1324" s="49" t="n"/>
      <c r="U1324" s="47" t="inlineStr">
        <is>
          <t>In the 93rd Episode of the Pop, Ben and J discuss: couponing (sort of), social media frustrations, macarons vs. macaroons, simple game strategies, Solo Stoves basically being dryer drums, return of football, and meanings behind greetings. Article on Social Media Addiction: The Social Dilemma trailer: Tic-Tak-KO Unicorns vs. Dragons: Carlin Brother’s Candles: Ben’s Wick of the Peek - Solo Stove: J’s Wick of the Peek - Nine Perfect Strangers: (Perpetual Wick of the Peek- Ted Lasso:</t>
        </is>
      </c>
      <c r="V1324" s="47">
        <f>IF(AND(P1324&gt;=Calendar!$K$2,P1324&lt;EDATE(Calendar!$K$2,1),OR(Calendar!$K$4="*",N1324=Calendar!$K$4)),P1324*100+COUNTIFS($P$6:$P$3267,P1324,$Q$6:$Q$3267,"&lt;="&amp;Q1324,$N$6:$N$3267,Calendar!$K$4),"")</f>
        <v/>
      </c>
      <c r="W1324" s="47">
        <f>IF(AND(B1324=Queue!$C$4,OR(Queue!$K$4="*",N1324=Queue!$K$4)),Q1324,"")</f>
        <v/>
      </c>
    </row>
    <row r="1325">
      <c r="A1325" s="38">
        <f>IF(M1325="","",HYPERLINK("https://www.youtube.com/watch?v="&amp;M1325,"▶"))</f>
        <v/>
      </c>
      <c r="B1325" s="39">
        <f>IF(C1325&lt;&gt;"",C1325,IF(P1325&lt;=IFERROR(INDEX(tblChannels[Watched Through],MATCH(N1325,tblChannels[Channel ID],0)),0),"Watched","Unwatched"))</f>
        <v/>
      </c>
      <c r="C1325" s="40" t="n"/>
      <c r="D1325" s="41" t="n"/>
      <c r="E1325" s="42" t="n">
        <v>44455.70416666667</v>
      </c>
      <c r="F1325" s="50" t="inlineStr">
        <is>
          <t>Super Carlin Brothers</t>
        </is>
      </c>
      <c r="G1325" t="inlineStr">
        <is>
          <t>J vs Ben: IMPOSSIBLE Marvel “Who Said It?” GAME</t>
        </is>
      </c>
      <c r="H1325" s="44" t="n">
        <v>0.01979166666666667</v>
      </c>
      <c r="I1325" s="45" t="n">
        <v>200007</v>
      </c>
      <c r="J1325" s="45" t="n">
        <v>8595</v>
      </c>
      <c r="K1325" s="45" t="n">
        <v>700</v>
      </c>
      <c r="L1325" s="46" t="n"/>
      <c r="M1325" s="47" t="n"/>
      <c r="N1325" s="47" t="inlineStr">
        <is>
          <t>UCKZo4N0lVPccBkSiuyVh4yg</t>
        </is>
      </c>
      <c r="O1325" s="48" t="n">
        <v>44455.87083333333</v>
      </c>
      <c r="P1325" s="49" t="n">
        <v>44455</v>
      </c>
      <c r="Q1325" s="47" t="n">
        <v>1943</v>
      </c>
      <c r="R1325" s="47" t="inlineStr">
        <is>
          <t>No Video ID yet</t>
        </is>
      </c>
      <c r="S1325" s="49" t="n"/>
      <c r="T1325" s="49" t="n"/>
      <c r="U1325" s="47" t="inlineStr">
        <is>
          <t>Head on over to and use code ‘SUPER’ to get 20% off your first box. Visit to get Honey for FREE! Today J and Ben face off once more to see who can remember which iconic Marvel characters said which Iconic lines in their first ever Marvel “Who Said It?” Game! #Marvel #JvsBen #SuperCarlinBrothers</t>
        </is>
      </c>
      <c r="V1325" s="47">
        <f>IF(AND(P1325&gt;=Calendar!$K$2,P1325&lt;EDATE(Calendar!$K$2,1),OR(Calendar!$K$4="*",N1325=Calendar!$K$4)),P1325*100+COUNTIFS($P$6:$P$3267,P1325,$Q$6:$Q$3267,"&lt;="&amp;Q1325,$N$6:$N$3267,Calendar!$K$4),"")</f>
        <v/>
      </c>
      <c r="W1325" s="47">
        <f>IF(AND(B1325=Queue!$C$4,OR(Queue!$K$4="*",N1325=Queue!$K$4)),Q1325,"")</f>
        <v/>
      </c>
    </row>
    <row r="1326">
      <c r="A1326" s="38">
        <f>IF(M1326="","",HYPERLINK("https://www.youtube.com/watch?v="&amp;M1326,"▶"))</f>
        <v/>
      </c>
      <c r="B1326" s="39">
        <f>IF(C1326&lt;&gt;"",C1326,IF(P1326&lt;=IFERROR(INDEX(tblChannels[Watched Through],MATCH(N1326,tblChannels[Channel ID],0)),0),"Watched","Unwatched"))</f>
        <v/>
      </c>
      <c r="C1326" s="40" t="n"/>
      <c r="D1326" s="41" t="n"/>
      <c r="E1326" s="42" t="n">
        <v>44454.73888888889</v>
      </c>
      <c r="F1326" s="52" t="inlineStr">
        <is>
          <t>Super Carlin Gaming</t>
        </is>
      </c>
      <c r="G1326" t="inlineStr">
        <is>
          <t>LIVE! MASSIVE POKÉMON CARD UNBOXING - EVOLVING SKIES</t>
        </is>
      </c>
      <c r="H1326" s="44" t="n">
        <v>0.1006828703703704</v>
      </c>
      <c r="I1326" s="45" t="n">
        <v>6575</v>
      </c>
      <c r="J1326" s="45" t="n">
        <v>226</v>
      </c>
      <c r="K1326" s="45" t="n">
        <v>22</v>
      </c>
      <c r="L1326" s="46" t="n"/>
      <c r="M1326" s="47" t="n"/>
      <c r="N1326" s="47" t="inlineStr">
        <is>
          <t>UCor_9jRnNNZVzTuQ92PKsaQ</t>
        </is>
      </c>
      <c r="O1326" s="48" t="n">
        <v>44454.90555555555</v>
      </c>
      <c r="P1326" s="49" t="n">
        <v>44454</v>
      </c>
      <c r="Q1326" s="47" t="n">
        <v>1942</v>
      </c>
      <c r="R1326" s="47" t="inlineStr">
        <is>
          <t>No Video ID yet</t>
        </is>
      </c>
      <c r="S1326" s="49" t="n"/>
      <c r="T1326" s="49" t="n"/>
      <c r="U1326" s="47" t="inlineStr">
        <is>
          <t>J &amp; Ben are opening TWELVE boxes of the latest Pokemon Card Set: Evolving Skies! Can they pull the extremely rare Alternate Art Rayquaza VMAX? Or maybe the Alt Art Umbreon Vmax?? The BIG cards we are chasing down are the alt art versions of: Rayquaza Vmax , Umberon Vmax, Sylveon Vmax, Glaceon Vmax, Leafeon Vmax, Espeon V and Dragonite V!</t>
        </is>
      </c>
      <c r="V1326" s="47">
        <f>IF(AND(P1326&gt;=Calendar!$K$2,P1326&lt;EDATE(Calendar!$K$2,1),OR(Calendar!$K$4="*",N1326=Calendar!$K$4)),P1326*100+COUNTIFS($P$6:$P$3267,P1326,$Q$6:$Q$3267,"&lt;="&amp;Q1326,$N$6:$N$3267,Calendar!$K$4),"")</f>
        <v/>
      </c>
      <c r="W1326" s="47">
        <f>IF(AND(B1326=Queue!$C$4,OR(Queue!$K$4="*",N1326=Queue!$K$4)),Q1326,"")</f>
        <v/>
      </c>
    </row>
    <row r="1327">
      <c r="A1327" s="38">
        <f>IF(M1327="","",HYPERLINK("https://www.youtube.com/watch?v="&amp;M1327,"▶"))</f>
        <v/>
      </c>
      <c r="B1327" s="39">
        <f>IF(C1327&lt;&gt;"",C1327,IF(P1327&lt;=IFERROR(INDEX(tblChannels[Watched Through],MATCH(N1327,tblChannels[Channel ID],0)),0),"Watched","Unwatched"))</f>
        <v/>
      </c>
      <c r="C1327" s="40" t="n"/>
      <c r="D1327" s="41" t="n"/>
      <c r="E1327" s="42" t="n">
        <v>44453.67361111111</v>
      </c>
      <c r="F1327" s="50" t="inlineStr">
        <is>
          <t>Super Carlin Brothers</t>
        </is>
      </c>
      <c r="G1327" t="inlineStr">
        <is>
          <t>The Lestrange Family’s SECRET Origins | Harry Potter Theory</t>
        </is>
      </c>
      <c r="H1327" s="44" t="n">
        <v>0.01216435185185185</v>
      </c>
      <c r="I1327" s="45" t="n">
        <v>341497</v>
      </c>
      <c r="J1327" s="45" t="n">
        <v>13767</v>
      </c>
      <c r="K1327" s="45" t="n">
        <v>894</v>
      </c>
      <c r="L1327" s="46" t="n"/>
      <c r="M1327" s="47" t="n"/>
      <c r="N1327" s="47" t="inlineStr">
        <is>
          <t>UCKZo4N0lVPccBkSiuyVh4yg</t>
        </is>
      </c>
      <c r="O1327" s="48" t="n">
        <v>44453.84027777778</v>
      </c>
      <c r="P1327" s="49" t="n">
        <v>44453</v>
      </c>
      <c r="Q1327" s="47" t="n">
        <v>1941</v>
      </c>
      <c r="R1327" s="47" t="inlineStr">
        <is>
          <t>No Video ID yet</t>
        </is>
      </c>
      <c r="S1327" s="49" t="n"/>
      <c r="T1327" s="49" t="n"/>
      <c r="U1327" s="47" t="inlineStr">
        <is>
          <t>Head on over to and take care of yourself. Go to for 10% off! Go to and use code SCB to save $75 on your starter kit! Today, J dives into the Wizarding World of Harry Potter to reveal the Lestrange Family’s SECRET Origins!</t>
        </is>
      </c>
      <c r="V1327" s="47">
        <f>IF(AND(P1327&gt;=Calendar!$K$2,P1327&lt;EDATE(Calendar!$K$2,1),OR(Calendar!$K$4="*",N1327=Calendar!$K$4)),P1327*100+COUNTIFS($P$6:$P$3267,P1327,$Q$6:$Q$3267,"&lt;="&amp;Q1327,$N$6:$N$3267,Calendar!$K$4),"")</f>
        <v/>
      </c>
      <c r="W1327" s="47">
        <f>IF(AND(B1327=Queue!$C$4,OR(Queue!$K$4="*",N1327=Queue!$K$4)),Q1327,"")</f>
        <v/>
      </c>
    </row>
    <row r="1328">
      <c r="A1328" s="38">
        <f>IF(M1328="","",HYPERLINK("https://www.youtube.com/watch?v="&amp;M1328,"▶"))</f>
        <v/>
      </c>
      <c r="B1328" s="39">
        <f>IF(C1328&lt;&gt;"",C1328,IF(P1328&lt;=IFERROR(INDEX(tblChannels[Watched Through],MATCH(N1328,tblChannels[Channel ID],0)),0),"Watched","Unwatched"))</f>
        <v/>
      </c>
      <c r="C1328" s="40" t="n"/>
      <c r="D1328" s="41" t="n"/>
      <c r="E1328" s="42" t="n">
        <v>44452.41666666666</v>
      </c>
      <c r="F1328" s="52" t="inlineStr">
        <is>
          <t>Super Carlin Gaming</t>
        </is>
      </c>
      <c r="G1328" t="inlineStr">
        <is>
          <t>DANCE OF THE DRAGONS |  Pokémon SoulSilver Randomizer Nuzlocke #24</t>
        </is>
      </c>
      <c r="H1328" s="44" t="n">
        <v>0.02576388888888889</v>
      </c>
      <c r="I1328" s="45" t="n">
        <v>14230</v>
      </c>
      <c r="J1328" s="45" t="n">
        <v>804</v>
      </c>
      <c r="K1328" s="45" t="n">
        <v>135</v>
      </c>
      <c r="L1328" s="46" t="n"/>
      <c r="M1328" s="47" t="n"/>
      <c r="N1328" s="47" t="inlineStr">
        <is>
          <t>UCor_9jRnNNZVzTuQ92PKsaQ</t>
        </is>
      </c>
      <c r="O1328" s="48" t="n">
        <v>44452.58333333334</v>
      </c>
      <c r="P1328" s="49" t="n">
        <v>44452</v>
      </c>
      <c r="Q1328" s="47" t="n">
        <v>1940</v>
      </c>
      <c r="R1328" s="47" t="inlineStr">
        <is>
          <t>No Video ID yet</t>
        </is>
      </c>
      <c r="S1328" s="49" t="n"/>
      <c r="T1328" s="49" t="n"/>
      <c r="U1328" s="47" t="inlineStr">
        <is>
          <t>Today J, Rutana and the team head to Celadon CIty to take on Erika... are we ready for her Pokemon?! Edited by: Riley Murtagh</t>
        </is>
      </c>
      <c r="V1328" s="47">
        <f>IF(AND(P1328&gt;=Calendar!$K$2,P1328&lt;EDATE(Calendar!$K$2,1),OR(Calendar!$K$4="*",N1328=Calendar!$K$4)),P1328*100+COUNTIFS($P$6:$P$3267,P1328,$Q$6:$Q$3267,"&lt;="&amp;Q1328,$N$6:$N$3267,Calendar!$K$4),"")</f>
        <v/>
      </c>
      <c r="W1328" s="47">
        <f>IF(AND(B1328=Queue!$C$4,OR(Queue!$K$4="*",N1328=Queue!$K$4)),Q1328,"")</f>
        <v/>
      </c>
    </row>
    <row r="1329">
      <c r="A1329" s="38">
        <f>IF(M1329="","",HYPERLINK("https://www.youtube.com/watch?v="&amp;M1329,"▶"))</f>
        <v/>
      </c>
      <c r="B1329" s="39">
        <f>IF(C1329&lt;&gt;"",C1329,IF(P1329&lt;=IFERROR(INDEX(tblChannels[Watched Through],MATCH(N1329,tblChannels[Channel ID],0)),0),"Watched","Unwatched"))</f>
        <v/>
      </c>
      <c r="C1329" s="40" t="n"/>
      <c r="D1329" s="41" t="n"/>
      <c r="E1329" s="42" t="n">
        <v>44449.41666666666</v>
      </c>
      <c r="F1329" s="43" t="inlineStr">
        <is>
          <t>Popcorn Culture</t>
        </is>
      </c>
      <c r="G1329" t="inlineStr">
        <is>
          <t>YouTube is a Glacier Moving Through Time | Popcorn Culture</t>
        </is>
      </c>
      <c r="H1329" s="44" t="n">
        <v>0.0467824074074074</v>
      </c>
      <c r="I1329" s="45" t="n">
        <v>10344</v>
      </c>
      <c r="J1329" s="45" t="n">
        <v>474</v>
      </c>
      <c r="K1329" s="45" t="n">
        <v>99</v>
      </c>
      <c r="L1329" s="46" t="n"/>
      <c r="M1329" s="47" t="n"/>
      <c r="N1329" s="47" t="inlineStr">
        <is>
          <t>UCHfIbq9thHPC8yrKjAdJgDA</t>
        </is>
      </c>
      <c r="O1329" s="48" t="n">
        <v>44449.58333333334</v>
      </c>
      <c r="P1329" s="49" t="n">
        <v>44449</v>
      </c>
      <c r="Q1329" s="47" t="n">
        <v>1939</v>
      </c>
      <c r="R1329" s="47" t="inlineStr">
        <is>
          <t>No Video ID yet</t>
        </is>
      </c>
      <c r="S1329" s="49" t="n"/>
      <c r="T1329" s="49" t="n"/>
      <c r="U1329" s="47" t="inlineStr">
        <is>
          <t>In the 92nd episode of the pop, Ben and J discuss being veterans of the Internet, influencer marketing, more on vampires drinking blood, Jonathan the Seagull’s origin, souvenir cactuses, and pandemic renovation/baby name/color/phrase/movie trends Cave Spring High School Wiki: What Is Influencer Marketing?: Vampire Reddit Poll: Jonathan Livingston Seagull: All about color trends: Collective consciousness: Batman Begins came out in 2005: Ben’s Wick of the Peek - It’s a Wonderful Day in the Neighborhood: J’s Wick of the Peek - Bluey: (Perpetual Wick of the Peek- Ted Lasso:</t>
        </is>
      </c>
      <c r="V1329" s="47">
        <f>IF(AND(P1329&gt;=Calendar!$K$2,P1329&lt;EDATE(Calendar!$K$2,1),OR(Calendar!$K$4="*",N1329=Calendar!$K$4)),P1329*100+COUNTIFS($P$6:$P$3267,P1329,$Q$6:$Q$3267,"&lt;="&amp;Q1329,$N$6:$N$3267,Calendar!$K$4),"")</f>
        <v/>
      </c>
      <c r="W1329" s="47">
        <f>IF(AND(B1329=Queue!$C$4,OR(Queue!$K$4="*",N1329=Queue!$K$4)),Q1329,"")</f>
        <v/>
      </c>
    </row>
    <row r="1330">
      <c r="A1330" s="38">
        <f>IF(M1330="","",HYPERLINK("https://www.youtube.com/watch?v="&amp;M1330,"▶"))</f>
        <v/>
      </c>
      <c r="B1330" s="39">
        <f>IF(C1330&lt;&gt;"",C1330,IF(P1330&lt;=IFERROR(INDEX(tblChannels[Watched Through],MATCH(N1330,tblChannels[Channel ID],0)),0),"Watched","Unwatched"))</f>
        <v/>
      </c>
      <c r="C1330" s="40" t="n"/>
      <c r="D1330" s="41" t="n"/>
      <c r="E1330" s="42" t="n">
        <v>44448.70625</v>
      </c>
      <c r="F1330" s="50" t="inlineStr">
        <is>
          <t>Super Carlin Brothers</t>
        </is>
      </c>
      <c r="G1330" t="inlineStr">
        <is>
          <t>Where Did The Ten Rings Come From? | Marvel Theory</t>
        </is>
      </c>
      <c r="H1330" s="44" t="n">
        <v>0.009375</v>
      </c>
      <c r="I1330" s="45" t="n">
        <v>168341</v>
      </c>
      <c r="J1330" s="45" t="n">
        <v>6724</v>
      </c>
      <c r="K1330" s="45" t="n">
        <v>638</v>
      </c>
      <c r="L1330" s="46" t="n"/>
      <c r="M1330" s="47" t="n"/>
      <c r="N1330" s="47" t="inlineStr">
        <is>
          <t>UCKZo4N0lVPccBkSiuyVh4yg</t>
        </is>
      </c>
      <c r="O1330" s="48" t="n">
        <v>44448.87291666667</v>
      </c>
      <c r="P1330" s="49" t="n">
        <v>44448</v>
      </c>
      <c r="Q1330" s="47" t="n">
        <v>1938</v>
      </c>
      <c r="R1330" s="47" t="inlineStr">
        <is>
          <t>No Video ID yet</t>
        </is>
      </c>
      <c r="S1330" s="49" t="n"/>
      <c r="T1330" s="49" t="n"/>
      <c r="U1330" s="47" t="inlineStr">
        <is>
          <t>Head on over to and take care of yourself. Today Ben dives into the Marvel Cinematic Universe to answer the biggest unanswered question from Shang-Chi: Where Did the Ten Rings Come from? Edited by: Riley Murtagh #Marvel #ShangChi #SpaceDragons #SuperCarlinBrothers</t>
        </is>
      </c>
      <c r="V1330" s="47">
        <f>IF(AND(P1330&gt;=Calendar!$K$2,P1330&lt;EDATE(Calendar!$K$2,1),OR(Calendar!$K$4="*",N1330=Calendar!$K$4)),P1330*100+COUNTIFS($P$6:$P$3267,P1330,$Q$6:$Q$3267,"&lt;="&amp;Q1330,$N$6:$N$3267,Calendar!$K$4),"")</f>
        <v/>
      </c>
      <c r="W1330" s="47">
        <f>IF(AND(B1330=Queue!$C$4,OR(Queue!$K$4="*",N1330=Queue!$K$4)),Q1330,"")</f>
        <v/>
      </c>
    </row>
    <row r="1331">
      <c r="A1331" s="38">
        <f>IF(M1331="","",HYPERLINK("https://www.youtube.com/watch?v="&amp;M1331,"▶"))</f>
        <v/>
      </c>
      <c r="B1331" s="39">
        <f>IF(C1331&lt;&gt;"",C1331,IF(P1331&lt;=IFERROR(INDEX(tblChannels[Watched Through],MATCH(N1331,tblChannels[Channel ID],0)),0),"Watched","Unwatched"))</f>
        <v/>
      </c>
      <c r="C1331" s="40" t="n"/>
      <c r="D1331" s="41" t="n"/>
      <c r="E1331" s="42" t="n">
        <v>44447.41666666666</v>
      </c>
      <c r="F1331" s="52" t="inlineStr">
        <is>
          <t>Super Carlin Gaming</t>
        </is>
      </c>
      <c r="G1331" t="inlineStr">
        <is>
          <t>A SLASH TOO SOON |  Pokémon SoulSilver Randomizer Nuzlocke #23</t>
        </is>
      </c>
      <c r="H1331" s="44" t="n">
        <v>0.02949074074074074</v>
      </c>
      <c r="I1331" s="45" t="n">
        <v>15108</v>
      </c>
      <c r="J1331" s="45" t="n">
        <v>1011</v>
      </c>
      <c r="K1331" s="45" t="n">
        <v>307</v>
      </c>
      <c r="L1331" s="46" t="n"/>
      <c r="M1331" s="47" t="n"/>
      <c r="N1331" s="47" t="inlineStr">
        <is>
          <t>UCor_9jRnNNZVzTuQ92PKsaQ</t>
        </is>
      </c>
      <c r="O1331" s="48" t="n">
        <v>44447.58333333334</v>
      </c>
      <c r="P1331" s="49" t="n">
        <v>44447</v>
      </c>
      <c r="Q1331" s="47" t="n">
        <v>1937</v>
      </c>
      <c r="R1331" s="47" t="inlineStr">
        <is>
          <t>No Video ID yet</t>
        </is>
      </c>
      <c r="S1331" s="49" t="n"/>
      <c r="T1331" s="49" t="n"/>
      <c r="U1331" s="47" t="inlineStr">
        <is>
          <t>Today, J and his team of champions test their will against Sabrina as they make their way through Kanto. Can the team stand up to Sabrina and her cohorts? Will she surrender the Marsh Badge?</t>
        </is>
      </c>
      <c r="V1331" s="47">
        <f>IF(AND(P1331&gt;=Calendar!$K$2,P1331&lt;EDATE(Calendar!$K$2,1),OR(Calendar!$K$4="*",N1331=Calendar!$K$4)),P1331*100+COUNTIFS($P$6:$P$3267,P1331,$Q$6:$Q$3267,"&lt;="&amp;Q1331,$N$6:$N$3267,Calendar!$K$4),"")</f>
        <v/>
      </c>
      <c r="W1331" s="47">
        <f>IF(AND(B1331=Queue!$C$4,OR(Queue!$K$4="*",N1331=Queue!$K$4)),Q1331,"")</f>
        <v/>
      </c>
    </row>
    <row r="1332">
      <c r="A1332" s="38">
        <f>IF(M1332="","",HYPERLINK("https://www.youtube.com/watch?v="&amp;M1332,"▶"))</f>
        <v/>
      </c>
      <c r="B1332" s="39">
        <f>IF(C1332&lt;&gt;"",C1332,IF(P1332&lt;=IFERROR(INDEX(tblChannels[Watched Through],MATCH(N1332,tblChannels[Channel ID],0)),0),"Watched","Unwatched"))</f>
        <v/>
      </c>
      <c r="C1332" s="40" t="n"/>
      <c r="D1332" s="41" t="n"/>
      <c r="E1332" s="42" t="n">
        <v>44446.71458333333</v>
      </c>
      <c r="F1332" s="50" t="inlineStr">
        <is>
          <t>Super Carlin Brothers</t>
        </is>
      </c>
      <c r="G1332" t="inlineStr">
        <is>
          <t>Shang-Chi and the Legend of the Ten Rings | REVIEW &amp; Theories</t>
        </is>
      </c>
      <c r="H1332" s="44" t="n">
        <v>0.03608796296296296</v>
      </c>
      <c r="I1332" s="45" t="n">
        <v>111495</v>
      </c>
      <c r="J1332" s="45" t="n">
        <v>4420</v>
      </c>
      <c r="K1332" s="45" t="n">
        <v>878</v>
      </c>
      <c r="L1332" s="46" t="n"/>
      <c r="M1332" s="47" t="n"/>
      <c r="N1332" s="47" t="inlineStr">
        <is>
          <t>UCKZo4N0lVPccBkSiuyVh4yg</t>
        </is>
      </c>
      <c r="O1332" s="48" t="n">
        <v>44446.88125</v>
      </c>
      <c r="P1332" s="49" t="n">
        <v>44446</v>
      </c>
      <c r="Q1332" s="47" t="n">
        <v>1936</v>
      </c>
      <c r="R1332" s="47" t="inlineStr">
        <is>
          <t>No Video ID yet</t>
        </is>
      </c>
      <c r="S1332" s="49" t="n"/>
      <c r="T1332" s="49" t="n"/>
      <c r="U1332" s="47" t="inlineStr">
        <is>
          <t>Head on over to and take care of yourself. Go to and get an extra 3 months free! Today J and Ben dive into the Marvel Cinematic Universe and give their full SPOILER review of Shang-Chi: The Legend of the Ten Rings - Is it the new best Marvel movie?</t>
        </is>
      </c>
      <c r="V1332" s="47">
        <f>IF(AND(P1332&gt;=Calendar!$K$2,P1332&lt;EDATE(Calendar!$K$2,1),OR(Calendar!$K$4="*",N1332=Calendar!$K$4)),P1332*100+COUNTIFS($P$6:$P$3267,P1332,$Q$6:$Q$3267,"&lt;="&amp;Q1332,$N$6:$N$3267,Calendar!$K$4),"")</f>
        <v/>
      </c>
      <c r="W1332" s="47">
        <f>IF(AND(B1332=Queue!$C$4,OR(Queue!$K$4="*",N1332=Queue!$K$4)),Q1332,"")</f>
        <v/>
      </c>
    </row>
    <row r="1333">
      <c r="A1333" s="38">
        <f>IF(M1333="","",HYPERLINK("https://www.youtube.com/watch?v="&amp;M1333,"▶"))</f>
        <v/>
      </c>
      <c r="B1333" s="39">
        <f>IF(C1333&lt;&gt;"",C1333,IF(P1333&lt;=IFERROR(INDEX(tblChannels[Watched Through],MATCH(N1333,tblChannels[Channel ID],0)),0),"Watched","Unwatched"))</f>
        <v/>
      </c>
      <c r="C1333" s="40" t="n"/>
      <c r="D1333" s="41" t="n"/>
      <c r="E1333" s="42" t="n">
        <v>44442.41666666666</v>
      </c>
      <c r="F1333" s="43" t="inlineStr">
        <is>
          <t>Popcorn Culture</t>
        </is>
      </c>
      <c r="G1333" t="inlineStr">
        <is>
          <t>Vampire Straw Teeth | Popcorn Culture</t>
        </is>
      </c>
      <c r="H1333" s="44" t="n">
        <v>0.05142361111111111</v>
      </c>
      <c r="I1333" s="45" t="n">
        <v>11227</v>
      </c>
      <c r="J1333" s="45" t="n">
        <v>505</v>
      </c>
      <c r="K1333" s="45" t="n">
        <v>93</v>
      </c>
      <c r="L1333" s="46" t="n"/>
      <c r="M1333" s="47" t="n"/>
      <c r="N1333" s="47" t="inlineStr">
        <is>
          <t>UCHfIbq9thHPC8yrKjAdJgDA</t>
        </is>
      </c>
      <c r="O1333" s="48" t="n">
        <v>44442.58333333334</v>
      </c>
      <c r="P1333" s="49" t="n">
        <v>44442</v>
      </c>
      <c r="Q1333" s="47" t="n">
        <v>1935</v>
      </c>
      <c r="R1333" s="47" t="inlineStr">
        <is>
          <t>No Video ID yet</t>
        </is>
      </c>
      <c r="S1333" s="49" t="n"/>
      <c r="T1333" s="49" t="n"/>
      <c r="U1333" s="47" t="inlineStr">
        <is>
          <t>In the 91st episode of the Pop, Ben and J discuss: going to Disney, recognizing your limits, year round school, vampires, donating blood, sawmills and hyperfixation, the McDonalds purple slide, ball pits, and Star Wars Cillian Murphy IMDB: Year round schooling: Diablo 2 Resurrected: “Obi Wan taught you well” and “High Ground” scenes: Ben’s Wick of the Peek - Collecting in general J’s Wick of the Peek - Atypical (Netflix):</t>
        </is>
      </c>
      <c r="V1333" s="47">
        <f>IF(AND(P1333&gt;=Calendar!$K$2,P1333&lt;EDATE(Calendar!$K$2,1),OR(Calendar!$K$4="*",N1333=Calendar!$K$4)),P1333*100+COUNTIFS($P$6:$P$3267,P1333,$Q$6:$Q$3267,"&lt;="&amp;Q1333,$N$6:$N$3267,Calendar!$K$4),"")</f>
        <v/>
      </c>
      <c r="W1333" s="47">
        <f>IF(AND(B1333=Queue!$C$4,OR(Queue!$K$4="*",N1333=Queue!$K$4)),Q1333,"")</f>
        <v/>
      </c>
    </row>
    <row r="1334">
      <c r="A1334" s="38">
        <f>IF(M1334="","",HYPERLINK("https://www.youtube.com/watch?v="&amp;M1334,"▶"))</f>
        <v/>
      </c>
      <c r="B1334" s="39">
        <f>IF(C1334&lt;&gt;"",C1334,IF(P1334&lt;=IFERROR(INDEX(tblChannels[Watched Through],MATCH(N1334,tblChannels[Channel ID],0)),0),"Watched","Unwatched"))</f>
        <v/>
      </c>
      <c r="C1334" s="40" t="n"/>
      <c r="D1334" s="41" t="n"/>
      <c r="E1334" s="42" t="n">
        <v>44441.67986111111</v>
      </c>
      <c r="F1334" s="50" t="inlineStr">
        <is>
          <t>Super Carlin Brothers</t>
        </is>
      </c>
      <c r="G1334" t="inlineStr">
        <is>
          <t>J vs Ben: Sorting MORE Marvel Characters into Hogwarts Houses</t>
        </is>
      </c>
      <c r="H1334" s="44" t="n">
        <v>0.02253472222222222</v>
      </c>
      <c r="I1334" s="45" t="n">
        <v>154026</v>
      </c>
      <c r="J1334" s="45" t="n">
        <v>6843</v>
      </c>
      <c r="K1334" s="45" t="n">
        <v>880</v>
      </c>
      <c r="L1334" s="46" t="n"/>
      <c r="M1334" s="47" t="n"/>
      <c r="N1334" s="47" t="inlineStr">
        <is>
          <t>UCKZo4N0lVPccBkSiuyVh4yg</t>
        </is>
      </c>
      <c r="O1334" s="48" t="n">
        <v>44441.84652777778</v>
      </c>
      <c r="P1334" s="49" t="n">
        <v>44441</v>
      </c>
      <c r="Q1334" s="47" t="n">
        <v>1934</v>
      </c>
      <c r="R1334" s="47" t="inlineStr">
        <is>
          <t>No Video ID yet</t>
        </is>
      </c>
      <c r="S1334" s="49" t="n"/>
      <c r="T1334" s="49" t="n"/>
      <c r="U1334" s="47" t="inlineStr">
        <is>
          <t>Go to and get an extra 3 months free! Get 25% off and zero delivery fees on your first order of $15 or more, when you download the DoorDash app and enter code JVSB2021. Today J and Ben talk the MCU and sort more Marvel characters into Hogwarts houses, with the correct answers determined by our quizmasters over on Patreon! To get your question in the quiz or to vote on questions for the quizzes, join the quizmaster tier at Do you agree with the quizmaster rulings? Let us know in the towel section below and vote at Get Your Own Celebrate Yourself shirt ::</t>
        </is>
      </c>
      <c r="V1334" s="47">
        <f>IF(AND(P1334&gt;=Calendar!$K$2,P1334&lt;EDATE(Calendar!$K$2,1),OR(Calendar!$K$4="*",N1334=Calendar!$K$4)),P1334*100+COUNTIFS($P$6:$P$3267,P1334,$Q$6:$Q$3267,"&lt;="&amp;Q1334,$N$6:$N$3267,Calendar!$K$4),"")</f>
        <v/>
      </c>
      <c r="W1334" s="47">
        <f>IF(AND(B1334=Queue!$C$4,OR(Queue!$K$4="*",N1334=Queue!$K$4)),Q1334,"")</f>
        <v/>
      </c>
    </row>
    <row r="1335">
      <c r="A1335" s="38">
        <f>IF(M1335="","",HYPERLINK("https://www.youtube.com/watch?v="&amp;M1335,"▶"))</f>
        <v/>
      </c>
      <c r="B1335" s="39">
        <f>IF(C1335&lt;&gt;"",C1335,IF(P1335&lt;=IFERROR(INDEX(tblChannels[Watched Through],MATCH(N1335,tblChannels[Channel ID],0)),0),"Watched","Unwatched"))</f>
        <v/>
      </c>
      <c r="C1335" s="40" t="n"/>
      <c r="D1335" s="41" t="n"/>
      <c r="E1335" s="42" t="n">
        <v>44440.41666666666</v>
      </c>
      <c r="F1335" s="52" t="inlineStr">
        <is>
          <t>Super Carlin Gaming</t>
        </is>
      </c>
      <c r="G1335" t="inlineStr">
        <is>
          <t>THE JOURNEY TO KANTO |  Pokémon SoulSilver Randomizer Nuzlocke #22</t>
        </is>
      </c>
      <c r="H1335" s="44" t="n">
        <v>0.02482638888888889</v>
      </c>
      <c r="I1335" s="45" t="n">
        <v>15815</v>
      </c>
      <c r="J1335" s="45" t="n">
        <v>904</v>
      </c>
      <c r="K1335" s="45" t="n">
        <v>242</v>
      </c>
      <c r="L1335" s="46" t="n"/>
      <c r="M1335" s="47" t="n"/>
      <c r="N1335" s="47" t="inlineStr">
        <is>
          <t>UCor_9jRnNNZVzTuQ92PKsaQ</t>
        </is>
      </c>
      <c r="O1335" s="48" t="n">
        <v>44440.58333333334</v>
      </c>
      <c r="P1335" s="49" t="n">
        <v>44440</v>
      </c>
      <c r="Q1335" s="47" t="n">
        <v>1933</v>
      </c>
      <c r="R1335" s="47" t="inlineStr">
        <is>
          <t>No Video ID yet</t>
        </is>
      </c>
      <c r="S1335" s="49" t="n"/>
      <c r="T1335" s="49" t="n"/>
      <c r="U1335" s="47" t="inlineStr">
        <is>
          <t>Today J and his team of champions make their way across the sea to Kanto for a victory lap... but could the shocking appearance of an old foe dampen their quest???</t>
        </is>
      </c>
      <c r="V1335" s="47">
        <f>IF(AND(P1335&gt;=Calendar!$K$2,P1335&lt;EDATE(Calendar!$K$2,1),OR(Calendar!$K$4="*",N1335=Calendar!$K$4)),P1335*100+COUNTIFS($P$6:$P$3267,P1335,$Q$6:$Q$3267,"&lt;="&amp;Q1335,$N$6:$N$3267,Calendar!$K$4),"")</f>
        <v/>
      </c>
      <c r="W1335" s="47">
        <f>IF(AND(B1335=Queue!$C$4,OR(Queue!$K$4="*",N1335=Queue!$K$4)),Q1335,"")</f>
        <v/>
      </c>
    </row>
    <row r="1336">
      <c r="A1336" s="38">
        <f>IF(M1336="","",HYPERLINK("https://www.youtube.com/watch?v="&amp;M1336,"▶"))</f>
        <v/>
      </c>
      <c r="B1336" s="39">
        <f>IF(C1336&lt;&gt;"",C1336,IF(P1336&lt;=IFERROR(INDEX(tblChannels[Watched Through],MATCH(N1336,tblChannels[Channel ID],0)),0),"Watched","Unwatched"))</f>
        <v/>
      </c>
      <c r="C1336" s="40" t="n"/>
      <c r="D1336" s="41" t="n"/>
      <c r="E1336" s="42" t="n">
        <v>44439.63263888889</v>
      </c>
      <c r="F1336" s="50" t="inlineStr">
        <is>
          <t>Super Carlin Brothers</t>
        </is>
      </c>
      <c r="G1336" t="inlineStr">
        <is>
          <t>Answering Google's TOP 50 Harry Potter Questions | Harry Potter Explained</t>
        </is>
      </c>
      <c r="H1336" s="44" t="n">
        <v>0.02091435185185185</v>
      </c>
      <c r="I1336" s="45" t="n">
        <v>459775</v>
      </c>
      <c r="J1336" s="45" t="n">
        <v>15946</v>
      </c>
      <c r="K1336" s="45" t="n">
        <v>1860</v>
      </c>
      <c r="L1336" s="46" t="n"/>
      <c r="M1336" s="47" t="n"/>
      <c r="N1336" s="47" t="inlineStr">
        <is>
          <t>UCKZo4N0lVPccBkSiuyVh4yg</t>
        </is>
      </c>
      <c r="O1336" s="48" t="n">
        <v>44439.79930555556</v>
      </c>
      <c r="P1336" s="49" t="n">
        <v>44439</v>
      </c>
      <c r="Q1336" s="47" t="n">
        <v>1932</v>
      </c>
      <c r="R1336" s="47" t="inlineStr">
        <is>
          <t>No Video ID yet</t>
        </is>
      </c>
      <c r="S1336" s="49" t="n"/>
      <c r="T1336" s="49" t="n"/>
      <c r="U1336" s="47" t="inlineStr">
        <is>
          <t>Head on over to and take care of yourself. Go to and use code SCB to save $75 on your starter kit! Today, J attempts to answer Google's TOP 50 Harry Potter questions with the caveat that he has only 15 SECONDS to answer each of them. How will he fare??? Do you want to see more videos like this? Let us know in the towel section below!!!</t>
        </is>
      </c>
      <c r="V1336" s="47">
        <f>IF(AND(P1336&gt;=Calendar!$K$2,P1336&lt;EDATE(Calendar!$K$2,1),OR(Calendar!$K$4="*",N1336=Calendar!$K$4)),P1336*100+COUNTIFS($P$6:$P$3267,P1336,$Q$6:$Q$3267,"&lt;="&amp;Q1336,$N$6:$N$3267,Calendar!$K$4),"")</f>
        <v/>
      </c>
      <c r="W1336" s="47">
        <f>IF(AND(B1336=Queue!$C$4,OR(Queue!$K$4="*",N1336=Queue!$K$4)),Q1336,"")</f>
        <v/>
      </c>
    </row>
    <row r="1337">
      <c r="A1337" s="38">
        <f>IF(M1337="","",HYPERLINK("https://www.youtube.com/watch?v="&amp;M1337,"▶"))</f>
        <v/>
      </c>
      <c r="B1337" s="39">
        <f>IF(C1337&lt;&gt;"",C1337,IF(P1337&lt;=IFERROR(INDEX(tblChannels[Watched Through],MATCH(N1337,tblChannels[Channel ID],0)),0),"Watched","Unwatched"))</f>
        <v/>
      </c>
      <c r="C1337" s="40" t="n"/>
      <c r="D1337" s="41" t="n"/>
      <c r="E1337" s="42" t="n">
        <v>44438.41666666666</v>
      </c>
      <c r="F1337" s="52" t="inlineStr">
        <is>
          <t>Super Carlin Gaming</t>
        </is>
      </c>
      <c r="G1337" t="inlineStr">
        <is>
          <t>THE POKEMON LEAGUE |  Pokémon SoulSilver Randomizer Nuzlocke #21</t>
        </is>
      </c>
      <c r="H1337" s="44" t="n">
        <v>0.05023148148148148</v>
      </c>
      <c r="I1337" s="45" t="n">
        <v>21555</v>
      </c>
      <c r="J1337" s="45" t="n">
        <v>1387</v>
      </c>
      <c r="K1337" s="45" t="n">
        <v>265</v>
      </c>
      <c r="L1337" s="46" t="n"/>
      <c r="M1337" s="47" t="n"/>
      <c r="N1337" s="47" t="inlineStr">
        <is>
          <t>UCor_9jRnNNZVzTuQ92PKsaQ</t>
        </is>
      </c>
      <c r="O1337" s="48" t="n">
        <v>44438.58333333334</v>
      </c>
      <c r="P1337" s="49" t="n">
        <v>44438</v>
      </c>
      <c r="Q1337" s="47" t="n">
        <v>1931</v>
      </c>
      <c r="R1337" s="47" t="inlineStr">
        <is>
          <t>No Video ID yet</t>
        </is>
      </c>
      <c r="S1337" s="49" t="n"/>
      <c r="T1337" s="49" t="n"/>
      <c r="U1337" s="47" t="inlineStr">
        <is>
          <t>Today J, Noel and the team grind up for the Elite 4 and hopefully the Champion.. are they ready for the toughest fights Johto has to offer??</t>
        </is>
      </c>
      <c r="V1337" s="47">
        <f>IF(AND(P1337&gt;=Calendar!$K$2,P1337&lt;EDATE(Calendar!$K$2,1),OR(Calendar!$K$4="*",N1337=Calendar!$K$4)),P1337*100+COUNTIFS($P$6:$P$3267,P1337,$Q$6:$Q$3267,"&lt;="&amp;Q1337,$N$6:$N$3267,Calendar!$K$4),"")</f>
        <v/>
      </c>
      <c r="W1337" s="47">
        <f>IF(AND(B1337=Queue!$C$4,OR(Queue!$K$4="*",N1337=Queue!$K$4)),Q1337,"")</f>
        <v/>
      </c>
    </row>
    <row r="1338">
      <c r="A1338" s="38">
        <f>IF(M1338="","",HYPERLINK("https://www.youtube.com/watch?v="&amp;M1338,"▶"))</f>
        <v/>
      </c>
      <c r="B1338" s="39">
        <f>IF(C1338&lt;&gt;"",C1338,IF(P1338&lt;=IFERROR(INDEX(tblChannels[Watched Through],MATCH(N1338,tblChannels[Channel ID],0)),0),"Watched","Unwatched"))</f>
        <v/>
      </c>
      <c r="C1338" s="40" t="n"/>
      <c r="D1338" s="41" t="n"/>
      <c r="E1338" s="42" t="n">
        <v>44435.41666666666</v>
      </c>
      <c r="F1338" s="43" t="inlineStr">
        <is>
          <t>Popcorn Culture</t>
        </is>
      </c>
      <c r="G1338" t="inlineStr">
        <is>
          <t>Luke's First Movie | Popcorn Culture</t>
        </is>
      </c>
      <c r="H1338" s="44" t="n">
        <v>0.05391203703703704</v>
      </c>
      <c r="I1338" s="45" t="n">
        <v>12386</v>
      </c>
      <c r="J1338" s="45" t="n">
        <v>590</v>
      </c>
      <c r="K1338" s="45" t="n">
        <v>110</v>
      </c>
      <c r="L1338" s="46" t="n"/>
      <c r="M1338" s="47" t="n"/>
      <c r="N1338" s="47" t="inlineStr">
        <is>
          <t>UCHfIbq9thHPC8yrKjAdJgDA</t>
        </is>
      </c>
      <c r="O1338" s="48" t="n">
        <v>44435.58333333334</v>
      </c>
      <c r="P1338" s="49" t="n">
        <v>44435</v>
      </c>
      <c r="Q1338" s="47" t="n">
        <v>1930</v>
      </c>
      <c r="R1338" s="47" t="inlineStr">
        <is>
          <t>No Video ID yet</t>
        </is>
      </c>
      <c r="S1338" s="49" t="n"/>
      <c r="T1338" s="49" t="n"/>
      <c r="U1338" s="47" t="inlineStr">
        <is>
          <t>On the 90th episode of the Pop, Ben and J discuss internships and job titles, The Washington Football Team and Arizona Coyote updates, controlling vs. suppressing feelings, the best kind of donuts, and the Paw Patrol Movie. The difference between “Secretary” and “Administrative Assistant”: Puppy Dog Pals: The Washington Football Team Name possibilities: Arizona Coyotes stats: Paw Patrol trailer: Ben’s Pick of the Week: Jane the Virgin (Netflix): J’s Pick of the Week: Titans (HBO Max): www.Patreon.com/PopcornCulture</t>
        </is>
      </c>
      <c r="V1338" s="47">
        <f>IF(AND(P1338&gt;=Calendar!$K$2,P1338&lt;EDATE(Calendar!$K$2,1),OR(Calendar!$K$4="*",N1338=Calendar!$K$4)),P1338*100+COUNTIFS($P$6:$P$3267,P1338,$Q$6:$Q$3267,"&lt;="&amp;Q1338,$N$6:$N$3267,Calendar!$K$4),"")</f>
        <v/>
      </c>
      <c r="W1338" s="47">
        <f>IF(AND(B1338=Queue!$C$4,OR(Queue!$K$4="*",N1338=Queue!$K$4)),Q1338,"")</f>
        <v/>
      </c>
    </row>
    <row r="1339">
      <c r="A1339" s="38">
        <f>IF(M1339="","",HYPERLINK("https://www.youtube.com/watch?v="&amp;M1339,"▶"))</f>
        <v/>
      </c>
      <c r="B1339" s="39">
        <f>IF(C1339&lt;&gt;"",C1339,IF(P1339&lt;=IFERROR(INDEX(tblChannels[Watched Through],MATCH(N1339,tblChannels[Channel ID],0)),0),"Watched","Unwatched"))</f>
        <v/>
      </c>
      <c r="C1339" s="40" t="n"/>
      <c r="D1339" s="41" t="n"/>
      <c r="E1339" s="42" t="n">
        <v>44434.73819444444</v>
      </c>
      <c r="F1339" s="50" t="inlineStr">
        <is>
          <t>Super Carlin Brothers</t>
        </is>
      </c>
      <c r="G1339" t="inlineStr">
        <is>
          <t>Doctor Strange is NOT Mephisto | Spider-Man: NO WAY HOME Theory &amp; Trailer Breakdown</t>
        </is>
      </c>
      <c r="H1339" s="44" t="n">
        <v>0.01193287037037037</v>
      </c>
      <c r="I1339" s="45" t="n">
        <v>180463</v>
      </c>
      <c r="J1339" s="45" t="n">
        <v>9719</v>
      </c>
      <c r="K1339" s="45" t="n">
        <v>1148</v>
      </c>
      <c r="L1339" s="46" t="n"/>
      <c r="M1339" s="47" t="n"/>
      <c r="N1339" s="47" t="inlineStr">
        <is>
          <t>UCKZo4N0lVPccBkSiuyVh4yg</t>
        </is>
      </c>
      <c r="O1339" s="48" t="n">
        <v>44434.90486111111</v>
      </c>
      <c r="P1339" s="49" t="n">
        <v>44434</v>
      </c>
      <c r="Q1339" s="47" t="n">
        <v>1929</v>
      </c>
      <c r="R1339" s="47" t="inlineStr">
        <is>
          <t>No Video ID yet</t>
        </is>
      </c>
      <c r="S1339" s="49" t="n"/>
      <c r="T1339" s="49" t="n"/>
      <c r="U1339" s="47" t="inlineStr">
        <is>
          <t>Head on over to and take care of yourself. Go to to get your new wireless plan for just $15 a month! Today Ben dives into the SPIDER-MAN: NO WAY HOME - Official Teaser Trailer and breaksdown all the hidden easter eggs, potential villains, theories and misdirects! Is Doctor Strange Mephisto? Is Matt Murdock aka Dare Devil Peter’s Lawyer? Is the Sinister Six Confirmed? 10k Info :: #SuperCarlinBrothers #SpiderManNoWayHome #Marvel</t>
        </is>
      </c>
      <c r="V1339" s="47">
        <f>IF(AND(P1339&gt;=Calendar!$K$2,P1339&lt;EDATE(Calendar!$K$2,1),OR(Calendar!$K$4="*",N1339=Calendar!$K$4)),P1339*100+COUNTIFS($P$6:$P$3267,P1339,$Q$6:$Q$3267,"&lt;="&amp;Q1339,$N$6:$N$3267,Calendar!$K$4),"")</f>
        <v/>
      </c>
      <c r="W1339" s="47">
        <f>IF(AND(B1339=Queue!$C$4,OR(Queue!$K$4="*",N1339=Queue!$K$4)),Q1339,"")</f>
        <v/>
      </c>
    </row>
    <row r="1340">
      <c r="A1340" s="38">
        <f>IF(M1340="","",HYPERLINK("https://www.youtube.com/watch?v="&amp;M1340,"▶"))</f>
        <v/>
      </c>
      <c r="B1340" s="39">
        <f>IF(C1340&lt;&gt;"",C1340,IF(P1340&lt;=IFERROR(INDEX(tblChannels[Watched Through],MATCH(N1340,tblChannels[Channel ID],0)),0),"Watched","Unwatched"))</f>
        <v/>
      </c>
      <c r="C1340" s="40" t="n"/>
      <c r="D1340" s="41" t="n"/>
      <c r="E1340" s="42" t="n">
        <v>44433.41666666666</v>
      </c>
      <c r="F1340" s="52" t="inlineStr">
        <is>
          <t>Super Carlin Gaming</t>
        </is>
      </c>
      <c r="G1340" t="inlineStr">
        <is>
          <t>CELERY'S FINAL STAND |  Pokémon SoulSilver Randomizer Nuzlocke #20</t>
        </is>
      </c>
      <c r="H1340" s="44" t="n">
        <v>0.03369212962962963</v>
      </c>
      <c r="I1340" s="45" t="n">
        <v>18025</v>
      </c>
      <c r="J1340" s="45" t="n">
        <v>1159</v>
      </c>
      <c r="K1340" s="45" t="n">
        <v>169</v>
      </c>
      <c r="L1340" s="46" t="n"/>
      <c r="M1340" s="47" t="n"/>
      <c r="N1340" s="47" t="inlineStr">
        <is>
          <t>UCor_9jRnNNZVzTuQ92PKsaQ</t>
        </is>
      </c>
      <c r="O1340" s="48" t="n">
        <v>44433.58333333334</v>
      </c>
      <c r="P1340" s="49" t="n">
        <v>44433</v>
      </c>
      <c r="Q1340" s="47" t="n">
        <v>1928</v>
      </c>
      <c r="R1340" s="47" t="inlineStr">
        <is>
          <t>No Video ID yet</t>
        </is>
      </c>
      <c r="S1340" s="49" t="n"/>
      <c r="T1340" s="49" t="n"/>
      <c r="U1340" s="47" t="inlineStr">
        <is>
          <t>Today J, Noel and the team head to Victory Road and travel the Final Kilometers to the Pokemon League... but there is one GIANT UGLY STALK OF CELERY standing in our way... are we ready for our final rival battle??</t>
        </is>
      </c>
      <c r="V1340" s="47">
        <f>IF(AND(P1340&gt;=Calendar!$K$2,P1340&lt;EDATE(Calendar!$K$2,1),OR(Calendar!$K$4="*",N1340=Calendar!$K$4)),P1340*100+COUNTIFS($P$6:$P$3267,P1340,$Q$6:$Q$3267,"&lt;="&amp;Q1340,$N$6:$N$3267,Calendar!$K$4),"")</f>
        <v/>
      </c>
      <c r="W1340" s="47">
        <f>IF(AND(B1340=Queue!$C$4,OR(Queue!$K$4="*",N1340=Queue!$K$4)),Q1340,"")</f>
        <v/>
      </c>
    </row>
    <row r="1341">
      <c r="A1341" s="38">
        <f>IF(M1341="","",HYPERLINK("https://www.youtube.com/watch?v="&amp;M1341,"▶"))</f>
        <v/>
      </c>
      <c r="B1341" s="39">
        <f>IF(C1341&lt;&gt;"",C1341,IF(P1341&lt;=IFERROR(INDEX(tblChannels[Watched Through],MATCH(N1341,tblChannels[Channel ID],0)),0),"Watched","Unwatched"))</f>
        <v/>
      </c>
      <c r="C1341" s="40" t="n"/>
      <c r="D1341" s="41" t="n"/>
      <c r="E1341" s="42" t="n">
        <v>44432.65902777778</v>
      </c>
      <c r="F1341" s="50" t="inlineStr">
        <is>
          <t>Super Carlin Brothers</t>
        </is>
      </c>
      <c r="G1341" t="inlineStr">
        <is>
          <t>How Did Harry Come Back To Life? | Harry Potter Explained</t>
        </is>
      </c>
      <c r="H1341" s="44" t="n">
        <v>0.007777777777777778</v>
      </c>
      <c r="I1341" s="45" t="n">
        <v>227419</v>
      </c>
      <c r="J1341" s="45" t="n">
        <v>11089</v>
      </c>
      <c r="K1341" s="45" t="n">
        <v>1296</v>
      </c>
      <c r="L1341" s="46" t="n"/>
      <c r="M1341" s="47" t="n"/>
      <c r="N1341" s="47" t="inlineStr">
        <is>
          <t>UCKZo4N0lVPccBkSiuyVh4yg</t>
        </is>
      </c>
      <c r="O1341" s="48" t="n">
        <v>44432.82569444444</v>
      </c>
      <c r="P1341" s="49" t="n">
        <v>44432</v>
      </c>
      <c r="Q1341" s="47" t="n">
        <v>1927</v>
      </c>
      <c r="R1341" s="47" t="inlineStr">
        <is>
          <t>No Video ID yet</t>
        </is>
      </c>
      <c r="S1341" s="49" t="n"/>
      <c r="T1341" s="49" t="n"/>
      <c r="U1341" s="47" t="inlineStr">
        <is>
          <t>Go to to get 15% off your first order, free shipping, and a 100% satisfaction guarantee! Today J dives into the Wizarding World of Harry Potter to answer an often confusing question: How did Harry Potter come back to life?</t>
        </is>
      </c>
      <c r="V1341" s="47">
        <f>IF(AND(P1341&gt;=Calendar!$K$2,P1341&lt;EDATE(Calendar!$K$2,1),OR(Calendar!$K$4="*",N1341=Calendar!$K$4)),P1341*100+COUNTIFS($P$6:$P$3267,P1341,$Q$6:$Q$3267,"&lt;="&amp;Q1341,$N$6:$N$3267,Calendar!$K$4),"")</f>
        <v/>
      </c>
      <c r="W1341" s="47">
        <f>IF(AND(B1341=Queue!$C$4,OR(Queue!$K$4="*",N1341=Queue!$K$4)),Q1341,"")</f>
        <v/>
      </c>
    </row>
    <row r="1342">
      <c r="A1342" s="38">
        <f>IF(M1342="","",HYPERLINK("https://www.youtube.com/watch?v="&amp;M1342,"▶"))</f>
        <v/>
      </c>
      <c r="B1342" s="39">
        <f>IF(C1342&lt;&gt;"",C1342,IF(P1342&lt;=IFERROR(INDEX(tblChannels[Watched Through],MATCH(N1342,tblChannels[Channel ID],0)),0),"Watched","Unwatched"))</f>
        <v/>
      </c>
      <c r="C1342" s="40" t="n"/>
      <c r="D1342" s="41" t="n"/>
      <c r="E1342" s="42" t="n">
        <v>44431.41666666666</v>
      </c>
      <c r="F1342" s="52" t="inlineStr">
        <is>
          <t>Super Carlin Gaming</t>
        </is>
      </c>
      <c r="G1342" t="inlineStr">
        <is>
          <t>LET'S KICK SOME ACE | Pokémon SoulSilver Randomizer Nuzlocke #19</t>
        </is>
      </c>
      <c r="H1342" s="44" t="n">
        <v>0.0275</v>
      </c>
      <c r="I1342" s="45" t="n">
        <v>16611</v>
      </c>
      <c r="J1342" s="45" t="n">
        <v>864</v>
      </c>
      <c r="K1342" s="45" t="n">
        <v>182</v>
      </c>
      <c r="L1342" s="46" t="n"/>
      <c r="M1342" s="47" t="n"/>
      <c r="N1342" s="47" t="inlineStr">
        <is>
          <t>UCor_9jRnNNZVzTuQ92PKsaQ</t>
        </is>
      </c>
      <c r="O1342" s="48" t="n">
        <v>44431.58333333334</v>
      </c>
      <c r="P1342" s="49" t="n">
        <v>44431</v>
      </c>
      <c r="Q1342" s="47" t="n">
        <v>1926</v>
      </c>
      <c r="R1342" s="47" t="inlineStr">
        <is>
          <t>No Video ID yet</t>
        </is>
      </c>
      <c r="S1342" s="49" t="n"/>
      <c r="T1342" s="49" t="n"/>
      <c r="U1342" s="47" t="inlineStr">
        <is>
          <t>Today J, Noel and the team Face off against the Kimono Girls and then venture to the Whirl Islands to discover this games "Lugia" What will it be and will it join the team?!?!</t>
        </is>
      </c>
      <c r="V1342" s="47">
        <f>IF(AND(P1342&gt;=Calendar!$K$2,P1342&lt;EDATE(Calendar!$K$2,1),OR(Calendar!$K$4="*",N1342=Calendar!$K$4)),P1342*100+COUNTIFS($P$6:$P$3267,P1342,$Q$6:$Q$3267,"&lt;="&amp;Q1342,$N$6:$N$3267,Calendar!$K$4),"")</f>
        <v/>
      </c>
      <c r="W1342" s="47">
        <f>IF(AND(B1342=Queue!$C$4,OR(Queue!$K$4="*",N1342=Queue!$K$4)),Q1342,"")</f>
        <v/>
      </c>
    </row>
    <row r="1343">
      <c r="A1343" s="38">
        <f>IF(M1343="","",HYPERLINK("https://www.youtube.com/watch?v="&amp;M1343,"▶"))</f>
        <v/>
      </c>
      <c r="B1343" s="39">
        <f>IF(C1343&lt;&gt;"",C1343,IF(P1343&lt;=IFERROR(INDEX(tblChannels[Watched Through],MATCH(N1343,tblChannels[Channel ID],0)),0),"Watched","Unwatched"))</f>
        <v/>
      </c>
      <c r="C1343" s="40" t="n"/>
      <c r="D1343" s="41" t="n"/>
      <c r="E1343" s="42" t="n">
        <v>44428.84027777778</v>
      </c>
      <c r="F1343" s="50" t="inlineStr">
        <is>
          <t>Super Carlin Brothers</t>
        </is>
      </c>
      <c r="G1343" t="inlineStr">
        <is>
          <t>ALL FANDOMS Trivia Night LIVE STREAM!</t>
        </is>
      </c>
      <c r="H1343" s="44" t="n">
        <v>0.08123842592592592</v>
      </c>
      <c r="I1343" s="45" t="n">
        <v>56545</v>
      </c>
      <c r="J1343" s="45" t="n">
        <v>1577</v>
      </c>
      <c r="K1343" s="45" t="n">
        <v>95</v>
      </c>
      <c r="L1343" s="46" t="n"/>
      <c r="M1343" s="47" t="n"/>
      <c r="N1343" s="47" t="inlineStr">
        <is>
          <t>UCKZo4N0lVPccBkSiuyVh4yg</t>
        </is>
      </c>
      <c r="O1343" s="48" t="n">
        <v>44429.00694444445</v>
      </c>
      <c r="P1343" s="49" t="n">
        <v>44428</v>
      </c>
      <c r="Q1343" s="47" t="n">
        <v>1925</v>
      </c>
      <c r="R1343" s="47" t="inlineStr">
        <is>
          <t>No Video ID yet</t>
        </is>
      </c>
      <c r="S1343" s="49" t="n"/>
      <c r="T1343" s="49" t="n"/>
      <c r="U1343" s="47" t="inlineStr">
        <is>
          <t>DO YOU HAVE WHAT IT TAKES TO BECOME THE CHAMPION OF ALL SIX FANDOMS?! - Tonight we test your knowledge of Disney, Pixar, Marvel, Star Wars, Harry Potter and Avatar: The Last Airbender! Use coupon code MrBobsBig2 for $2 off Coffee orders! Winners email: secretcarlinbrothers@gmail.com with a screenshot of your winning score! HOW TO PLAY Kahoot with the Carlins! 1. Download the Kahoot app to your mobile device, or go to Kahoot.it to join the game! 2. Make sure you’re running the SCB Livestream on a different device or a different window than Kahoot! (We recommend having Kahoot on your phone and the stream on a computer or TV, but two tabs/windows on the same computer works as well!) 3. Shortly before we start the game, SCB will announce the game PIN. Enter the pin into your Kahoot App or at Kahoot.it 4. Enter a nickname for yourself and join the game! 5. Points are awarded for accuracy and speed! 6. Follow along with the stream and answer the questions as they appear in the stream! If your stream is behind, you might see a different question than what is on screen, so make sure your live stream is caught up! You can skip ahead in the video, or set your video speed to 2x to catch up! (</t>
        </is>
      </c>
      <c r="V1343" s="47">
        <f>IF(AND(P1343&gt;=Calendar!$K$2,P1343&lt;EDATE(Calendar!$K$2,1),OR(Calendar!$K$4="*",N1343=Calendar!$K$4)),P1343*100+COUNTIFS($P$6:$P$3267,P1343,$Q$6:$Q$3267,"&lt;="&amp;Q1343,$N$6:$N$3267,Calendar!$K$4),"")</f>
        <v/>
      </c>
      <c r="W1343" s="47">
        <f>IF(AND(B1343=Queue!$C$4,OR(Queue!$K$4="*",N1343=Queue!$K$4)),Q1343,"")</f>
        <v/>
      </c>
    </row>
    <row r="1344">
      <c r="A1344" s="38">
        <f>IF(M1344="","",HYPERLINK("https://www.youtube.com/watch?v="&amp;M1344,"▶"))</f>
        <v/>
      </c>
      <c r="B1344" s="39">
        <f>IF(C1344&lt;&gt;"",C1344,IF(P1344&lt;=IFERROR(INDEX(tblChannels[Watched Through],MATCH(N1344,tblChannels[Channel ID],0)),0),"Watched","Unwatched"))</f>
        <v/>
      </c>
      <c r="C1344" s="40" t="n"/>
      <c r="D1344" s="41" t="n"/>
      <c r="E1344" s="42" t="n">
        <v>44428.41666666666</v>
      </c>
      <c r="F1344" s="43" t="inlineStr">
        <is>
          <t>Popcorn Culture</t>
        </is>
      </c>
      <c r="G1344" t="inlineStr">
        <is>
          <t>The Frog in the Night | Popcorn Culture</t>
        </is>
      </c>
      <c r="H1344" s="44" t="n">
        <v>0.04960648148148148</v>
      </c>
      <c r="I1344" s="45" t="n">
        <v>14631</v>
      </c>
      <c r="J1344" s="45" t="n">
        <v>547</v>
      </c>
      <c r="K1344" s="45" t="n">
        <v>89</v>
      </c>
      <c r="L1344" s="46" t="n"/>
      <c r="M1344" s="47" t="n"/>
      <c r="N1344" s="47" t="inlineStr">
        <is>
          <t>UCHfIbq9thHPC8yrKjAdJgDA</t>
        </is>
      </c>
      <c r="O1344" s="48" t="n">
        <v>44428.58333333334</v>
      </c>
      <c r="P1344" s="49" t="n">
        <v>44428</v>
      </c>
      <c r="Q1344" s="47" t="n">
        <v>1924</v>
      </c>
      <c r="R1344" s="47" t="inlineStr">
        <is>
          <t>No Video ID yet</t>
        </is>
      </c>
      <c r="S1344" s="49" t="n"/>
      <c r="T1344" s="49" t="n"/>
      <c r="U1344" s="47" t="inlineStr">
        <is>
          <t>In this week's episode of the Pop, J and Ben discuss wedding speeches, broadway shows, stiff jeans, “Manship”, car frogs, keyboard and chord order, the evolution of texting, being in the zone Seinfeld episode referenced: Everything you need to know about typing: Gen Z-ers and rotary phones: The woman behind the voice of siri: Rocket Power: Get your Popcast Bingo Card: www.Patreon.com/PopcornCulture</t>
        </is>
      </c>
      <c r="V1344" s="47">
        <f>IF(AND(P1344&gt;=Calendar!$K$2,P1344&lt;EDATE(Calendar!$K$2,1),OR(Calendar!$K$4="*",N1344=Calendar!$K$4)),P1344*100+COUNTIFS($P$6:$P$3267,P1344,$Q$6:$Q$3267,"&lt;="&amp;Q1344,$N$6:$N$3267,Calendar!$K$4),"")</f>
        <v/>
      </c>
      <c r="W1344" s="47">
        <f>IF(AND(B1344=Queue!$C$4,OR(Queue!$K$4="*",N1344=Queue!$K$4)),Q1344,"")</f>
        <v/>
      </c>
    </row>
    <row r="1345">
      <c r="A1345" s="38">
        <f>IF(M1345="","",HYPERLINK("https://www.youtube.com/watch?v="&amp;M1345,"▶"))</f>
        <v/>
      </c>
      <c r="B1345" s="39">
        <f>IF(C1345&lt;&gt;"",C1345,IF(P1345&lt;=IFERROR(INDEX(tblChannels[Watched Through],MATCH(N1345,tblChannels[Channel ID],0)),0),"Watched","Unwatched"))</f>
        <v/>
      </c>
      <c r="C1345" s="40" t="n"/>
      <c r="D1345" s="41" t="n"/>
      <c r="E1345" s="42" t="n">
        <v>44427.60138888889</v>
      </c>
      <c r="F1345" s="50" t="inlineStr">
        <is>
          <t>Super Carlin Brothers</t>
        </is>
      </c>
      <c r="G1345" t="inlineStr">
        <is>
          <t>J vs Ben: EXPERT Quidditch World Cup Harry Potter TRIVIA Quiz</t>
        </is>
      </c>
      <c r="H1345" s="44" t="n">
        <v>0.02541666666666667</v>
      </c>
      <c r="I1345" s="45" t="n">
        <v>322904</v>
      </c>
      <c r="J1345" s="45" t="n">
        <v>10475</v>
      </c>
      <c r="K1345" s="45" t="n">
        <v>924</v>
      </c>
      <c r="L1345" s="46" t="n"/>
      <c r="M1345" s="47" t="n"/>
      <c r="N1345" s="47" t="inlineStr">
        <is>
          <t>UCKZo4N0lVPccBkSiuyVh4yg</t>
        </is>
      </c>
      <c r="O1345" s="48" t="n">
        <v>44427.76805555556</v>
      </c>
      <c r="P1345" s="49" t="n">
        <v>44427</v>
      </c>
      <c r="Q1345" s="47" t="n">
        <v>1923</v>
      </c>
      <c r="R1345" s="47" t="inlineStr">
        <is>
          <t>No Video ID yet</t>
        </is>
      </c>
      <c r="S1345" s="49" t="n"/>
      <c r="T1345" s="49" t="n"/>
      <c r="U1345" s="47" t="inlineStr">
        <is>
          <t>Download the DoorDash app in the App Store and enter code JVSB2021 to get 25% off and zero delivery fees on your first order! Go to and use code super to get 20% off your first box. Today J and Ben face off once more in possibly the hardest quiz they ever taken to determine who knows the most about the Quidditch World Cup!</t>
        </is>
      </c>
      <c r="V1345" s="47">
        <f>IF(AND(P1345&gt;=Calendar!$K$2,P1345&lt;EDATE(Calendar!$K$2,1),OR(Calendar!$K$4="*",N1345=Calendar!$K$4)),P1345*100+COUNTIFS($P$6:$P$3267,P1345,$Q$6:$Q$3267,"&lt;="&amp;Q1345,$N$6:$N$3267,Calendar!$K$4),"")</f>
        <v/>
      </c>
      <c r="W1345" s="47">
        <f>IF(AND(B1345=Queue!$C$4,OR(Queue!$K$4="*",N1345=Queue!$K$4)),Q1345,"")</f>
        <v/>
      </c>
    </row>
    <row r="1346">
      <c r="A1346" s="38">
        <f>IF(M1346="","",HYPERLINK("https://www.youtube.com/watch?v="&amp;M1346,"▶"))</f>
        <v/>
      </c>
      <c r="B1346" s="39">
        <f>IF(C1346&lt;&gt;"",C1346,IF(P1346&lt;=IFERROR(INDEX(tblChannels[Watched Through],MATCH(N1346,tblChannels[Channel ID],0)),0),"Watched","Unwatched"))</f>
        <v/>
      </c>
      <c r="C1346" s="40" t="n"/>
      <c r="D1346" s="41" t="n"/>
      <c r="E1346" s="42" t="n">
        <v>44426.95347222222</v>
      </c>
      <c r="F1346" s="52" t="inlineStr">
        <is>
          <t>Super Carlin Gaming</t>
        </is>
      </c>
      <c r="G1346" t="inlineStr">
        <is>
          <t>LIVE! - Rapid Strike Urshifu &amp; Friends</t>
        </is>
      </c>
      <c r="H1346" s="44" t="n">
        <v>0.07648148148148148</v>
      </c>
      <c r="I1346" s="45" t="n">
        <v>3608</v>
      </c>
      <c r="J1346" s="45" t="n">
        <v>160</v>
      </c>
      <c r="K1346" s="45" t="n">
        <v>9</v>
      </c>
      <c r="L1346" s="46" t="n"/>
      <c r="M1346" s="47" t="n"/>
      <c r="N1346" s="47" t="inlineStr">
        <is>
          <t>UCor_9jRnNNZVzTuQ92PKsaQ</t>
        </is>
      </c>
      <c r="O1346" s="48" t="n">
        <v>44427.12013888889</v>
      </c>
      <c r="P1346" s="49" t="n">
        <v>44426</v>
      </c>
      <c r="Q1346" s="47" t="n">
        <v>1922</v>
      </c>
      <c r="R1346" s="47" t="inlineStr">
        <is>
          <t>No Video ID yet</t>
        </is>
      </c>
      <c r="S1346" s="49" t="n"/>
      <c r="T1346" s="49" t="n"/>
      <c r="U1346" s="47" t="inlineStr">
        <is>
          <t>J is testing out different decks and just hanging out answering questions!</t>
        </is>
      </c>
      <c r="V1346" s="47">
        <f>IF(AND(P1346&gt;=Calendar!$K$2,P1346&lt;EDATE(Calendar!$K$2,1),OR(Calendar!$K$4="*",N1346=Calendar!$K$4)),P1346*100+COUNTIFS($P$6:$P$3267,P1346,$Q$6:$Q$3267,"&lt;="&amp;Q1346,$N$6:$N$3267,Calendar!$K$4),"")</f>
        <v/>
      </c>
      <c r="W1346" s="47">
        <f>IF(AND(B1346=Queue!$C$4,OR(Queue!$K$4="*",N1346=Queue!$K$4)),Q1346,"")</f>
        <v/>
      </c>
    </row>
    <row r="1347">
      <c r="A1347" s="38">
        <f>IF(M1347="","",HYPERLINK("https://www.youtube.com/watch?v="&amp;M1347,"▶"))</f>
        <v/>
      </c>
      <c r="B1347" s="39">
        <f>IF(C1347&lt;&gt;"",C1347,IF(P1347&lt;=IFERROR(INDEX(tblChannels[Watched Through],MATCH(N1347,tblChannels[Channel ID],0)),0),"Watched","Unwatched"))</f>
        <v/>
      </c>
      <c r="C1347" s="40" t="n"/>
      <c r="D1347" s="41" t="n"/>
      <c r="E1347" s="42" t="n">
        <v>44426.41666666666</v>
      </c>
      <c r="F1347" s="52" t="inlineStr">
        <is>
          <t>Super Carlin Gaming</t>
        </is>
      </c>
      <c r="G1347" t="inlineStr">
        <is>
          <t>OH. MY. GOD. | Pokémon SoulSilver Randomizer Nuzlocke #18</t>
        </is>
      </c>
      <c r="H1347" s="44" t="n">
        <v>0.03131944444444444</v>
      </c>
      <c r="I1347" s="45" t="n">
        <v>17620</v>
      </c>
      <c r="J1347" s="45" t="n">
        <v>1231</v>
      </c>
      <c r="K1347" s="45" t="n">
        <v>343</v>
      </c>
      <c r="L1347" s="46" t="n"/>
      <c r="M1347" s="47" t="n"/>
      <c r="N1347" s="47" t="inlineStr">
        <is>
          <t>UCor_9jRnNNZVzTuQ92PKsaQ</t>
        </is>
      </c>
      <c r="O1347" s="48" t="n">
        <v>44426.58333333334</v>
      </c>
      <c r="P1347" s="49" t="n">
        <v>44426</v>
      </c>
      <c r="Q1347" s="47" t="n">
        <v>1921</v>
      </c>
      <c r="R1347" s="47" t="inlineStr">
        <is>
          <t>No Video ID yet</t>
        </is>
      </c>
      <c r="S1347" s="49" t="n"/>
      <c r="T1347" s="49" t="n"/>
      <c r="U1347" s="47" t="inlineStr">
        <is>
          <t>Today J, Noel and the team head to their 8th and FINAL gym battle (until Kanto) Claire boasts a level 41 ACE Pokemon.. is the team ready?</t>
        </is>
      </c>
      <c r="V1347" s="47">
        <f>IF(AND(P1347&gt;=Calendar!$K$2,P1347&lt;EDATE(Calendar!$K$2,1),OR(Calendar!$K$4="*",N1347=Calendar!$K$4)),P1347*100+COUNTIFS($P$6:$P$3267,P1347,$Q$6:$Q$3267,"&lt;="&amp;Q1347,$N$6:$N$3267,Calendar!$K$4),"")</f>
        <v/>
      </c>
      <c r="W1347" s="47">
        <f>IF(AND(B1347=Queue!$C$4,OR(Queue!$K$4="*",N1347=Queue!$K$4)),Q1347,"")</f>
        <v/>
      </c>
    </row>
    <row r="1348">
      <c r="A1348" s="38">
        <f>IF(M1348="","",HYPERLINK("https://www.youtube.com/watch?v="&amp;M1348,"▶"))</f>
        <v/>
      </c>
      <c r="B1348" s="39">
        <f>IF(C1348&lt;&gt;"",C1348,IF(P1348&lt;=IFERROR(INDEX(tblChannels[Watched Through],MATCH(N1348,tblChannels[Channel ID],0)),0),"Watched","Unwatched"))</f>
        <v/>
      </c>
      <c r="C1348" s="40" t="n"/>
      <c r="D1348" s="41" t="n"/>
      <c r="E1348" s="42" t="n">
        <v>44425.69791666666</v>
      </c>
      <c r="F1348" s="50" t="inlineStr">
        <is>
          <t>Super Carlin Brothers</t>
        </is>
      </c>
      <c r="G1348" t="inlineStr">
        <is>
          <t>Credence is a GAUNT | Harry Potter Theory</t>
        </is>
      </c>
      <c r="H1348" s="44" t="n">
        <v>0.01107638888888889</v>
      </c>
      <c r="I1348" s="45" t="n">
        <v>291431</v>
      </c>
      <c r="J1348" s="45" t="n">
        <v>12519</v>
      </c>
      <c r="K1348" s="45" t="n">
        <v>1081</v>
      </c>
      <c r="L1348" s="46" t="n"/>
      <c r="M1348" s="47" t="n"/>
      <c r="N1348" s="47" t="inlineStr">
        <is>
          <t>UCKZo4N0lVPccBkSiuyVh4yg</t>
        </is>
      </c>
      <c r="O1348" s="48" t="n">
        <v>44425.86458333334</v>
      </c>
      <c r="P1348" s="49" t="n">
        <v>44425</v>
      </c>
      <c r="Q1348" s="47" t="n">
        <v>1920</v>
      </c>
      <c r="R1348" s="47" t="inlineStr">
        <is>
          <t>No Video ID yet</t>
        </is>
      </c>
      <c r="S1348" s="49" t="n"/>
      <c r="T1348" s="49" t="n"/>
      <c r="U1348" s="47" t="inlineStr">
        <is>
          <t>Head on over to to get 10% off your order Today J dives into the Wizarding World of Harry Potter to discuss Credence’s TRUE identity and how he’s related to none other than Lord Voldemort! #SuperCarlinBrothers #HarryPotter #FantasticBeasts</t>
        </is>
      </c>
      <c r="V1348" s="47">
        <f>IF(AND(P1348&gt;=Calendar!$K$2,P1348&lt;EDATE(Calendar!$K$2,1),OR(Calendar!$K$4="*",N1348=Calendar!$K$4)),P1348*100+COUNTIFS($P$6:$P$3267,P1348,$Q$6:$Q$3267,"&lt;="&amp;Q1348,$N$6:$N$3267,Calendar!$K$4),"")</f>
        <v/>
      </c>
      <c r="W1348" s="47">
        <f>IF(AND(B1348=Queue!$C$4,OR(Queue!$K$4="*",N1348=Queue!$K$4)),Q1348,"")</f>
        <v/>
      </c>
    </row>
    <row r="1349">
      <c r="A1349" s="38">
        <f>IF(M1349="","",HYPERLINK("https://www.youtube.com/watch?v="&amp;M1349,"▶"))</f>
        <v/>
      </c>
      <c r="B1349" s="39">
        <f>IF(C1349&lt;&gt;"",C1349,IF(P1349&lt;=IFERROR(INDEX(tblChannels[Watched Through],MATCH(N1349,tblChannels[Channel ID],0)),0),"Watched","Unwatched"))</f>
        <v/>
      </c>
      <c r="C1349" s="40" t="n"/>
      <c r="D1349" s="41" t="n"/>
      <c r="E1349" s="42" t="n">
        <v>44424.41666666666</v>
      </c>
      <c r="F1349" s="52" t="inlineStr">
        <is>
          <t>Super Carlin Gaming</t>
        </is>
      </c>
      <c r="G1349" t="inlineStr">
        <is>
          <t>THE GUARDIAN APPEARS |  Pokémon SoulSilver Randomizer Nuzlocke #17</t>
        </is>
      </c>
      <c r="H1349" s="44" t="n">
        <v>0.02847222222222222</v>
      </c>
      <c r="I1349" s="45" t="n">
        <v>17947</v>
      </c>
      <c r="J1349" s="45" t="n">
        <v>996</v>
      </c>
      <c r="K1349" s="45" t="n">
        <v>191</v>
      </c>
      <c r="L1349" s="46" t="n"/>
      <c r="M1349" s="47" t="n"/>
      <c r="N1349" s="47" t="inlineStr">
        <is>
          <t>UCor_9jRnNNZVzTuQ92PKsaQ</t>
        </is>
      </c>
      <c r="O1349" s="48" t="n">
        <v>44424.58333333334</v>
      </c>
      <c r="P1349" s="49" t="n">
        <v>44424</v>
      </c>
      <c r="Q1349" s="47" t="n">
        <v>1919</v>
      </c>
      <c r="R1349" s="47" t="inlineStr">
        <is>
          <t>No Video ID yet</t>
        </is>
      </c>
      <c r="S1349" s="49" t="n"/>
      <c r="T1349" s="49" t="n"/>
      <c r="U1349" s="47" t="inlineStr">
        <is>
          <t>Today J, Noel and the team fight their way through the ice cave and toward the 8th gym, but are they prepared for... THE GUARDIAN!?</t>
        </is>
      </c>
      <c r="V1349" s="47">
        <f>IF(AND(P1349&gt;=Calendar!$K$2,P1349&lt;EDATE(Calendar!$K$2,1),OR(Calendar!$K$4="*",N1349=Calendar!$K$4)),P1349*100+COUNTIFS($P$6:$P$3267,P1349,$Q$6:$Q$3267,"&lt;="&amp;Q1349,$N$6:$N$3267,Calendar!$K$4),"")</f>
        <v/>
      </c>
      <c r="W1349" s="47">
        <f>IF(AND(B1349=Queue!$C$4,OR(Queue!$K$4="*",N1349=Queue!$K$4)),Q1349,"")</f>
        <v/>
      </c>
    </row>
    <row r="1350">
      <c r="A1350" s="38">
        <f>IF(M1350="","",HYPERLINK("https://www.youtube.com/watch?v="&amp;M1350,"▶"))</f>
        <v/>
      </c>
      <c r="B1350" s="39">
        <f>IF(C1350&lt;&gt;"",C1350,IF(P1350&lt;=IFERROR(INDEX(tblChannels[Watched Through],MATCH(N1350,tblChannels[Channel ID],0)),0),"Watched","Unwatched"))</f>
        <v/>
      </c>
      <c r="C1350" s="40" t="n"/>
      <c r="D1350" s="41" t="n"/>
      <c r="E1350" s="42" t="n">
        <v>44421.41666666666</v>
      </c>
      <c r="F1350" s="43" t="inlineStr">
        <is>
          <t>Popcorn Culture</t>
        </is>
      </c>
      <c r="G1350" t="inlineStr">
        <is>
          <t>Are All Christmas Movies Classics? | Popcorn Culture</t>
        </is>
      </c>
      <c r="H1350" s="44" t="n">
        <v>0.04737268518518518</v>
      </c>
      <c r="I1350" s="45" t="n">
        <v>13247</v>
      </c>
      <c r="J1350" s="45" t="n">
        <v>619</v>
      </c>
      <c r="K1350" s="45" t="n">
        <v>77</v>
      </c>
      <c r="L1350" s="46" t="n"/>
      <c r="M1350" s="47" t="n"/>
      <c r="N1350" s="47" t="inlineStr">
        <is>
          <t>UCHfIbq9thHPC8yrKjAdJgDA</t>
        </is>
      </c>
      <c r="O1350" s="48" t="n">
        <v>44421.58333333334</v>
      </c>
      <c r="P1350" s="49" t="n">
        <v>44421</v>
      </c>
      <c r="Q1350" s="47" t="n">
        <v>1918</v>
      </c>
      <c r="R1350" s="47" t="inlineStr">
        <is>
          <t>No Video ID yet</t>
        </is>
      </c>
      <c r="S1350" s="49" t="n"/>
      <c r="T1350" s="49" t="n"/>
      <c r="U1350" s="47" t="inlineStr">
        <is>
          <t>In this episode, Ben and J discuss wedding clichés, revisiting 27 Butts, classic Christmas and Halloween movies, alien therapists, Olympics hype, US Men’s Soccer vs. US Women’s Soccer, car detailing frustrations, J’s unbelievable nostalgia brain, and people’s driving motivations. Link to “27 Butts” After the Final Pop episode: Christmas and Halloween Movie trailer playlist: Rose McIver as a power ranger: Olympic kayaking: 400 meter hurdle: Mens US soccer team stats world cup: Womens US soccer team stats: Mighty Ducks: The Game Changers trailer Miracle trailer: Get your Popcast Bingo Card: www.Patreon.com/PopcornCulture</t>
        </is>
      </c>
      <c r="V1350" s="47">
        <f>IF(AND(P1350&gt;=Calendar!$K$2,P1350&lt;EDATE(Calendar!$K$2,1),OR(Calendar!$K$4="*",N1350=Calendar!$K$4)),P1350*100+COUNTIFS($P$6:$P$3267,P1350,$Q$6:$Q$3267,"&lt;="&amp;Q1350,$N$6:$N$3267,Calendar!$K$4),"")</f>
        <v/>
      </c>
      <c r="W1350" s="47">
        <f>IF(AND(B1350=Queue!$C$4,OR(Queue!$K$4="*",N1350=Queue!$K$4)),Q1350,"")</f>
        <v/>
      </c>
    </row>
    <row r="1351">
      <c r="A1351" s="38">
        <f>IF(M1351="","",HYPERLINK("https://www.youtube.com/watch?v="&amp;M1351,"▶"))</f>
        <v/>
      </c>
      <c r="B1351" s="39">
        <f>IF(C1351&lt;&gt;"",C1351,IF(P1351&lt;=IFERROR(INDEX(tblChannels[Watched Through],MATCH(N1351,tblChannels[Channel ID],0)),0),"Watched","Unwatched"))</f>
        <v/>
      </c>
      <c r="C1351" s="40" t="n"/>
      <c r="D1351" s="41" t="n"/>
      <c r="E1351" s="42" t="n">
        <v>44420.68194444444</v>
      </c>
      <c r="F1351" s="50" t="inlineStr">
        <is>
          <t>Super Carlin Brothers</t>
        </is>
      </c>
      <c r="G1351" t="inlineStr">
        <is>
          <t>Aurelius Dumbledore SOLVED | Harry Potter Theory</t>
        </is>
      </c>
      <c r="H1351" s="44" t="n">
        <v>0.01157407407407407</v>
      </c>
      <c r="I1351" s="45" t="n">
        <v>495793</v>
      </c>
      <c r="J1351" s="45" t="n">
        <v>17068</v>
      </c>
      <c r="K1351" s="45" t="n">
        <v>1867</v>
      </c>
      <c r="L1351" s="46" t="n"/>
      <c r="M1351" s="47" t="n"/>
      <c r="N1351" s="47" t="inlineStr">
        <is>
          <t>UCKZo4N0lVPccBkSiuyVh4yg</t>
        </is>
      </c>
      <c r="O1351" s="48" t="n">
        <v>44420.84861111111</v>
      </c>
      <c r="P1351" s="49" t="n">
        <v>44420</v>
      </c>
      <c r="Q1351" s="47" t="n">
        <v>1917</v>
      </c>
      <c r="R1351" s="47" t="inlineStr">
        <is>
          <t>No Video ID yet</t>
        </is>
      </c>
      <c r="S1351" s="49" t="n"/>
      <c r="T1351" s="49" t="n"/>
      <c r="U1351" s="47" t="inlineStr">
        <is>
          <t>Today J dives into the Wizarding World of Harry Potter to discuss the grand reveal at the end of Fantastic Beasts: The Crimes of Grindelwald about Credences “true” identity as Aurelius Dumbledore… or is it? #SuperCarlinBrothers #HarryPotter #FantasticBeasts</t>
        </is>
      </c>
      <c r="V1351" s="47">
        <f>IF(AND(P1351&gt;=Calendar!$K$2,P1351&lt;EDATE(Calendar!$K$2,1),OR(Calendar!$K$4="*",N1351=Calendar!$K$4)),P1351*100+COUNTIFS($P$6:$P$3267,P1351,$Q$6:$Q$3267,"&lt;="&amp;Q1351,$N$6:$N$3267,Calendar!$K$4),"")</f>
        <v/>
      </c>
      <c r="W1351" s="47">
        <f>IF(AND(B1351=Queue!$C$4,OR(Queue!$K$4="*",N1351=Queue!$K$4)),Q1351,"")</f>
        <v/>
      </c>
    </row>
    <row r="1352">
      <c r="A1352" s="38">
        <f>IF(M1352="","",HYPERLINK("https://www.youtube.com/watch?v="&amp;M1352,"▶"))</f>
        <v/>
      </c>
      <c r="B1352" s="39">
        <f>IF(C1352&lt;&gt;"",C1352,IF(P1352&lt;=IFERROR(INDEX(tblChannels[Watched Through],MATCH(N1352,tblChannels[Channel ID],0)),0),"Watched","Unwatched"))</f>
        <v/>
      </c>
      <c r="C1352" s="40" t="n"/>
      <c r="D1352" s="41" t="n"/>
      <c r="E1352" s="42" t="n">
        <v>44419.41666666666</v>
      </c>
      <c r="F1352" s="52" t="inlineStr">
        <is>
          <t>Super Carlin Gaming</t>
        </is>
      </c>
      <c r="G1352" t="inlineStr">
        <is>
          <t>SKUNKED! |  Pokémon SoulSilver Randomizer Nuzlocke #16</t>
        </is>
      </c>
      <c r="H1352" s="44" t="n">
        <v>0.03332175925925926</v>
      </c>
      <c r="I1352" s="45" t="n">
        <v>19923</v>
      </c>
      <c r="J1352" s="45" t="n">
        <v>1063</v>
      </c>
      <c r="K1352" s="45" t="n">
        <v>190</v>
      </c>
      <c r="L1352" s="46" t="n"/>
      <c r="M1352" s="47" t="n"/>
      <c r="N1352" s="47" t="inlineStr">
        <is>
          <t>UCor_9jRnNNZVzTuQ92PKsaQ</t>
        </is>
      </c>
      <c r="O1352" s="48" t="n">
        <v>44419.58333333334</v>
      </c>
      <c r="P1352" s="49" t="n">
        <v>44419</v>
      </c>
      <c r="Q1352" s="47" t="n">
        <v>1916</v>
      </c>
      <c r="R1352" s="47" t="inlineStr">
        <is>
          <t>No Video ID yet</t>
        </is>
      </c>
      <c r="S1352" s="49" t="n"/>
      <c r="T1352" s="49" t="n"/>
      <c r="U1352" s="47" t="inlineStr">
        <is>
          <t>Today J and the Team attempt to eradicate Team Rocket from the Radio Tower. Will they succeed, or will they be... SKUNKED?!</t>
        </is>
      </c>
      <c r="V1352" s="47">
        <f>IF(AND(P1352&gt;=Calendar!$K$2,P1352&lt;EDATE(Calendar!$K$2,1),OR(Calendar!$K$4="*",N1352=Calendar!$K$4)),P1352*100+COUNTIFS($P$6:$P$3267,P1352,$Q$6:$Q$3267,"&lt;="&amp;Q1352,$N$6:$N$3267,Calendar!$K$4),"")</f>
        <v/>
      </c>
      <c r="W1352" s="47">
        <f>IF(AND(B1352=Queue!$C$4,OR(Queue!$K$4="*",N1352=Queue!$K$4)),Q1352,"")</f>
        <v/>
      </c>
    </row>
    <row r="1353">
      <c r="A1353" s="38">
        <f>IF(M1353="","",HYPERLINK("https://www.youtube.com/watch?v="&amp;M1353,"▶"))</f>
        <v/>
      </c>
      <c r="B1353" s="39">
        <f>IF(C1353&lt;&gt;"",C1353,IF(P1353&lt;=IFERROR(INDEX(tblChannels[Watched Through],MATCH(N1353,tblChannels[Channel ID],0)),0),"Watched","Unwatched"))</f>
        <v/>
      </c>
      <c r="C1353" s="40" t="n"/>
      <c r="D1353" s="41" t="n"/>
      <c r="E1353" s="42" t="n">
        <v>44418.62083333333</v>
      </c>
      <c r="F1353" s="50" t="inlineStr">
        <is>
          <t>Super Carlin Brothers</t>
        </is>
      </c>
      <c r="G1353" t="inlineStr">
        <is>
          <t>Genie Is A Robot | Disney Theory</t>
        </is>
      </c>
      <c r="H1353" s="44" t="n">
        <v>0.01054398148148148</v>
      </c>
      <c r="I1353" s="45" t="n">
        <v>206797</v>
      </c>
      <c r="J1353" s="45" t="n">
        <v>9841</v>
      </c>
      <c r="K1353" s="45" t="n">
        <v>667</v>
      </c>
      <c r="L1353" s="46" t="n"/>
      <c r="M1353" s="47" t="n"/>
      <c r="N1353" s="47" t="inlineStr">
        <is>
          <t>UCKZo4N0lVPccBkSiuyVh4yg</t>
        </is>
      </c>
      <c r="O1353" s="48" t="n">
        <v>44418.7875</v>
      </c>
      <c r="P1353" s="49" t="n">
        <v>44418</v>
      </c>
      <c r="Q1353" s="47" t="n">
        <v>1915</v>
      </c>
      <c r="R1353" s="47" t="inlineStr">
        <is>
          <t>No Video ID yet</t>
        </is>
      </c>
      <c r="S1353" s="49" t="n"/>
      <c r="T1353" s="49" t="n"/>
      <c r="U1353" s="47" t="inlineStr">
        <is>
          <t>Go to and get an extra 3 months FREE! Today Ben ventures to Agrabah to discuss the timeline of Aladdin and whether the Genie could be... a ROBOT?!?</t>
        </is>
      </c>
      <c r="V1353" s="47">
        <f>IF(AND(P1353&gt;=Calendar!$K$2,P1353&lt;EDATE(Calendar!$K$2,1),OR(Calendar!$K$4="*",N1353=Calendar!$K$4)),P1353*100+COUNTIFS($P$6:$P$3267,P1353,$Q$6:$Q$3267,"&lt;="&amp;Q1353,$N$6:$N$3267,Calendar!$K$4),"")</f>
        <v/>
      </c>
      <c r="W1353" s="47">
        <f>IF(AND(B1353=Queue!$C$4,OR(Queue!$K$4="*",N1353=Queue!$K$4)),Q1353,"")</f>
        <v/>
      </c>
    </row>
    <row r="1354">
      <c r="A1354" s="38">
        <f>IF(M1354="","",HYPERLINK("https://www.youtube.com/watch?v="&amp;M1354,"▶"))</f>
        <v/>
      </c>
      <c r="B1354" s="39">
        <f>IF(C1354&lt;&gt;"",C1354,IF(P1354&lt;=IFERROR(INDEX(tblChannels[Watched Through],MATCH(N1354,tblChannels[Channel ID],0)),0),"Watched","Unwatched"))</f>
        <v/>
      </c>
      <c r="C1354" s="40" t="n"/>
      <c r="D1354" s="41" t="n"/>
      <c r="E1354" s="42" t="n">
        <v>44417.41666666666</v>
      </c>
      <c r="F1354" s="52" t="inlineStr">
        <is>
          <t>Super Carlin Gaming</t>
        </is>
      </c>
      <c r="G1354" t="inlineStr">
        <is>
          <t>THE GOD OF SPACE RETURNS | Pokémon SoulSilver Randomizer Nuzlocke #15</t>
        </is>
      </c>
      <c r="H1354" s="44" t="n">
        <v>0.02902777777777778</v>
      </c>
      <c r="I1354" s="45" t="n">
        <v>19840</v>
      </c>
      <c r="J1354" s="45" t="n">
        <v>1334</v>
      </c>
      <c r="K1354" s="45" t="n">
        <v>259</v>
      </c>
      <c r="L1354" s="46" t="n"/>
      <c r="M1354" s="47" t="n"/>
      <c r="N1354" s="47" t="inlineStr">
        <is>
          <t>UCor_9jRnNNZVzTuQ92PKsaQ</t>
        </is>
      </c>
      <c r="O1354" s="48" t="n">
        <v>44417.58333333334</v>
      </c>
      <c r="P1354" s="49" t="n">
        <v>44417</v>
      </c>
      <c r="Q1354" s="47" t="n">
        <v>1914</v>
      </c>
      <c r="R1354" s="47" t="inlineStr">
        <is>
          <t>No Video ID yet</t>
        </is>
      </c>
      <c r="S1354" s="49" t="n"/>
      <c r="T1354" s="49" t="n"/>
      <c r="U1354" s="47" t="inlineStr">
        <is>
          <t>Today J and the Team head to the Radio Tower to try and clear out Team Rocket and have another EPIC Throwdown with our hated Rival: CELERY! Can the team survive the encounter!?</t>
        </is>
      </c>
      <c r="V1354" s="47">
        <f>IF(AND(P1354&gt;=Calendar!$K$2,P1354&lt;EDATE(Calendar!$K$2,1),OR(Calendar!$K$4="*",N1354=Calendar!$K$4)),P1354*100+COUNTIFS($P$6:$P$3267,P1354,$Q$6:$Q$3267,"&lt;="&amp;Q1354,$N$6:$N$3267,Calendar!$K$4),"")</f>
        <v/>
      </c>
      <c r="W1354" s="47">
        <f>IF(AND(B1354=Queue!$C$4,OR(Queue!$K$4="*",N1354=Queue!$K$4)),Q1354,"")</f>
        <v/>
      </c>
    </row>
    <row r="1355">
      <c r="A1355" s="38">
        <f>IF(M1355="","",HYPERLINK("https://www.youtube.com/watch?v="&amp;M1355,"▶"))</f>
        <v/>
      </c>
      <c r="B1355" s="39">
        <f>IF(C1355&lt;&gt;"",C1355,IF(P1355&lt;=IFERROR(INDEX(tblChannels[Watched Through],MATCH(N1355,tblChannels[Channel ID],0)),0),"Watched","Unwatched"))</f>
        <v/>
      </c>
      <c r="C1355" s="40" t="n"/>
      <c r="D1355" s="41" t="n"/>
      <c r="E1355" s="42" t="n">
        <v>44414.41666666666</v>
      </c>
      <c r="F1355" s="50" t="inlineStr">
        <is>
          <t>Super Carlin Brothers</t>
        </is>
      </c>
      <c r="G1355" t="inlineStr">
        <is>
          <t>Are Pokémon Living Creatures? | Popcorn Culture</t>
        </is>
      </c>
      <c r="H1355" s="44" t="n">
        <v>0.0484375</v>
      </c>
      <c r="I1355" s="45" t="n">
        <v>24620</v>
      </c>
      <c r="J1355" s="45" t="n">
        <v>955</v>
      </c>
      <c r="K1355" s="45" t="n">
        <v>125</v>
      </c>
      <c r="L1355" s="46" t="n"/>
      <c r="M1355" s="47" t="n"/>
      <c r="N1355" s="47" t="inlineStr">
        <is>
          <t>UCKZo4N0lVPccBkSiuyVh4yg</t>
        </is>
      </c>
      <c r="O1355" s="48" t="n">
        <v>44414.58333333334</v>
      </c>
      <c r="P1355" s="49" t="n">
        <v>44414</v>
      </c>
      <c r="Q1355" s="47" t="n">
        <v>1913</v>
      </c>
      <c r="R1355" s="47" t="inlineStr">
        <is>
          <t>No Video ID yet</t>
        </is>
      </c>
      <c r="S1355" s="49" t="n"/>
      <c r="T1355" s="49" t="n"/>
      <c r="U1355" s="47" t="inlineStr">
        <is>
          <t>In the 87th episode of the Pop, Ben and J discuss rationalizing sickness away, whether or not Pokémon are living creatures, virtual reality, what does it mean to follow your dreams, Ted Lasso, being direct in conversations, the idea of blame and anger New popcorn culture youtube channel: Ready Player One trailer: Check out our most recent trivia stream! Ted Lasso is the best show ever! Season 1 trailer: Verses J referenced in Proverbs: Proverbs 19:11 (ESV) and Proverbs 15:1 (ESV) Get your Popcast Bingo Card:</t>
        </is>
      </c>
      <c r="V1355" s="47">
        <f>IF(AND(P1355&gt;=Calendar!$K$2,P1355&lt;EDATE(Calendar!$K$2,1),OR(Calendar!$K$4="*",N1355=Calendar!$K$4)),P1355*100+COUNTIFS($P$6:$P$3267,P1355,$Q$6:$Q$3267,"&lt;="&amp;Q1355,$N$6:$N$3267,Calendar!$K$4),"")</f>
        <v/>
      </c>
      <c r="W1355" s="47">
        <f>IF(AND(B1355=Queue!$C$4,OR(Queue!$K$4="*",N1355=Queue!$K$4)),Q1355,"")</f>
        <v/>
      </c>
    </row>
    <row r="1356">
      <c r="A1356" s="38">
        <f>IF(M1356="","",HYPERLINK("https://www.youtube.com/watch?v="&amp;M1356,"▶"))</f>
        <v/>
      </c>
      <c r="B1356" s="39">
        <f>IF(C1356&lt;&gt;"",C1356,IF(P1356&lt;=IFERROR(INDEX(tblChannels[Watched Through],MATCH(N1356,tblChannels[Channel ID],0)),0),"Watched","Unwatched"))</f>
        <v/>
      </c>
      <c r="C1356" s="40" t="n"/>
      <c r="D1356" s="41" t="n"/>
      <c r="E1356" s="42" t="n">
        <v>44414.25</v>
      </c>
      <c r="F1356" s="43" t="inlineStr">
        <is>
          <t>Popcorn Culture</t>
        </is>
      </c>
      <c r="G1356" t="inlineStr">
        <is>
          <t>87 - Are Pokémon Living Creatures?</t>
        </is>
      </c>
      <c r="H1356" s="44" t="n">
        <v>0.04528935185185185</v>
      </c>
      <c r="I1356" s="45" t="n">
        <v>2729</v>
      </c>
      <c r="J1356" s="45" t="n">
        <v>113</v>
      </c>
      <c r="K1356" s="45" t="n">
        <v>10</v>
      </c>
      <c r="L1356" s="46" t="n"/>
      <c r="M1356" s="47" t="n"/>
      <c r="N1356" s="47" t="inlineStr">
        <is>
          <t>UCHfIbq9thHPC8yrKjAdJgDA</t>
        </is>
      </c>
      <c r="O1356" s="48" t="n">
        <v>44414.41666666666</v>
      </c>
      <c r="P1356" s="49" t="n">
        <v>44414</v>
      </c>
      <c r="Q1356" s="47" t="n">
        <v>1912</v>
      </c>
      <c r="R1356" s="47" t="inlineStr">
        <is>
          <t>No Video ID yet</t>
        </is>
      </c>
      <c r="S1356" s="49" t="n"/>
      <c r="T1356" s="49" t="n"/>
      <c r="U1356" s="47" t="inlineStr">
        <is>
          <t>Ben and J discuss: rationalizing sickness away, whether or not Pokémon are living creatures, virtual reality, what does it mean to follow your dreams, Ted Lasso, being direct in conversations, the idea of blame and anger. New popcorn culture youtube channel: Ready Player One trailer: Check out our most recent trivia stream! Ted Lasso is the best show ever! Season 1 trailer: Verses J referenced in Proverbs: Proverbs 19:11 (ESV) and Proverbs 15:1 (ESV)</t>
        </is>
      </c>
      <c r="V1356" s="47">
        <f>IF(AND(P1356&gt;=Calendar!$K$2,P1356&lt;EDATE(Calendar!$K$2,1),OR(Calendar!$K$4="*",N1356=Calendar!$K$4)),P1356*100+COUNTIFS($P$6:$P$3267,P1356,$Q$6:$Q$3267,"&lt;="&amp;Q1356,$N$6:$N$3267,Calendar!$K$4),"")</f>
        <v/>
      </c>
      <c r="W1356" s="47">
        <f>IF(AND(B1356=Queue!$C$4,OR(Queue!$K$4="*",N1356=Queue!$K$4)),Q1356,"")</f>
        <v/>
      </c>
    </row>
    <row r="1357">
      <c r="A1357" s="38">
        <f>IF(M1357="","",HYPERLINK("https://www.youtube.com/watch?v="&amp;M1357,"▶"))</f>
        <v/>
      </c>
      <c r="B1357" s="39">
        <f>IF(C1357&lt;&gt;"",C1357,IF(P1357&lt;=IFERROR(INDEX(tblChannels[Watched Through],MATCH(N1357,tblChannels[Channel ID],0)),0),"Watched","Unwatched"))</f>
        <v/>
      </c>
      <c r="C1357" s="40" t="n"/>
      <c r="D1357" s="41" t="n"/>
      <c r="E1357" s="42" t="n">
        <v>44413.58333333334</v>
      </c>
      <c r="F1357" s="50" t="inlineStr">
        <is>
          <t>Super Carlin Brothers</t>
        </is>
      </c>
      <c r="G1357" t="inlineStr">
        <is>
          <t>Did Philosopher’s Stone Predict EVERYTHING? | Harry Potter Film Theory</t>
        </is>
      </c>
      <c r="H1357" s="44" t="n">
        <v>0.01119212962962963</v>
      </c>
      <c r="I1357" s="45" t="n">
        <v>803868</v>
      </c>
      <c r="J1357" s="45" t="n">
        <v>26435</v>
      </c>
      <c r="K1357" s="45" t="n">
        <v>1930</v>
      </c>
      <c r="L1357" s="46" t="n"/>
      <c r="M1357" s="47" t="n"/>
      <c r="N1357" s="47" t="inlineStr">
        <is>
          <t>UCKZo4N0lVPccBkSiuyVh4yg</t>
        </is>
      </c>
      <c r="O1357" s="48" t="n">
        <v>44413.75</v>
      </c>
      <c r="P1357" s="49" t="n">
        <v>44413</v>
      </c>
      <c r="Q1357" s="47" t="n">
        <v>1911</v>
      </c>
      <c r="R1357" s="47" t="inlineStr">
        <is>
          <t>No Video ID yet</t>
        </is>
      </c>
      <c r="S1357" s="49" t="n"/>
      <c r="T1357" s="49" t="n"/>
      <c r="U1357" s="47" t="inlineStr">
        <is>
          <t>Go to and take care of yourself Go to and use code SCB to save $75 on your starter kit! Today J dives into the Wizarding World of Harry Potter to determine if the obstacle course at the end of Philosopher’s Stone secretly predicted what would happen in each of the following Harry Potter books!</t>
        </is>
      </c>
      <c r="V1357" s="47">
        <f>IF(AND(P1357&gt;=Calendar!$K$2,P1357&lt;EDATE(Calendar!$K$2,1),OR(Calendar!$K$4="*",N1357=Calendar!$K$4)),P1357*100+COUNTIFS($P$6:$P$3267,P1357,$Q$6:$Q$3267,"&lt;="&amp;Q1357,$N$6:$N$3267,Calendar!$K$4),"")</f>
        <v/>
      </c>
      <c r="W1357" s="47">
        <f>IF(AND(B1357=Queue!$C$4,OR(Queue!$K$4="*",N1357=Queue!$K$4)),Q1357,"")</f>
        <v/>
      </c>
    </row>
    <row r="1358">
      <c r="A1358" s="38">
        <f>IF(M1358="","",HYPERLINK("https://www.youtube.com/watch?v="&amp;M1358,"▶"))</f>
        <v/>
      </c>
      <c r="B1358" s="39">
        <f>IF(C1358&lt;&gt;"",C1358,IF(P1358&lt;=IFERROR(INDEX(tblChannels[Watched Through],MATCH(N1358,tblChannels[Channel ID],0)),0),"Watched","Unwatched"))</f>
        <v/>
      </c>
      <c r="C1358" s="40" t="n"/>
      <c r="D1358" s="41" t="n"/>
      <c r="E1358" s="42" t="n">
        <v>44412.41666666666</v>
      </c>
      <c r="F1358" s="52" t="inlineStr">
        <is>
          <t>Super Carlin Gaming</t>
        </is>
      </c>
      <c r="G1358" t="inlineStr">
        <is>
          <t>A High Pryce To Pay.. | Pokémon SoulSilver Randomizer Nuzlocke #14</t>
        </is>
      </c>
      <c r="H1358" s="44" t="n">
        <v>0.02263888888888889</v>
      </c>
      <c r="I1358" s="45" t="n">
        <v>18381</v>
      </c>
      <c r="J1358" s="45" t="n">
        <v>1202</v>
      </c>
      <c r="K1358" s="45" t="n">
        <v>499</v>
      </c>
      <c r="L1358" s="46" t="n"/>
      <c r="M1358" s="47" t="n"/>
      <c r="N1358" s="47" t="inlineStr">
        <is>
          <t>UCor_9jRnNNZVzTuQ92PKsaQ</t>
        </is>
      </c>
      <c r="O1358" s="48" t="n">
        <v>44412.58333333334</v>
      </c>
      <c r="P1358" s="49" t="n">
        <v>44412</v>
      </c>
      <c r="Q1358" s="47" t="n">
        <v>1910</v>
      </c>
      <c r="R1358" s="47" t="inlineStr">
        <is>
          <t>No Video ID yet</t>
        </is>
      </c>
      <c r="S1358" s="49" t="n"/>
      <c r="T1358" s="49" t="n"/>
      <c r="U1358" s="47" t="inlineStr">
        <is>
          <t>Today J, Megan and the team head to their 7th Gym battle with Pryce! The team is looking as MONSTROUS as ever.. but are we ready for his team?!</t>
        </is>
      </c>
      <c r="V1358" s="47">
        <f>IF(AND(P1358&gt;=Calendar!$K$2,P1358&lt;EDATE(Calendar!$K$2,1),OR(Calendar!$K$4="*",N1358=Calendar!$K$4)),P1358*100+COUNTIFS($P$6:$P$3267,P1358,$Q$6:$Q$3267,"&lt;="&amp;Q1358,$N$6:$N$3267,Calendar!$K$4),"")</f>
        <v/>
      </c>
      <c r="W1358" s="47">
        <f>IF(AND(B1358=Queue!$C$4,OR(Queue!$K$4="*",N1358=Queue!$K$4)),Q1358,"")</f>
        <v/>
      </c>
    </row>
    <row r="1359">
      <c r="A1359" s="38">
        <f>IF(M1359="","",HYPERLINK("https://www.youtube.com/watch?v="&amp;M1359,"▶"))</f>
        <v/>
      </c>
      <c r="B1359" s="39">
        <f>IF(C1359&lt;&gt;"",C1359,IF(P1359&lt;=IFERROR(INDEX(tblChannels[Watched Through],MATCH(N1359,tblChannels[Channel ID],0)),0),"Watched","Unwatched"))</f>
        <v/>
      </c>
      <c r="C1359" s="40" t="n"/>
      <c r="D1359" s="41" t="n"/>
      <c r="E1359" s="42" t="n">
        <v>44411.70833333334</v>
      </c>
      <c r="F1359" s="50" t="inlineStr">
        <is>
          <t>Super Carlin Brothers</t>
        </is>
      </c>
      <c r="G1359" t="inlineStr">
        <is>
          <t>J vs Ben: Most EXPENSIVE Disney Artifacts | GAME</t>
        </is>
      </c>
      <c r="H1359" s="44" t="n">
        <v>0.02362268518518518</v>
      </c>
      <c r="I1359" s="45" t="n">
        <v>144303</v>
      </c>
      <c r="J1359" s="45" t="n">
        <v>5471</v>
      </c>
      <c r="K1359" s="45" t="n">
        <v>510</v>
      </c>
      <c r="L1359" s="46" t="n"/>
      <c r="M1359" s="47" t="n"/>
      <c r="N1359" s="47" t="inlineStr">
        <is>
          <t>UCKZo4N0lVPccBkSiuyVh4yg</t>
        </is>
      </c>
      <c r="O1359" s="48" t="n">
        <v>44411.875</v>
      </c>
      <c r="P1359" s="49" t="n">
        <v>44411</v>
      </c>
      <c r="Q1359" s="47" t="n">
        <v>1909</v>
      </c>
      <c r="R1359" s="47" t="inlineStr">
        <is>
          <t>No Video ID yet</t>
        </is>
      </c>
      <c r="S1359" s="49" t="n"/>
      <c r="T1359" s="49" t="n"/>
      <c r="U1359" s="47" t="inlineStr">
        <is>
          <t>Visit to get Honey for free. Go to and get an extra 3 months FREE! Today J and Ben Face off once more to try and guess the exact price of various Disney, Pixar, Marvel and Star Wars items, merch, and jewelry available at ShopDisney.com. Feel free to play along with us and see if you can out score us! #SuperCarlinBrothers #Disney #DisneyStore</t>
        </is>
      </c>
      <c r="V1359" s="47">
        <f>IF(AND(P1359&gt;=Calendar!$K$2,P1359&lt;EDATE(Calendar!$K$2,1),OR(Calendar!$K$4="*",N1359=Calendar!$K$4)),P1359*100+COUNTIFS($P$6:$P$3267,P1359,$Q$6:$Q$3267,"&lt;="&amp;Q1359,$N$6:$N$3267,Calendar!$K$4),"")</f>
        <v/>
      </c>
      <c r="W1359" s="47">
        <f>IF(AND(B1359=Queue!$C$4,OR(Queue!$K$4="*",N1359=Queue!$K$4)),Q1359,"")</f>
        <v/>
      </c>
    </row>
    <row r="1360">
      <c r="A1360" s="38">
        <f>IF(M1360="","",HYPERLINK("https://www.youtube.com/watch?v="&amp;M1360,"▶"))</f>
        <v/>
      </c>
      <c r="B1360" s="39">
        <f>IF(C1360&lt;&gt;"",C1360,IF(P1360&lt;=IFERROR(INDEX(tblChannels[Watched Through],MATCH(N1360,tblChannels[Channel ID],0)),0),"Watched","Unwatched"))</f>
        <v/>
      </c>
      <c r="C1360" s="40" t="n"/>
      <c r="D1360" s="41" t="n"/>
      <c r="E1360" s="42" t="n">
        <v>44410.41666666666</v>
      </c>
      <c r="F1360" s="52" t="inlineStr">
        <is>
          <t>Super Carlin Gaming</t>
        </is>
      </c>
      <c r="G1360" t="inlineStr">
        <is>
          <t>THE REGI-ROCKET | Pokémon SoulSilver Randomizer Nuzlocke #13</t>
        </is>
      </c>
      <c r="H1360" s="44" t="n">
        <v>0.0340162037037037</v>
      </c>
      <c r="I1360" s="45" t="n">
        <v>21402</v>
      </c>
      <c r="J1360" s="45" t="n">
        <v>1126</v>
      </c>
      <c r="K1360" s="45" t="n">
        <v>378</v>
      </c>
      <c r="L1360" s="46" t="n"/>
      <c r="M1360" s="47" t="n"/>
      <c r="N1360" s="47" t="inlineStr">
        <is>
          <t>UCor_9jRnNNZVzTuQ92PKsaQ</t>
        </is>
      </c>
      <c r="O1360" s="48" t="n">
        <v>44410.58333333334</v>
      </c>
      <c r="P1360" s="49" t="n">
        <v>44410</v>
      </c>
      <c r="Q1360" s="47" t="n">
        <v>1908</v>
      </c>
      <c r="R1360" s="47" t="inlineStr">
        <is>
          <t>No Video ID yet</t>
        </is>
      </c>
      <c r="S1360" s="49" t="n"/>
      <c r="T1360" s="49" t="n"/>
      <c r="U1360" s="47" t="inlineStr">
        <is>
          <t>Today J, Megan and the team decide to clear out Team Rocket.. but are they prepared for their sneaky tactics?!</t>
        </is>
      </c>
      <c r="V1360" s="47">
        <f>IF(AND(P1360&gt;=Calendar!$K$2,P1360&lt;EDATE(Calendar!$K$2,1),OR(Calendar!$K$4="*",N1360=Calendar!$K$4)),P1360*100+COUNTIFS($P$6:$P$3267,P1360,$Q$6:$Q$3267,"&lt;="&amp;Q1360,$N$6:$N$3267,Calendar!$K$4),"")</f>
        <v/>
      </c>
      <c r="W1360" s="47">
        <f>IF(AND(B1360=Queue!$C$4,OR(Queue!$K$4="*",N1360=Queue!$K$4)),Q1360,"")</f>
        <v/>
      </c>
    </row>
    <row r="1361">
      <c r="A1361" s="38">
        <f>IF(M1361="","",HYPERLINK("https://www.youtube.com/watch?v="&amp;M1361,"▶"))</f>
        <v/>
      </c>
      <c r="B1361" s="39">
        <f>IF(C1361&lt;&gt;"",C1361,IF(P1361&lt;=IFERROR(INDEX(tblChannels[Watched Through],MATCH(N1361,tblChannels[Channel ID],0)),0),"Watched","Unwatched"))</f>
        <v/>
      </c>
      <c r="C1361" s="40" t="n"/>
      <c r="D1361" s="41" t="n"/>
      <c r="E1361" s="42" t="n">
        <v>44407.41666666666</v>
      </c>
      <c r="F1361" s="50" t="inlineStr">
        <is>
          <t>Super Carlin Brothers</t>
        </is>
      </c>
      <c r="G1361" t="inlineStr">
        <is>
          <t>Sponges Are Inevitable | Popcorn Culture</t>
        </is>
      </c>
      <c r="H1361" s="44" t="n">
        <v>0.04721064814814815</v>
      </c>
      <c r="I1361" s="45" t="n">
        <v>19435</v>
      </c>
      <c r="J1361" s="45" t="n">
        <v>738</v>
      </c>
      <c r="K1361" s="45" t="n">
        <v>76</v>
      </c>
      <c r="L1361" s="46" t="n"/>
      <c r="M1361" s="47" t="n"/>
      <c r="N1361" s="47" t="inlineStr">
        <is>
          <t>UCKZo4N0lVPccBkSiuyVh4yg</t>
        </is>
      </c>
      <c r="O1361" s="48" t="n">
        <v>44407.58333333334</v>
      </c>
      <c r="P1361" s="49" t="n">
        <v>44407</v>
      </c>
      <c r="Q1361" s="47" t="n">
        <v>1907</v>
      </c>
      <c r="R1361" s="47" t="inlineStr">
        <is>
          <t>No Video ID yet</t>
        </is>
      </c>
      <c r="S1361" s="49" t="n"/>
      <c r="T1361" s="49" t="n"/>
      <c r="U1361" s="47" t="inlineStr">
        <is>
          <t>In the 86th episode of the pop, Ben and J discuss parental inevitabilities, energy drinks, “sponges,” tanning, the nuances of confidence, rock climbing, poker, and the concept of shields on the TV show Survivor The #1 Wizarding World Resource: Good Mythical Morning video on drinking Monster: Good Mythical Morning video on drinking RedBull: Tanning does not help acne: The history of Podcasting: Get your Popcast Bingo Card:</t>
        </is>
      </c>
      <c r="V1361" s="47">
        <f>IF(AND(P1361&gt;=Calendar!$K$2,P1361&lt;EDATE(Calendar!$K$2,1),OR(Calendar!$K$4="*",N1361=Calendar!$K$4)),P1361*100+COUNTIFS($P$6:$P$3267,P1361,$Q$6:$Q$3267,"&lt;="&amp;Q1361,$N$6:$N$3267,Calendar!$K$4),"")</f>
        <v/>
      </c>
      <c r="W1361" s="47">
        <f>IF(AND(B1361=Queue!$C$4,OR(Queue!$K$4="*",N1361=Queue!$K$4)),Q1361,"")</f>
        <v/>
      </c>
    </row>
    <row r="1362">
      <c r="A1362" s="38">
        <f>IF(M1362="","",HYPERLINK("https://www.youtube.com/watch?v="&amp;M1362,"▶"))</f>
        <v/>
      </c>
      <c r="B1362" s="39">
        <f>IF(C1362&lt;&gt;"",C1362,IF(P1362&lt;=IFERROR(INDEX(tblChannels[Watched Through],MATCH(N1362,tblChannels[Channel ID],0)),0),"Watched","Unwatched"))</f>
        <v/>
      </c>
      <c r="C1362" s="40" t="n"/>
      <c r="D1362" s="41" t="n"/>
      <c r="E1362" s="42" t="n">
        <v>44407.25</v>
      </c>
      <c r="F1362" s="43" t="inlineStr">
        <is>
          <t>Popcorn Culture</t>
        </is>
      </c>
      <c r="G1362" t="inlineStr">
        <is>
          <t>86 - Sponges are Inevitable</t>
        </is>
      </c>
      <c r="H1362" s="44" t="n">
        <v>0.04626157407407407</v>
      </c>
      <c r="I1362" s="45" t="n">
        <v>1729</v>
      </c>
      <c r="J1362" s="45" t="n">
        <v>104</v>
      </c>
      <c r="K1362" s="45" t="n">
        <v>4</v>
      </c>
      <c r="L1362" s="46" t="n"/>
      <c r="M1362" s="47" t="n"/>
      <c r="N1362" s="47" t="inlineStr">
        <is>
          <t>UCHfIbq9thHPC8yrKjAdJgDA</t>
        </is>
      </c>
      <c r="O1362" s="48" t="n">
        <v>44407.41666666666</v>
      </c>
      <c r="P1362" s="49" t="n">
        <v>44407</v>
      </c>
      <c r="Q1362" s="47" t="n">
        <v>1906</v>
      </c>
      <c r="R1362" s="47" t="inlineStr">
        <is>
          <t>No Video ID yet</t>
        </is>
      </c>
      <c r="S1362" s="49" t="n"/>
      <c r="T1362" s="49" t="n"/>
      <c r="U1362" s="47" t="inlineStr">
        <is>
          <t>Ben and J discuss: parental inevitabilities, energy drinks, “sponges,” tanning, the nuances of confidence, rock climbing, poker, and the concept of shields on the TV show Survivor Get your coffee, tea, hot chocolate, and candles at The #1 Wizarding World Resource: Good Mythical Morning video on drinking Monster: Good Mythical Morning video on drinking RedBull: Tanning does not help acne: The history of Podcasting:</t>
        </is>
      </c>
      <c r="V1362" s="47">
        <f>IF(AND(P1362&gt;=Calendar!$K$2,P1362&lt;EDATE(Calendar!$K$2,1),OR(Calendar!$K$4="*",N1362=Calendar!$K$4)),P1362*100+COUNTIFS($P$6:$P$3267,P1362,$Q$6:$Q$3267,"&lt;="&amp;Q1362,$N$6:$N$3267,Calendar!$K$4),"")</f>
        <v/>
      </c>
      <c r="W1362" s="47">
        <f>IF(AND(B1362=Queue!$C$4,OR(Queue!$K$4="*",N1362=Queue!$K$4)),Q1362,"")</f>
        <v/>
      </c>
    </row>
    <row r="1363">
      <c r="A1363" s="38">
        <f>IF(M1363="","",HYPERLINK("https://www.youtube.com/watch?v="&amp;M1363,"▶"))</f>
        <v/>
      </c>
      <c r="B1363" s="39">
        <f>IF(C1363&lt;&gt;"",C1363,IF(P1363&lt;=IFERROR(INDEX(tblChannels[Watched Through],MATCH(N1363,tblChannels[Channel ID],0)),0),"Watched","Unwatched"))</f>
        <v/>
      </c>
      <c r="C1363" s="40" t="n"/>
      <c r="D1363" s="41" t="n"/>
      <c r="E1363" s="42" t="n">
        <v>44406.84513888889</v>
      </c>
      <c r="F1363" s="50" t="inlineStr">
        <is>
          <t>Super Carlin Brothers</t>
        </is>
      </c>
      <c r="G1363" t="inlineStr">
        <is>
          <t>Top 10 ODDEST Casting Calls In Harry Potter Movies</t>
        </is>
      </c>
      <c r="H1363" s="44" t="n">
        <v>0.01303240740740741</v>
      </c>
      <c r="I1363" s="45" t="n">
        <v>382303</v>
      </c>
      <c r="J1363" s="45" t="n">
        <v>18065</v>
      </c>
      <c r="K1363" s="45" t="n">
        <v>1783</v>
      </c>
      <c r="L1363" s="46" t="n"/>
      <c r="M1363" s="47" t="n"/>
      <c r="N1363" s="47" t="inlineStr">
        <is>
          <t>UCKZo4N0lVPccBkSiuyVh4yg</t>
        </is>
      </c>
      <c r="O1363" s="48" t="n">
        <v>44407.01180555556</v>
      </c>
      <c r="P1363" s="49" t="n">
        <v>44406</v>
      </c>
      <c r="Q1363" s="47" t="n">
        <v>1905</v>
      </c>
      <c r="R1363" s="47" t="inlineStr">
        <is>
          <t>No Video ID yet</t>
        </is>
      </c>
      <c r="S1363" s="49" t="n"/>
      <c r="T1363" s="49" t="n"/>
      <c r="U1363" s="47" t="inlineStr">
        <is>
          <t>Go to and use promo code SUPERCARLIN to claim your special offer today! Today Ben dives into the Wizarding World of Harry Potter to break down ten of the oddest casting calls made in the Harry Potter movies.</t>
        </is>
      </c>
      <c r="V1363" s="47">
        <f>IF(AND(P1363&gt;=Calendar!$K$2,P1363&lt;EDATE(Calendar!$K$2,1),OR(Calendar!$K$4="*",N1363=Calendar!$K$4)),P1363*100+COUNTIFS($P$6:$P$3267,P1363,$Q$6:$Q$3267,"&lt;="&amp;Q1363,$N$6:$N$3267,Calendar!$K$4),"")</f>
        <v/>
      </c>
      <c r="W1363" s="47">
        <f>IF(AND(B1363=Queue!$C$4,OR(Queue!$K$4="*",N1363=Queue!$K$4)),Q1363,"")</f>
        <v/>
      </c>
    </row>
    <row r="1364">
      <c r="A1364" s="38">
        <f>IF(M1364="","",HYPERLINK("https://www.youtube.com/watch?v="&amp;M1364,"▶"))</f>
        <v/>
      </c>
      <c r="B1364" s="39">
        <f>IF(C1364&lt;&gt;"",C1364,IF(P1364&lt;=IFERROR(INDEX(tblChannels[Watched Through],MATCH(N1364,tblChannels[Channel ID],0)),0),"Watched","Unwatched"))</f>
        <v/>
      </c>
      <c r="C1364" s="40" t="n"/>
      <c r="D1364" s="41" t="n"/>
      <c r="E1364" s="42" t="n">
        <v>44405.41666666666</v>
      </c>
      <c r="F1364" s="52" t="inlineStr">
        <is>
          <t>Super Carlin Gaming</t>
        </is>
      </c>
      <c r="G1364" t="inlineStr">
        <is>
          <t>THE SHINY IN THE LAKE OF RAGE | Pokémon SoulSilver Randomizer Nuzlocke #12</t>
        </is>
      </c>
      <c r="H1364" s="44" t="n">
        <v>0.02444444444444445</v>
      </c>
      <c r="I1364" s="45" t="n">
        <v>20909</v>
      </c>
      <c r="J1364" s="45" t="n">
        <v>1619</v>
      </c>
      <c r="K1364" s="45" t="n">
        <v>366</v>
      </c>
      <c r="L1364" s="46" t="n"/>
      <c r="M1364" s="47" t="n"/>
      <c r="N1364" s="47" t="inlineStr">
        <is>
          <t>UCor_9jRnNNZVzTuQ92PKsaQ</t>
        </is>
      </c>
      <c r="O1364" s="48" t="n">
        <v>44405.58333333334</v>
      </c>
      <c r="P1364" s="49" t="n">
        <v>44405</v>
      </c>
      <c r="Q1364" s="47" t="n">
        <v>1904</v>
      </c>
      <c r="R1364" s="47" t="inlineStr">
        <is>
          <t>No Video ID yet</t>
        </is>
      </c>
      <c r="S1364" s="49" t="n"/>
      <c r="T1364" s="49" t="n"/>
      <c r="U1364" s="47" t="inlineStr">
        <is>
          <t>Today J, Megan and the team head towards the Lake of Rage with hopes of catching a new SHINY team member.. but are they up to the task? Edited by: Riley Murtagh</t>
        </is>
      </c>
      <c r="V1364" s="47">
        <f>IF(AND(P1364&gt;=Calendar!$K$2,P1364&lt;EDATE(Calendar!$K$2,1),OR(Calendar!$K$4="*",N1364=Calendar!$K$4)),P1364*100+COUNTIFS($P$6:$P$3267,P1364,$Q$6:$Q$3267,"&lt;="&amp;Q1364,$N$6:$N$3267,Calendar!$K$4),"")</f>
        <v/>
      </c>
      <c r="W1364" s="47">
        <f>IF(AND(B1364=Queue!$C$4,OR(Queue!$K$4="*",N1364=Queue!$K$4)),Q1364,"")</f>
        <v/>
      </c>
    </row>
    <row r="1365">
      <c r="A1365" s="38">
        <f>IF(M1365="","",HYPERLINK("https://www.youtube.com/watch?v="&amp;M1365,"▶"))</f>
        <v/>
      </c>
      <c r="B1365" s="39">
        <f>IF(C1365&lt;&gt;"",C1365,IF(P1365&lt;=IFERROR(INDEX(tblChannels[Watched Through],MATCH(N1365,tblChannels[Channel ID],0)),0),"Watched","Unwatched"))</f>
        <v/>
      </c>
      <c r="C1365" s="40" t="n"/>
      <c r="D1365" s="41" t="n"/>
      <c r="E1365" s="42" t="n">
        <v>44404.84305555555</v>
      </c>
      <c r="F1365" s="50" t="inlineStr">
        <is>
          <t>Super Carlin Brothers</t>
        </is>
      </c>
      <c r="G1365" t="inlineStr">
        <is>
          <t>Who Is Giulia’s Monster? | Pixar Theory</t>
        </is>
      </c>
      <c r="H1365" s="44" t="n">
        <v>0.01200231481481481</v>
      </c>
      <c r="I1365" s="45" t="n">
        <v>585691</v>
      </c>
      <c r="J1365" s="45" t="n">
        <v>18389</v>
      </c>
      <c r="K1365" s="45" t="n">
        <v>1318</v>
      </c>
      <c r="L1365" s="46" t="n"/>
      <c r="M1365" s="47" t="n"/>
      <c r="N1365" s="47" t="inlineStr">
        <is>
          <t>UCKZo4N0lVPccBkSiuyVh4yg</t>
        </is>
      </c>
      <c r="O1365" s="48" t="n">
        <v>44405.00972222222</v>
      </c>
      <c r="P1365" s="49" t="n">
        <v>44404</v>
      </c>
      <c r="Q1365" s="47" t="n">
        <v>1903</v>
      </c>
      <c r="R1365" s="47" t="inlineStr">
        <is>
          <t>No Video ID yet</t>
        </is>
      </c>
      <c r="S1365" s="49" t="n"/>
      <c r="T1365" s="49" t="n"/>
      <c r="U1365" s="47" t="inlineStr">
        <is>
          <t>Go to to get 15% off your first order, free shipping, and a 100% satisfaction guarantee Go to to take care of yourself Today J dives into the ever growing world of the Pixar Universe to try and answer who is Giulia’s Monster from Luca! #SuperCarlinBrothers #Pixar</t>
        </is>
      </c>
      <c r="V1365" s="47">
        <f>IF(AND(P1365&gt;=Calendar!$K$2,P1365&lt;EDATE(Calendar!$K$2,1),OR(Calendar!$K$4="*",N1365=Calendar!$K$4)),P1365*100+COUNTIFS($P$6:$P$3267,P1365,$Q$6:$Q$3267,"&lt;="&amp;Q1365,$N$6:$N$3267,Calendar!$K$4),"")</f>
        <v/>
      </c>
      <c r="W1365" s="47">
        <f>IF(AND(B1365=Queue!$C$4,OR(Queue!$K$4="*",N1365=Queue!$K$4)),Q1365,"")</f>
        <v/>
      </c>
    </row>
    <row r="1366">
      <c r="A1366" s="38">
        <f>IF(M1366="","",HYPERLINK("https://www.youtube.com/watch?v="&amp;M1366,"▶"))</f>
        <v/>
      </c>
      <c r="B1366" s="39">
        <f>IF(C1366&lt;&gt;"",C1366,IF(P1366&lt;=IFERROR(INDEX(tblChannels[Watched Through],MATCH(N1366,tblChannels[Channel ID],0)),0),"Watched","Unwatched"))</f>
        <v/>
      </c>
      <c r="C1366" s="40" t="n"/>
      <c r="D1366" s="41" t="n"/>
      <c r="E1366" s="42" t="n">
        <v>44403.41666666666</v>
      </c>
      <c r="F1366" s="52" t="inlineStr">
        <is>
          <t>Super Carlin Gaming</t>
        </is>
      </c>
      <c r="G1366" t="inlineStr">
        <is>
          <t>JASMINE'S WRATH |  Pokémon SoulSilver Randomizer Nuzlocke #11</t>
        </is>
      </c>
      <c r="H1366" s="44" t="n">
        <v>0.02217592592592593</v>
      </c>
      <c r="I1366" s="45" t="n">
        <v>20111</v>
      </c>
      <c r="J1366" s="45" t="n">
        <v>1396</v>
      </c>
      <c r="K1366" s="45" t="n">
        <v>374</v>
      </c>
      <c r="L1366" s="46" t="n"/>
      <c r="M1366" s="47" t="n"/>
      <c r="N1366" s="47" t="inlineStr">
        <is>
          <t>UCor_9jRnNNZVzTuQ92PKsaQ</t>
        </is>
      </c>
      <c r="O1366" s="48" t="n">
        <v>44403.58333333334</v>
      </c>
      <c r="P1366" s="49" t="n">
        <v>44403</v>
      </c>
      <c r="Q1366" s="47" t="n">
        <v>1902</v>
      </c>
      <c r="R1366" s="47" t="inlineStr">
        <is>
          <t>No Video ID yet</t>
        </is>
      </c>
      <c r="S1366" s="49" t="n"/>
      <c r="T1366" s="49" t="n"/>
      <c r="U1366" s="47" t="inlineStr">
        <is>
          <t>J, Megan and the team head to Jasmine's Gym to try and win their 6th badge, but has the team recovered enough from their losses to handle her Pokemon?!</t>
        </is>
      </c>
      <c r="V1366" s="47">
        <f>IF(AND(P1366&gt;=Calendar!$K$2,P1366&lt;EDATE(Calendar!$K$2,1),OR(Calendar!$K$4="*",N1366=Calendar!$K$4)),P1366*100+COUNTIFS($P$6:$P$3267,P1366,$Q$6:$Q$3267,"&lt;="&amp;Q1366,$N$6:$N$3267,Calendar!$K$4),"")</f>
        <v/>
      </c>
      <c r="W1366" s="47">
        <f>IF(AND(B1366=Queue!$C$4,OR(Queue!$K$4="*",N1366=Queue!$K$4)),Q1366,"")</f>
        <v/>
      </c>
    </row>
    <row r="1367">
      <c r="A1367" s="38">
        <f>IF(M1367="","",HYPERLINK("https://www.youtube.com/watch?v="&amp;M1367,"▶"))</f>
        <v/>
      </c>
      <c r="B1367" s="39">
        <f>IF(C1367&lt;&gt;"",C1367,IF(P1367&lt;=IFERROR(INDEX(tblChannels[Watched Through],MATCH(N1367,tblChannels[Channel ID],0)),0),"Watched","Unwatched"))</f>
        <v/>
      </c>
      <c r="C1367" s="40" t="n"/>
      <c r="D1367" s="41" t="n"/>
      <c r="E1367" s="42" t="n">
        <v>44400.89236111111</v>
      </c>
      <c r="F1367" s="50" t="inlineStr">
        <is>
          <t>Super Carlin Brothers</t>
        </is>
      </c>
      <c r="G1367" t="inlineStr">
        <is>
          <t>SKREWTs Trivia SCB vs MuggleNet vs the World</t>
        </is>
      </c>
      <c r="H1367" s="44" t="n">
        <v>0.09283564814814815</v>
      </c>
      <c r="I1367" s="45" t="n">
        <v>57797</v>
      </c>
      <c r="J1367" s="45" t="n">
        <v>1659</v>
      </c>
      <c r="K1367" s="45" t="n">
        <v>144</v>
      </c>
      <c r="L1367" s="46" t="n"/>
      <c r="M1367" s="47" t="n"/>
      <c r="N1367" s="47" t="inlineStr">
        <is>
          <t>UCKZo4N0lVPccBkSiuyVh4yg</t>
        </is>
      </c>
      <c r="O1367" s="48" t="n">
        <v>44401.05902777778</v>
      </c>
      <c r="P1367" s="49" t="n">
        <v>44400</v>
      </c>
      <c r="Q1367" s="47" t="n">
        <v>1901</v>
      </c>
      <c r="R1367" s="47" t="inlineStr">
        <is>
          <t>No Video ID yet</t>
        </is>
      </c>
      <c r="S1367" s="49" t="n"/>
      <c r="T1367" s="49" t="n"/>
      <c r="U1367" s="47" t="inlineStr">
        <is>
          <t>Super Carlin Brothers and MuggleNet face off in the ultimate trivia challenge, for charity! Join us in the trivia game and raising funds for an amazing cause: It Gets Better! Learn more about It Gets Better here: And Check out MuggleNet here: HOW TO PLAY Kahoot with the Carlins! 1. Download the Kahoot app to your mobile device, or go to Kahoot.it to join the game! 2. We recommend having the stream and Kahoot on 2 different devices, but opening 2 windows on the same device works as well. 3. Shortly before we start the game, we will announce the game PIN. Enter the pin into your Kahoot App or at Kahoot.it 4. Enter a nickname for yourself and join the game! 5. Points are awarded for accuracy and speed! The questions and answers will appear on your screen so if your stream is behind, it may be different from what is on your quiz! You can always set your stream to 2x time to catch up. 6. Follow along with the stream and answer the questions as they appear in the stream! Choose the color and shape which corresponds with the correct answer for multiple choice. Write in your answers for fill in the blank answers! There will be a lot of typing answers, so you may want to turn OFF your autoc</t>
        </is>
      </c>
      <c r="V1367" s="47">
        <f>IF(AND(P1367&gt;=Calendar!$K$2,P1367&lt;EDATE(Calendar!$K$2,1),OR(Calendar!$K$4="*",N1367=Calendar!$K$4)),P1367*100+COUNTIFS($P$6:$P$3267,P1367,$Q$6:$Q$3267,"&lt;="&amp;Q1367,$N$6:$N$3267,Calendar!$K$4),"")</f>
        <v/>
      </c>
      <c r="W1367" s="47">
        <f>IF(AND(B1367=Queue!$C$4,OR(Queue!$K$4="*",N1367=Queue!$K$4)),Q1367,"")</f>
        <v/>
      </c>
    </row>
    <row r="1368">
      <c r="A1368" s="38">
        <f>IF(M1368="","",HYPERLINK("https://www.youtube.com/watch?v="&amp;M1368,"▶"))</f>
        <v/>
      </c>
      <c r="B1368" s="39">
        <f>IF(C1368&lt;&gt;"",C1368,IF(P1368&lt;=IFERROR(INDEX(tblChannels[Watched Through],MATCH(N1368,tblChannels[Channel ID],0)),0),"Watched","Unwatched"))</f>
        <v/>
      </c>
      <c r="C1368" s="40" t="n"/>
      <c r="D1368" s="41" t="n"/>
      <c r="E1368" s="42" t="n">
        <v>44400.41666666666</v>
      </c>
      <c r="F1368" s="50" t="inlineStr">
        <is>
          <t>Super Carlin Brothers</t>
        </is>
      </c>
      <c r="G1368" t="inlineStr">
        <is>
          <t>Everyone Loves a Trick Shot | Popcorn Culture</t>
        </is>
      </c>
      <c r="H1368" s="44" t="n">
        <v>0.05332175925925926</v>
      </c>
      <c r="I1368" s="45" t="n">
        <v>19146</v>
      </c>
      <c r="J1368" s="45" t="n">
        <v>825</v>
      </c>
      <c r="K1368" s="45" t="n">
        <v>86</v>
      </c>
      <c r="L1368" s="46" t="n"/>
      <c r="M1368" s="47" t="n"/>
      <c r="N1368" s="47" t="inlineStr">
        <is>
          <t>UCKZo4N0lVPccBkSiuyVh4yg</t>
        </is>
      </c>
      <c r="O1368" s="48" t="n">
        <v>44400.58333333334</v>
      </c>
      <c r="P1368" s="49" t="n">
        <v>44400</v>
      </c>
      <c r="Q1368" s="47" t="n">
        <v>1900</v>
      </c>
      <c r="R1368" s="47" t="inlineStr">
        <is>
          <t>No Video ID yet</t>
        </is>
      </c>
      <c r="S1368" s="49" t="n"/>
      <c r="T1368" s="49" t="n"/>
      <c r="U1368" s="47" t="inlineStr">
        <is>
          <t>In the 85th episode of the Pop, Ben and J discuss: ducks in cups, YouTube consumption, hand sanitizer, coyotes, giant sloths, fossils, clowns, real life conversations, Red Bull Space Jump, Pokemon Cards, silent auctions, and fun gifts to give. Coyote Vest: The Proposal Trailer: Eagle Kidnaps Dog: Tanque Loma Mystery: Hippos are Incredibly Dangerous: “Chernobyl” Amusement Park: Red Bull Space Jump:</t>
        </is>
      </c>
      <c r="V1368" s="47">
        <f>IF(AND(P1368&gt;=Calendar!$K$2,P1368&lt;EDATE(Calendar!$K$2,1),OR(Calendar!$K$4="*",N1368=Calendar!$K$4)),P1368*100+COUNTIFS($P$6:$P$3267,P1368,$Q$6:$Q$3267,"&lt;="&amp;Q1368,$N$6:$N$3267,Calendar!$K$4),"")</f>
        <v/>
      </c>
      <c r="W1368" s="47">
        <f>IF(AND(B1368=Queue!$C$4,OR(Queue!$K$4="*",N1368=Queue!$K$4)),Q1368,"")</f>
        <v/>
      </c>
    </row>
    <row r="1369">
      <c r="A1369" s="38">
        <f>IF(M1369="","",HYPERLINK("https://www.youtube.com/watch?v="&amp;M1369,"▶"))</f>
        <v/>
      </c>
      <c r="B1369" s="39">
        <f>IF(C1369&lt;&gt;"",C1369,IF(P1369&lt;=IFERROR(INDEX(tblChannels[Watched Through],MATCH(N1369,tblChannels[Channel ID],0)),0),"Watched","Unwatched"))</f>
        <v/>
      </c>
      <c r="C1369" s="40" t="n"/>
      <c r="D1369" s="41" t="n"/>
      <c r="E1369" s="42" t="n">
        <v>44400.25</v>
      </c>
      <c r="F1369" s="43" t="inlineStr">
        <is>
          <t>Popcorn Culture</t>
        </is>
      </c>
      <c r="G1369" t="inlineStr">
        <is>
          <t>85 - Everyone Loves a Trick Shot</t>
        </is>
      </c>
      <c r="H1369" s="44" t="n">
        <v>0.05271990740740741</v>
      </c>
      <c r="I1369" s="45" t="n">
        <v>1650</v>
      </c>
      <c r="J1369" s="45" t="n">
        <v>83</v>
      </c>
      <c r="K1369" s="45" t="n">
        <v>6</v>
      </c>
      <c r="L1369" s="46" t="n"/>
      <c r="M1369" s="47" t="n"/>
      <c r="N1369" s="47" t="inlineStr">
        <is>
          <t>UCHfIbq9thHPC8yrKjAdJgDA</t>
        </is>
      </c>
      <c r="O1369" s="48" t="n">
        <v>44400.41666666666</v>
      </c>
      <c r="P1369" s="49" t="n">
        <v>44400</v>
      </c>
      <c r="Q1369" s="47" t="n">
        <v>1899</v>
      </c>
      <c r="R1369" s="47" t="inlineStr">
        <is>
          <t>No Video ID yet</t>
        </is>
      </c>
      <c r="S1369" s="49" t="n"/>
      <c r="T1369" s="49" t="n"/>
      <c r="U1369" s="47" t="inlineStr">
        <is>
          <t>Ben and J discuss: ducks in cups, YouTube consumption, hand sanitizer, coyotes, giant sloths, fossils, clowns, real life conversations, Red Bull Space Jump, Pokemon Cards, silent auctions, and fun gifts to give. Coyote Vest: The Proposal Trailer: Eagle Kidnaps Dog: Tanque Loma Mystery: Hippos are Incredibly Dangerous: “Chernobyl” Amusement Park: Red Bull Space Jump:</t>
        </is>
      </c>
      <c r="V1369" s="47">
        <f>IF(AND(P1369&gt;=Calendar!$K$2,P1369&lt;EDATE(Calendar!$K$2,1),OR(Calendar!$K$4="*",N1369=Calendar!$K$4)),P1369*100+COUNTIFS($P$6:$P$3267,P1369,$Q$6:$Q$3267,"&lt;="&amp;Q1369,$N$6:$N$3267,Calendar!$K$4),"")</f>
        <v/>
      </c>
      <c r="W1369" s="47">
        <f>IF(AND(B1369=Queue!$C$4,OR(Queue!$K$4="*",N1369=Queue!$K$4)),Q1369,"")</f>
        <v/>
      </c>
    </row>
    <row r="1370">
      <c r="A1370" s="38">
        <f>IF(M1370="","",HYPERLINK("https://www.youtube.com/watch?v="&amp;M1370,"▶"))</f>
        <v/>
      </c>
      <c r="B1370" s="39">
        <f>IF(C1370&lt;&gt;"",C1370,IF(P1370&lt;=IFERROR(INDEX(tblChannels[Watched Through],MATCH(N1370,tblChannels[Channel ID],0)),0),"Watched","Unwatched"))</f>
        <v/>
      </c>
      <c r="C1370" s="40" t="n"/>
      <c r="D1370" s="41" t="n"/>
      <c r="E1370" s="42" t="n">
        <v>44399.68680555555</v>
      </c>
      <c r="F1370" s="50" t="inlineStr">
        <is>
          <t>Super Carlin Brothers</t>
        </is>
      </c>
      <c r="G1370" t="inlineStr">
        <is>
          <t>J vs Ben: ULTIMATE Harry Potter Summer TRIVIA Quiz</t>
        </is>
      </c>
      <c r="H1370" s="44" t="n">
        <v>0.01924768518518518</v>
      </c>
      <c r="I1370" s="45" t="n">
        <v>329810</v>
      </c>
      <c r="J1370" s="45" t="n">
        <v>11340</v>
      </c>
      <c r="K1370" s="45" t="n">
        <v>1094</v>
      </c>
      <c r="L1370" s="46" t="n"/>
      <c r="M1370" s="47" t="n"/>
      <c r="N1370" s="47" t="inlineStr">
        <is>
          <t>UCKZo4N0lVPccBkSiuyVh4yg</t>
        </is>
      </c>
      <c r="O1370" s="48" t="n">
        <v>44399.85347222222</v>
      </c>
      <c r="P1370" s="49" t="n">
        <v>44399</v>
      </c>
      <c r="Q1370" s="47" t="n">
        <v>1898</v>
      </c>
      <c r="R1370" s="47" t="inlineStr">
        <is>
          <t>No Video ID yet</t>
        </is>
      </c>
      <c r="S1370" s="49" t="n"/>
      <c r="T1370" s="49" t="n"/>
      <c r="U1370" s="47" t="inlineStr">
        <is>
          <t>Download the DoorDash app in the App Store and enter code JVSB2021 to get 25% off and zero delivery fees on your first order! Go to and enter code super at checkout to get 20% off your first monthly box! Today J and Ben face off once more to find out who knows more about what happens during the wild and crazy summers of Harry Potter! Edited by: Riley Murtagh #SuperCarlinBrothers #HarryPotter #JvsBen</t>
        </is>
      </c>
      <c r="V1370" s="47">
        <f>IF(AND(P1370&gt;=Calendar!$K$2,P1370&lt;EDATE(Calendar!$K$2,1),OR(Calendar!$K$4="*",N1370=Calendar!$K$4)),P1370*100+COUNTIFS($P$6:$P$3267,P1370,$Q$6:$Q$3267,"&lt;="&amp;Q1370,$N$6:$N$3267,Calendar!$K$4),"")</f>
        <v/>
      </c>
      <c r="W1370" s="47">
        <f>IF(AND(B1370=Queue!$C$4,OR(Queue!$K$4="*",N1370=Queue!$K$4)),Q1370,"")</f>
        <v/>
      </c>
    </row>
    <row r="1371">
      <c r="A1371" s="38">
        <f>IF(M1371="","",HYPERLINK("https://www.youtube.com/watch?v="&amp;M1371,"▶"))</f>
        <v/>
      </c>
      <c r="B1371" s="39">
        <f>IF(C1371&lt;&gt;"",C1371,IF(P1371&lt;=IFERROR(INDEX(tblChannels[Watched Through],MATCH(N1371,tblChannels[Channel ID],0)),0),"Watched","Unwatched"))</f>
        <v/>
      </c>
      <c r="C1371" s="40" t="n"/>
      <c r="D1371" s="41" t="n"/>
      <c r="E1371" s="42" t="n">
        <v>44398.41666666666</v>
      </c>
      <c r="F1371" s="52" t="inlineStr">
        <is>
          <t>Super Carlin Gaming</t>
        </is>
      </c>
      <c r="G1371" t="inlineStr">
        <is>
          <t>THE GOD OF SPACE |  Pokémon SoulSilver Randomizer Nuzlocke #10</t>
        </is>
      </c>
      <c r="H1371" s="44" t="n">
        <v>0.02543981481481481</v>
      </c>
      <c r="I1371" s="45" t="n">
        <v>22436</v>
      </c>
      <c r="J1371" s="45" t="n">
        <v>1755</v>
      </c>
      <c r="K1371" s="45" t="n">
        <v>712</v>
      </c>
      <c r="L1371" s="46" t="n"/>
      <c r="M1371" s="47" t="n"/>
      <c r="N1371" s="47" t="inlineStr">
        <is>
          <t>UCor_9jRnNNZVzTuQ92PKsaQ</t>
        </is>
      </c>
      <c r="O1371" s="48" t="n">
        <v>44398.58333333334</v>
      </c>
      <c r="P1371" s="49" t="n">
        <v>44398</v>
      </c>
      <c r="Q1371" s="47" t="n">
        <v>1897</v>
      </c>
      <c r="R1371" s="47" t="inlineStr">
        <is>
          <t>No Video ID yet</t>
        </is>
      </c>
      <c r="S1371" s="49" t="n"/>
      <c r="T1371" s="49" t="n"/>
      <c r="U1371" s="47" t="inlineStr">
        <is>
          <t>Today J, Miles and the team head to the Safari Zone to try an catch some new Pokemon and instead find themselves face to face with a GOD.</t>
        </is>
      </c>
      <c r="V1371" s="47">
        <f>IF(AND(P1371&gt;=Calendar!$K$2,P1371&lt;EDATE(Calendar!$K$2,1),OR(Calendar!$K$4="*",N1371=Calendar!$K$4)),P1371*100+COUNTIFS($P$6:$P$3267,P1371,$Q$6:$Q$3267,"&lt;="&amp;Q1371,$N$6:$N$3267,Calendar!$K$4),"")</f>
        <v/>
      </c>
      <c r="W1371" s="47">
        <f>IF(AND(B1371=Queue!$C$4,OR(Queue!$K$4="*",N1371=Queue!$K$4)),Q1371,"")</f>
        <v/>
      </c>
    </row>
    <row r="1372">
      <c r="A1372" s="38">
        <f>IF(M1372="","",HYPERLINK("https://www.youtube.com/watch?v="&amp;M1372,"▶"))</f>
        <v/>
      </c>
      <c r="B1372" s="39">
        <f>IF(C1372&lt;&gt;"",C1372,IF(P1372&lt;=IFERROR(INDEX(tblChannels[Watched Through],MATCH(N1372,tblChannels[Channel ID],0)),0),"Watched","Unwatched"))</f>
        <v/>
      </c>
      <c r="C1372" s="40" t="n"/>
      <c r="D1372" s="41" t="n"/>
      <c r="E1372" s="42" t="n">
        <v>44397.68541666667</v>
      </c>
      <c r="F1372" s="50" t="inlineStr">
        <is>
          <t>Super Carlin Brothers</t>
        </is>
      </c>
      <c r="G1372" t="inlineStr">
        <is>
          <t>Could Each Horcrux Become A New Voldemort? | Harry Potter Theory</t>
        </is>
      </c>
      <c r="H1372" s="44" t="n">
        <v>0.009768518518518518</v>
      </c>
      <c r="I1372" s="45" t="n">
        <v>482077</v>
      </c>
      <c r="J1372" s="45" t="n">
        <v>18094</v>
      </c>
      <c r="K1372" s="45" t="n">
        <v>1953</v>
      </c>
      <c r="L1372" s="46" t="n"/>
      <c r="M1372" s="47" t="n"/>
      <c r="N1372" s="47" t="inlineStr">
        <is>
          <t>UCKZo4N0lVPccBkSiuyVh4yg</t>
        </is>
      </c>
      <c r="O1372" s="48" t="n">
        <v>44397.85208333333</v>
      </c>
      <c r="P1372" s="49" t="n">
        <v>44397</v>
      </c>
      <c r="Q1372" s="47" t="n">
        <v>1896</v>
      </c>
      <c r="R1372" s="47" t="inlineStr">
        <is>
          <t>No Video ID yet</t>
        </is>
      </c>
      <c r="S1372" s="49" t="n"/>
      <c r="T1372" s="49" t="n"/>
      <c r="U1372" s="47" t="inlineStr">
        <is>
          <t>Today J dives into the Wizarding World of Harry Potter to determine if each Horcrux was capable of coming back as another Voldemort like Tom Riddle and the Diary in Chamber of Secrets! Play Trivia Friday or watch along here:</t>
        </is>
      </c>
      <c r="V1372" s="47">
        <f>IF(AND(P1372&gt;=Calendar!$K$2,P1372&lt;EDATE(Calendar!$K$2,1),OR(Calendar!$K$4="*",N1372=Calendar!$K$4)),P1372*100+COUNTIFS($P$6:$P$3267,P1372,$Q$6:$Q$3267,"&lt;="&amp;Q1372,$N$6:$N$3267,Calendar!$K$4),"")</f>
        <v/>
      </c>
      <c r="W1372" s="47">
        <f>IF(AND(B1372=Queue!$C$4,OR(Queue!$K$4="*",N1372=Queue!$K$4)),Q1372,"")</f>
        <v/>
      </c>
    </row>
    <row r="1373">
      <c r="A1373" s="38">
        <f>IF(M1373="","",HYPERLINK("https://www.youtube.com/watch?v="&amp;M1373,"▶"))</f>
        <v/>
      </c>
      <c r="B1373" s="39">
        <f>IF(C1373&lt;&gt;"",C1373,IF(P1373&lt;=IFERROR(INDEX(tblChannels[Watched Through],MATCH(N1373,tblChannels[Channel ID],0)),0),"Watched","Unwatched"))</f>
        <v/>
      </c>
      <c r="C1373" s="40" t="n"/>
      <c r="D1373" s="41" t="n"/>
      <c r="E1373" s="42" t="n">
        <v>44396.64583333334</v>
      </c>
      <c r="F1373" s="50" t="inlineStr">
        <is>
          <t>Super Carlin Brothers</t>
        </is>
      </c>
      <c r="G1373" t="inlineStr">
        <is>
          <t>A New TRIVIA Challenger Approaches?!</t>
        </is>
      </c>
      <c r="H1373" s="44" t="n">
        <v>0.001527777777777778</v>
      </c>
      <c r="I1373" s="45" t="n">
        <v>21807</v>
      </c>
      <c r="J1373" s="45" t="n">
        <v>1466</v>
      </c>
      <c r="K1373" s="45" t="n">
        <v>110</v>
      </c>
      <c r="L1373" s="46" t="n"/>
      <c r="M1373" s="47" t="n"/>
      <c r="N1373" s="47" t="inlineStr">
        <is>
          <t>UCKZo4N0lVPccBkSiuyVh4yg</t>
        </is>
      </c>
      <c r="O1373" s="48" t="n">
        <v>44396.8125</v>
      </c>
      <c r="P1373" s="49" t="n">
        <v>44396</v>
      </c>
      <c r="Q1373" s="47" t="n">
        <v>1895</v>
      </c>
      <c r="R1373" s="47" t="inlineStr">
        <is>
          <t>No Video ID yet</t>
        </is>
      </c>
      <c r="S1373" s="49" t="n"/>
      <c r="T1373" s="49" t="n"/>
      <c r="U1373" s="47" t="inlineStr">
        <is>
          <t>Super Carlin Brothers and MuggleNet face off in the ultimate trivia challenge, for charity! Join us in the trivia game and raising funds for an amazing cause: It Gets Better! Play Trivia Friday or watch along here: Edited by :: Jordan Balke</t>
        </is>
      </c>
      <c r="V1373" s="47">
        <f>IF(AND(P1373&gt;=Calendar!$K$2,P1373&lt;EDATE(Calendar!$K$2,1),OR(Calendar!$K$4="*",N1373=Calendar!$K$4)),P1373*100+COUNTIFS($P$6:$P$3267,P1373,$Q$6:$Q$3267,"&lt;="&amp;Q1373,$N$6:$N$3267,Calendar!$K$4),"")</f>
        <v/>
      </c>
      <c r="W1373" s="47">
        <f>IF(AND(B1373=Queue!$C$4,OR(Queue!$K$4="*",N1373=Queue!$K$4)),Q1373,"")</f>
        <v/>
      </c>
    </row>
    <row r="1374">
      <c r="A1374" s="38">
        <f>IF(M1374="","",HYPERLINK("https://www.youtube.com/watch?v="&amp;M1374,"▶"))</f>
        <v/>
      </c>
      <c r="B1374" s="39">
        <f>IF(C1374&lt;&gt;"",C1374,IF(P1374&lt;=IFERROR(INDEX(tblChannels[Watched Through],MATCH(N1374,tblChannels[Channel ID],0)),0),"Watched","Unwatched"))</f>
        <v/>
      </c>
      <c r="C1374" s="40" t="n"/>
      <c r="D1374" s="41" t="n"/>
      <c r="E1374" s="42" t="n">
        <v>44396.41666666666</v>
      </c>
      <c r="F1374" s="52" t="inlineStr">
        <is>
          <t>Super Carlin Gaming</t>
        </is>
      </c>
      <c r="G1374" t="inlineStr">
        <is>
          <t>The ROGUE LICKILICKY |  Pokémon SoulSilver Randomizer Nuzlocke #9</t>
        </is>
      </c>
      <c r="H1374" s="44" t="n">
        <v>0.03206018518518518</v>
      </c>
      <c r="I1374" s="45" t="n">
        <v>24672</v>
      </c>
      <c r="J1374" s="45" t="n">
        <v>1319</v>
      </c>
      <c r="K1374" s="45" t="n">
        <v>302</v>
      </c>
      <c r="L1374" s="46" t="n"/>
      <c r="M1374" s="47" t="n"/>
      <c r="N1374" s="47" t="inlineStr">
        <is>
          <t>UCor_9jRnNNZVzTuQ92PKsaQ</t>
        </is>
      </c>
      <c r="O1374" s="48" t="n">
        <v>44396.58333333334</v>
      </c>
      <c r="P1374" s="49" t="n">
        <v>44396</v>
      </c>
      <c r="Q1374" s="47" t="n">
        <v>1894</v>
      </c>
      <c r="R1374" s="47" t="inlineStr">
        <is>
          <t>No Video ID yet</t>
        </is>
      </c>
      <c r="S1374" s="49" t="n"/>
      <c r="T1374" s="49" t="n"/>
      <c r="U1374" s="47" t="inlineStr">
        <is>
          <t>This week J, Miles and the team head towards their 5th gym badge.. BUT will they even make it there in one piece...?</t>
        </is>
      </c>
      <c r="V1374" s="47">
        <f>IF(AND(P1374&gt;=Calendar!$K$2,P1374&lt;EDATE(Calendar!$K$2,1),OR(Calendar!$K$4="*",N1374=Calendar!$K$4)),P1374*100+COUNTIFS($P$6:$P$3267,P1374,$Q$6:$Q$3267,"&lt;="&amp;Q1374,$N$6:$N$3267,Calendar!$K$4),"")</f>
        <v/>
      </c>
      <c r="W1374" s="47">
        <f>IF(AND(B1374=Queue!$C$4,OR(Queue!$K$4="*",N1374=Queue!$K$4)),Q1374,"")</f>
        <v/>
      </c>
    </row>
    <row r="1375">
      <c r="A1375" s="38">
        <f>IF(M1375="","",HYPERLINK("https://www.youtube.com/watch?v="&amp;M1375,"▶"))</f>
        <v/>
      </c>
      <c r="B1375" s="39">
        <f>IF(C1375&lt;&gt;"",C1375,IF(P1375&lt;=IFERROR(INDEX(tblChannels[Watched Through],MATCH(N1375,tblChannels[Channel ID],0)),0),"Watched","Unwatched"))</f>
        <v/>
      </c>
      <c r="C1375" s="40" t="n"/>
      <c r="D1375" s="41" t="n"/>
      <c r="E1375" s="42" t="n">
        <v>44393.41666666666</v>
      </c>
      <c r="F1375" s="50" t="inlineStr">
        <is>
          <t>Super Carlin Brothers</t>
        </is>
      </c>
      <c r="G1375" t="inlineStr">
        <is>
          <t>Why Frozen is Our Favorite | Popcorn Culture</t>
        </is>
      </c>
      <c r="H1375" s="44" t="n">
        <v>0.04829861111111111</v>
      </c>
      <c r="I1375" s="45" t="n">
        <v>24237</v>
      </c>
      <c r="J1375" s="45" t="n">
        <v>1136</v>
      </c>
      <c r="K1375" s="45" t="n">
        <v>160</v>
      </c>
      <c r="L1375" s="46" t="n"/>
      <c r="M1375" s="47" t="n"/>
      <c r="N1375" s="47" t="inlineStr">
        <is>
          <t>UCKZo4N0lVPccBkSiuyVh4yg</t>
        </is>
      </c>
      <c r="O1375" s="48" t="n">
        <v>44393.58333333334</v>
      </c>
      <c r="P1375" s="49" t="n">
        <v>44393</v>
      </c>
      <c r="Q1375" s="47" t="n">
        <v>1893</v>
      </c>
      <c r="R1375" s="47" t="inlineStr">
        <is>
          <t>No Video ID yet</t>
        </is>
      </c>
      <c r="S1375" s="49" t="n"/>
      <c r="T1375" s="49" t="n"/>
      <c r="U1375" s="47" t="inlineStr">
        <is>
          <t>In the 84th Episode of the Pop, Ben and J discuss: mountain biking, fandom unity, two-way streets, hair changes, subversion of expectations, topics without obvious answers, and the Academy Awards. Spoilers for Last Jedi, Frozen, Zootopia, WandaVision. Berm: First Aid Kit: Adam Grant Post:</t>
        </is>
      </c>
      <c r="V1375" s="47">
        <f>IF(AND(P1375&gt;=Calendar!$K$2,P1375&lt;EDATE(Calendar!$K$2,1),OR(Calendar!$K$4="*",N1375=Calendar!$K$4)),P1375*100+COUNTIFS($P$6:$P$3267,P1375,$Q$6:$Q$3267,"&lt;="&amp;Q1375,$N$6:$N$3267,Calendar!$K$4),"")</f>
        <v/>
      </c>
      <c r="W1375" s="47">
        <f>IF(AND(B1375=Queue!$C$4,OR(Queue!$K$4="*",N1375=Queue!$K$4)),Q1375,"")</f>
        <v/>
      </c>
    </row>
    <row r="1376">
      <c r="A1376" s="38">
        <f>IF(M1376="","",HYPERLINK("https://www.youtube.com/watch?v="&amp;M1376,"▶"))</f>
        <v/>
      </c>
      <c r="B1376" s="39">
        <f>IF(C1376&lt;&gt;"",C1376,IF(P1376&lt;=IFERROR(INDEX(tblChannels[Watched Through],MATCH(N1376,tblChannels[Channel ID],0)),0),"Watched","Unwatched"))</f>
        <v/>
      </c>
      <c r="C1376" s="40" t="n"/>
      <c r="D1376" s="41" t="n"/>
      <c r="E1376" s="42" t="n">
        <v>44393.25</v>
      </c>
      <c r="F1376" s="43" t="inlineStr">
        <is>
          <t>Popcorn Culture</t>
        </is>
      </c>
      <c r="G1376" t="inlineStr">
        <is>
          <t>84 - Why Frozen is Our Favorite</t>
        </is>
      </c>
      <c r="H1376" s="44" t="n">
        <v>0.04642361111111111</v>
      </c>
      <c r="I1376" s="45" t="n">
        <v>1901</v>
      </c>
      <c r="J1376" s="45" t="n">
        <v>68</v>
      </c>
      <c r="K1376" s="45" t="n">
        <v>10</v>
      </c>
      <c r="L1376" s="46" t="n"/>
      <c r="M1376" s="47" t="n"/>
      <c r="N1376" s="47" t="inlineStr">
        <is>
          <t>UCHfIbq9thHPC8yrKjAdJgDA</t>
        </is>
      </c>
      <c r="O1376" s="48" t="n">
        <v>44393.41666666666</v>
      </c>
      <c r="P1376" s="49" t="n">
        <v>44393</v>
      </c>
      <c r="Q1376" s="47" t="n">
        <v>1892</v>
      </c>
      <c r="R1376" s="47" t="inlineStr">
        <is>
          <t>No Video ID yet</t>
        </is>
      </c>
      <c r="S1376" s="49" t="n"/>
      <c r="T1376" s="49" t="n"/>
      <c r="U1376" s="47" t="inlineStr">
        <is>
          <t>Ben and J discuss: mountain biking, fandom unity, two-way streets, hair changes, subversion of expectations, topics without obvious answers, and the Academy Awards. Spoilers for Last Jedi, Frozen, Zootopia, WandaVision. Berm: First Aid Kit: Adam Grant Post:</t>
        </is>
      </c>
      <c r="V1376" s="47">
        <f>IF(AND(P1376&gt;=Calendar!$K$2,P1376&lt;EDATE(Calendar!$K$2,1),OR(Calendar!$K$4="*",N1376=Calendar!$K$4)),P1376*100+COUNTIFS($P$6:$P$3267,P1376,$Q$6:$Q$3267,"&lt;="&amp;Q1376,$N$6:$N$3267,Calendar!$K$4),"")</f>
        <v/>
      </c>
      <c r="W1376" s="47">
        <f>IF(AND(B1376=Queue!$C$4,OR(Queue!$K$4="*",N1376=Queue!$K$4)),Q1376,"")</f>
        <v/>
      </c>
    </row>
    <row r="1377">
      <c r="A1377" s="38">
        <f>IF(M1377="","",HYPERLINK("https://www.youtube.com/watch?v="&amp;M1377,"▶"))</f>
        <v/>
      </c>
      <c r="B1377" s="39">
        <f>IF(C1377&lt;&gt;"",C1377,IF(P1377&lt;=IFERROR(INDEX(tblChannels[Watched Through],MATCH(N1377,tblChannels[Channel ID],0)),0),"Watched","Unwatched"))</f>
        <v/>
      </c>
      <c r="C1377" s="40" t="n"/>
      <c r="D1377" s="41" t="n"/>
      <c r="E1377" s="42" t="n">
        <v>44392.70416666667</v>
      </c>
      <c r="F1377" s="50" t="inlineStr">
        <is>
          <t>Super Carlin Brothers</t>
        </is>
      </c>
      <c r="G1377" t="inlineStr">
        <is>
          <t>Black Widow REVIEW | Was Our Theory Better?</t>
        </is>
      </c>
      <c r="H1377" s="44" t="n">
        <v>0.03065972222222222</v>
      </c>
      <c r="I1377" s="45" t="n">
        <v>93720</v>
      </c>
      <c r="J1377" s="45" t="n">
        <v>4638</v>
      </c>
      <c r="K1377" s="45" t="n">
        <v>1307</v>
      </c>
      <c r="L1377" s="46" t="n"/>
      <c r="M1377" s="47" t="n"/>
      <c r="N1377" s="47" t="inlineStr">
        <is>
          <t>UCKZo4N0lVPccBkSiuyVh4yg</t>
        </is>
      </c>
      <c r="O1377" s="48" t="n">
        <v>44392.87083333333</v>
      </c>
      <c r="P1377" s="49" t="n">
        <v>44392</v>
      </c>
      <c r="Q1377" s="47" t="n">
        <v>1891</v>
      </c>
      <c r="R1377" s="47" t="inlineStr">
        <is>
          <t>No Video ID yet</t>
        </is>
      </c>
      <c r="S1377" s="49" t="n"/>
      <c r="T1377" s="49" t="n"/>
      <c r="U1377" s="47" t="inlineStr">
        <is>
          <t>Go to to get 10% off your first month! Today J and Ben give their full spoiler review of the latest movie to join the Marvel Cinematic Universe: Black Widow! #SuperCarlinBrothers #Marvel</t>
        </is>
      </c>
      <c r="V1377" s="47">
        <f>IF(AND(P1377&gt;=Calendar!$K$2,P1377&lt;EDATE(Calendar!$K$2,1),OR(Calendar!$K$4="*",N1377=Calendar!$K$4)),P1377*100+COUNTIFS($P$6:$P$3267,P1377,$Q$6:$Q$3267,"&lt;="&amp;Q1377,$N$6:$N$3267,Calendar!$K$4),"")</f>
        <v/>
      </c>
      <c r="W1377" s="47">
        <f>IF(AND(B1377=Queue!$C$4,OR(Queue!$K$4="*",N1377=Queue!$K$4)),Q1377,"")</f>
        <v/>
      </c>
    </row>
    <row r="1378">
      <c r="A1378" s="38">
        <f>IF(M1378="","",HYPERLINK("https://www.youtube.com/watch?v="&amp;M1378,"▶"))</f>
        <v/>
      </c>
      <c r="B1378" s="39">
        <f>IF(C1378&lt;&gt;"",C1378,IF(P1378&lt;=IFERROR(INDEX(tblChannels[Watched Through],MATCH(N1378,tblChannels[Channel ID],0)),0),"Watched","Unwatched"))</f>
        <v/>
      </c>
      <c r="C1378" s="40" t="n"/>
      <c r="D1378" s="41" t="n"/>
      <c r="E1378" s="42" t="n">
        <v>44391.41666666666</v>
      </c>
      <c r="F1378" s="52" t="inlineStr">
        <is>
          <t>Super Carlin Gaming</t>
        </is>
      </c>
      <c r="G1378" t="inlineStr">
        <is>
          <t>The Dangerous Lighthouse |  Pokémon SoulSilver Randomizer Nuzlocke #8</t>
        </is>
      </c>
      <c r="H1378" s="44" t="n">
        <v>0.02471064814814815</v>
      </c>
      <c r="I1378" s="45" t="n">
        <v>26438</v>
      </c>
      <c r="J1378" s="45" t="n">
        <v>1415</v>
      </c>
      <c r="K1378" s="45" t="n">
        <v>315</v>
      </c>
      <c r="L1378" s="46" t="n"/>
      <c r="M1378" s="47" t="n"/>
      <c r="N1378" s="47" t="inlineStr">
        <is>
          <t>UCor_9jRnNNZVzTuQ92PKsaQ</t>
        </is>
      </c>
      <c r="O1378" s="48" t="n">
        <v>44391.58333333334</v>
      </c>
      <c r="P1378" s="49" t="n">
        <v>44391</v>
      </c>
      <c r="Q1378" s="47" t="n">
        <v>1890</v>
      </c>
      <c r="R1378" s="47" t="inlineStr">
        <is>
          <t>No Video ID yet</t>
        </is>
      </c>
      <c r="S1378" s="49" t="n"/>
      <c r="T1378" s="49" t="n"/>
      <c r="U1378" s="47" t="inlineStr">
        <is>
          <t>Today J and the team head towards their 5th gym badge and attempt to rescue Ampharos from the Lighthouse... but there are many dangers lurking within.. Get your Rain Dance Team Print!</t>
        </is>
      </c>
      <c r="V1378" s="47">
        <f>IF(AND(P1378&gt;=Calendar!$K$2,P1378&lt;EDATE(Calendar!$K$2,1),OR(Calendar!$K$4="*",N1378=Calendar!$K$4)),P1378*100+COUNTIFS($P$6:$P$3267,P1378,$Q$6:$Q$3267,"&lt;="&amp;Q1378,$N$6:$N$3267,Calendar!$K$4),"")</f>
        <v/>
      </c>
      <c r="W1378" s="47">
        <f>IF(AND(B1378=Queue!$C$4,OR(Queue!$K$4="*",N1378=Queue!$K$4)),Q1378,"")</f>
        <v/>
      </c>
    </row>
    <row r="1379">
      <c r="A1379" s="38">
        <f>IF(M1379="","",HYPERLINK("https://www.youtube.com/watch?v="&amp;M1379,"▶"))</f>
        <v/>
      </c>
      <c r="B1379" s="39">
        <f>IF(C1379&lt;&gt;"",C1379,IF(P1379&lt;=IFERROR(INDEX(tblChannels[Watched Through],MATCH(N1379,tblChannels[Channel ID],0)),0),"Watched","Unwatched"))</f>
        <v/>
      </c>
      <c r="C1379" s="40" t="n"/>
      <c r="D1379" s="41" t="n"/>
      <c r="E1379" s="42" t="n">
        <v>44390.71875</v>
      </c>
      <c r="F1379" s="50" t="inlineStr">
        <is>
          <t>Super Carlin Brothers</t>
        </is>
      </c>
      <c r="G1379" t="inlineStr">
        <is>
          <t>Why Hela CAN Hold Thor’s Hammer | Marvel Theory</t>
        </is>
      </c>
      <c r="H1379" s="44" t="n">
        <v>0.00880787037037037</v>
      </c>
      <c r="I1379" s="45" t="n">
        <v>252007</v>
      </c>
      <c r="J1379" s="45" t="n">
        <v>13239</v>
      </c>
      <c r="K1379" s="45" t="n">
        <v>1674</v>
      </c>
      <c r="L1379" s="46" t="n"/>
      <c r="M1379" s="47" t="n"/>
      <c r="N1379" s="47" t="inlineStr">
        <is>
          <t>UCKZo4N0lVPccBkSiuyVh4yg</t>
        </is>
      </c>
      <c r="O1379" s="48" t="n">
        <v>44390.88541666666</v>
      </c>
      <c r="P1379" s="49" t="n">
        <v>44390</v>
      </c>
      <c r="Q1379" s="47" t="n">
        <v>1889</v>
      </c>
      <c r="R1379" s="47" t="inlineStr">
        <is>
          <t>No Video ID yet</t>
        </is>
      </c>
      <c r="S1379" s="49" t="n"/>
      <c r="T1379" s="49" t="n"/>
      <c r="U1379" s="47" t="inlineStr">
        <is>
          <t>Go to to get an extra 3 months FREE! Today J dives into the Marvel Cinematic Universe to reveal HOW and WHY Hela is able to catch (and subsequently destroy) Mjolnir despite DEFINITELY not being worthy! #SuperCarlinBrothers #Marvel</t>
        </is>
      </c>
      <c r="V1379" s="47">
        <f>IF(AND(P1379&gt;=Calendar!$K$2,P1379&lt;EDATE(Calendar!$K$2,1),OR(Calendar!$K$4="*",N1379=Calendar!$K$4)),P1379*100+COUNTIFS($P$6:$P$3267,P1379,$Q$6:$Q$3267,"&lt;="&amp;Q1379,$N$6:$N$3267,Calendar!$K$4),"")</f>
        <v/>
      </c>
      <c r="W1379" s="47">
        <f>IF(AND(B1379=Queue!$C$4,OR(Queue!$K$4="*",N1379=Queue!$K$4)),Q1379,"")</f>
        <v/>
      </c>
    </row>
    <row r="1380">
      <c r="A1380" s="38">
        <f>IF(M1380="","",HYPERLINK("https://www.youtube.com/watch?v="&amp;M1380,"▶"))</f>
        <v/>
      </c>
      <c r="B1380" s="39">
        <f>IF(C1380&lt;&gt;"",C1380,IF(P1380&lt;=IFERROR(INDEX(tblChannels[Watched Through],MATCH(N1380,tblChannels[Channel ID],0)),0),"Watched","Unwatched"))</f>
        <v/>
      </c>
      <c r="C1380" s="40" t="n"/>
      <c r="D1380" s="41" t="n"/>
      <c r="E1380" s="42" t="n">
        <v>44389.41666666666</v>
      </c>
      <c r="F1380" s="52" t="inlineStr">
        <is>
          <t>Super Carlin Gaming</t>
        </is>
      </c>
      <c r="G1380" t="inlineStr">
        <is>
          <t>ENTER THE DRAGON | Pokémon SoulSilver Randomizer Nuzlocke #7</t>
        </is>
      </c>
      <c r="H1380" s="44" t="n">
        <v>0.03612268518518519</v>
      </c>
      <c r="I1380" s="45" t="n">
        <v>31215</v>
      </c>
      <c r="J1380" s="45" t="n">
        <v>1716</v>
      </c>
      <c r="K1380" s="45" t="n">
        <v>470</v>
      </c>
      <c r="L1380" s="46" t="n"/>
      <c r="M1380" s="47" t="n"/>
      <c r="N1380" s="47" t="inlineStr">
        <is>
          <t>UCor_9jRnNNZVzTuQ92PKsaQ</t>
        </is>
      </c>
      <c r="O1380" s="48" t="n">
        <v>44389.58333333334</v>
      </c>
      <c r="P1380" s="49" t="n">
        <v>44389</v>
      </c>
      <c r="Q1380" s="47" t="n">
        <v>1888</v>
      </c>
      <c r="R1380" s="47" t="inlineStr">
        <is>
          <t>No Video ID yet</t>
        </is>
      </c>
      <c r="S1380" s="49" t="n"/>
      <c r="T1380" s="49" t="n"/>
      <c r="U1380" s="47" t="inlineStr">
        <is>
          <t>J, Miles and the team head to Ecruteak City to try and earn their 4th gym badge... also we find out if we catch the Moltres!</t>
        </is>
      </c>
      <c r="V1380" s="47">
        <f>IF(AND(P1380&gt;=Calendar!$K$2,P1380&lt;EDATE(Calendar!$K$2,1),OR(Calendar!$K$4="*",N1380=Calendar!$K$4)),P1380*100+COUNTIFS($P$6:$P$3267,P1380,$Q$6:$Q$3267,"&lt;="&amp;Q1380,$N$6:$N$3267,Calendar!$K$4),"")</f>
        <v/>
      </c>
      <c r="W1380" s="47">
        <f>IF(AND(B1380=Queue!$C$4,OR(Queue!$K$4="*",N1380=Queue!$K$4)),Q1380,"")</f>
        <v/>
      </c>
    </row>
    <row r="1381">
      <c r="A1381" s="38">
        <f>IF(M1381="","",HYPERLINK("https://www.youtube.com/watch?v="&amp;M1381,"▶"))</f>
        <v/>
      </c>
      <c r="B1381" s="39">
        <f>IF(C1381&lt;&gt;"",C1381,IF(P1381&lt;=IFERROR(INDEX(tblChannels[Watched Through],MATCH(N1381,tblChannels[Channel ID],0)),0),"Watched","Unwatched"))</f>
        <v/>
      </c>
      <c r="C1381" s="40" t="n"/>
      <c r="D1381" s="41" t="n"/>
      <c r="E1381" s="42" t="n">
        <v>44386.42708333334</v>
      </c>
      <c r="F1381" s="50" t="inlineStr">
        <is>
          <t>Super Carlin Brothers</t>
        </is>
      </c>
      <c r="G1381" t="inlineStr">
        <is>
          <t>You vs The Mirror | Popcorn Culture</t>
        </is>
      </c>
      <c r="H1381" s="44" t="n">
        <v>0.05289351851851852</v>
      </c>
      <c r="I1381" s="45" t="n">
        <v>25145</v>
      </c>
      <c r="J1381" s="45" t="n">
        <v>841</v>
      </c>
      <c r="K1381" s="45" t="n">
        <v>109</v>
      </c>
      <c r="L1381" s="46" t="n"/>
      <c r="M1381" s="47" t="n"/>
      <c r="N1381" s="47" t="inlineStr">
        <is>
          <t>UCKZo4N0lVPccBkSiuyVh4yg</t>
        </is>
      </c>
      <c r="O1381" s="48" t="n">
        <v>44386.59375</v>
      </c>
      <c r="P1381" s="49" t="n">
        <v>44386</v>
      </c>
      <c r="Q1381" s="47" t="n">
        <v>1887</v>
      </c>
      <c r="R1381" s="47" t="inlineStr">
        <is>
          <t>No Video ID yet</t>
        </is>
      </c>
      <c r="S1381" s="49" t="n"/>
      <c r="T1381" s="49" t="n"/>
      <c r="U1381" s="47" t="inlineStr">
        <is>
          <t>Ben and J discuss: having ideas early, the metagame, defining “a lot”, starting new things, lost objects, travel compartmentalization, mirrors and photographs, information you shouldn’t have, and fake butt dials. Cola for Nausea: Glasses and Photography:</t>
        </is>
      </c>
      <c r="V1381" s="47">
        <f>IF(AND(P1381&gt;=Calendar!$K$2,P1381&lt;EDATE(Calendar!$K$2,1),OR(Calendar!$K$4="*",N1381=Calendar!$K$4)),P1381*100+COUNTIFS($P$6:$P$3267,P1381,$Q$6:$Q$3267,"&lt;="&amp;Q1381,$N$6:$N$3267,Calendar!$K$4),"")</f>
        <v/>
      </c>
      <c r="W1381" s="47">
        <f>IF(AND(B1381=Queue!$C$4,OR(Queue!$K$4="*",N1381=Queue!$K$4)),Q1381,"")</f>
        <v/>
      </c>
    </row>
    <row r="1382">
      <c r="A1382" s="38">
        <f>IF(M1382="","",HYPERLINK("https://www.youtube.com/watch?v="&amp;M1382,"▶"))</f>
        <v/>
      </c>
      <c r="B1382" s="39">
        <f>IF(C1382&lt;&gt;"",C1382,IF(P1382&lt;=IFERROR(INDEX(tblChannels[Watched Through],MATCH(N1382,tblChannels[Channel ID],0)),0),"Watched","Unwatched"))</f>
        <v/>
      </c>
      <c r="C1382" s="40" t="n"/>
      <c r="D1382" s="41" t="n"/>
      <c r="E1382" s="42" t="n">
        <v>44386.25</v>
      </c>
      <c r="F1382" s="43" t="inlineStr">
        <is>
          <t>Popcorn Culture</t>
        </is>
      </c>
      <c r="G1382" t="inlineStr">
        <is>
          <t>83 - Trapped Between a Vacuum and a Squeaky Door Place</t>
        </is>
      </c>
      <c r="H1382" s="44" t="n">
        <v>0.05048611111111111</v>
      </c>
      <c r="I1382" s="45" t="n">
        <v>2761</v>
      </c>
      <c r="J1382" s="45" t="n">
        <v>77</v>
      </c>
      <c r="K1382" s="45" t="n">
        <v>9</v>
      </c>
      <c r="L1382" s="46" t="n"/>
      <c r="M1382" s="47" t="n"/>
      <c r="N1382" s="47" t="inlineStr">
        <is>
          <t>UCHfIbq9thHPC8yrKjAdJgDA</t>
        </is>
      </c>
      <c r="O1382" s="48" t="n">
        <v>44386.41666666666</v>
      </c>
      <c r="P1382" s="49" t="n">
        <v>44386</v>
      </c>
      <c r="Q1382" s="47" t="n">
        <v>1886</v>
      </c>
      <c r="R1382" s="47" t="inlineStr">
        <is>
          <t>No Video ID yet</t>
        </is>
      </c>
      <c r="S1382" s="49" t="n"/>
      <c r="T1382" s="49" t="n"/>
      <c r="U1382" s="47" t="inlineStr">
        <is>
          <t>Ben and J discuss: having ideas early, the metagame, defining “a lot”, starting new things, lost objects, travel compartmentalization, mirrors and photographs, information you shouldn’t have, and fake butt dials. Cola for Nausea: Glasses and Photography:</t>
        </is>
      </c>
      <c r="V1382" s="47">
        <f>IF(AND(P1382&gt;=Calendar!$K$2,P1382&lt;EDATE(Calendar!$K$2,1),OR(Calendar!$K$4="*",N1382=Calendar!$K$4)),P1382*100+COUNTIFS($P$6:$P$3267,P1382,$Q$6:$Q$3267,"&lt;="&amp;Q1382,$N$6:$N$3267,Calendar!$K$4),"")</f>
        <v/>
      </c>
      <c r="W1382" s="47">
        <f>IF(AND(B1382=Queue!$C$4,OR(Queue!$K$4="*",N1382=Queue!$K$4)),Q1382,"")</f>
        <v/>
      </c>
    </row>
    <row r="1383">
      <c r="A1383" s="38">
        <f>IF(M1383="","",HYPERLINK("https://www.youtube.com/watch?v="&amp;M1383,"▶"))</f>
        <v/>
      </c>
      <c r="B1383" s="39">
        <f>IF(C1383&lt;&gt;"",C1383,IF(P1383&lt;=IFERROR(INDEX(tblChannels[Watched Through],MATCH(N1383,tblChannels[Channel ID],0)),0),"Watched","Unwatched"))</f>
        <v/>
      </c>
      <c r="C1383" s="40" t="n"/>
      <c r="D1383" s="41" t="n"/>
      <c r="E1383" s="42" t="n">
        <v>44385.62291666667</v>
      </c>
      <c r="F1383" s="50" t="inlineStr">
        <is>
          <t>Super Carlin Brothers</t>
        </is>
      </c>
      <c r="G1383" t="inlineStr">
        <is>
          <t>J vs Ben: ULTIMATE Black Widow TRIVIA Quiz</t>
        </is>
      </c>
      <c r="H1383" s="44" t="n">
        <v>0.01775462962962963</v>
      </c>
      <c r="I1383" s="45" t="n">
        <v>98238</v>
      </c>
      <c r="J1383" s="45" t="n">
        <v>4827</v>
      </c>
      <c r="K1383" s="45" t="n">
        <v>718</v>
      </c>
      <c r="L1383" s="46" t="n"/>
      <c r="M1383" s="47" t="n"/>
      <c r="N1383" s="47" t="inlineStr">
        <is>
          <t>UCKZo4N0lVPccBkSiuyVh4yg</t>
        </is>
      </c>
      <c r="O1383" s="48" t="n">
        <v>44385.78958333333</v>
      </c>
      <c r="P1383" s="49" t="n">
        <v>44385</v>
      </c>
      <c r="Q1383" s="47" t="n">
        <v>1885</v>
      </c>
      <c r="R1383" s="47" t="inlineStr">
        <is>
          <t>No Video ID yet</t>
        </is>
      </c>
      <c r="S1383" s="49" t="n"/>
      <c r="T1383" s="49" t="n"/>
      <c r="U1383" s="47" t="inlineStr">
        <is>
          <t>Go to to get an extra 3 months for free! Download the DoorDash app in the App Store and enter code JVSB2021 to get 25% off and zero delivery fees on your first order Today J and Ben face off once more to find out who knows more about Marvel’s greatest spy: Natasha Romanov aka Black Widow! #SuperCarlinBrothers #BlackWidow #JvsBen</t>
        </is>
      </c>
      <c r="V1383" s="47">
        <f>IF(AND(P1383&gt;=Calendar!$K$2,P1383&lt;EDATE(Calendar!$K$2,1),OR(Calendar!$K$4="*",N1383=Calendar!$K$4)),P1383*100+COUNTIFS($P$6:$P$3267,P1383,$Q$6:$Q$3267,"&lt;="&amp;Q1383,$N$6:$N$3267,Calendar!$K$4),"")</f>
        <v/>
      </c>
      <c r="W1383" s="47">
        <f>IF(AND(B1383=Queue!$C$4,OR(Queue!$K$4="*",N1383=Queue!$K$4)),Q1383,"")</f>
        <v/>
      </c>
    </row>
    <row r="1384">
      <c r="A1384" s="38">
        <f>IF(M1384="","",HYPERLINK("https://www.youtube.com/watch?v="&amp;M1384,"▶"))</f>
        <v/>
      </c>
      <c r="B1384" s="39">
        <f>IF(C1384&lt;&gt;"",C1384,IF(P1384&lt;=IFERROR(INDEX(tblChannels[Watched Through],MATCH(N1384,tblChannels[Channel ID],0)),0),"Watched","Unwatched"))</f>
        <v/>
      </c>
      <c r="C1384" s="40" t="n"/>
      <c r="D1384" s="41" t="n"/>
      <c r="E1384" s="42" t="n">
        <v>44384.41666666666</v>
      </c>
      <c r="F1384" s="52" t="inlineStr">
        <is>
          <t>Super Carlin Gaming</t>
        </is>
      </c>
      <c r="G1384" t="inlineStr">
        <is>
          <t>THE PHOENIX COMETH |  Pokémon SoulSilver Randomizer Nuzlocke #6</t>
        </is>
      </c>
      <c r="H1384" s="44" t="n">
        <v>0.03270833333333333</v>
      </c>
      <c r="I1384" s="45" t="n">
        <v>30672</v>
      </c>
      <c r="J1384" s="45" t="n">
        <v>1273</v>
      </c>
      <c r="K1384" s="45" t="n">
        <v>659</v>
      </c>
      <c r="L1384" s="46" t="n"/>
      <c r="M1384" s="47" t="n"/>
      <c r="N1384" s="47" t="inlineStr">
        <is>
          <t>UCor_9jRnNNZVzTuQ92PKsaQ</t>
        </is>
      </c>
      <c r="O1384" s="48" t="n">
        <v>44384.58333333334</v>
      </c>
      <c r="P1384" s="49" t="n">
        <v>44384</v>
      </c>
      <c r="Q1384" s="47" t="n">
        <v>1884</v>
      </c>
      <c r="R1384" s="47" t="inlineStr">
        <is>
          <t>No Video ID yet</t>
        </is>
      </c>
      <c r="S1384" s="49" t="n"/>
      <c r="T1384" s="49" t="n"/>
      <c r="U1384" s="47" t="inlineStr">
        <is>
          <t>This week J, Miles and the team head towards their 4th gym badge and encounter many new potential and powerful team members, but will they be able survive and catch them?</t>
        </is>
      </c>
      <c r="V1384" s="47">
        <f>IF(AND(P1384&gt;=Calendar!$K$2,P1384&lt;EDATE(Calendar!$K$2,1),OR(Calendar!$K$4="*",N1384=Calendar!$K$4)),P1384*100+COUNTIFS($P$6:$P$3267,P1384,$Q$6:$Q$3267,"&lt;="&amp;Q1384,$N$6:$N$3267,Calendar!$K$4),"")</f>
        <v/>
      </c>
      <c r="W1384" s="47">
        <f>IF(AND(B1384=Queue!$C$4,OR(Queue!$K$4="*",N1384=Queue!$K$4)),Q1384,"")</f>
        <v/>
      </c>
    </row>
    <row r="1385">
      <c r="A1385" s="38">
        <f>IF(M1385="","",HYPERLINK("https://www.youtube.com/watch?v="&amp;M1385,"▶"))</f>
        <v/>
      </c>
      <c r="B1385" s="39">
        <f>IF(C1385&lt;&gt;"",C1385,IF(P1385&lt;=IFERROR(INDEX(tblChannels[Watched Through],MATCH(N1385,tblChannels[Channel ID],0)),0),"Watched","Unwatched"))</f>
        <v/>
      </c>
      <c r="C1385" s="40" t="n"/>
      <c r="D1385" s="41" t="n"/>
      <c r="E1385" s="42" t="n">
        <v>44383.71805555555</v>
      </c>
      <c r="F1385" s="50" t="inlineStr">
        <is>
          <t>Super Carlin Brothers</t>
        </is>
      </c>
      <c r="G1385" t="inlineStr">
        <is>
          <t>Which Harry Potter Characters Could Lift Thor's Hammer? | Harry Potter Theory</t>
        </is>
      </c>
      <c r="H1385" s="44" t="n">
        <v>0.01265046296296296</v>
      </c>
      <c r="I1385" s="45" t="n">
        <v>271590</v>
      </c>
      <c r="J1385" s="45" t="n">
        <v>12848</v>
      </c>
      <c r="K1385" s="45" t="n">
        <v>2723</v>
      </c>
      <c r="L1385" s="46" t="n"/>
      <c r="M1385" s="47" t="n"/>
      <c r="N1385" s="47" t="inlineStr">
        <is>
          <t>UCKZo4N0lVPccBkSiuyVh4yg</t>
        </is>
      </c>
      <c r="O1385" s="48" t="n">
        <v>44383.88472222222</v>
      </c>
      <c r="P1385" s="49" t="n">
        <v>44383</v>
      </c>
      <c r="Q1385" s="47" t="n">
        <v>1883</v>
      </c>
      <c r="R1385" s="47" t="inlineStr">
        <is>
          <t>No Video ID yet</t>
        </is>
      </c>
      <c r="S1385" s="49" t="n"/>
      <c r="T1385" s="49" t="n"/>
      <c r="U1385" s="47" t="inlineStr">
        <is>
          <t>Go to and use code SCB to save $75 on your starter kit! NEW INSTAGRAM ►► Today J dives into the Wizarding World of Harry Potter to try and determine which characters could lift Thor's Mighty Hammer: Mjolnir!</t>
        </is>
      </c>
      <c r="V1385" s="47">
        <f>IF(AND(P1385&gt;=Calendar!$K$2,P1385&lt;EDATE(Calendar!$K$2,1),OR(Calendar!$K$4="*",N1385=Calendar!$K$4)),P1385*100+COUNTIFS($P$6:$P$3267,P1385,$Q$6:$Q$3267,"&lt;="&amp;Q1385,$N$6:$N$3267,Calendar!$K$4),"")</f>
        <v/>
      </c>
      <c r="W1385" s="47">
        <f>IF(AND(B1385=Queue!$C$4,OR(Queue!$K$4="*",N1385=Queue!$K$4)),Q1385,"")</f>
        <v/>
      </c>
    </row>
    <row r="1386">
      <c r="A1386" s="38">
        <f>IF(M1386="","",HYPERLINK("https://www.youtube.com/watch?v="&amp;M1386,"▶"))</f>
        <v/>
      </c>
      <c r="B1386" s="39">
        <f>IF(C1386&lt;&gt;"",C1386,IF(P1386&lt;=IFERROR(INDEX(tblChannels[Watched Through],MATCH(N1386,tblChannels[Channel ID],0)),0),"Watched","Unwatched"))</f>
        <v/>
      </c>
      <c r="C1386" s="40" t="n"/>
      <c r="D1386" s="41" t="n"/>
      <c r="E1386" s="42" t="n">
        <v>44382.41666666666</v>
      </c>
      <c r="F1386" s="52" t="inlineStr">
        <is>
          <t>Super Carlin Gaming</t>
        </is>
      </c>
      <c r="G1386" t="inlineStr">
        <is>
          <t>THE ACCURSED REGIROCK |  Pokémon SoulSilver Randomizer Nuzlocke #5</t>
        </is>
      </c>
      <c r="H1386" s="44" t="n">
        <v>0.04358796296296296</v>
      </c>
      <c r="I1386" s="45" t="n">
        <v>38045</v>
      </c>
      <c r="J1386" s="45" t="n">
        <v>1577</v>
      </c>
      <c r="K1386" s="45" t="n">
        <v>529</v>
      </c>
      <c r="L1386" s="46" t="n"/>
      <c r="M1386" s="47" t="n"/>
      <c r="N1386" s="47" t="inlineStr">
        <is>
          <t>UCor_9jRnNNZVzTuQ92PKsaQ</t>
        </is>
      </c>
      <c r="O1386" s="48" t="n">
        <v>44382.58333333334</v>
      </c>
      <c r="P1386" s="49" t="n">
        <v>44382</v>
      </c>
      <c r="Q1386" s="47" t="n">
        <v>1882</v>
      </c>
      <c r="R1386" s="47" t="inlineStr">
        <is>
          <t>No Video ID yet</t>
        </is>
      </c>
      <c r="S1386" s="49" t="n"/>
      <c r="T1386" s="49" t="n"/>
      <c r="U1386" s="47" t="inlineStr">
        <is>
          <t>Today J, Miles and the team head to Whitney's Gym to try and win their 3rd gym badge and encounter a dangerous Legendary Pokemon.. will they survive?!</t>
        </is>
      </c>
      <c r="V1386" s="47">
        <f>IF(AND(P1386&gt;=Calendar!$K$2,P1386&lt;EDATE(Calendar!$K$2,1),OR(Calendar!$K$4="*",N1386=Calendar!$K$4)),P1386*100+COUNTIFS($P$6:$P$3267,P1386,$Q$6:$Q$3267,"&lt;="&amp;Q1386,$N$6:$N$3267,Calendar!$K$4),"")</f>
        <v/>
      </c>
      <c r="W1386" s="47">
        <f>IF(AND(B1386=Queue!$C$4,OR(Queue!$K$4="*",N1386=Queue!$K$4)),Q1386,"")</f>
        <v/>
      </c>
    </row>
    <row r="1387">
      <c r="A1387" s="38">
        <f>IF(M1387="","",HYPERLINK("https://www.youtube.com/watch?v="&amp;M1387,"▶"))</f>
        <v/>
      </c>
      <c r="B1387" s="39">
        <f>IF(C1387&lt;&gt;"",C1387,IF(P1387&lt;=IFERROR(INDEX(tblChannels[Watched Through],MATCH(N1387,tblChannels[Channel ID],0)),0),"Watched","Unwatched"))</f>
        <v/>
      </c>
      <c r="C1387" s="40" t="n"/>
      <c r="D1387" s="41" t="n"/>
      <c r="E1387" s="42" t="n">
        <v>44379.41666666666</v>
      </c>
      <c r="F1387" s="50" t="inlineStr">
        <is>
          <t>Super Carlin Brothers</t>
        </is>
      </c>
      <c r="G1387" t="inlineStr">
        <is>
          <t>The Logical Fallacy Fallacy | Popcorn Culture</t>
        </is>
      </c>
      <c r="H1387" s="44" t="n">
        <v>0.04658564814814815</v>
      </c>
      <c r="I1387" s="45" t="n">
        <v>20952</v>
      </c>
      <c r="J1387" s="45" t="n">
        <v>793</v>
      </c>
      <c r="K1387" s="45" t="n">
        <v>167</v>
      </c>
      <c r="L1387" s="46" t="n"/>
      <c r="M1387" s="47" t="n"/>
      <c r="N1387" s="47" t="inlineStr">
        <is>
          <t>UCKZo4N0lVPccBkSiuyVh4yg</t>
        </is>
      </c>
      <c r="O1387" s="48" t="n">
        <v>44379.58333333334</v>
      </c>
      <c r="P1387" s="49" t="n">
        <v>44379</v>
      </c>
      <c r="Q1387" s="47" t="n">
        <v>1881</v>
      </c>
      <c r="R1387" s="47" t="inlineStr">
        <is>
          <t>No Video ID yet</t>
        </is>
      </c>
      <c r="S1387" s="49" t="n"/>
      <c r="T1387" s="49" t="n"/>
      <c r="U1387" s="47" t="inlineStr">
        <is>
          <t>In the 82nd episode of the POP, Ben and J discuss: sports apparel, wallet chains, the southern accent, the North American Vowels Shift, words, Sears, How to be an adult, and crushing cans. North American Vowels Shift: Dictionary Time Traveler: Genericized words: How to Adult: J on How To Adult:</t>
        </is>
      </c>
      <c r="V1387" s="47">
        <f>IF(AND(P1387&gt;=Calendar!$K$2,P1387&lt;EDATE(Calendar!$K$2,1),OR(Calendar!$K$4="*",N1387=Calendar!$K$4)),P1387*100+COUNTIFS($P$6:$P$3267,P1387,$Q$6:$Q$3267,"&lt;="&amp;Q1387,$N$6:$N$3267,Calendar!$K$4),"")</f>
        <v/>
      </c>
      <c r="W1387" s="47">
        <f>IF(AND(B1387=Queue!$C$4,OR(Queue!$K$4="*",N1387=Queue!$K$4)),Q1387,"")</f>
        <v/>
      </c>
    </row>
    <row r="1388">
      <c r="A1388" s="38">
        <f>IF(M1388="","",HYPERLINK("https://www.youtube.com/watch?v="&amp;M1388,"▶"))</f>
        <v/>
      </c>
      <c r="B1388" s="39">
        <f>IF(C1388&lt;&gt;"",C1388,IF(P1388&lt;=IFERROR(INDEX(tblChannels[Watched Through],MATCH(N1388,tblChannels[Channel ID],0)),0),"Watched","Unwatched"))</f>
        <v/>
      </c>
      <c r="C1388" s="40" t="n"/>
      <c r="D1388" s="41" t="n"/>
      <c r="E1388" s="42" t="n">
        <v>44379.25</v>
      </c>
      <c r="F1388" s="43" t="inlineStr">
        <is>
          <t>Popcorn Culture</t>
        </is>
      </c>
      <c r="G1388" t="inlineStr">
        <is>
          <t>82 - The Logical Fallacy Fallacy</t>
        </is>
      </c>
      <c r="H1388" s="44" t="n">
        <v>0.04420138888888889</v>
      </c>
      <c r="I1388" s="45" t="n">
        <v>1377</v>
      </c>
      <c r="J1388" s="45" t="n">
        <v>64</v>
      </c>
      <c r="K1388" s="45" t="n">
        <v>10</v>
      </c>
      <c r="L1388" s="46" t="n"/>
      <c r="M1388" s="47" t="n"/>
      <c r="N1388" s="47" t="inlineStr">
        <is>
          <t>UCHfIbq9thHPC8yrKjAdJgDA</t>
        </is>
      </c>
      <c r="O1388" s="48" t="n">
        <v>44379.41666666666</v>
      </c>
      <c r="P1388" s="49" t="n">
        <v>44379</v>
      </c>
      <c r="Q1388" s="47" t="n">
        <v>1880</v>
      </c>
      <c r="R1388" s="47" t="inlineStr">
        <is>
          <t>No Video ID yet</t>
        </is>
      </c>
      <c r="S1388" s="49" t="n"/>
      <c r="T1388" s="49" t="n"/>
      <c r="U1388" s="47" t="inlineStr">
        <is>
          <t>Ben and J discuss: sports apparel, wallet chains, the southern accent, the North American Vowels Shift, words, Sears, How to be an adult, and crushing cans. North American Vowels Shift: Dictionary Time Traveler: Genericized words: How to Adult: J on How To Adult:</t>
        </is>
      </c>
      <c r="V1388" s="47">
        <f>IF(AND(P1388&gt;=Calendar!$K$2,P1388&lt;EDATE(Calendar!$K$2,1),OR(Calendar!$K$4="*",N1388=Calendar!$K$4)),P1388*100+COUNTIFS($P$6:$P$3267,P1388,$Q$6:$Q$3267,"&lt;="&amp;Q1388,$N$6:$N$3267,Calendar!$K$4),"")</f>
        <v/>
      </c>
      <c r="W1388" s="47">
        <f>IF(AND(B1388=Queue!$C$4,OR(Queue!$K$4="*",N1388=Queue!$K$4)),Q1388,"")</f>
        <v/>
      </c>
    </row>
    <row r="1389">
      <c r="A1389" s="38">
        <f>IF(M1389="","",HYPERLINK("https://www.youtube.com/watch?v="&amp;M1389,"▶"))</f>
        <v/>
      </c>
      <c r="B1389" s="39">
        <f>IF(C1389&lt;&gt;"",C1389,IF(P1389&lt;=IFERROR(INDEX(tblChannels[Watched Through],MATCH(N1389,tblChannels[Channel ID],0)),0),"Watched","Unwatched"))</f>
        <v/>
      </c>
      <c r="C1389" s="40" t="n"/>
      <c r="D1389" s="41" t="n"/>
      <c r="E1389" s="42" t="n">
        <v>44378.7125</v>
      </c>
      <c r="F1389" s="50" t="inlineStr">
        <is>
          <t>Super Carlin Brothers</t>
        </is>
      </c>
      <c r="G1389" t="inlineStr">
        <is>
          <t>Do Broomsticks Have Magical Cores? | Harry Potter Theory</t>
        </is>
      </c>
      <c r="H1389" s="44" t="n">
        <v>0.01099537037037037</v>
      </c>
      <c r="I1389" s="45" t="n">
        <v>406706</v>
      </c>
      <c r="J1389" s="45" t="n">
        <v>15873</v>
      </c>
      <c r="K1389" s="45" t="n">
        <v>1884</v>
      </c>
      <c r="L1389" s="46" t="n"/>
      <c r="M1389" s="47" t="n"/>
      <c r="N1389" s="47" t="inlineStr">
        <is>
          <t>UCKZo4N0lVPccBkSiuyVh4yg</t>
        </is>
      </c>
      <c r="O1389" s="48" t="n">
        <v>44378.87916666667</v>
      </c>
      <c r="P1389" s="49" t="n">
        <v>44378</v>
      </c>
      <c r="Q1389" s="47" t="n">
        <v>1879</v>
      </c>
      <c r="R1389" s="47" t="inlineStr">
        <is>
          <t>No Video ID yet</t>
        </is>
      </c>
      <c r="S1389" s="49" t="n"/>
      <c r="T1389" s="49" t="n"/>
      <c r="U1389" s="47" t="inlineStr">
        <is>
          <t>Go to to get 15% off your first order plus free shipping. Today J dives into the Wizarding World of Harry Potter to determine if Broomsticks, like wands, have magical cores and what that means for the greater Wizarding World</t>
        </is>
      </c>
      <c r="V1389" s="47">
        <f>IF(AND(P1389&gt;=Calendar!$K$2,P1389&lt;EDATE(Calendar!$K$2,1),OR(Calendar!$K$4="*",N1389=Calendar!$K$4)),P1389*100+COUNTIFS($P$6:$P$3267,P1389,$Q$6:$Q$3267,"&lt;="&amp;Q1389,$N$6:$N$3267,Calendar!$K$4),"")</f>
        <v/>
      </c>
      <c r="W1389" s="47">
        <f>IF(AND(B1389=Queue!$C$4,OR(Queue!$K$4="*",N1389=Queue!$K$4)),Q1389,"")</f>
        <v/>
      </c>
    </row>
    <row r="1390">
      <c r="A1390" s="38">
        <f>IF(M1390="","",HYPERLINK("https://www.youtube.com/watch?v="&amp;M1390,"▶"))</f>
        <v/>
      </c>
      <c r="B1390" s="39">
        <f>IF(C1390&lt;&gt;"",C1390,IF(P1390&lt;=IFERROR(INDEX(tblChannels[Watched Through],MATCH(N1390,tblChannels[Channel ID],0)),0),"Watched","Unwatched"))</f>
        <v/>
      </c>
      <c r="C1390" s="40" t="n"/>
      <c r="D1390" s="41" t="n"/>
      <c r="E1390" s="42" t="n">
        <v>44377.41666666666</v>
      </c>
      <c r="F1390" s="52" t="inlineStr">
        <is>
          <t>Super Carlin Gaming</t>
        </is>
      </c>
      <c r="G1390" t="inlineStr">
        <is>
          <t>THE KISS OF DEATH |  Pokémon SoulSilver Randomizer Nuzlocke #4</t>
        </is>
      </c>
      <c r="H1390" s="44" t="n">
        <v>0.02456018518518518</v>
      </c>
      <c r="I1390" s="45" t="n">
        <v>33525</v>
      </c>
      <c r="J1390" s="45" t="n">
        <v>2321</v>
      </c>
      <c r="K1390" s="45" t="n">
        <v>675</v>
      </c>
      <c r="L1390" s="46" t="n"/>
      <c r="M1390" s="47" t="n"/>
      <c r="N1390" s="47" t="inlineStr">
        <is>
          <t>UCor_9jRnNNZVzTuQ92PKsaQ</t>
        </is>
      </c>
      <c r="O1390" s="48" t="n">
        <v>44377.58333333334</v>
      </c>
      <c r="P1390" s="49" t="n">
        <v>44377</v>
      </c>
      <c r="Q1390" s="47" t="n">
        <v>1878</v>
      </c>
      <c r="R1390" s="47" t="inlineStr">
        <is>
          <t>No Video ID yet</t>
        </is>
      </c>
      <c r="S1390" s="49" t="n"/>
      <c r="T1390" s="49" t="n"/>
      <c r="U1390" s="47" t="inlineStr">
        <is>
          <t>Today J, Miles and the team take on Bugsy to try and earn their 2nd Gym Badge.. but can the whole team survive the encounter??</t>
        </is>
      </c>
      <c r="V1390" s="47">
        <f>IF(AND(P1390&gt;=Calendar!$K$2,P1390&lt;EDATE(Calendar!$K$2,1),OR(Calendar!$K$4="*",N1390=Calendar!$K$4)),P1390*100+COUNTIFS($P$6:$P$3267,P1390,$Q$6:$Q$3267,"&lt;="&amp;Q1390,$N$6:$N$3267,Calendar!$K$4),"")</f>
        <v/>
      </c>
      <c r="W1390" s="47">
        <f>IF(AND(B1390=Queue!$C$4,OR(Queue!$K$4="*",N1390=Queue!$K$4)),Q1390,"")</f>
        <v/>
      </c>
    </row>
    <row r="1391">
      <c r="A1391" s="38">
        <f>IF(M1391="","",HYPERLINK("https://www.youtube.com/watch?v="&amp;M1391,"▶"))</f>
        <v/>
      </c>
      <c r="B1391" s="39">
        <f>IF(C1391&lt;&gt;"",C1391,IF(P1391&lt;=IFERROR(INDEX(tblChannels[Watched Through],MATCH(N1391,tblChannels[Channel ID],0)),0),"Watched","Unwatched"))</f>
        <v/>
      </c>
      <c r="C1391" s="40" t="n"/>
      <c r="D1391" s="41" t="n"/>
      <c r="E1391" s="42" t="n">
        <v>44376.70069444444</v>
      </c>
      <c r="F1391" s="50" t="inlineStr">
        <is>
          <t>Super Carlin Brothers</t>
        </is>
      </c>
      <c r="G1391" t="inlineStr">
        <is>
          <t>How Luca Fits Into The Pixar Theory</t>
        </is>
      </c>
      <c r="H1391" s="44" t="n">
        <v>0.0096875</v>
      </c>
      <c r="I1391" s="45" t="n">
        <v>879162</v>
      </c>
      <c r="J1391" s="45" t="n">
        <v>41079</v>
      </c>
      <c r="K1391" s="45" t="n">
        <v>2292</v>
      </c>
      <c r="L1391" s="46" t="n"/>
      <c r="M1391" s="47" t="n"/>
      <c r="N1391" s="47" t="inlineStr">
        <is>
          <t>UCKZo4N0lVPccBkSiuyVh4yg</t>
        </is>
      </c>
      <c r="O1391" s="48" t="n">
        <v>44376.86736111111</v>
      </c>
      <c r="P1391" s="49" t="n">
        <v>44376</v>
      </c>
      <c r="Q1391" s="47" t="n">
        <v>1877</v>
      </c>
      <c r="R1391" s="47" t="inlineStr">
        <is>
          <t>No Video ID yet</t>
        </is>
      </c>
      <c r="S1391" s="49" t="n"/>
      <c r="T1391" s="49" t="n"/>
      <c r="U1391" s="47" t="inlineStr">
        <is>
          <t>Today J dives into the Pixar Universe to reveal how Luca fits into the ever growing Pixar Theory! #SuperCarlinBrothers #Pixar #Luca</t>
        </is>
      </c>
      <c r="V1391" s="47">
        <f>IF(AND(P1391&gt;=Calendar!$K$2,P1391&lt;EDATE(Calendar!$K$2,1),OR(Calendar!$K$4="*",N1391=Calendar!$K$4)),P1391*100+COUNTIFS($P$6:$P$3267,P1391,$Q$6:$Q$3267,"&lt;="&amp;Q1391,$N$6:$N$3267,Calendar!$K$4),"")</f>
        <v/>
      </c>
      <c r="W1391" s="47">
        <f>IF(AND(B1391=Queue!$C$4,OR(Queue!$K$4="*",N1391=Queue!$K$4)),Q1391,"")</f>
        <v/>
      </c>
    </row>
    <row r="1392">
      <c r="A1392" s="38">
        <f>IF(M1392="","",HYPERLINK("https://www.youtube.com/watch?v="&amp;M1392,"▶"))</f>
        <v/>
      </c>
      <c r="B1392" s="39">
        <f>IF(C1392&lt;&gt;"",C1392,IF(P1392&lt;=IFERROR(INDEX(tblChannels[Watched Through],MATCH(N1392,tblChannels[Channel ID],0)),0),"Watched","Unwatched"))</f>
        <v/>
      </c>
      <c r="C1392" s="40" t="n"/>
      <c r="D1392" s="41" t="n"/>
      <c r="E1392" s="42" t="n">
        <v>44375.41666666666</v>
      </c>
      <c r="F1392" s="52" t="inlineStr">
        <is>
          <t>Super Carlin Gaming</t>
        </is>
      </c>
      <c r="G1392" t="inlineStr">
        <is>
          <t>THE EGG IS HATCHING |  Pokémon Soul Silver Randomizer Nuzlocke #3</t>
        </is>
      </c>
      <c r="H1392" s="44" t="n">
        <v>0.02961805555555556</v>
      </c>
      <c r="I1392" s="45" t="n">
        <v>42407</v>
      </c>
      <c r="J1392" s="45" t="n">
        <v>1957</v>
      </c>
      <c r="K1392" s="45" t="n">
        <v>635</v>
      </c>
      <c r="L1392" s="46" t="n"/>
      <c r="M1392" s="47" t="n"/>
      <c r="N1392" s="47" t="inlineStr">
        <is>
          <t>UCor_9jRnNNZVzTuQ92PKsaQ</t>
        </is>
      </c>
      <c r="O1392" s="48" t="n">
        <v>44375.58333333334</v>
      </c>
      <c r="P1392" s="49" t="n">
        <v>44375</v>
      </c>
      <c r="Q1392" s="47" t="n">
        <v>1876</v>
      </c>
      <c r="R1392" s="47" t="inlineStr">
        <is>
          <t>No Video ID yet</t>
        </is>
      </c>
      <c r="S1392" s="49" t="n"/>
      <c r="T1392" s="49" t="n"/>
      <c r="U1392" s="47" t="inlineStr">
        <is>
          <t>This week J, Miles and the team make their way to Azelia Town and try and catch as many new teammates as possible. Oh and also THE EGG IS HATCHING!!</t>
        </is>
      </c>
      <c r="V1392" s="47">
        <f>IF(AND(P1392&gt;=Calendar!$K$2,P1392&lt;EDATE(Calendar!$K$2,1),OR(Calendar!$K$4="*",N1392=Calendar!$K$4)),P1392*100+COUNTIFS($P$6:$P$3267,P1392,$Q$6:$Q$3267,"&lt;="&amp;Q1392,$N$6:$N$3267,Calendar!$K$4),"")</f>
        <v/>
      </c>
      <c r="W1392" s="47">
        <f>IF(AND(B1392=Queue!$C$4,OR(Queue!$K$4="*",N1392=Queue!$K$4)),Q1392,"")</f>
        <v/>
      </c>
    </row>
    <row r="1393">
      <c r="A1393" s="38">
        <f>IF(M1393="","",HYPERLINK("https://www.youtube.com/watch?v="&amp;M1393,"▶"))</f>
        <v/>
      </c>
      <c r="B1393" s="39">
        <f>IF(C1393&lt;&gt;"",C1393,IF(P1393&lt;=IFERROR(INDEX(tblChannels[Watched Through],MATCH(N1393,tblChannels[Channel ID],0)),0),"Watched","Unwatched"))</f>
        <v/>
      </c>
      <c r="C1393" s="40" t="n"/>
      <c r="D1393" s="41" t="n"/>
      <c r="E1393" s="42" t="n">
        <v>44372.75833333333</v>
      </c>
      <c r="F1393" s="52" t="inlineStr">
        <is>
          <t>Super Carlin Gaming</t>
        </is>
      </c>
      <c r="G1393" t="inlineStr">
        <is>
          <t>LIVE! MASSIVE POKÉMON CARD UNBOXING - CHILLING REIGN</t>
        </is>
      </c>
      <c r="H1393" s="44" t="n">
        <v>0.1228703703703704</v>
      </c>
      <c r="I1393" s="45" t="n">
        <v>9628</v>
      </c>
      <c r="J1393" s="45" t="n">
        <v>348</v>
      </c>
      <c r="K1393" s="45" t="n">
        <v>25</v>
      </c>
      <c r="L1393" s="46" t="n"/>
      <c r="M1393" s="47" t="n"/>
      <c r="N1393" s="47" t="inlineStr">
        <is>
          <t>UCor_9jRnNNZVzTuQ92PKsaQ</t>
        </is>
      </c>
      <c r="O1393" s="48" t="n">
        <v>44372.925</v>
      </c>
      <c r="P1393" s="49" t="n">
        <v>44372</v>
      </c>
      <c r="Q1393" s="47" t="n">
        <v>1875</v>
      </c>
      <c r="R1393" s="47" t="inlineStr">
        <is>
          <t>No Video ID yet</t>
        </is>
      </c>
      <c r="S1393" s="49" t="n"/>
      <c r="T1393" s="49" t="n"/>
      <c r="U1393" s="47" t="inlineStr">
        <is>
          <t>J &amp; Ben are closing out the week with a MASSIVE Unboxing of the latest Pokemon Card Set: Chilling Reign! The BIG cards we are chasing down are: Shadow Rider Calyrex VMAX, Blaziken VMAX (alt art), and Galarian Moltres V (alt art)</t>
        </is>
      </c>
      <c r="V1393" s="47">
        <f>IF(AND(P1393&gt;=Calendar!$K$2,P1393&lt;EDATE(Calendar!$K$2,1),OR(Calendar!$K$4="*",N1393=Calendar!$K$4)),P1393*100+COUNTIFS($P$6:$P$3267,P1393,$Q$6:$Q$3267,"&lt;="&amp;Q1393,$N$6:$N$3267,Calendar!$K$4),"")</f>
        <v/>
      </c>
      <c r="W1393" s="47">
        <f>IF(AND(B1393=Queue!$C$4,OR(Queue!$K$4="*",N1393=Queue!$K$4)),Q1393,"")</f>
        <v/>
      </c>
    </row>
    <row r="1394">
      <c r="A1394" s="38">
        <f>IF(M1394="","",HYPERLINK("https://www.youtube.com/watch?v="&amp;M1394,"▶"))</f>
        <v/>
      </c>
      <c r="B1394" s="39">
        <f>IF(C1394&lt;&gt;"",C1394,IF(P1394&lt;=IFERROR(INDEX(tblChannels[Watched Through],MATCH(N1394,tblChannels[Channel ID],0)),0),"Watched","Unwatched"))</f>
        <v/>
      </c>
      <c r="C1394" s="40" t="n"/>
      <c r="D1394" s="41" t="n"/>
      <c r="E1394" s="42" t="n">
        <v>44372.41666666666</v>
      </c>
      <c r="F1394" s="50" t="inlineStr">
        <is>
          <t>Super Carlin Brothers</t>
        </is>
      </c>
      <c r="G1394" t="inlineStr">
        <is>
          <t>Marshmallows Are The Worst | Popcorn Culture</t>
        </is>
      </c>
      <c r="H1394" s="44" t="n">
        <v>0.04604166666666667</v>
      </c>
      <c r="I1394" s="45" t="n">
        <v>21216</v>
      </c>
      <c r="J1394" s="45" t="n">
        <v>822</v>
      </c>
      <c r="K1394" s="45" t="n">
        <v>114</v>
      </c>
      <c r="L1394" s="46" t="n"/>
      <c r="M1394" s="47" t="n"/>
      <c r="N1394" s="47" t="inlineStr">
        <is>
          <t>UCKZo4N0lVPccBkSiuyVh4yg</t>
        </is>
      </c>
      <c r="O1394" s="48" t="n">
        <v>44372.58333333334</v>
      </c>
      <c r="P1394" s="49" t="n">
        <v>44372</v>
      </c>
      <c r="Q1394" s="47" t="n">
        <v>1874</v>
      </c>
      <c r="R1394" s="47" t="inlineStr">
        <is>
          <t>No Video ID yet</t>
        </is>
      </c>
      <c r="S1394" s="49" t="n"/>
      <c r="T1394" s="49" t="n"/>
      <c r="U1394" s="47" t="inlineStr">
        <is>
          <t>In the 81st Episode of the POP, Ben and J discuss: marshmallows, commercials, cryptocurrency, smoothies, feeling bad about doing good, COWS, coupons, forgiveness and empathy, and the One True Host! All About Marshmallows: Get your very own candle:</t>
        </is>
      </c>
      <c r="V1394" s="47">
        <f>IF(AND(P1394&gt;=Calendar!$K$2,P1394&lt;EDATE(Calendar!$K$2,1),OR(Calendar!$K$4="*",N1394=Calendar!$K$4)),P1394*100+COUNTIFS($P$6:$P$3267,P1394,$Q$6:$Q$3267,"&lt;="&amp;Q1394,$N$6:$N$3267,Calendar!$K$4),"")</f>
        <v/>
      </c>
      <c r="W1394" s="47">
        <f>IF(AND(B1394=Queue!$C$4,OR(Queue!$K$4="*",N1394=Queue!$K$4)),Q1394,"")</f>
        <v/>
      </c>
    </row>
    <row r="1395">
      <c r="A1395" s="38">
        <f>IF(M1395="","",HYPERLINK("https://www.youtube.com/watch?v="&amp;M1395,"▶"))</f>
        <v/>
      </c>
      <c r="B1395" s="39">
        <f>IF(C1395&lt;&gt;"",C1395,IF(P1395&lt;=IFERROR(INDEX(tblChannels[Watched Through],MATCH(N1395,tblChannels[Channel ID],0)),0),"Watched","Unwatched"))</f>
        <v/>
      </c>
      <c r="C1395" s="40" t="n"/>
      <c r="D1395" s="41" t="n"/>
      <c r="E1395" s="42" t="n">
        <v>44372.25</v>
      </c>
      <c r="F1395" s="43" t="inlineStr">
        <is>
          <t>Popcorn Culture</t>
        </is>
      </c>
      <c r="G1395" t="inlineStr">
        <is>
          <t>81 - Best Ways to Roast a Marshmallow</t>
        </is>
      </c>
      <c r="H1395" s="44" t="n">
        <v>0.04472222222222222</v>
      </c>
      <c r="I1395" s="45" t="n">
        <v>1445</v>
      </c>
      <c r="J1395" s="45" t="n">
        <v>69</v>
      </c>
      <c r="K1395" s="45" t="n">
        <v>5</v>
      </c>
      <c r="L1395" s="46" t="n"/>
      <c r="M1395" s="47" t="n"/>
      <c r="N1395" s="47" t="inlineStr">
        <is>
          <t>UCHfIbq9thHPC8yrKjAdJgDA</t>
        </is>
      </c>
      <c r="O1395" s="48" t="n">
        <v>44372.41666666666</v>
      </c>
      <c r="P1395" s="49" t="n">
        <v>44372</v>
      </c>
      <c r="Q1395" s="47" t="n">
        <v>1873</v>
      </c>
      <c r="R1395" s="47" t="inlineStr">
        <is>
          <t>No Video ID yet</t>
        </is>
      </c>
      <c r="S1395" s="49" t="n"/>
      <c r="T1395" s="49" t="n"/>
      <c r="U1395" s="47" t="inlineStr">
        <is>
          <t>Ben and J discuss: marshmallows, commercials, cryptocurrency, smoothies, feeling bad about doing good, COWS, coupons, forgiveness and empathy, and the One True Host! All About Marshmallows: Get your very own candle:</t>
        </is>
      </c>
      <c r="V1395" s="47">
        <f>IF(AND(P1395&gt;=Calendar!$K$2,P1395&lt;EDATE(Calendar!$K$2,1),OR(Calendar!$K$4="*",N1395=Calendar!$K$4)),P1395*100+COUNTIFS($P$6:$P$3267,P1395,$Q$6:$Q$3267,"&lt;="&amp;Q1395,$N$6:$N$3267,Calendar!$K$4),"")</f>
        <v/>
      </c>
      <c r="W1395" s="47">
        <f>IF(AND(B1395=Queue!$C$4,OR(Queue!$K$4="*",N1395=Queue!$K$4)),Q1395,"")</f>
        <v/>
      </c>
    </row>
    <row r="1396">
      <c r="A1396" s="38">
        <f>IF(M1396="","",HYPERLINK("https://www.youtube.com/watch?v="&amp;M1396,"▶"))</f>
        <v/>
      </c>
      <c r="B1396" s="39">
        <f>IF(C1396&lt;&gt;"",C1396,IF(P1396&lt;=IFERROR(INDEX(tblChannels[Watched Through],MATCH(N1396,tblChannels[Channel ID],0)),0),"Watched","Unwatched"))</f>
        <v/>
      </c>
      <c r="C1396" s="40" t="n"/>
      <c r="D1396" s="41" t="n"/>
      <c r="E1396" s="42" t="n">
        <v>44371.70486111111</v>
      </c>
      <c r="F1396" s="50" t="inlineStr">
        <is>
          <t>Super Carlin Brothers</t>
        </is>
      </c>
      <c r="G1396" t="inlineStr">
        <is>
          <t>What Happened To Alberto’s Father? | Pixar Theory</t>
        </is>
      </c>
      <c r="H1396" s="44" t="n">
        <v>0.009201388888888889</v>
      </c>
      <c r="I1396" s="45" t="n">
        <v>1981429</v>
      </c>
      <c r="J1396" s="45" t="n">
        <v>34421</v>
      </c>
      <c r="K1396" s="45" t="n">
        <v>2359</v>
      </c>
      <c r="L1396" s="46" t="n"/>
      <c r="M1396" s="47" t="n"/>
      <c r="N1396" s="47" t="inlineStr">
        <is>
          <t>UCKZo4N0lVPccBkSiuyVh4yg</t>
        </is>
      </c>
      <c r="O1396" s="48" t="n">
        <v>44371.87152777778</v>
      </c>
      <c r="P1396" s="49" t="n">
        <v>44371</v>
      </c>
      <c r="Q1396" s="47" t="n">
        <v>1872</v>
      </c>
      <c r="R1396" s="47" t="inlineStr">
        <is>
          <t>No Video ID yet</t>
        </is>
      </c>
      <c r="S1396" s="49" t="n"/>
      <c r="T1396" s="49" t="n"/>
      <c r="U1396" s="47" t="inlineStr">
        <is>
          <t>Go to and use code ‘SUPERCARLIN’ to get $5 off Magic Spoon Today Ben dives into Italian Riviera to discuss Pixar’s Luca and discover what happened to Alberto’s father! #SuperCarlinBrothers #Pixar #Luca</t>
        </is>
      </c>
      <c r="V1396" s="47">
        <f>IF(AND(P1396&gt;=Calendar!$K$2,P1396&lt;EDATE(Calendar!$K$2,1),OR(Calendar!$K$4="*",N1396=Calendar!$K$4)),P1396*100+COUNTIFS($P$6:$P$3267,P1396,$Q$6:$Q$3267,"&lt;="&amp;Q1396,$N$6:$N$3267,Calendar!$K$4),"")</f>
        <v/>
      </c>
      <c r="W1396" s="47">
        <f>IF(AND(B1396=Queue!$C$4,OR(Queue!$K$4="*",N1396=Queue!$K$4)),Q1396,"")</f>
        <v/>
      </c>
    </row>
    <row r="1397">
      <c r="A1397" s="38">
        <f>IF(M1397="","",HYPERLINK("https://www.youtube.com/watch?v="&amp;M1397,"▶"))</f>
        <v/>
      </c>
      <c r="B1397" s="39">
        <f>IF(C1397&lt;&gt;"",C1397,IF(P1397&lt;=IFERROR(INDEX(tblChannels[Watched Through],MATCH(N1397,tblChannels[Channel ID],0)),0),"Watched","Unwatched"))</f>
        <v/>
      </c>
      <c r="C1397" s="40" t="n"/>
      <c r="D1397" s="41" t="n"/>
      <c r="E1397" s="42" t="n">
        <v>44371.41666666666</v>
      </c>
      <c r="F1397" s="52" t="inlineStr">
        <is>
          <t>Super Carlin Gaming</t>
        </is>
      </c>
      <c r="G1397" t="inlineStr">
        <is>
          <t>7 Steps To Build a Competitive Pokemon Card Deck! [Feat: The Sableyes]</t>
        </is>
      </c>
      <c r="H1397" s="44" t="n">
        <v>0.02988425925925926</v>
      </c>
      <c r="I1397" s="45" t="n">
        <v>36042</v>
      </c>
      <c r="J1397" s="45" t="n">
        <v>752</v>
      </c>
      <c r="K1397" s="45" t="n">
        <v>50</v>
      </c>
      <c r="L1397" s="46" t="n"/>
      <c r="M1397" s="47" t="n"/>
      <c r="N1397" s="47" t="inlineStr">
        <is>
          <t>UCor_9jRnNNZVzTuQ92PKsaQ</t>
        </is>
      </c>
      <c r="O1397" s="48" t="n">
        <v>44371.58333333334</v>
      </c>
      <c r="P1397" s="49" t="n">
        <v>44371</v>
      </c>
      <c r="Q1397" s="47" t="n">
        <v>1871</v>
      </c>
      <c r="R1397" s="47" t="inlineStr">
        <is>
          <t>No Video ID yet</t>
        </is>
      </c>
      <c r="S1397" s="49" t="n"/>
      <c r="T1397" s="49" t="n"/>
      <c r="U1397" s="47" t="inlineStr">
        <is>
          <t>Today J dives into the world the Pokemon Trading Card Game Online, and teams up with Mitch from the Sableyes to learn his 7 steps for building a competitive deck. Together they craft an "UNSTOPPABLE" Eternatus VMAX deck feat. Galarian Moltres! See Mitch Play THIS Deck in action :: youtu.be/7JGlJalcinI Subscribe to The Sableyes :: ****** Pokémon Trading Card Game Deck List ****** ##Pokémon - 20 * 4 Crobat V DAA 104 * 4 Eternatus V SHF 194 * 2 Galarian Moltres V CRE 97 * 4 Galarian Zigzagoon SSH 117 * 1 Liepard V CRE 104 * 1 Yveltal TEU 95 * 4 Eternatus VMAX SHF 195 ##Trainer Cards - 30 * 4 Quick Ball SSH 179 * 4 Switch EVO 88 * 3 Boss's Orders RCL 200 * 2 Chaotic Swell CEC 187 * 4 Pokémon Communication TEU 152 * 4 Professor's Research CPA 62 * 3 Great Ball SSH 164 * 3 Marnie CPA 56 * 3 Energy Switch SSH 162 ##Energy - 10 * 3 Weakness Guard Energy UNM 213 * 7 Darkness Energy Energy 7 Total Cards - 60 ****** Deck List Generated by the Pokémon TCG Online www.pokemon.com/TCGO ******</t>
        </is>
      </c>
      <c r="V1397" s="47">
        <f>IF(AND(P1397&gt;=Calendar!$K$2,P1397&lt;EDATE(Calendar!$K$2,1),OR(Calendar!$K$4="*",N1397=Calendar!$K$4)),P1397*100+COUNTIFS($P$6:$P$3267,P1397,$Q$6:$Q$3267,"&lt;="&amp;Q1397,$N$6:$N$3267,Calendar!$K$4),"")</f>
        <v/>
      </c>
      <c r="W1397" s="47">
        <f>IF(AND(B1397=Queue!$C$4,OR(Queue!$K$4="*",N1397=Queue!$K$4)),Q1397,"")</f>
        <v/>
      </c>
    </row>
    <row r="1398">
      <c r="A1398" s="38">
        <f>IF(M1398="","",HYPERLINK("https://www.youtube.com/watch?v="&amp;M1398,"▶"))</f>
        <v/>
      </c>
      <c r="B1398" s="39">
        <f>IF(C1398&lt;&gt;"",C1398,IF(P1398&lt;=IFERROR(INDEX(tblChannels[Watched Through],MATCH(N1398,tblChannels[Channel ID],0)),0),"Watched","Unwatched"))</f>
        <v/>
      </c>
      <c r="C1398" s="40" t="n"/>
      <c r="D1398" s="41" t="n"/>
      <c r="E1398" s="42" t="n">
        <v>44370.41666666666</v>
      </c>
      <c r="F1398" s="52" t="inlineStr">
        <is>
          <t>Super Carlin Gaming</t>
        </is>
      </c>
      <c r="G1398" t="inlineStr">
        <is>
          <t>A LITERAL Cannon For An Arm |  Pokémon SoulSilver Randomizer Nuzlocke #2</t>
        </is>
      </c>
      <c r="H1398" s="44" t="n">
        <v>0.02458333333333333</v>
      </c>
      <c r="I1398" s="45" t="n">
        <v>44905</v>
      </c>
      <c r="J1398" s="45" t="n">
        <v>2907</v>
      </c>
      <c r="K1398" s="45" t="n">
        <v>818</v>
      </c>
      <c r="L1398" s="46" t="n"/>
      <c r="M1398" s="47" t="n"/>
      <c r="N1398" s="47" t="inlineStr">
        <is>
          <t>UCor_9jRnNNZVzTuQ92PKsaQ</t>
        </is>
      </c>
      <c r="O1398" s="48" t="n">
        <v>44370.58333333334</v>
      </c>
      <c r="P1398" s="49" t="n">
        <v>44370</v>
      </c>
      <c r="Q1398" s="47" t="n">
        <v>1870</v>
      </c>
      <c r="R1398" s="47" t="inlineStr">
        <is>
          <t>No Video ID yet</t>
        </is>
      </c>
      <c r="S1398" s="49" t="n"/>
      <c r="T1398" s="49" t="n"/>
      <c r="U1398" s="47" t="inlineStr">
        <is>
          <t>Today J, Miles and the team take on Bellsprout Tower and attempt to win their first Gym Badge against Falkner! Can the team survive these treacherous battles? Will J remember to buy Pokeballs?!</t>
        </is>
      </c>
      <c r="V1398" s="47">
        <f>IF(AND(P1398&gt;=Calendar!$K$2,P1398&lt;EDATE(Calendar!$K$2,1),OR(Calendar!$K$4="*",N1398=Calendar!$K$4)),P1398*100+COUNTIFS($P$6:$P$3267,P1398,$Q$6:$Q$3267,"&lt;="&amp;Q1398,$N$6:$N$3267,Calendar!$K$4),"")</f>
        <v/>
      </c>
      <c r="W1398" s="47">
        <f>IF(AND(B1398=Queue!$C$4,OR(Queue!$K$4="*",N1398=Queue!$K$4)),Q1398,"")</f>
        <v/>
      </c>
    </row>
    <row r="1399">
      <c r="A1399" s="38">
        <f>IF(M1399="","",HYPERLINK("https://www.youtube.com/watch?v="&amp;M1399,"▶"))</f>
        <v/>
      </c>
      <c r="B1399" s="39">
        <f>IF(C1399&lt;&gt;"",C1399,IF(P1399&lt;=IFERROR(INDEX(tblChannels[Watched Through],MATCH(N1399,tblChannels[Channel ID],0)),0),"Watched","Unwatched"))</f>
        <v/>
      </c>
      <c r="C1399" s="40" t="n"/>
      <c r="D1399" s="41" t="n"/>
      <c r="E1399" s="42" t="n">
        <v>44369.79375</v>
      </c>
      <c r="F1399" s="50" t="inlineStr">
        <is>
          <t>Super Carlin Brothers</t>
        </is>
      </c>
      <c r="G1399" t="inlineStr">
        <is>
          <t>LUCA REVIEW: Pixar's New Best? [J vs Ben]</t>
        </is>
      </c>
      <c r="H1399" s="44" t="n">
        <v>0.03909722222222222</v>
      </c>
      <c r="I1399" s="45" t="n">
        <v>310496</v>
      </c>
      <c r="J1399" s="45" t="n">
        <v>8103</v>
      </c>
      <c r="K1399" s="45" t="n">
        <v>1777</v>
      </c>
      <c r="L1399" s="46" t="n"/>
      <c r="M1399" s="47" t="n"/>
      <c r="N1399" s="47" t="inlineStr">
        <is>
          <t>UCKZo4N0lVPccBkSiuyVh4yg</t>
        </is>
      </c>
      <c r="O1399" s="48" t="n">
        <v>44369.96041666667</v>
      </c>
      <c r="P1399" s="49" t="n">
        <v>44369</v>
      </c>
      <c r="Q1399" s="47" t="n">
        <v>1869</v>
      </c>
      <c r="R1399" s="47" t="inlineStr">
        <is>
          <t>No Video ID yet</t>
        </is>
      </c>
      <c r="S1399" s="49" t="n"/>
      <c r="T1399" s="49" t="n"/>
      <c r="U1399" s="47" t="inlineStr">
        <is>
          <t>Visit to get Honey for free! Get 20% off your first monthly box when you sign up at and enter the code SUPER at checkout! Today J and Ben give their full spoiler review of Pixar's latest animated movie and discuss how it expertly represents friendship, jealously, marginalization and pasta.</t>
        </is>
      </c>
      <c r="V1399" s="47">
        <f>IF(AND(P1399&gt;=Calendar!$K$2,P1399&lt;EDATE(Calendar!$K$2,1),OR(Calendar!$K$4="*",N1399=Calendar!$K$4)),P1399*100+COUNTIFS($P$6:$P$3267,P1399,$Q$6:$Q$3267,"&lt;="&amp;Q1399,$N$6:$N$3267,Calendar!$K$4),"")</f>
        <v/>
      </c>
      <c r="W1399" s="47">
        <f>IF(AND(B1399=Queue!$C$4,OR(Queue!$K$4="*",N1399=Queue!$K$4)),Q1399,"")</f>
        <v/>
      </c>
    </row>
    <row r="1400">
      <c r="A1400" s="38">
        <f>IF(M1400="","",HYPERLINK("https://www.youtube.com/watch?v="&amp;M1400,"▶"))</f>
        <v/>
      </c>
      <c r="B1400" s="39">
        <f>IF(C1400&lt;&gt;"",C1400,IF(P1400&lt;=IFERROR(INDEX(tblChannels[Watched Through],MATCH(N1400,tblChannels[Channel ID],0)),0),"Watched","Unwatched"))</f>
        <v/>
      </c>
      <c r="C1400" s="40" t="n"/>
      <c r="D1400" s="41" t="n"/>
      <c r="E1400" s="42" t="n">
        <v>44368.41666666666</v>
      </c>
      <c r="F1400" s="52" t="inlineStr">
        <is>
          <t>Super Carlin Gaming</t>
        </is>
      </c>
      <c r="G1400" t="inlineStr">
        <is>
          <t>Choosing Our Starter! |  Pokémon SoulSilver Randomizer Nuzlocke #1</t>
        </is>
      </c>
      <c r="H1400" s="44" t="n">
        <v>0.03265046296296296</v>
      </c>
      <c r="I1400" s="45" t="n">
        <v>108387</v>
      </c>
      <c r="J1400" s="45" t="n">
        <v>3725</v>
      </c>
      <c r="K1400" s="45" t="n">
        <v>1063</v>
      </c>
      <c r="L1400" s="46" t="n"/>
      <c r="M1400" s="47" t="n"/>
      <c r="N1400" s="47" t="inlineStr">
        <is>
          <t>UCor_9jRnNNZVzTuQ92PKsaQ</t>
        </is>
      </c>
      <c r="O1400" s="48" t="n">
        <v>44368.58333333334</v>
      </c>
      <c r="P1400" s="49" t="n">
        <v>44368</v>
      </c>
      <c r="Q1400" s="47" t="n">
        <v>1868</v>
      </c>
      <c r="R1400" s="47" t="inlineStr">
        <is>
          <t>No Video ID yet</t>
        </is>
      </c>
      <c r="S1400" s="49" t="n"/>
      <c r="T1400" s="49" t="n"/>
      <c r="U1400" s="47" t="inlineStr">
        <is>
          <t>Today a new journey begins as J sets off on a Randomizer Nuzlocke challenge through SoulSilver and the Johto region! Who will our new starter be and can the survive the first encounter with our Rival?! FIND OUT!</t>
        </is>
      </c>
      <c r="V1400" s="47">
        <f>IF(AND(P1400&gt;=Calendar!$K$2,P1400&lt;EDATE(Calendar!$K$2,1),OR(Calendar!$K$4="*",N1400=Calendar!$K$4)),P1400*100+COUNTIFS($P$6:$P$3267,P1400,$Q$6:$Q$3267,"&lt;="&amp;Q1400,$N$6:$N$3267,Calendar!$K$4),"")</f>
        <v/>
      </c>
      <c r="W1400" s="47">
        <f>IF(AND(B1400=Queue!$C$4,OR(Queue!$K$4="*",N1400=Queue!$K$4)),Q1400,"")</f>
        <v/>
      </c>
    </row>
    <row r="1401">
      <c r="A1401" s="38">
        <f>IF(M1401="","",HYPERLINK("https://www.youtube.com/watch?v="&amp;M1401,"▶"))</f>
        <v/>
      </c>
      <c r="B1401" s="39">
        <f>IF(C1401&lt;&gt;"",C1401,IF(P1401&lt;=IFERROR(INDEX(tblChannels[Watched Through],MATCH(N1401,tblChannels[Channel ID],0)),0),"Watched","Unwatched"))</f>
        <v/>
      </c>
      <c r="C1401" s="40" t="n"/>
      <c r="D1401" s="41" t="n"/>
      <c r="E1401" s="42" t="n">
        <v>44365.41666666666</v>
      </c>
      <c r="F1401" s="50" t="inlineStr">
        <is>
          <t>Super Carlin Brothers</t>
        </is>
      </c>
      <c r="G1401" t="inlineStr">
        <is>
          <t>Your Personal Hotseat | Popcorn Culture</t>
        </is>
      </c>
      <c r="H1401" s="44" t="n">
        <v>0.04842592592592593</v>
      </c>
      <c r="I1401" s="45" t="n">
        <v>19304</v>
      </c>
      <c r="J1401" s="45" t="n">
        <v>863</v>
      </c>
      <c r="K1401" s="45" t="n">
        <v>147</v>
      </c>
      <c r="L1401" s="46" t="n"/>
      <c r="M1401" s="47" t="n"/>
      <c r="N1401" s="47" t="inlineStr">
        <is>
          <t>UCKZo4N0lVPccBkSiuyVh4yg</t>
        </is>
      </c>
      <c r="O1401" s="48" t="n">
        <v>44365.58333333334</v>
      </c>
      <c r="P1401" s="49" t="n">
        <v>44365</v>
      </c>
      <c r="Q1401" s="47" t="n">
        <v>1867</v>
      </c>
      <c r="R1401" s="47" t="inlineStr">
        <is>
          <t>No Video ID yet</t>
        </is>
      </c>
      <c r="S1401" s="49" t="n"/>
      <c r="T1401" s="49" t="n"/>
      <c r="U1401" s="47" t="inlineStr">
        <is>
          <t>In the 80th Episode of the Pop, Ben and J discuss: bad smelling things, past worst moves, life stats, resentment, how to deal with conflict, forgiveness, the one dollar difference, and slide ideas. Sign up for Quarterly Exclusive Merch including the One True Plush Trophy! Bingo card: Showers vs Baths: Get your very own candle:</t>
        </is>
      </c>
      <c r="V1401" s="47">
        <f>IF(AND(P1401&gt;=Calendar!$K$2,P1401&lt;EDATE(Calendar!$K$2,1),OR(Calendar!$K$4="*",N1401=Calendar!$K$4)),P1401*100+COUNTIFS($P$6:$P$3267,P1401,$Q$6:$Q$3267,"&lt;="&amp;Q1401,$N$6:$N$3267,Calendar!$K$4),"")</f>
        <v/>
      </c>
      <c r="W1401" s="47">
        <f>IF(AND(B1401=Queue!$C$4,OR(Queue!$K$4="*",N1401=Queue!$K$4)),Q1401,"")</f>
        <v/>
      </c>
    </row>
    <row r="1402">
      <c r="A1402" s="38">
        <f>IF(M1402="","",HYPERLINK("https://www.youtube.com/watch?v="&amp;M1402,"▶"))</f>
        <v/>
      </c>
      <c r="B1402" s="39">
        <f>IF(C1402&lt;&gt;"",C1402,IF(P1402&lt;=IFERROR(INDEX(tblChannels[Watched Through],MATCH(N1402,tblChannels[Channel ID],0)),0),"Watched","Unwatched"))</f>
        <v/>
      </c>
      <c r="C1402" s="40" t="n"/>
      <c r="D1402" s="41" t="n"/>
      <c r="E1402" s="42" t="n">
        <v>44365.25</v>
      </c>
      <c r="F1402" s="43" t="inlineStr">
        <is>
          <t>Popcorn Culture</t>
        </is>
      </c>
      <c r="G1402" t="inlineStr">
        <is>
          <t>80 - Your Personal Hotseat</t>
        </is>
      </c>
      <c r="H1402" s="44" t="n">
        <v>0.04686342592592593</v>
      </c>
      <c r="I1402" s="45" t="n">
        <v>1167</v>
      </c>
      <c r="J1402" s="45" t="n">
        <v>59</v>
      </c>
      <c r="K1402" s="45" t="n">
        <v>3</v>
      </c>
      <c r="L1402" s="46" t="n"/>
      <c r="M1402" s="47" t="n"/>
      <c r="N1402" s="47" t="inlineStr">
        <is>
          <t>UCHfIbq9thHPC8yrKjAdJgDA</t>
        </is>
      </c>
      <c r="O1402" s="48" t="n">
        <v>44365.41666666666</v>
      </c>
      <c r="P1402" s="49" t="n">
        <v>44365</v>
      </c>
      <c r="Q1402" s="47" t="n">
        <v>1866</v>
      </c>
      <c r="R1402" s="47" t="inlineStr">
        <is>
          <t>No Video ID yet</t>
        </is>
      </c>
      <c r="S1402" s="49" t="n"/>
      <c r="T1402" s="49" t="n"/>
      <c r="U1402" s="47" t="inlineStr">
        <is>
          <t>Ben and J discuss: bad smelling things, past worst moves, life stats, resentment, how to deal with conflict, forgiveness, the one-dollar difference, and slide ideas. Showers vs Baths: Get your very own candle:</t>
        </is>
      </c>
      <c r="V1402" s="47">
        <f>IF(AND(P1402&gt;=Calendar!$K$2,P1402&lt;EDATE(Calendar!$K$2,1),OR(Calendar!$K$4="*",N1402=Calendar!$K$4)),P1402*100+COUNTIFS($P$6:$P$3267,P1402,$Q$6:$Q$3267,"&lt;="&amp;Q1402,$N$6:$N$3267,Calendar!$K$4),"")</f>
        <v/>
      </c>
      <c r="W1402" s="47">
        <f>IF(AND(B1402=Queue!$C$4,OR(Queue!$K$4="*",N1402=Queue!$K$4)),Q1402,"")</f>
        <v/>
      </c>
    </row>
    <row r="1403">
      <c r="A1403" s="38">
        <f>IF(M1403="","",HYPERLINK("https://www.youtube.com/watch?v="&amp;M1403,"▶"))</f>
        <v/>
      </c>
      <c r="B1403" s="39">
        <f>IF(C1403&lt;&gt;"",C1403,IF(P1403&lt;=IFERROR(INDEX(tblChannels[Watched Through],MATCH(N1403,tblChannels[Channel ID],0)),0),"Watched","Unwatched"))</f>
        <v/>
      </c>
      <c r="C1403" s="40" t="n"/>
      <c r="D1403" s="41" t="n"/>
      <c r="E1403" s="42" t="n">
        <v>44364.78472222222</v>
      </c>
      <c r="F1403" s="50" t="inlineStr">
        <is>
          <t>Super Carlin Brothers</t>
        </is>
      </c>
      <c r="G1403" t="inlineStr">
        <is>
          <t>Wait.. Did Loki SURVIVE Thanos In Infinity War? | Marvel Theory</t>
        </is>
      </c>
      <c r="H1403" s="44" t="n">
        <v>0.01111111111111111</v>
      </c>
      <c r="I1403" s="45" t="n">
        <v>238329</v>
      </c>
      <c r="J1403" s="45" t="n">
        <v>11455</v>
      </c>
      <c r="K1403" s="45" t="n">
        <v>1268</v>
      </c>
      <c r="L1403" s="46" t="n"/>
      <c r="M1403" s="47" t="n"/>
      <c r="N1403" s="47" t="inlineStr">
        <is>
          <t>UCKZo4N0lVPccBkSiuyVh4yg</t>
        </is>
      </c>
      <c r="O1403" s="48" t="n">
        <v>44364.95138888889</v>
      </c>
      <c r="P1403" s="49" t="n">
        <v>44364</v>
      </c>
      <c r="Q1403" s="47" t="n">
        <v>1865</v>
      </c>
      <c r="R1403" s="47" t="inlineStr">
        <is>
          <t>No Video ID yet</t>
        </is>
      </c>
      <c r="S1403" s="49" t="n"/>
      <c r="T1403" s="49" t="n"/>
      <c r="U1403" s="47" t="inlineStr">
        <is>
          <t>Go to to get 10% off your first month of BetterHelp! Today Ben dives into the wild world of Disney Plus’ LOKI to try and figure out who the true villain is, what Lady Loki is up to, and if Thanos failed to kill Loki at all in Infinity War! #SuperCarlinBrothers #marvel #Loki</t>
        </is>
      </c>
      <c r="V1403" s="47">
        <f>IF(AND(P1403&gt;=Calendar!$K$2,P1403&lt;EDATE(Calendar!$K$2,1),OR(Calendar!$K$4="*",N1403=Calendar!$K$4)),P1403*100+COUNTIFS($P$6:$P$3267,P1403,$Q$6:$Q$3267,"&lt;="&amp;Q1403,$N$6:$N$3267,Calendar!$K$4),"")</f>
        <v/>
      </c>
      <c r="W1403" s="47">
        <f>IF(AND(B1403=Queue!$C$4,OR(Queue!$K$4="*",N1403=Queue!$K$4)),Q1403,"")</f>
        <v/>
      </c>
    </row>
    <row r="1404">
      <c r="A1404" s="38">
        <f>IF(M1404="","",HYPERLINK("https://www.youtube.com/watch?v="&amp;M1404,"▶"))</f>
        <v/>
      </c>
      <c r="B1404" s="39">
        <f>IF(C1404&lt;&gt;"",C1404,IF(P1404&lt;=IFERROR(INDEX(tblChannels[Watched Through],MATCH(N1404,tblChannels[Channel ID],0)),0),"Watched","Unwatched"))</f>
        <v/>
      </c>
      <c r="C1404" s="40" t="n"/>
      <c r="D1404" s="41" t="n"/>
      <c r="E1404" s="42" t="n">
        <v>44363.53888888889</v>
      </c>
      <c r="F1404" s="52" t="inlineStr">
        <is>
          <t>Super Carlin Gaming</t>
        </is>
      </c>
      <c r="G1404" t="inlineStr">
        <is>
          <t>NEW NUZLOCKE | Teaser Trailer</t>
        </is>
      </c>
      <c r="H1404" s="44" t="n">
        <v>0.0005787037037037037</v>
      </c>
      <c r="I1404" s="45" t="n">
        <v>9293</v>
      </c>
      <c r="J1404" s="45" t="n">
        <v>1111</v>
      </c>
      <c r="K1404" s="45" t="n">
        <v>267</v>
      </c>
      <c r="L1404" s="46" t="n"/>
      <c r="M1404" s="47" t="n"/>
      <c r="N1404" s="47" t="inlineStr">
        <is>
          <t>UCor_9jRnNNZVzTuQ92PKsaQ</t>
        </is>
      </c>
      <c r="O1404" s="48" t="n">
        <v>44363.70555555556</v>
      </c>
      <c r="P1404" s="49" t="n">
        <v>44363</v>
      </c>
      <c r="Q1404" s="47" t="n">
        <v>1864</v>
      </c>
      <c r="R1404" s="47" t="inlineStr">
        <is>
          <t>No Video ID yet</t>
        </is>
      </c>
      <c r="S1404" s="49" t="n"/>
      <c r="T1404" s="49" t="n"/>
      <c r="U1404" s="47" t="inlineStr">
        <is>
          <t>Coming June 21st.. THE SUPER CARLIN GAMING SOUL SILVER RANDOMIZER NUZLOCKE CHALLENGE!</t>
        </is>
      </c>
      <c r="V1404" s="47">
        <f>IF(AND(P1404&gt;=Calendar!$K$2,P1404&lt;EDATE(Calendar!$K$2,1),OR(Calendar!$K$4="*",N1404=Calendar!$K$4)),P1404*100+COUNTIFS($P$6:$P$3267,P1404,$Q$6:$Q$3267,"&lt;="&amp;Q1404,$N$6:$N$3267,Calendar!$K$4),"")</f>
        <v/>
      </c>
      <c r="W1404" s="47">
        <f>IF(AND(B1404=Queue!$C$4,OR(Queue!$K$4="*",N1404=Queue!$K$4)),Q1404,"")</f>
        <v/>
      </c>
    </row>
    <row r="1405">
      <c r="A1405" s="38">
        <f>IF(M1405="","",HYPERLINK("https://www.youtube.com/watch?v="&amp;M1405,"▶"))</f>
        <v/>
      </c>
      <c r="B1405" s="39">
        <f>IF(C1405&lt;&gt;"",C1405,IF(P1405&lt;=IFERROR(INDEX(tblChannels[Watched Through],MATCH(N1405,tblChannels[Channel ID],0)),0),"Watched","Unwatched"))</f>
        <v/>
      </c>
      <c r="C1405" s="40" t="n"/>
      <c r="D1405" s="41" t="n"/>
      <c r="E1405" s="42" t="n">
        <v>44362.68958333333</v>
      </c>
      <c r="F1405" s="50" t="inlineStr">
        <is>
          <t>Super Carlin Brothers</t>
        </is>
      </c>
      <c r="G1405" t="inlineStr">
        <is>
          <t>Lady Loki Is Coming | Marvel Theory</t>
        </is>
      </c>
      <c r="H1405" s="44" t="n">
        <v>0.01015046296296296</v>
      </c>
      <c r="I1405" s="45" t="n">
        <v>100379</v>
      </c>
      <c r="J1405" s="45" t="n">
        <v>6140</v>
      </c>
      <c r="K1405" s="45" t="n">
        <v>1539</v>
      </c>
      <c r="L1405" s="46" t="n"/>
      <c r="M1405" s="47" t="n"/>
      <c r="N1405" s="47" t="inlineStr">
        <is>
          <t>UCKZo4N0lVPccBkSiuyVh4yg</t>
        </is>
      </c>
      <c r="O1405" s="48" t="n">
        <v>44362.85625</v>
      </c>
      <c r="P1405" s="49" t="n">
        <v>44362</v>
      </c>
      <c r="Q1405" s="47" t="n">
        <v>1863</v>
      </c>
      <c r="R1405" s="47" t="inlineStr">
        <is>
          <t>No Video ID yet</t>
        </is>
      </c>
      <c r="S1405" s="49" t="n"/>
      <c r="T1405" s="49" t="n"/>
      <c r="U1405" s="47" t="inlineStr">
        <is>
          <t>Go to to get an extra 3 months FREE on a 1-year package. Today J dives into the Marvel Cinematic Universe to breakdown LOKI Season 1 Episode 1! Is Lady Loki coming? Young Loki? Is Marvel building a Young Avengers Team? Who is the Devil? Mephisto? Nightmare? What about the Kablooie blue Gum?! #SuperCarlinBrothers #marvel #Loki</t>
        </is>
      </c>
      <c r="V1405" s="47">
        <f>IF(AND(P1405&gt;=Calendar!$K$2,P1405&lt;EDATE(Calendar!$K$2,1),OR(Calendar!$K$4="*",N1405=Calendar!$K$4)),P1405*100+COUNTIFS($P$6:$P$3267,P1405,$Q$6:$Q$3267,"&lt;="&amp;Q1405,$N$6:$N$3267,Calendar!$K$4),"")</f>
        <v/>
      </c>
      <c r="W1405" s="47">
        <f>IF(AND(B1405=Queue!$C$4,OR(Queue!$K$4="*",N1405=Queue!$K$4)),Q1405,"")</f>
        <v/>
      </c>
    </row>
    <row r="1406">
      <c r="A1406" s="38">
        <f>IF(M1406="","",HYPERLINK("https://www.youtube.com/watch?v="&amp;M1406,"▶"))</f>
        <v/>
      </c>
      <c r="B1406" s="39">
        <f>IF(C1406&lt;&gt;"",C1406,IF(P1406&lt;=IFERROR(INDEX(tblChannels[Watched Through],MATCH(N1406,tblChannels[Channel ID],0)),0),"Watched","Unwatched"))</f>
        <v/>
      </c>
      <c r="C1406" s="40" t="n"/>
      <c r="D1406" s="41" t="n"/>
      <c r="E1406" s="42" t="n">
        <v>44358.41666666666</v>
      </c>
      <c r="F1406" s="50" t="inlineStr">
        <is>
          <t>Super Carlin Brothers</t>
        </is>
      </c>
      <c r="G1406" t="inlineStr">
        <is>
          <t>There are GIANT SLOTHS?!? | Popcorn Culture</t>
        </is>
      </c>
      <c r="H1406" s="44" t="n">
        <v>0.05143518518518519</v>
      </c>
      <c r="I1406" s="45" t="n">
        <v>22162</v>
      </c>
      <c r="J1406" s="45" t="n">
        <v>957</v>
      </c>
      <c r="K1406" s="45" t="n">
        <v>161</v>
      </c>
      <c r="L1406" s="46" t="n"/>
      <c r="M1406" s="47" t="n"/>
      <c r="N1406" s="47" t="inlineStr">
        <is>
          <t>UCKZo4N0lVPccBkSiuyVh4yg</t>
        </is>
      </c>
      <c r="O1406" s="48" t="n">
        <v>44358.58333333334</v>
      </c>
      <c r="P1406" s="49" t="n">
        <v>44358</v>
      </c>
      <c r="Q1406" s="47" t="n">
        <v>1862</v>
      </c>
      <c r="R1406" s="47" t="inlineStr">
        <is>
          <t>No Video ID yet</t>
        </is>
      </c>
      <c r="S1406" s="49" t="n"/>
      <c r="T1406" s="49" t="n"/>
      <c r="U1406" s="47" t="inlineStr">
        <is>
          <t>In the 79th episode of the Pop, Ben and J discuss: wedding dresses, mountain biking, boy scouts, sleepover struggles, dad magic, professional validation, card games, dinosaurs, numbers and letters, and the Bachelorette. Ombre - Order of the Arrow: Pectus: Why were dinosaurs so big: Giant Land Sloth: New Alphabet Song: Get your very own candle:</t>
        </is>
      </c>
      <c r="V1406" s="47">
        <f>IF(AND(P1406&gt;=Calendar!$K$2,P1406&lt;EDATE(Calendar!$K$2,1),OR(Calendar!$K$4="*",N1406=Calendar!$K$4)),P1406*100+COUNTIFS($P$6:$P$3267,P1406,$Q$6:$Q$3267,"&lt;="&amp;Q1406,$N$6:$N$3267,Calendar!$K$4),"")</f>
        <v/>
      </c>
      <c r="W1406" s="47">
        <f>IF(AND(B1406=Queue!$C$4,OR(Queue!$K$4="*",N1406=Queue!$K$4)),Q1406,"")</f>
        <v/>
      </c>
    </row>
    <row r="1407">
      <c r="A1407" s="38">
        <f>IF(M1407="","",HYPERLINK("https://www.youtube.com/watch?v="&amp;M1407,"▶"))</f>
        <v/>
      </c>
      <c r="B1407" s="39">
        <f>IF(C1407&lt;&gt;"",C1407,IF(P1407&lt;=IFERROR(INDEX(tblChannels[Watched Through],MATCH(N1407,tblChannels[Channel ID],0)),0),"Watched","Unwatched"))</f>
        <v/>
      </c>
      <c r="C1407" s="40" t="n"/>
      <c r="D1407" s="41" t="n"/>
      <c r="E1407" s="42" t="n">
        <v>44358.25</v>
      </c>
      <c r="F1407" s="43" t="inlineStr">
        <is>
          <t>Popcorn Culture</t>
        </is>
      </c>
      <c r="G1407" t="inlineStr">
        <is>
          <t>79 - There Were GIANT Sloths?!?</t>
        </is>
      </c>
      <c r="H1407" s="44" t="n">
        <v>0.04986111111111111</v>
      </c>
      <c r="I1407" s="45" t="n">
        <v>1207</v>
      </c>
      <c r="J1407" s="45" t="n">
        <v>60</v>
      </c>
      <c r="K1407" s="45" t="n">
        <v>10</v>
      </c>
      <c r="L1407" s="46" t="n"/>
      <c r="M1407" s="47" t="n"/>
      <c r="N1407" s="47" t="inlineStr">
        <is>
          <t>UCHfIbq9thHPC8yrKjAdJgDA</t>
        </is>
      </c>
      <c r="O1407" s="48" t="n">
        <v>44358.41666666666</v>
      </c>
      <c r="P1407" s="49" t="n">
        <v>44358</v>
      </c>
      <c r="Q1407" s="47" t="n">
        <v>1861</v>
      </c>
      <c r="R1407" s="47" t="inlineStr">
        <is>
          <t>No Video ID yet</t>
        </is>
      </c>
      <c r="S1407" s="49" t="n"/>
      <c r="T1407" s="49" t="n"/>
      <c r="U1407" s="47" t="inlineStr">
        <is>
          <t>Ben and J discuss: wedding dresses, mountain biking, boy scouts, sleepover struggles, dad magic, professional validation, card games, dinosaurs, numbers and letters, and the Bachelorette. Ombre - Order of the Arrow: Pectus: Why were dinosaurs so big: Giant Land Sloth: New Alphabet Song: Get your very own candle:</t>
        </is>
      </c>
      <c r="V1407" s="47">
        <f>IF(AND(P1407&gt;=Calendar!$K$2,P1407&lt;EDATE(Calendar!$K$2,1),OR(Calendar!$K$4="*",N1407=Calendar!$K$4)),P1407*100+COUNTIFS($P$6:$P$3267,P1407,$Q$6:$Q$3267,"&lt;="&amp;Q1407,$N$6:$N$3267,Calendar!$K$4),"")</f>
        <v/>
      </c>
      <c r="W1407" s="47">
        <f>IF(AND(B1407=Queue!$C$4,OR(Queue!$K$4="*",N1407=Queue!$K$4)),Q1407,"")</f>
        <v/>
      </c>
    </row>
    <row r="1408">
      <c r="A1408" s="38">
        <f>IF(M1408="","",HYPERLINK("https://www.youtube.com/watch?v="&amp;M1408,"▶"))</f>
        <v/>
      </c>
      <c r="B1408" s="39">
        <f>IF(C1408&lt;&gt;"",C1408,IF(P1408&lt;=IFERROR(INDEX(tblChannels[Watched Through],MATCH(N1408,tblChannels[Channel ID],0)),0),"Watched","Unwatched"))</f>
        <v/>
      </c>
      <c r="C1408" s="40" t="n"/>
      <c r="D1408" s="41" t="n"/>
      <c r="E1408" s="42" t="n">
        <v>44357.69097222222</v>
      </c>
      <c r="F1408" s="50" t="inlineStr">
        <is>
          <t>Super Carlin Brothers</t>
        </is>
      </c>
      <c r="G1408" t="inlineStr">
        <is>
          <t>J vs Ben: HARDEST LOKI TRIVIA QUIZ</t>
        </is>
      </c>
      <c r="H1408" s="44" t="n">
        <v>0.0224537037037037</v>
      </c>
      <c r="I1408" s="45" t="n">
        <v>169686</v>
      </c>
      <c r="J1408" s="45" t="n">
        <v>7560</v>
      </c>
      <c r="K1408" s="45" t="n">
        <v>774</v>
      </c>
      <c r="L1408" s="46" t="n"/>
      <c r="M1408" s="47" t="n"/>
      <c r="N1408" s="47" t="inlineStr">
        <is>
          <t>UCKZo4N0lVPccBkSiuyVh4yg</t>
        </is>
      </c>
      <c r="O1408" s="48" t="n">
        <v>44357.85763888889</v>
      </c>
      <c r="P1408" s="49" t="n">
        <v>44357</v>
      </c>
      <c r="Q1408" s="47" t="n">
        <v>1860</v>
      </c>
      <c r="R1408" s="47" t="inlineStr">
        <is>
          <t>No Video ID yet</t>
        </is>
      </c>
      <c r="S1408" s="49" t="n"/>
      <c r="T1408" s="49" t="n"/>
      <c r="U1408" s="47" t="inlineStr">
        <is>
          <t>Download the DoorDash app in the App Store and enter code JVSB2021 to get 25% off and zero delivery fees on your first order! Go to to get 10% off plus free shipping! Where Is Loki The Rightful Heir To? What Did Thanos Give Loki In A Deal For The Tesseract? What Were Loki's Last Words To Thanos? In celebration of his new show on Disney Plus Today J and Ben face off once more to find out who knows more about the God of Mischief LOKI! #SuperCarlinBrothers #marvel #Loki #jvsben Check out Nerdsync ::</t>
        </is>
      </c>
      <c r="V1408" s="47">
        <f>IF(AND(P1408&gt;=Calendar!$K$2,P1408&lt;EDATE(Calendar!$K$2,1),OR(Calendar!$K$4="*",N1408=Calendar!$K$4)),P1408*100+COUNTIFS($P$6:$P$3267,P1408,$Q$6:$Q$3267,"&lt;="&amp;Q1408,$N$6:$N$3267,Calendar!$K$4),"")</f>
        <v/>
      </c>
      <c r="W1408" s="47">
        <f>IF(AND(B1408=Queue!$C$4,OR(Queue!$K$4="*",N1408=Queue!$K$4)),Q1408,"")</f>
        <v/>
      </c>
    </row>
    <row r="1409">
      <c r="A1409" s="38">
        <f>IF(M1409="","",HYPERLINK("https://www.youtube.com/watch?v="&amp;M1409,"▶"))</f>
        <v/>
      </c>
      <c r="B1409" s="39">
        <f>IF(C1409&lt;&gt;"",C1409,IF(P1409&lt;=IFERROR(INDEX(tblChannels[Watched Through],MATCH(N1409,tblChannels[Channel ID],0)),0),"Watched","Unwatched"))</f>
        <v/>
      </c>
      <c r="C1409" s="40" t="n"/>
      <c r="D1409" s="41" t="n"/>
      <c r="E1409" s="42" t="n">
        <v>44355.68680555555</v>
      </c>
      <c r="F1409" s="50" t="inlineStr">
        <is>
          <t>Super Carlin Brothers</t>
        </is>
      </c>
      <c r="G1409" t="inlineStr">
        <is>
          <t>Floo Powder’s SECRET Ingredient | Harry Potter Theory</t>
        </is>
      </c>
      <c r="H1409" s="44" t="n">
        <v>0.0109837962962963</v>
      </c>
      <c r="I1409" s="45" t="n">
        <v>388086</v>
      </c>
      <c r="J1409" s="45" t="n">
        <v>16000</v>
      </c>
      <c r="K1409" s="45" t="n">
        <v>1615</v>
      </c>
      <c r="L1409" s="46" t="n"/>
      <c r="M1409" s="47" t="n"/>
      <c r="N1409" s="47" t="inlineStr">
        <is>
          <t>UCKZo4N0lVPccBkSiuyVh4yg</t>
        </is>
      </c>
      <c r="O1409" s="48" t="n">
        <v>44355.85347222222</v>
      </c>
      <c r="P1409" s="49" t="n">
        <v>44355</v>
      </c>
      <c r="Q1409" s="47" t="n">
        <v>1859</v>
      </c>
      <c r="R1409" s="47" t="inlineStr">
        <is>
          <t>No Video ID yet</t>
        </is>
      </c>
      <c r="S1409" s="49" t="n"/>
      <c r="T1409" s="49" t="n"/>
      <c r="U1409" s="47" t="inlineStr">
        <is>
          <t>Go to and use code SCB to save $75 on your starter kit! Ever wonder what makes Floo Powder work? Today J dives into the Wizarding World of Harry Potter to try and solve the secret ingredient that makes Floo Powder work, and why nobody has been able to crack the code until now!</t>
        </is>
      </c>
      <c r="V1409" s="47">
        <f>IF(AND(P1409&gt;=Calendar!$K$2,P1409&lt;EDATE(Calendar!$K$2,1),OR(Calendar!$K$4="*",N1409=Calendar!$K$4)),P1409*100+COUNTIFS($P$6:$P$3267,P1409,$Q$6:$Q$3267,"&lt;="&amp;Q1409,$N$6:$N$3267,Calendar!$K$4),"")</f>
        <v/>
      </c>
      <c r="W1409" s="47">
        <f>IF(AND(B1409=Queue!$C$4,OR(Queue!$K$4="*",N1409=Queue!$K$4)),Q1409,"")</f>
        <v/>
      </c>
    </row>
    <row r="1410">
      <c r="A1410" s="38">
        <f>IF(M1410="","",HYPERLINK("https://www.youtube.com/watch?v="&amp;M1410,"▶"))</f>
        <v/>
      </c>
      <c r="B1410" s="39">
        <f>IF(C1410&lt;&gt;"",C1410,IF(P1410&lt;=IFERROR(INDEX(tblChannels[Watched Through],MATCH(N1410,tblChannels[Channel ID],0)),0),"Watched","Unwatched"))</f>
        <v/>
      </c>
      <c r="C1410" s="40" t="n"/>
      <c r="D1410" s="41" t="n"/>
      <c r="E1410" s="42" t="n">
        <v>44354.41666666666</v>
      </c>
      <c r="F1410" s="52" t="inlineStr">
        <is>
          <t>Super Carlin Gaming</t>
        </is>
      </c>
      <c r="G1410" t="inlineStr">
        <is>
          <t>THE FINAL BATTLE |  Pokémon LeafGreen Randomizer Nuzlocke #22</t>
        </is>
      </c>
      <c r="H1410" s="44" t="n">
        <v>0.03966435185185185</v>
      </c>
      <c r="I1410" s="45" t="n">
        <v>22815</v>
      </c>
      <c r="J1410" s="45" t="n">
        <v>1615</v>
      </c>
      <c r="K1410" s="45" t="n">
        <v>507</v>
      </c>
      <c r="L1410" s="46" t="n"/>
      <c r="M1410" s="47" t="n"/>
      <c r="N1410" s="47" t="inlineStr">
        <is>
          <t>UCor_9jRnNNZVzTuQ92PKsaQ</t>
        </is>
      </c>
      <c r="O1410" s="48" t="n">
        <v>44354.58333333334</v>
      </c>
      <c r="P1410" s="49" t="n">
        <v>44354</v>
      </c>
      <c r="Q1410" s="47" t="n">
        <v>1858</v>
      </c>
      <c r="R1410" s="47" t="inlineStr">
        <is>
          <t>No Video ID yet</t>
        </is>
      </c>
      <c r="S1410" s="49" t="n"/>
      <c r="T1410" s="49" t="n"/>
      <c r="U1410" s="47" t="inlineStr">
        <is>
          <t>Today J, Happy, Sporkles and the team attempt to take on the Elite 4 and the Champion! Win, Lose or Draw, it all ends here!</t>
        </is>
      </c>
      <c r="V1410" s="47">
        <f>IF(AND(P1410&gt;=Calendar!$K$2,P1410&lt;EDATE(Calendar!$K$2,1),OR(Calendar!$K$4="*",N1410=Calendar!$K$4)),P1410*100+COUNTIFS($P$6:$P$3267,P1410,$Q$6:$Q$3267,"&lt;="&amp;Q1410,$N$6:$N$3267,Calendar!$K$4),"")</f>
        <v/>
      </c>
      <c r="W1410" s="47">
        <f>IF(AND(B1410=Queue!$C$4,OR(Queue!$K$4="*",N1410=Queue!$K$4)),Q1410,"")</f>
        <v/>
      </c>
    </row>
    <row r="1411">
      <c r="A1411" s="38">
        <f>IF(M1411="","",HYPERLINK("https://www.youtube.com/watch?v="&amp;M1411,"▶"))</f>
        <v/>
      </c>
      <c r="B1411" s="39">
        <f>IF(C1411&lt;&gt;"",C1411,IF(P1411&lt;=IFERROR(INDEX(tblChannels[Watched Through],MATCH(N1411,tblChannels[Channel ID],0)),0),"Watched","Unwatched"))</f>
        <v/>
      </c>
      <c r="C1411" s="40" t="n"/>
      <c r="D1411" s="41" t="n"/>
      <c r="E1411" s="42" t="n">
        <v>44351.41666666666</v>
      </c>
      <c r="F1411" s="50" t="inlineStr">
        <is>
          <t>Super Carlin Brothers</t>
        </is>
      </c>
      <c r="G1411" t="inlineStr">
        <is>
          <t>The Cupcake Dilemma | Popcorn Culture</t>
        </is>
      </c>
      <c r="H1411" s="44" t="n">
        <v>0.05521990740740741</v>
      </c>
      <c r="I1411" s="45" t="n">
        <v>30528</v>
      </c>
      <c r="J1411" s="45" t="n">
        <v>1021</v>
      </c>
      <c r="K1411" s="45" t="n">
        <v>162</v>
      </c>
      <c r="L1411" s="46" t="n"/>
      <c r="M1411" s="47" t="n"/>
      <c r="N1411" s="47" t="inlineStr">
        <is>
          <t>UCKZo4N0lVPccBkSiuyVh4yg</t>
        </is>
      </c>
      <c r="O1411" s="48" t="n">
        <v>44351.58333333334</v>
      </c>
      <c r="P1411" s="49" t="n">
        <v>44351</v>
      </c>
      <c r="Q1411" s="47" t="n">
        <v>1857</v>
      </c>
      <c r="R1411" s="47" t="inlineStr">
        <is>
          <t>No Video ID yet</t>
        </is>
      </c>
      <c r="S1411" s="49" t="n"/>
      <c r="T1411" s="49" t="n"/>
      <c r="U1411" s="47" t="inlineStr">
        <is>
          <t>In the 78th episode of the Pop, Ben and J discuss: cakes and cupcakes, strong opinions, nerd credibility, Pokemon cards, Ben's Boat "The Maime", philosophy revisit, the social contract, and morality. Bubblecake (#notsponsored): Ship of Theseus: Prisoner’s Dilemma Game Show: Cooperate or Cheat Game: Stages of Moral Development: Get your very own candle: #PopcornCulture #SuperCarlinBrothers</t>
        </is>
      </c>
      <c r="V1411" s="47">
        <f>IF(AND(P1411&gt;=Calendar!$K$2,P1411&lt;EDATE(Calendar!$K$2,1),OR(Calendar!$K$4="*",N1411=Calendar!$K$4)),P1411*100+COUNTIFS($P$6:$P$3267,P1411,$Q$6:$Q$3267,"&lt;="&amp;Q1411,$N$6:$N$3267,Calendar!$K$4),"")</f>
        <v/>
      </c>
      <c r="W1411" s="47">
        <f>IF(AND(B1411=Queue!$C$4,OR(Queue!$K$4="*",N1411=Queue!$K$4)),Q1411,"")</f>
        <v/>
      </c>
    </row>
    <row r="1412">
      <c r="A1412" s="38">
        <f>IF(M1412="","",HYPERLINK("https://www.youtube.com/watch?v="&amp;M1412,"▶"))</f>
        <v/>
      </c>
      <c r="B1412" s="39">
        <f>IF(C1412&lt;&gt;"",C1412,IF(P1412&lt;=IFERROR(INDEX(tblChannels[Watched Through],MATCH(N1412,tblChannels[Channel ID],0)),0),"Watched","Unwatched"))</f>
        <v/>
      </c>
      <c r="C1412" s="40" t="n"/>
      <c r="D1412" s="41" t="n"/>
      <c r="E1412" s="42" t="n">
        <v>44351.25</v>
      </c>
      <c r="F1412" s="43" t="inlineStr">
        <is>
          <t>Popcorn Culture</t>
        </is>
      </c>
      <c r="G1412" t="inlineStr">
        <is>
          <t>78 - The Cupcake Dilemma</t>
        </is>
      </c>
      <c r="H1412" s="44" t="n">
        <v>0.05359953703703704</v>
      </c>
      <c r="I1412" s="45" t="n">
        <v>1603</v>
      </c>
      <c r="J1412" s="45" t="n">
        <v>64</v>
      </c>
      <c r="K1412" s="45" t="n">
        <v>4</v>
      </c>
      <c r="L1412" s="46" t="n"/>
      <c r="M1412" s="47" t="n"/>
      <c r="N1412" s="47" t="inlineStr">
        <is>
          <t>UCHfIbq9thHPC8yrKjAdJgDA</t>
        </is>
      </c>
      <c r="O1412" s="48" t="n">
        <v>44351.41666666666</v>
      </c>
      <c r="P1412" s="49" t="n">
        <v>44351</v>
      </c>
      <c r="Q1412" s="47" t="n">
        <v>1856</v>
      </c>
      <c r="R1412" s="47" t="inlineStr">
        <is>
          <t>No Video ID yet</t>
        </is>
      </c>
      <c r="S1412" s="49" t="n"/>
      <c r="T1412" s="49" t="n"/>
      <c r="U1412" s="47" t="inlineStr">
        <is>
          <t>Ben and J discuss: cakes and cupcakes, strong opinions, nerd credibility, Pokemon cards, the Maime, philosophy revisit, the social contract, and morality. Bubblecake (#notsponsored): Ship of Theseus: Prisoner’s Dilemma Game Show: Cooperate or Cheat Game: Stages of Moral Development: Get your very own candle:</t>
        </is>
      </c>
      <c r="V1412" s="47">
        <f>IF(AND(P1412&gt;=Calendar!$K$2,P1412&lt;EDATE(Calendar!$K$2,1),OR(Calendar!$K$4="*",N1412=Calendar!$K$4)),P1412*100+COUNTIFS($P$6:$P$3267,P1412,$Q$6:$Q$3267,"&lt;="&amp;Q1412,$N$6:$N$3267,Calendar!$K$4),"")</f>
        <v/>
      </c>
      <c r="W1412" s="47">
        <f>IF(AND(B1412=Queue!$C$4,OR(Queue!$K$4="*",N1412=Queue!$K$4)),Q1412,"")</f>
        <v/>
      </c>
    </row>
    <row r="1413">
      <c r="A1413" s="38">
        <f>IF(M1413="","",HYPERLINK("https://www.youtube.com/watch?v="&amp;M1413,"▶"))</f>
        <v/>
      </c>
      <c r="B1413" s="39">
        <f>IF(C1413&lt;&gt;"",C1413,IF(P1413&lt;=IFERROR(INDEX(tblChannels[Watched Through],MATCH(N1413,tblChannels[Channel ID],0)),0),"Watched","Unwatched"))</f>
        <v/>
      </c>
      <c r="C1413" s="40" t="n"/>
      <c r="D1413" s="41" t="n"/>
      <c r="E1413" s="42" t="n">
        <v>44350.69583333333</v>
      </c>
      <c r="F1413" s="50" t="inlineStr">
        <is>
          <t>Super Carlin Brothers</t>
        </is>
      </c>
      <c r="G1413" t="inlineStr">
        <is>
          <t>The SECRET Descendents of Ravenclaw | Harry Potter Theory</t>
        </is>
      </c>
      <c r="H1413" s="44" t="n">
        <v>0.01216435185185185</v>
      </c>
      <c r="I1413" s="45" t="n">
        <v>404334</v>
      </c>
      <c r="J1413" s="45" t="n">
        <v>15945</v>
      </c>
      <c r="K1413" s="45" t="n">
        <v>1597</v>
      </c>
      <c r="L1413" s="46" t="n"/>
      <c r="M1413" s="47" t="n"/>
      <c r="N1413" s="47" t="inlineStr">
        <is>
          <t>UCKZo4N0lVPccBkSiuyVh4yg</t>
        </is>
      </c>
      <c r="O1413" s="48" t="n">
        <v>44350.8625</v>
      </c>
      <c r="P1413" s="49" t="n">
        <v>44350</v>
      </c>
      <c r="Q1413" s="47" t="n">
        <v>1855</v>
      </c>
      <c r="R1413" s="47" t="inlineStr">
        <is>
          <t>No Video ID yet</t>
        </is>
      </c>
      <c r="S1413" s="49" t="n"/>
      <c r="T1413" s="49" t="n"/>
      <c r="U1413" s="47" t="inlineStr">
        <is>
          <t>Head on over to to get 10% off! Today Ben dives into the Wizarding World of Harry Potter to uncover a Black Family secret: They are all descendants of Ravenclaw just not Rowena Ravenclaw...</t>
        </is>
      </c>
      <c r="V1413" s="47">
        <f>IF(AND(P1413&gt;=Calendar!$K$2,P1413&lt;EDATE(Calendar!$K$2,1),OR(Calendar!$K$4="*",N1413=Calendar!$K$4)),P1413*100+COUNTIFS($P$6:$P$3267,P1413,$Q$6:$Q$3267,"&lt;="&amp;Q1413,$N$6:$N$3267,Calendar!$K$4),"")</f>
        <v/>
      </c>
      <c r="W1413" s="47">
        <f>IF(AND(B1413=Queue!$C$4,OR(Queue!$K$4="*",N1413=Queue!$K$4)),Q1413,"")</f>
        <v/>
      </c>
    </row>
    <row r="1414">
      <c r="A1414" s="38">
        <f>IF(M1414="","",HYPERLINK("https://www.youtube.com/watch?v="&amp;M1414,"▶"))</f>
        <v/>
      </c>
      <c r="B1414" s="39">
        <f>IF(C1414&lt;&gt;"",C1414,IF(P1414&lt;=IFERROR(INDEX(tblChannels[Watched Through],MATCH(N1414,tblChannels[Channel ID],0)),0),"Watched","Unwatched"))</f>
        <v/>
      </c>
      <c r="C1414" s="40" t="n"/>
      <c r="D1414" s="41" t="n"/>
      <c r="E1414" s="42" t="n">
        <v>44349.41666666666</v>
      </c>
      <c r="F1414" s="52" t="inlineStr">
        <is>
          <t>Super Carlin Gaming</t>
        </is>
      </c>
      <c r="G1414" t="inlineStr">
        <is>
          <t>DESTINY AWAITS.. |  Pokémon LeafGreen Randomizer Nuzlocke #21</t>
        </is>
      </c>
      <c r="H1414" s="44" t="n">
        <v>0.03944444444444444</v>
      </c>
      <c r="I1414" s="45" t="n">
        <v>23353</v>
      </c>
      <c r="J1414" s="45" t="n">
        <v>1485</v>
      </c>
      <c r="K1414" s="45" t="n">
        <v>552</v>
      </c>
      <c r="L1414" s="46" t="n"/>
      <c r="M1414" s="47" t="n"/>
      <c r="N1414" s="47" t="inlineStr">
        <is>
          <t>UCor_9jRnNNZVzTuQ92PKsaQ</t>
        </is>
      </c>
      <c r="O1414" s="48" t="n">
        <v>44349.58333333334</v>
      </c>
      <c r="P1414" s="49" t="n">
        <v>44349</v>
      </c>
      <c r="Q1414" s="47" t="n">
        <v>1854</v>
      </c>
      <c r="R1414" s="47" t="inlineStr">
        <is>
          <t>No Video ID yet</t>
        </is>
      </c>
      <c r="S1414" s="49" t="n"/>
      <c r="T1414" s="49" t="n"/>
      <c r="U1414" s="47" t="inlineStr">
        <is>
          <t>This week J, Happy, Sporkles and the team head to Victory Road to take on our hardest route of trainers yet and prepare for the Elite 4! Can the team survive the final path to destiny!?</t>
        </is>
      </c>
      <c r="V1414" s="47">
        <f>IF(AND(P1414&gt;=Calendar!$K$2,P1414&lt;EDATE(Calendar!$K$2,1),OR(Calendar!$K$4="*",N1414=Calendar!$K$4)),P1414*100+COUNTIFS($P$6:$P$3267,P1414,$Q$6:$Q$3267,"&lt;="&amp;Q1414,$N$6:$N$3267,Calendar!$K$4),"")</f>
        <v/>
      </c>
      <c r="W1414" s="47">
        <f>IF(AND(B1414=Queue!$C$4,OR(Queue!$K$4="*",N1414=Queue!$K$4)),Q1414,"")</f>
        <v/>
      </c>
    </row>
    <row r="1415">
      <c r="A1415" s="38">
        <f>IF(M1415="","",HYPERLINK("https://www.youtube.com/watch?v="&amp;M1415,"▶"))</f>
        <v/>
      </c>
      <c r="B1415" s="39">
        <f>IF(C1415&lt;&gt;"",C1415,IF(P1415&lt;=IFERROR(INDEX(tblChannels[Watched Through],MATCH(N1415,tblChannels[Channel ID],0)),0),"Watched","Unwatched"))</f>
        <v/>
      </c>
      <c r="C1415" s="40" t="n"/>
      <c r="D1415" s="41" t="n"/>
      <c r="E1415" s="42" t="n">
        <v>44348.72152777778</v>
      </c>
      <c r="F1415" s="50" t="inlineStr">
        <is>
          <t>Super Carlin Brothers</t>
        </is>
      </c>
      <c r="G1415" t="inlineStr">
        <is>
          <t>Mrs. Norris is a Maledictus SOLVED | Harry Potter Theory</t>
        </is>
      </c>
      <c r="H1415" s="44" t="n">
        <v>0.01082175925925926</v>
      </c>
      <c r="I1415" s="45" t="n">
        <v>493467</v>
      </c>
      <c r="J1415" s="45" t="n">
        <v>18821</v>
      </c>
      <c r="K1415" s="45" t="n">
        <v>2655</v>
      </c>
      <c r="L1415" s="46" t="n"/>
      <c r="M1415" s="47" t="n"/>
      <c r="N1415" s="47" t="inlineStr">
        <is>
          <t>UCKZo4N0lVPccBkSiuyVh4yg</t>
        </is>
      </c>
      <c r="O1415" s="48" t="n">
        <v>44348.88819444444</v>
      </c>
      <c r="P1415" s="49" t="n">
        <v>44348</v>
      </c>
      <c r="Q1415" s="47" t="n">
        <v>1853</v>
      </c>
      <c r="R1415" s="47" t="inlineStr">
        <is>
          <t>No Video ID yet</t>
        </is>
      </c>
      <c r="S1415" s="49" t="n"/>
      <c r="T1415" s="49" t="n"/>
      <c r="U1415" s="47" t="inlineStr">
        <is>
          <t>Go to or text ‘SUPERCARLIN’ to 500-500! Don’t Hate! Join GESTATE! :: Today J dives into the Wizarding World of Harry Potter to get to the bottom Mrs. Norris and prove once and for all that she MUST have been a Maledictus. It all comes down to the map! #SuperCarlinBrothers #HarryPotter #GESTATE</t>
        </is>
      </c>
      <c r="V1415" s="47">
        <f>IF(AND(P1415&gt;=Calendar!$K$2,P1415&lt;EDATE(Calendar!$K$2,1),OR(Calendar!$K$4="*",N1415=Calendar!$K$4)),P1415*100+COUNTIFS($P$6:$P$3267,P1415,$Q$6:$Q$3267,"&lt;="&amp;Q1415,$N$6:$N$3267,Calendar!$K$4),"")</f>
        <v/>
      </c>
      <c r="W1415" s="47">
        <f>IF(AND(B1415=Queue!$C$4,OR(Queue!$K$4="*",N1415=Queue!$K$4)),Q1415,"")</f>
        <v/>
      </c>
    </row>
    <row r="1416">
      <c r="A1416" s="38">
        <f>IF(M1416="","",HYPERLINK("https://www.youtube.com/watch?v="&amp;M1416,"▶"))</f>
        <v/>
      </c>
      <c r="B1416" s="39">
        <f>IF(C1416&lt;&gt;"",C1416,IF(P1416&lt;=IFERROR(INDEX(tblChannels[Watched Through],MATCH(N1416,tblChannels[Channel ID],0)),0),"Watched","Unwatched"))</f>
        <v/>
      </c>
      <c r="C1416" s="40" t="n"/>
      <c r="D1416" s="41" t="n"/>
      <c r="E1416" s="42" t="n">
        <v>44347.41666666666</v>
      </c>
      <c r="F1416" s="52" t="inlineStr">
        <is>
          <t>Super Carlin Gaming</t>
        </is>
      </c>
      <c r="G1416" t="inlineStr">
        <is>
          <t>THE BATTLE OF SEAFOAM |  Pokémon LeafGreen Randomizer Nuzlocke #20</t>
        </is>
      </c>
      <c r="H1416" s="44" t="n">
        <v>0.03111111111111111</v>
      </c>
      <c r="I1416" s="45" t="n">
        <v>20004</v>
      </c>
      <c r="J1416" s="45" t="n">
        <v>2136</v>
      </c>
      <c r="K1416" s="45" t="n">
        <v>471</v>
      </c>
      <c r="L1416" s="46" t="n"/>
      <c r="M1416" s="47" t="n"/>
      <c r="N1416" s="47" t="inlineStr">
        <is>
          <t>UCor_9jRnNNZVzTuQ92PKsaQ</t>
        </is>
      </c>
      <c r="O1416" s="48" t="n">
        <v>44347.58333333334</v>
      </c>
      <c r="P1416" s="49" t="n">
        <v>44347</v>
      </c>
      <c r="Q1416" s="47" t="n">
        <v>1852</v>
      </c>
      <c r="R1416" s="47" t="inlineStr">
        <is>
          <t>No Video ID yet</t>
        </is>
      </c>
      <c r="S1416" s="49" t="n"/>
      <c r="T1416" s="49" t="n"/>
      <c r="U1416" s="47" t="inlineStr">
        <is>
          <t>This week J, Happy, Sporkles and the team head to the Seafoam Islands to try and hunt down another legendary Pokemon, and THIS TIME they bring a legendary of their own!</t>
        </is>
      </c>
      <c r="V1416" s="47">
        <f>IF(AND(P1416&gt;=Calendar!$K$2,P1416&lt;EDATE(Calendar!$K$2,1),OR(Calendar!$K$4="*",N1416=Calendar!$K$4)),P1416*100+COUNTIFS($P$6:$P$3267,P1416,$Q$6:$Q$3267,"&lt;="&amp;Q1416,$N$6:$N$3267,Calendar!$K$4),"")</f>
        <v/>
      </c>
      <c r="W1416" s="47">
        <f>IF(AND(B1416=Queue!$C$4,OR(Queue!$K$4="*",N1416=Queue!$K$4)),Q1416,"")</f>
        <v/>
      </c>
    </row>
    <row r="1417">
      <c r="A1417" s="38">
        <f>IF(M1417="","",HYPERLINK("https://www.youtube.com/watch?v="&amp;M1417,"▶"))</f>
        <v/>
      </c>
      <c r="B1417" s="39">
        <f>IF(C1417&lt;&gt;"",C1417,IF(P1417&lt;=IFERROR(INDEX(tblChannels[Watched Through],MATCH(N1417,tblChannels[Channel ID],0)),0),"Watched","Unwatched"))</f>
        <v/>
      </c>
      <c r="C1417" s="40" t="n"/>
      <c r="D1417" s="41" t="n"/>
      <c r="E1417" s="42" t="n">
        <v>44344.41666666666</v>
      </c>
      <c r="F1417" s="50" t="inlineStr">
        <is>
          <t>Super Carlin Brothers</t>
        </is>
      </c>
      <c r="G1417" t="inlineStr">
        <is>
          <t>Which Superhero Was Right? | Popcorn Culture</t>
        </is>
      </c>
      <c r="H1417" s="44" t="n">
        <v>0.05501157407407407</v>
      </c>
      <c r="I1417" s="45" t="n">
        <v>48049</v>
      </c>
      <c r="J1417" s="45" t="n">
        <v>1566</v>
      </c>
      <c r="K1417" s="45" t="n">
        <v>187</v>
      </c>
      <c r="L1417" s="46" t="n"/>
      <c r="M1417" s="47" t="n"/>
      <c r="N1417" s="47" t="inlineStr">
        <is>
          <t>UCKZo4N0lVPccBkSiuyVh4yg</t>
        </is>
      </c>
      <c r="O1417" s="48" t="n">
        <v>44344.58333333334</v>
      </c>
      <c r="P1417" s="49" t="n">
        <v>44344</v>
      </c>
      <c r="Q1417" s="47" t="n">
        <v>1851</v>
      </c>
      <c r="R1417" s="47" t="inlineStr">
        <is>
          <t>No Video ID yet</t>
        </is>
      </c>
      <c r="S1417" s="49" t="n"/>
      <c r="T1417" s="49" t="n"/>
      <c r="U1417" s="47" t="inlineStr">
        <is>
          <t>In the 77th Episode of the Pop, Ben and J discuss: dream cars and car modifications, the mid-life crisis, superhero philosophy, courage and consideration, and how to pick a restaurant for a group. Thanos’s Plan Wouldn’t Work: Deontology: New Patreon Tiers: Highlight’s Magazine (#notspon): Coyote Videos: #PopcornCulture #SuperCarlinBrothers</t>
        </is>
      </c>
      <c r="V1417" s="47">
        <f>IF(AND(P1417&gt;=Calendar!$K$2,P1417&lt;EDATE(Calendar!$K$2,1),OR(Calendar!$K$4="*",N1417=Calendar!$K$4)),P1417*100+COUNTIFS($P$6:$P$3267,P1417,$Q$6:$Q$3267,"&lt;="&amp;Q1417,$N$6:$N$3267,Calendar!$K$4),"")</f>
        <v/>
      </c>
      <c r="W1417" s="47">
        <f>IF(AND(B1417=Queue!$C$4,OR(Queue!$K$4="*",N1417=Queue!$K$4)),Q1417,"")</f>
        <v/>
      </c>
    </row>
    <row r="1418">
      <c r="A1418" s="38">
        <f>IF(M1418="","",HYPERLINK("https://www.youtube.com/watch?v="&amp;M1418,"▶"))</f>
        <v/>
      </c>
      <c r="B1418" s="39">
        <f>IF(C1418&lt;&gt;"",C1418,IF(P1418&lt;=IFERROR(INDEX(tblChannels[Watched Through],MATCH(N1418,tblChannels[Channel ID],0)),0),"Watched","Unwatched"))</f>
        <v/>
      </c>
      <c r="C1418" s="40" t="n"/>
      <c r="D1418" s="41" t="n"/>
      <c r="E1418" s="42" t="n">
        <v>44344.25</v>
      </c>
      <c r="F1418" s="43" t="inlineStr">
        <is>
          <t>Popcorn Culture</t>
        </is>
      </c>
      <c r="G1418" t="inlineStr">
        <is>
          <t>77 - Are We Too Old For Subwoofers?</t>
        </is>
      </c>
      <c r="H1418" s="44" t="n">
        <v>0.05369212962962963</v>
      </c>
      <c r="I1418" s="45" t="n">
        <v>1258</v>
      </c>
      <c r="J1418" s="45" t="n">
        <v>61</v>
      </c>
      <c r="K1418" s="45" t="n">
        <v>4</v>
      </c>
      <c r="L1418" s="46" t="n"/>
      <c r="M1418" s="47" t="n"/>
      <c r="N1418" s="47" t="inlineStr">
        <is>
          <t>UCHfIbq9thHPC8yrKjAdJgDA</t>
        </is>
      </c>
      <c r="O1418" s="48" t="n">
        <v>44344.41666666666</v>
      </c>
      <c r="P1418" s="49" t="n">
        <v>44344</v>
      </c>
      <c r="Q1418" s="47" t="n">
        <v>1850</v>
      </c>
      <c r="R1418" s="47" t="inlineStr">
        <is>
          <t>No Video ID yet</t>
        </is>
      </c>
      <c r="S1418" s="49" t="n"/>
      <c r="T1418" s="49" t="n"/>
      <c r="U1418" s="47" t="inlineStr">
        <is>
          <t>Ben and J discuss: dream cars and car modifications, the mid-life crisis, superhero philosophy, courage and consideration, and how to pick a restaurant for a group. Thanos’s Plan Wouldn’t Work: Deontology: New Patreon Tiers: Highlight’s Magazine (#notspon): Coyote Videos:</t>
        </is>
      </c>
      <c r="V1418" s="47">
        <f>IF(AND(P1418&gt;=Calendar!$K$2,P1418&lt;EDATE(Calendar!$K$2,1),OR(Calendar!$K$4="*",N1418=Calendar!$K$4)),P1418*100+COUNTIFS($P$6:$P$3267,P1418,$Q$6:$Q$3267,"&lt;="&amp;Q1418,$N$6:$N$3267,Calendar!$K$4),"")</f>
        <v/>
      </c>
      <c r="W1418" s="47">
        <f>IF(AND(B1418=Queue!$C$4,OR(Queue!$K$4="*",N1418=Queue!$K$4)),Q1418,"")</f>
        <v/>
      </c>
    </row>
    <row r="1419">
      <c r="A1419" s="38">
        <f>IF(M1419="","",HYPERLINK("https://www.youtube.com/watch?v="&amp;M1419,"▶"))</f>
        <v/>
      </c>
      <c r="B1419" s="39">
        <f>IF(C1419&lt;&gt;"",C1419,IF(P1419&lt;=IFERROR(INDEX(tblChannels[Watched Through],MATCH(N1419,tblChannels[Channel ID],0)),0),"Watched","Unwatched"))</f>
        <v/>
      </c>
      <c r="C1419" s="40" t="n"/>
      <c r="D1419" s="41" t="n"/>
      <c r="E1419" s="42" t="n">
        <v>44343.68125</v>
      </c>
      <c r="F1419" s="50" t="inlineStr">
        <is>
          <t>Super Carlin Brothers</t>
        </is>
      </c>
      <c r="G1419" t="inlineStr">
        <is>
          <t>J vs Ben: HARDEST Harry Potter Portraits TRIVIA Quiz</t>
        </is>
      </c>
      <c r="H1419" s="44" t="n">
        <v>0.01622685185185185</v>
      </c>
      <c r="I1419" s="45" t="n">
        <v>204576</v>
      </c>
      <c r="J1419" s="45" t="n">
        <v>8335</v>
      </c>
      <c r="K1419" s="45" t="n">
        <v>650</v>
      </c>
      <c r="L1419" s="46" t="n"/>
      <c r="M1419" s="47" t="n"/>
      <c r="N1419" s="47" t="inlineStr">
        <is>
          <t>UCKZo4N0lVPccBkSiuyVh4yg</t>
        </is>
      </c>
      <c r="O1419" s="48" t="n">
        <v>44343.84791666667</v>
      </c>
      <c r="P1419" s="49" t="n">
        <v>44343</v>
      </c>
      <c r="Q1419" s="47" t="n">
        <v>1849</v>
      </c>
      <c r="R1419" s="47" t="inlineStr">
        <is>
          <t>No Video ID yet</t>
        </is>
      </c>
      <c r="S1419" s="49" t="n"/>
      <c r="T1419" s="49" t="n"/>
      <c r="U1419" s="47" t="inlineStr">
        <is>
          <t>Download the DoorDash app in the App Store and enter code JVSB2021 to get 25% off and zero delivery fees on your first order! Visit to get Honey for free! Today J and Ben face off once more to determine who is the greater art lover and who knows the most about the Portraits in Hogwarts castle! Sign up for the 10k and your finisher medal here: Check out the 13-week "Couch to 10k" Program here: #JvsBen #HarryPotter #SCB10k Think you can stump us?? Become a quiz master! ➜</t>
        </is>
      </c>
      <c r="V1419" s="47">
        <f>IF(AND(P1419&gt;=Calendar!$K$2,P1419&lt;EDATE(Calendar!$K$2,1),OR(Calendar!$K$4="*",N1419=Calendar!$K$4)),P1419*100+COUNTIFS($P$6:$P$3267,P1419,$Q$6:$Q$3267,"&lt;="&amp;Q1419,$N$6:$N$3267,Calendar!$K$4),"")</f>
        <v/>
      </c>
      <c r="W1419" s="47">
        <f>IF(AND(B1419=Queue!$C$4,OR(Queue!$K$4="*",N1419=Queue!$K$4)),Q1419,"")</f>
        <v/>
      </c>
    </row>
    <row r="1420">
      <c r="A1420" s="38">
        <f>IF(M1420="","",HYPERLINK("https://www.youtube.com/watch?v="&amp;M1420,"▶"))</f>
        <v/>
      </c>
      <c r="B1420" s="39">
        <f>IF(C1420&lt;&gt;"",C1420,IF(P1420&lt;=IFERROR(INDEX(tblChannels[Watched Through],MATCH(N1420,tblChannels[Channel ID],0)),0),"Watched","Unwatched"))</f>
        <v/>
      </c>
      <c r="C1420" s="40" t="n"/>
      <c r="D1420" s="41" t="n"/>
      <c r="E1420" s="42" t="n">
        <v>44342.41666666666</v>
      </c>
      <c r="F1420" s="52" t="inlineStr">
        <is>
          <t>Super Carlin Gaming</t>
        </is>
      </c>
      <c r="G1420" t="inlineStr">
        <is>
          <t>RISE OF THE DRAGON |  Pokémon LeafGreen Randomizer Nuzlocke #19</t>
        </is>
      </c>
      <c r="H1420" s="44" t="n">
        <v>0.03709490740740741</v>
      </c>
      <c r="I1420" s="45" t="n">
        <v>22474</v>
      </c>
      <c r="J1420" s="45" t="n">
        <v>1368</v>
      </c>
      <c r="K1420" s="45" t="n">
        <v>348</v>
      </c>
      <c r="L1420" s="46" t="n"/>
      <c r="M1420" s="47" t="n"/>
      <c r="N1420" s="47" t="inlineStr">
        <is>
          <t>UCor_9jRnNNZVzTuQ92PKsaQ</t>
        </is>
      </c>
      <c r="O1420" s="48" t="n">
        <v>44342.58333333334</v>
      </c>
      <c r="P1420" s="49" t="n">
        <v>44342</v>
      </c>
      <c r="Q1420" s="47" t="n">
        <v>1848</v>
      </c>
      <c r="R1420" s="47" t="inlineStr">
        <is>
          <t>No Video ID yet</t>
        </is>
      </c>
      <c r="S1420" s="49" t="n"/>
      <c r="T1420" s="49" t="n"/>
      <c r="U1420" s="47" t="inlineStr">
        <is>
          <t>This week J and the team head to the Sevii Islands to look for a lost girl, catch some Pokemon and then take on our FINAL GYM BATTLE!</t>
        </is>
      </c>
      <c r="V1420" s="47">
        <f>IF(AND(P1420&gt;=Calendar!$K$2,P1420&lt;EDATE(Calendar!$K$2,1),OR(Calendar!$K$4="*",N1420=Calendar!$K$4)),P1420*100+COUNTIFS($P$6:$P$3267,P1420,$Q$6:$Q$3267,"&lt;="&amp;Q1420,$N$6:$N$3267,Calendar!$K$4),"")</f>
        <v/>
      </c>
      <c r="W1420" s="47">
        <f>IF(AND(B1420=Queue!$C$4,OR(Queue!$K$4="*",N1420=Queue!$K$4)),Q1420,"")</f>
        <v/>
      </c>
    </row>
    <row r="1421">
      <c r="A1421" s="38">
        <f>IF(M1421="","",HYPERLINK("https://www.youtube.com/watch?v="&amp;M1421,"▶"))</f>
        <v/>
      </c>
      <c r="B1421" s="39">
        <f>IF(C1421&lt;&gt;"",C1421,IF(P1421&lt;=IFERROR(INDEX(tblChannels[Watched Through],MATCH(N1421,tblChannels[Channel ID],0)),0),"Watched","Unwatched"))</f>
        <v/>
      </c>
      <c r="C1421" s="40" t="n"/>
      <c r="D1421" s="41" t="n"/>
      <c r="E1421" s="42" t="n">
        <v>44341.9875</v>
      </c>
      <c r="F1421" s="52" t="inlineStr">
        <is>
          <t>Super Carlin Gaming</t>
        </is>
      </c>
      <c r="G1421" t="inlineStr">
        <is>
          <t>LIVE! - Pokemon Trading Card Game | Players Cup IV</t>
        </is>
      </c>
      <c r="H1421" s="44" t="n">
        <v>0.1134722222222222</v>
      </c>
      <c r="I1421" s="45" t="n">
        <v>8128</v>
      </c>
      <c r="J1421" s="45" t="n">
        <v>307</v>
      </c>
      <c r="K1421" s="45" t="n">
        <v>6</v>
      </c>
      <c r="L1421" s="46" t="n"/>
      <c r="M1421" s="47" t="n"/>
      <c r="N1421" s="47" t="inlineStr">
        <is>
          <t>UCor_9jRnNNZVzTuQ92PKsaQ</t>
        </is>
      </c>
      <c r="O1421" s="48" t="n">
        <v>44342.15416666667</v>
      </c>
      <c r="P1421" s="49" t="n">
        <v>44341</v>
      </c>
      <c r="Q1421" s="47" t="n">
        <v>1847</v>
      </c>
      <c r="R1421" s="47" t="inlineStr">
        <is>
          <t>No Video ID yet</t>
        </is>
      </c>
      <c r="S1421" s="49" t="n"/>
      <c r="T1421" s="49" t="n"/>
      <c r="U1421" s="47" t="inlineStr">
        <is>
          <t>J is taking his Single Strike Urshifu Deck into Players Cup IV to try and win as many points as possible before tomorrows deadline!</t>
        </is>
      </c>
      <c r="V1421" s="47">
        <f>IF(AND(P1421&gt;=Calendar!$K$2,P1421&lt;EDATE(Calendar!$K$2,1),OR(Calendar!$K$4="*",N1421=Calendar!$K$4)),P1421*100+COUNTIFS($P$6:$P$3267,P1421,$Q$6:$Q$3267,"&lt;="&amp;Q1421,$N$6:$N$3267,Calendar!$K$4),"")</f>
        <v/>
      </c>
      <c r="W1421" s="47">
        <f>IF(AND(B1421=Queue!$C$4,OR(Queue!$K$4="*",N1421=Queue!$K$4)),Q1421,"")</f>
        <v/>
      </c>
    </row>
    <row r="1422">
      <c r="A1422" s="38">
        <f>IF(M1422="","",HYPERLINK("https://www.youtube.com/watch?v="&amp;M1422,"▶"))</f>
        <v/>
      </c>
      <c r="B1422" s="39">
        <f>IF(C1422&lt;&gt;"",C1422,IF(P1422&lt;=IFERROR(INDEX(tblChannels[Watched Through],MATCH(N1422,tblChannels[Channel ID],0)),0),"Watched","Unwatched"))</f>
        <v/>
      </c>
      <c r="C1422" s="40" t="n"/>
      <c r="D1422" s="41" t="n"/>
      <c r="E1422" s="42" t="n">
        <v>44341.69305555556</v>
      </c>
      <c r="F1422" s="50" t="inlineStr">
        <is>
          <t>Super Carlin Brothers</t>
        </is>
      </c>
      <c r="G1422" t="inlineStr">
        <is>
          <t>Sirius Is A Hufflepuff | Harry Potter Theory</t>
        </is>
      </c>
      <c r="H1422" s="44" t="n">
        <v>0.009328703703703704</v>
      </c>
      <c r="I1422" s="45" t="n">
        <v>366748</v>
      </c>
      <c r="J1422" s="45" t="n">
        <v>15878</v>
      </c>
      <c r="K1422" s="45" t="n">
        <v>1651</v>
      </c>
      <c r="L1422" s="46" t="n"/>
      <c r="M1422" s="47" t="n"/>
      <c r="N1422" s="47" t="inlineStr">
        <is>
          <t>UCKZo4N0lVPccBkSiuyVh4yg</t>
        </is>
      </c>
      <c r="O1422" s="48" t="n">
        <v>44341.85972222222</v>
      </c>
      <c r="P1422" s="49" t="n">
        <v>44341</v>
      </c>
      <c r="Q1422" s="47" t="n">
        <v>1846</v>
      </c>
      <c r="R1422" s="47" t="inlineStr">
        <is>
          <t>No Video ID yet</t>
        </is>
      </c>
      <c r="S1422" s="49" t="n"/>
      <c r="T1422" s="49" t="n"/>
      <c r="U1422" s="47" t="inlineStr">
        <is>
          <t>Go to and use promo code ‘SUPERCARLIN’ to claim your special offer today! Today J dives into the Wizarding World of Harry Potter to discuss the Marauders: James, Lupin, Peter and Sirius, and how each member represents one of the 4 Hogwarts Houses: Gryffindor, Ravenclaw, Slytherin and Hufflepuff</t>
        </is>
      </c>
      <c r="V1422" s="47">
        <f>IF(AND(P1422&gt;=Calendar!$K$2,P1422&lt;EDATE(Calendar!$K$2,1),OR(Calendar!$K$4="*",N1422=Calendar!$K$4)),P1422*100+COUNTIFS($P$6:$P$3267,P1422,$Q$6:$Q$3267,"&lt;="&amp;Q1422,$N$6:$N$3267,Calendar!$K$4),"")</f>
        <v/>
      </c>
      <c r="W1422" s="47">
        <f>IF(AND(B1422=Queue!$C$4,OR(Queue!$K$4="*",N1422=Queue!$K$4)),Q1422,"")</f>
        <v/>
      </c>
    </row>
    <row r="1423">
      <c r="A1423" s="38">
        <f>IF(M1423="","",HYPERLINK("https://www.youtube.com/watch?v="&amp;M1423,"▶"))</f>
        <v/>
      </c>
      <c r="B1423" s="39">
        <f>IF(C1423&lt;&gt;"",C1423,IF(P1423&lt;=IFERROR(INDEX(tblChannels[Watched Through],MATCH(N1423,tblChannels[Channel ID],0)),0),"Watched","Unwatched"))</f>
        <v/>
      </c>
      <c r="C1423" s="40" t="n"/>
      <c r="D1423" s="41" t="n"/>
      <c r="E1423" s="42" t="n">
        <v>44340.41666666666</v>
      </c>
      <c r="F1423" s="52" t="inlineStr">
        <is>
          <t>Super Carlin Gaming</t>
        </is>
      </c>
      <c r="G1423" t="inlineStr">
        <is>
          <t>Blaine's up to his Normal Tricks.. |  Pokémon LeafGreen Randomizer Nuzlocke #18</t>
        </is>
      </c>
      <c r="H1423" s="44" t="n">
        <v>0.02325231481481482</v>
      </c>
      <c r="I1423" s="45" t="n">
        <v>19228</v>
      </c>
      <c r="J1423" s="45" t="n">
        <v>1353</v>
      </c>
      <c r="K1423" s="45" t="n">
        <v>215</v>
      </c>
      <c r="L1423" s="46" t="n"/>
      <c r="M1423" s="47" t="n"/>
      <c r="N1423" s="47" t="inlineStr">
        <is>
          <t>UCor_9jRnNNZVzTuQ92PKsaQ</t>
        </is>
      </c>
      <c r="O1423" s="48" t="n">
        <v>44340.58333333334</v>
      </c>
      <c r="P1423" s="49" t="n">
        <v>44340</v>
      </c>
      <c r="Q1423" s="47" t="n">
        <v>1845</v>
      </c>
      <c r="R1423" s="47" t="inlineStr">
        <is>
          <t>No Video ID yet</t>
        </is>
      </c>
      <c r="S1423" s="49" t="n"/>
      <c r="T1423" s="49" t="n"/>
      <c r="U1423" s="47" t="inlineStr">
        <is>
          <t>Today J and the team head back into the Cinnabar Mansion to try and hunt down the Secret Key and take on our 7th Gym Battle! Can we survive Blaine's normal tricks?!</t>
        </is>
      </c>
      <c r="V1423" s="47">
        <f>IF(AND(P1423&gt;=Calendar!$K$2,P1423&lt;EDATE(Calendar!$K$2,1),OR(Calendar!$K$4="*",N1423=Calendar!$K$4)),P1423*100+COUNTIFS($P$6:$P$3267,P1423,$Q$6:$Q$3267,"&lt;="&amp;Q1423,$N$6:$N$3267,Calendar!$K$4),"")</f>
        <v/>
      </c>
      <c r="W1423" s="47">
        <f>IF(AND(B1423=Queue!$C$4,OR(Queue!$K$4="*",N1423=Queue!$K$4)),Q1423,"")</f>
        <v/>
      </c>
    </row>
    <row r="1424">
      <c r="A1424" s="38">
        <f>IF(M1424="","",HYPERLINK("https://www.youtube.com/watch?v="&amp;M1424,"▶"))</f>
        <v/>
      </c>
      <c r="B1424" s="39">
        <f>IF(C1424&lt;&gt;"",C1424,IF(P1424&lt;=IFERROR(INDEX(tblChannels[Watched Through],MATCH(N1424,tblChannels[Channel ID],0)),0),"Watched","Unwatched"))</f>
        <v/>
      </c>
      <c r="C1424" s="40" t="n"/>
      <c r="D1424" s="41" t="n"/>
      <c r="E1424" s="42" t="n">
        <v>44337.86180555556</v>
      </c>
      <c r="F1424" s="50" t="inlineStr">
        <is>
          <t>Super Carlin Brothers</t>
        </is>
      </c>
      <c r="G1424" t="inlineStr">
        <is>
          <t>ALL FANDOMS Trivia Night LIVE STREAM!</t>
        </is>
      </c>
      <c r="H1424" s="44" t="n">
        <v>0.1031944444444444</v>
      </c>
      <c r="I1424" s="45" t="n">
        <v>77007</v>
      </c>
      <c r="J1424" s="45" t="n">
        <v>1695</v>
      </c>
      <c r="K1424" s="45" t="n">
        <v>155</v>
      </c>
      <c r="L1424" s="46" t="n"/>
      <c r="M1424" s="47" t="n"/>
      <c r="N1424" s="47" t="inlineStr">
        <is>
          <t>UCKZo4N0lVPccBkSiuyVh4yg</t>
        </is>
      </c>
      <c r="O1424" s="48" t="n">
        <v>44338.02847222222</v>
      </c>
      <c r="P1424" s="49" t="n">
        <v>44337</v>
      </c>
      <c r="Q1424" s="47" t="n">
        <v>1844</v>
      </c>
      <c r="R1424" s="47" t="inlineStr">
        <is>
          <t>No Video ID yet</t>
        </is>
      </c>
      <c r="S1424" s="49" t="n"/>
      <c r="T1424" s="49" t="n"/>
      <c r="U1424" s="47" t="inlineStr">
        <is>
          <t>DO YOU HAVE WHAT IT TAKES TO BECOME THE CHAMPION OF ALL SIX FANDOMS?! - Tonight we celebrate #SCBSpiritWeek and test your knowledge of Disney, Pixar, Marvel, Star Wars, Harry Potter and Avatar: The Last Airbender! Carlin Brothers Tea :: (Try the NEW Strawberry Shortcake!) Winners email: secretcarlinbrothers@gmail.com with a screenshot of your winning score! HOW TO PLAY Kahoot with the Carlins! 1. Download the Kahoot app to your mobile device, or go to Kahoot.it to join the game! If the app is already installed on your device we recommend making sure it is up to date before the game starts! 2. Make sure you’re running the SCB Livestream on a different device or a different window than Kahoot! (We recommend having Kahoot on your phone and the stream on a computer or TV, but two tabs/windows on the same computer works as well!) 3. Shortly before we start the game, SCB will announce the game PIN. Enter the pin into your Kahoot App or at Kahoot.it 4. Enter a nickname for yourself and join the game! 5. Points are awarded for accuracy and speed, so make sure your live stream is caught up! You can skip ahead in the video, or set your video speed to 2x to catch up! (To increase video speed,</t>
        </is>
      </c>
      <c r="V1424" s="47">
        <f>IF(AND(P1424&gt;=Calendar!$K$2,P1424&lt;EDATE(Calendar!$K$2,1),OR(Calendar!$K$4="*",N1424=Calendar!$K$4)),P1424*100+COUNTIFS($P$6:$P$3267,P1424,$Q$6:$Q$3267,"&lt;="&amp;Q1424,$N$6:$N$3267,Calendar!$K$4),"")</f>
        <v/>
      </c>
      <c r="W1424" s="47">
        <f>IF(AND(B1424=Queue!$C$4,OR(Queue!$K$4="*",N1424=Queue!$K$4)),Q1424,"")</f>
        <v/>
      </c>
    </row>
    <row r="1425">
      <c r="A1425" s="38">
        <f>IF(M1425="","",HYPERLINK("https://www.youtube.com/watch?v="&amp;M1425,"▶"))</f>
        <v/>
      </c>
      <c r="B1425" s="39">
        <f>IF(C1425&lt;&gt;"",C1425,IF(P1425&lt;=IFERROR(INDEX(tblChannels[Watched Through],MATCH(N1425,tblChannels[Channel ID],0)),0),"Watched","Unwatched"))</f>
        <v/>
      </c>
      <c r="C1425" s="40" t="n"/>
      <c r="D1425" s="41" t="n"/>
      <c r="E1425" s="42" t="n">
        <v>44337.41666666666</v>
      </c>
      <c r="F1425" s="50" t="inlineStr">
        <is>
          <t>Super Carlin Brothers</t>
        </is>
      </c>
      <c r="G1425" t="inlineStr">
        <is>
          <t>Ben is Bigfoot | Popcorn Culture</t>
        </is>
      </c>
      <c r="H1425" s="44" t="n">
        <v>0.04695601851851852</v>
      </c>
      <c r="I1425" s="45" t="n">
        <v>23434</v>
      </c>
      <c r="J1425" s="45" t="n">
        <v>996</v>
      </c>
      <c r="K1425" s="45" t="n">
        <v>109</v>
      </c>
      <c r="L1425" s="46" t="n"/>
      <c r="M1425" s="47" t="n"/>
      <c r="N1425" s="47" t="inlineStr">
        <is>
          <t>UCKZo4N0lVPccBkSiuyVh4yg</t>
        </is>
      </c>
      <c r="O1425" s="48" t="n">
        <v>44337.58333333334</v>
      </c>
      <c r="P1425" s="49" t="n">
        <v>44337</v>
      </c>
      <c r="Q1425" s="47" t="n">
        <v>1843</v>
      </c>
      <c r="R1425" s="47" t="inlineStr">
        <is>
          <t>No Video ID yet</t>
        </is>
      </c>
      <c r="S1425" s="49" t="n"/>
      <c r="T1425" s="49" t="n"/>
      <c r="U1425" s="47" t="inlineStr">
        <is>
          <t>This episode of Popcorn Culture is Sponsored by NRMeditation. Check out their meditation services at: In the 76 Episode of the Pop, Ben and J discuss: SCB Spirit Week, fashion sense, color in animals, single topic friendships, mutual friends, weird fashion, meditation, practicing bravery, climbing Everest, and trees. Single Topic Friends: Disney Wedding Video: Daredevil drop: Backflips: Get your very own candle:</t>
        </is>
      </c>
      <c r="V1425" s="47">
        <f>IF(AND(P1425&gt;=Calendar!$K$2,P1425&lt;EDATE(Calendar!$K$2,1),OR(Calendar!$K$4="*",N1425=Calendar!$K$4)),P1425*100+COUNTIFS($P$6:$P$3267,P1425,$Q$6:$Q$3267,"&lt;="&amp;Q1425,$N$6:$N$3267,Calendar!$K$4),"")</f>
        <v/>
      </c>
      <c r="W1425" s="47">
        <f>IF(AND(B1425=Queue!$C$4,OR(Queue!$K$4="*",N1425=Queue!$K$4)),Q1425,"")</f>
        <v/>
      </c>
    </row>
    <row r="1426">
      <c r="A1426" s="38">
        <f>IF(M1426="","",HYPERLINK("https://www.youtube.com/watch?v="&amp;M1426,"▶"))</f>
        <v/>
      </c>
      <c r="B1426" s="39">
        <f>IF(C1426&lt;&gt;"",C1426,IF(P1426&lt;=IFERROR(INDEX(tblChannels[Watched Through],MATCH(N1426,tblChannels[Channel ID],0)),0),"Watched","Unwatched"))</f>
        <v/>
      </c>
      <c r="C1426" s="40" t="n"/>
      <c r="D1426" s="41" t="n"/>
      <c r="E1426" s="42" t="n">
        <v>44337.25</v>
      </c>
      <c r="F1426" s="43" t="inlineStr">
        <is>
          <t>Popcorn Culture</t>
        </is>
      </c>
      <c r="G1426" t="inlineStr">
        <is>
          <t>76 - Ben is Bigfoot</t>
        </is>
      </c>
      <c r="H1426" s="44" t="n">
        <v>0.04542824074074074</v>
      </c>
      <c r="I1426" s="45" t="n">
        <v>1304</v>
      </c>
      <c r="J1426" s="45" t="n">
        <v>59</v>
      </c>
      <c r="K1426" s="45" t="n">
        <v>4</v>
      </c>
      <c r="L1426" s="46" t="n"/>
      <c r="M1426" s="47" t="n"/>
      <c r="N1426" s="47" t="inlineStr">
        <is>
          <t>UCHfIbq9thHPC8yrKjAdJgDA</t>
        </is>
      </c>
      <c r="O1426" s="48" t="n">
        <v>44337.41666666666</v>
      </c>
      <c r="P1426" s="49" t="n">
        <v>44337</v>
      </c>
      <c r="Q1426" s="47" t="n">
        <v>1842</v>
      </c>
      <c r="R1426" s="47" t="inlineStr">
        <is>
          <t>No Video ID yet</t>
        </is>
      </c>
      <c r="S1426" s="49" t="n"/>
      <c r="T1426" s="49" t="n"/>
      <c r="U1426" s="47" t="inlineStr">
        <is>
          <t>This episode of Popcorn Culture is Sponsored by NRMeditation. Check out their meditation services at: Ben and J discuss: SCB Spirit Week, fashion sense, color in animals, single topic friendships, mutual friends, weird fashion, meditation, practicing bravery, climbing Everest, and trees. Single Topic Friends: Disney Wedding Video: Daredevil drop: Backflips: Get your very own candle:</t>
        </is>
      </c>
      <c r="V1426" s="47">
        <f>IF(AND(P1426&gt;=Calendar!$K$2,P1426&lt;EDATE(Calendar!$K$2,1),OR(Calendar!$K$4="*",N1426=Calendar!$K$4)),P1426*100+COUNTIFS($P$6:$P$3267,P1426,$Q$6:$Q$3267,"&lt;="&amp;Q1426,$N$6:$N$3267,Calendar!$K$4),"")</f>
        <v/>
      </c>
      <c r="W1426" s="47">
        <f>IF(AND(B1426=Queue!$C$4,OR(Queue!$K$4="*",N1426=Queue!$K$4)),Q1426,"")</f>
        <v/>
      </c>
    </row>
    <row r="1427">
      <c r="A1427" s="38">
        <f>IF(M1427="","",HYPERLINK("https://www.youtube.com/watch?v="&amp;M1427,"▶"))</f>
        <v/>
      </c>
      <c r="B1427" s="39">
        <f>IF(C1427&lt;&gt;"",C1427,IF(P1427&lt;=IFERROR(INDEX(tblChannels[Watched Through],MATCH(N1427,tblChannels[Channel ID],0)),0),"Watched","Unwatched"))</f>
        <v/>
      </c>
      <c r="C1427" s="40" t="n"/>
      <c r="D1427" s="41" t="n"/>
      <c r="E1427" s="42" t="n">
        <v>44336.70833333334</v>
      </c>
      <c r="F1427" s="50" t="inlineStr">
        <is>
          <t>Super Carlin Brothers</t>
        </is>
      </c>
      <c r="G1427" t="inlineStr">
        <is>
          <t>How Fred &amp; George Figured Out The Marauder’s Map | Harry Potter Theory</t>
        </is>
      </c>
      <c r="H1427" s="44" t="n">
        <v>0.01053240740740741</v>
      </c>
      <c r="I1427" s="45" t="n">
        <v>1125807</v>
      </c>
      <c r="J1427" s="45" t="n">
        <v>35048</v>
      </c>
      <c r="K1427" s="45" t="n">
        <v>4302</v>
      </c>
      <c r="L1427" s="46" t="n"/>
      <c r="M1427" s="47" t="n"/>
      <c r="N1427" s="47" t="inlineStr">
        <is>
          <t>UCKZo4N0lVPccBkSiuyVh4yg</t>
        </is>
      </c>
      <c r="O1427" s="48" t="n">
        <v>44336.875</v>
      </c>
      <c r="P1427" s="49" t="n">
        <v>44336</v>
      </c>
      <c r="Q1427" s="47" t="n">
        <v>1841</v>
      </c>
      <c r="R1427" s="47" t="inlineStr">
        <is>
          <t>No Video ID yet</t>
        </is>
      </c>
      <c r="S1427" s="49" t="n"/>
      <c r="T1427" s="49" t="n"/>
      <c r="U1427" s="47" t="inlineStr">
        <is>
          <t>Go to to get 15% off your first order and free shipping! Today Ben dives into the Wizarding World of Harry Potter to discuss the Marauders Map and tries to uncover how Fred and George learned how to use it!</t>
        </is>
      </c>
      <c r="V1427" s="47">
        <f>IF(AND(P1427&gt;=Calendar!$K$2,P1427&lt;EDATE(Calendar!$K$2,1),OR(Calendar!$K$4="*",N1427=Calendar!$K$4)),P1427*100+COUNTIFS($P$6:$P$3267,P1427,$Q$6:$Q$3267,"&lt;="&amp;Q1427,$N$6:$N$3267,Calendar!$K$4),"")</f>
        <v/>
      </c>
      <c r="W1427" s="47">
        <f>IF(AND(B1427=Queue!$C$4,OR(Queue!$K$4="*",N1427=Queue!$K$4)),Q1427,"")</f>
        <v/>
      </c>
    </row>
    <row r="1428">
      <c r="A1428" s="38">
        <f>IF(M1428="","",HYPERLINK("https://www.youtube.com/watch?v="&amp;M1428,"▶"))</f>
        <v/>
      </c>
      <c r="B1428" s="39">
        <f>IF(C1428&lt;&gt;"",C1428,IF(P1428&lt;=IFERROR(INDEX(tblChannels[Watched Through],MATCH(N1428,tblChannels[Channel ID],0)),0),"Watched","Unwatched"))</f>
        <v/>
      </c>
      <c r="C1428" s="40" t="n"/>
      <c r="D1428" s="41" t="n"/>
      <c r="E1428" s="42" t="n">
        <v>44335.41666666666</v>
      </c>
      <c r="F1428" s="52" t="inlineStr">
        <is>
          <t>Super Carlin Gaming</t>
        </is>
      </c>
      <c r="G1428" t="inlineStr">
        <is>
          <t>The Truly Haunted Mansion |  Pokémon Leaf Green Randomizer Nuzlocke #17</t>
        </is>
      </c>
      <c r="H1428" s="44" t="n">
        <v>0.0271412037037037</v>
      </c>
      <c r="I1428" s="45" t="n">
        <v>20687</v>
      </c>
      <c r="J1428" s="45" t="n">
        <v>1196</v>
      </c>
      <c r="K1428" s="45" t="n">
        <v>331</v>
      </c>
      <c r="L1428" s="46" t="n"/>
      <c r="M1428" s="47" t="n"/>
      <c r="N1428" s="47" t="inlineStr">
        <is>
          <t>UCor_9jRnNNZVzTuQ92PKsaQ</t>
        </is>
      </c>
      <c r="O1428" s="48" t="n">
        <v>44335.58333333334</v>
      </c>
      <c r="P1428" s="49" t="n">
        <v>44335</v>
      </c>
      <c r="Q1428" s="47" t="n">
        <v>1840</v>
      </c>
      <c r="R1428" s="47" t="inlineStr">
        <is>
          <t>No Video ID yet</t>
        </is>
      </c>
      <c r="S1428" s="49" t="n"/>
      <c r="T1428" s="49" t="n"/>
      <c r="U1428" s="47" t="inlineStr">
        <is>
          <t>This week J, Happy, Sporkles and the team head to Cinnabar to revive some fossils, train up Rychlick and hunt for a secret key... BUT can they survive the horrors inside the Mansion?? Become a CHANNEL MEMBER to get access to custom emoji! #Pokemon #Nuzlocke</t>
        </is>
      </c>
      <c r="V1428" s="47">
        <f>IF(AND(P1428&gt;=Calendar!$K$2,P1428&lt;EDATE(Calendar!$K$2,1),OR(Calendar!$K$4="*",N1428=Calendar!$K$4)),P1428*100+COUNTIFS($P$6:$P$3267,P1428,$Q$6:$Q$3267,"&lt;="&amp;Q1428,$N$6:$N$3267,Calendar!$K$4),"")</f>
        <v/>
      </c>
      <c r="W1428" s="47">
        <f>IF(AND(B1428=Queue!$C$4,OR(Queue!$K$4="*",N1428=Queue!$K$4)),Q1428,"")</f>
        <v/>
      </c>
    </row>
    <row r="1429">
      <c r="A1429" s="38">
        <f>IF(M1429="","",HYPERLINK("https://www.youtube.com/watch?v="&amp;M1429,"▶"))</f>
        <v/>
      </c>
      <c r="B1429" s="39">
        <f>IF(C1429&lt;&gt;"",C1429,IF(P1429&lt;=IFERROR(INDEX(tblChannels[Watched Through],MATCH(N1429,tblChannels[Channel ID],0)),0),"Watched","Unwatched"))</f>
        <v/>
      </c>
      <c r="C1429" s="40" t="n"/>
      <c r="D1429" s="41" t="n"/>
      <c r="E1429" s="42" t="n">
        <v>44334.71319444444</v>
      </c>
      <c r="F1429" s="50" t="inlineStr">
        <is>
          <t>Super Carlin Brothers</t>
        </is>
      </c>
      <c r="G1429" t="inlineStr">
        <is>
          <t>Dumbledore Is Socrates | Harry Potter Theory</t>
        </is>
      </c>
      <c r="H1429" s="44" t="n">
        <v>0.01090277777777778</v>
      </c>
      <c r="I1429" s="45" t="n">
        <v>244597</v>
      </c>
      <c r="J1429" s="45" t="n">
        <v>11766</v>
      </c>
      <c r="K1429" s="45" t="n">
        <v>792</v>
      </c>
      <c r="L1429" s="46" t="n"/>
      <c r="M1429" s="47" t="n"/>
      <c r="N1429" s="47" t="inlineStr">
        <is>
          <t>UCKZo4N0lVPccBkSiuyVh4yg</t>
        </is>
      </c>
      <c r="O1429" s="48" t="n">
        <v>44334.87986111111</v>
      </c>
      <c r="P1429" s="49" t="n">
        <v>44334</v>
      </c>
      <c r="Q1429" s="47" t="n">
        <v>1839</v>
      </c>
      <c r="R1429" s="47" t="inlineStr">
        <is>
          <t>No Video ID yet</t>
        </is>
      </c>
      <c r="S1429" s="49" t="n"/>
      <c r="T1429" s="49" t="n"/>
      <c r="U1429" s="47" t="inlineStr">
        <is>
          <t>Head on over to to get 10% off! Today J dives into the Wizarding World of Harry Potter to discuss Dumbledores unusual teaching methods and how he utilizes the Socratic Method and the Socratic Paradox #HarryPotter #SCBSpiritWeek</t>
        </is>
      </c>
      <c r="V1429" s="47">
        <f>IF(AND(P1429&gt;=Calendar!$K$2,P1429&lt;EDATE(Calendar!$K$2,1),OR(Calendar!$K$4="*",N1429=Calendar!$K$4)),P1429*100+COUNTIFS($P$6:$P$3267,P1429,$Q$6:$Q$3267,"&lt;="&amp;Q1429,$N$6:$N$3267,Calendar!$K$4),"")</f>
        <v/>
      </c>
      <c r="W1429" s="47">
        <f>IF(AND(B1429=Queue!$C$4,OR(Queue!$K$4="*",N1429=Queue!$K$4)),Q1429,"")</f>
        <v/>
      </c>
    </row>
    <row r="1430">
      <c r="A1430" s="38">
        <f>IF(M1430="","",HYPERLINK("https://www.youtube.com/watch?v="&amp;M1430,"▶"))</f>
        <v/>
      </c>
      <c r="B1430" s="39">
        <f>IF(C1430&lt;&gt;"",C1430,IF(P1430&lt;=IFERROR(INDEX(tblChannels[Watched Through],MATCH(N1430,tblChannels[Channel ID],0)),0),"Watched","Unwatched"))</f>
        <v/>
      </c>
      <c r="C1430" s="40" t="n"/>
      <c r="D1430" s="41" t="n"/>
      <c r="E1430" s="42" t="n">
        <v>44333.41666666666</v>
      </c>
      <c r="F1430" s="52" t="inlineStr">
        <is>
          <t>Super Carlin Gaming</t>
        </is>
      </c>
      <c r="G1430" t="inlineStr">
        <is>
          <t>DON'T JYNX IT! |  Pokémon LeafGreen Randomizer Nuzlocke #16</t>
        </is>
      </c>
      <c r="H1430" s="44" t="n">
        <v>0.02185185185185185</v>
      </c>
      <c r="I1430" s="45" t="n">
        <v>19444</v>
      </c>
      <c r="J1430" s="45" t="n">
        <v>1208</v>
      </c>
      <c r="K1430" s="45" t="n">
        <v>428</v>
      </c>
      <c r="L1430" s="46" t="n"/>
      <c r="M1430" s="47" t="n"/>
      <c r="N1430" s="47" t="inlineStr">
        <is>
          <t>UCor_9jRnNNZVzTuQ92PKsaQ</t>
        </is>
      </c>
      <c r="O1430" s="48" t="n">
        <v>44333.58333333334</v>
      </c>
      <c r="P1430" s="49" t="n">
        <v>44333</v>
      </c>
      <c r="Q1430" s="47" t="n">
        <v>1838</v>
      </c>
      <c r="R1430" s="47" t="inlineStr">
        <is>
          <t>No Video ID yet</t>
        </is>
      </c>
      <c r="S1430" s="49" t="n"/>
      <c r="T1430" s="49" t="n"/>
      <c r="U1430" s="47" t="inlineStr">
        <is>
          <t>Today J, Happy, Sporkles and the team head to the Saffron City Gym to take on Sabrina and try and earn their 6th gym badge, and consider hunting for a legendary pokemon!</t>
        </is>
      </c>
      <c r="V1430" s="47">
        <f>IF(AND(P1430&gt;=Calendar!$K$2,P1430&lt;EDATE(Calendar!$K$2,1),OR(Calendar!$K$4="*",N1430=Calendar!$K$4)),P1430*100+COUNTIFS($P$6:$P$3267,P1430,$Q$6:$Q$3267,"&lt;="&amp;Q1430,$N$6:$N$3267,Calendar!$K$4),"")</f>
        <v/>
      </c>
      <c r="W1430" s="47">
        <f>IF(AND(B1430=Queue!$C$4,OR(Queue!$K$4="*",N1430=Queue!$K$4)),Q1430,"")</f>
        <v/>
      </c>
    </row>
    <row r="1431">
      <c r="A1431" s="38">
        <f>IF(M1431="","",HYPERLINK("https://www.youtube.com/watch?v="&amp;M1431,"▶"))</f>
        <v/>
      </c>
      <c r="B1431" s="39">
        <f>IF(C1431&lt;&gt;"",C1431,IF(P1431&lt;=IFERROR(INDEX(tblChannels[Watched Through],MATCH(N1431,tblChannels[Channel ID],0)),0),"Watched","Unwatched"))</f>
        <v/>
      </c>
      <c r="C1431" s="40" t="n"/>
      <c r="D1431" s="41" t="n"/>
      <c r="E1431" s="42" t="n">
        <v>44330.4375</v>
      </c>
      <c r="F1431" s="50" t="inlineStr">
        <is>
          <t>Super Carlin Brothers</t>
        </is>
      </c>
      <c r="G1431" t="inlineStr">
        <is>
          <t>J's Popcorn Confession</t>
        </is>
      </c>
      <c r="H1431" s="44" t="n">
        <v>0.04778935185185185</v>
      </c>
      <c r="I1431" s="45" t="n">
        <v>28308</v>
      </c>
      <c r="J1431" s="45" t="n">
        <v>1168</v>
      </c>
      <c r="K1431" s="45" t="n">
        <v>162</v>
      </c>
      <c r="L1431" s="46" t="n"/>
      <c r="M1431" s="47" t="n"/>
      <c r="N1431" s="47" t="inlineStr">
        <is>
          <t>UCKZo4N0lVPccBkSiuyVh4yg</t>
        </is>
      </c>
      <c r="O1431" s="48" t="n">
        <v>44330.60416666666</v>
      </c>
      <c r="P1431" s="49" t="n">
        <v>44330</v>
      </c>
      <c r="Q1431" s="47" t="n">
        <v>1837</v>
      </c>
      <c r="R1431" s="47" t="inlineStr">
        <is>
          <t>No Video ID yet</t>
        </is>
      </c>
      <c r="S1431" s="49" t="n"/>
      <c r="T1431" s="49" t="n"/>
      <c r="U1431" s="47" t="inlineStr">
        <is>
          <t>In the 75th episode of the Popcast, Ben and J discuss: uncledom, The Stanley Duck, piggy banks, kickstarter board and card games, the Baader–Meinhof phenomenon, ruminating, doing taxes, bad breakups, and the “truth” about popcorn. Get your own GMA Stickers: State Welcome Signs: Frequency Illusion: The Truth about Popcorn: Neville is a Samurai: Get your very own candle:</t>
        </is>
      </c>
      <c r="V1431" s="47">
        <f>IF(AND(P1431&gt;=Calendar!$K$2,P1431&lt;EDATE(Calendar!$K$2,1),OR(Calendar!$K$4="*",N1431=Calendar!$K$4)),P1431*100+COUNTIFS($P$6:$P$3267,P1431,$Q$6:$Q$3267,"&lt;="&amp;Q1431,$N$6:$N$3267,Calendar!$K$4),"")</f>
        <v/>
      </c>
      <c r="W1431" s="47">
        <f>IF(AND(B1431=Queue!$C$4,OR(Queue!$K$4="*",N1431=Queue!$K$4)),Q1431,"")</f>
        <v/>
      </c>
    </row>
    <row r="1432">
      <c r="A1432" s="38">
        <f>IF(M1432="","",HYPERLINK("https://www.youtube.com/watch?v="&amp;M1432,"▶"))</f>
        <v/>
      </c>
      <c r="B1432" s="39">
        <f>IF(C1432&lt;&gt;"",C1432,IF(P1432&lt;=IFERROR(INDEX(tblChannels[Watched Through],MATCH(N1432,tblChannels[Channel ID],0)),0),"Watched","Unwatched"))</f>
        <v/>
      </c>
      <c r="C1432" s="40" t="n"/>
      <c r="D1432" s="41" t="n"/>
      <c r="E1432" s="42" t="n">
        <v>44330.25</v>
      </c>
      <c r="F1432" s="43" t="inlineStr">
        <is>
          <t>Popcorn Culture</t>
        </is>
      </c>
      <c r="G1432" t="inlineStr">
        <is>
          <t>75 - J's Popcorn Confession</t>
        </is>
      </c>
      <c r="H1432" s="44" t="n">
        <v>0.04664351851851852</v>
      </c>
      <c r="I1432" s="45" t="n">
        <v>1530</v>
      </c>
      <c r="J1432" s="45" t="n">
        <v>80</v>
      </c>
      <c r="K1432" s="45" t="n">
        <v>14</v>
      </c>
      <c r="L1432" s="46" t="n"/>
      <c r="M1432" s="47" t="n"/>
      <c r="N1432" s="47" t="inlineStr">
        <is>
          <t>UCHfIbq9thHPC8yrKjAdJgDA</t>
        </is>
      </c>
      <c r="O1432" s="48" t="n">
        <v>44330.41666666666</v>
      </c>
      <c r="P1432" s="49" t="n">
        <v>44330</v>
      </c>
      <c r="Q1432" s="47" t="n">
        <v>1836</v>
      </c>
      <c r="R1432" s="47" t="inlineStr">
        <is>
          <t>No Video ID yet</t>
        </is>
      </c>
      <c r="S1432" s="49" t="n"/>
      <c r="T1432" s="49" t="n"/>
      <c r="U1432" s="47" t="inlineStr">
        <is>
          <t>Ben and J discuss: uncledom, The Stanley Duck, piggy banks, Kickstarter board and card games, the Baader–Meinhof phenomenon, ruminating, doing taxes, bad breakups, and the “truth” about popcorn. Get your own GMA Stickers: State Welcome Signs: Frequency Illusion: The Truth about Popcorn: Neville is a Samurai: Get your very own candle:</t>
        </is>
      </c>
      <c r="V1432" s="47">
        <f>IF(AND(P1432&gt;=Calendar!$K$2,P1432&lt;EDATE(Calendar!$K$2,1),OR(Calendar!$K$4="*",N1432=Calendar!$K$4)),P1432*100+COUNTIFS($P$6:$P$3267,P1432,$Q$6:$Q$3267,"&lt;="&amp;Q1432,$N$6:$N$3267,Calendar!$K$4),"")</f>
        <v/>
      </c>
      <c r="W1432" s="47">
        <f>IF(AND(B1432=Queue!$C$4,OR(Queue!$K$4="*",N1432=Queue!$K$4)),Q1432,"")</f>
        <v/>
      </c>
    </row>
    <row r="1433">
      <c r="A1433" s="38">
        <f>IF(M1433="","",HYPERLINK("https://www.youtube.com/watch?v="&amp;M1433,"▶"))</f>
        <v/>
      </c>
      <c r="B1433" s="39">
        <f>IF(C1433&lt;&gt;"",C1433,IF(P1433&lt;=IFERROR(INDEX(tblChannels[Watched Through],MATCH(N1433,tblChannels[Channel ID],0)),0),"Watched","Unwatched"))</f>
        <v/>
      </c>
      <c r="C1433" s="40" t="n"/>
      <c r="D1433" s="41" t="n"/>
      <c r="E1433" s="42" t="n">
        <v>44329.67222222222</v>
      </c>
      <c r="F1433" s="50" t="inlineStr">
        <is>
          <t>Super Carlin Brothers</t>
        </is>
      </c>
      <c r="G1433" t="inlineStr">
        <is>
          <t>J vs Ben: HARDEST Pixar Movie Trivia Quiz EVER</t>
        </is>
      </c>
      <c r="H1433" s="44" t="n">
        <v>0.01581018518518518</v>
      </c>
      <c r="I1433" s="45" t="n">
        <v>185743</v>
      </c>
      <c r="J1433" s="45" t="n">
        <v>8319</v>
      </c>
      <c r="K1433" s="45" t="n">
        <v>636</v>
      </c>
      <c r="L1433" s="46" t="n"/>
      <c r="M1433" s="47" t="n"/>
      <c r="N1433" s="47" t="inlineStr">
        <is>
          <t>UCKZo4N0lVPccBkSiuyVh4yg</t>
        </is>
      </c>
      <c r="O1433" s="48" t="n">
        <v>44329.83888888889</v>
      </c>
      <c r="P1433" s="49" t="n">
        <v>44329</v>
      </c>
      <c r="Q1433" s="47" t="n">
        <v>1835</v>
      </c>
      <c r="R1433" s="47" t="inlineStr">
        <is>
          <t>No Video ID yet</t>
        </is>
      </c>
      <c r="S1433" s="49" t="n"/>
      <c r="T1433" s="49" t="n"/>
      <c r="U1433" s="47" t="inlineStr">
        <is>
          <t>Go to and enter code ‘SUPER’ at checkout to get 20% off your first monthly box! Head on over to to get 3 extra months for free! Today J and Ben face off once more to find out who knows the most about the wonderful world of Pixar and its many movies! From Toy Story to Soul this Quiz does not hold back in its CRAZY difficulty! #SuperCarlinBrothers #JvsBen #Pixar</t>
        </is>
      </c>
      <c r="V1433" s="47">
        <f>IF(AND(P1433&gt;=Calendar!$K$2,P1433&lt;EDATE(Calendar!$K$2,1),OR(Calendar!$K$4="*",N1433=Calendar!$K$4)),P1433*100+COUNTIFS($P$6:$P$3267,P1433,$Q$6:$Q$3267,"&lt;="&amp;Q1433,$N$6:$N$3267,Calendar!$K$4),"")</f>
        <v/>
      </c>
      <c r="W1433" s="47">
        <f>IF(AND(B1433=Queue!$C$4,OR(Queue!$K$4="*",N1433=Queue!$K$4)),Q1433,"")</f>
        <v/>
      </c>
    </row>
    <row r="1434">
      <c r="A1434" s="38">
        <f>IF(M1434="","",HYPERLINK("https://www.youtube.com/watch?v="&amp;M1434,"▶"))</f>
        <v/>
      </c>
      <c r="B1434" s="39">
        <f>IF(C1434&lt;&gt;"",C1434,IF(P1434&lt;=IFERROR(INDEX(tblChannels[Watched Through],MATCH(N1434,tblChannels[Channel ID],0)),0),"Watched","Unwatched"))</f>
        <v/>
      </c>
      <c r="C1434" s="40" t="n"/>
      <c r="D1434" s="41" t="n"/>
      <c r="E1434" s="42" t="n">
        <v>44328.68263888889</v>
      </c>
      <c r="F1434" s="50" t="inlineStr">
        <is>
          <t>Super Carlin Brothers</t>
        </is>
      </c>
      <c r="G1434" t="inlineStr">
        <is>
          <t>What Happened to Kvothe's Powers? | Name of the Wind Theory</t>
        </is>
      </c>
      <c r="H1434" s="44" t="n">
        <v>0.01106481481481482</v>
      </c>
      <c r="I1434" s="45" t="n">
        <v>91912</v>
      </c>
      <c r="J1434" s="45" t="n">
        <v>4823</v>
      </c>
      <c r="K1434" s="45" t="n">
        <v>1028</v>
      </c>
      <c r="L1434" s="46" t="n"/>
      <c r="M1434" s="47" t="n"/>
      <c r="N1434" s="47" t="inlineStr">
        <is>
          <t>UCKZo4N0lVPccBkSiuyVh4yg</t>
        </is>
      </c>
      <c r="O1434" s="48" t="n">
        <v>44328.84930555556</v>
      </c>
      <c r="P1434" s="49" t="n">
        <v>44328</v>
      </c>
      <c r="Q1434" s="47" t="n">
        <v>1834</v>
      </c>
      <c r="R1434" s="47" t="inlineStr">
        <is>
          <t>No Video ID yet</t>
        </is>
      </c>
      <c r="S1434" s="49" t="n"/>
      <c r="T1434" s="49" t="n"/>
      <c r="U1434" s="47" t="inlineStr">
        <is>
          <t>Today Ben dives into the Name of the Wind to try and figure out what happened to Kvothe, why he changed his name to Kote and where his name is now! Carlin Brothers Candles ►►</t>
        </is>
      </c>
      <c r="V1434" s="47">
        <f>IF(AND(P1434&gt;=Calendar!$K$2,P1434&lt;EDATE(Calendar!$K$2,1),OR(Calendar!$K$4="*",N1434=Calendar!$K$4)),P1434*100+COUNTIFS($P$6:$P$3267,P1434,$Q$6:$Q$3267,"&lt;="&amp;Q1434,$N$6:$N$3267,Calendar!$K$4),"")</f>
        <v/>
      </c>
      <c r="W1434" s="47">
        <f>IF(AND(B1434=Queue!$C$4,OR(Queue!$K$4="*",N1434=Queue!$K$4)),Q1434,"")</f>
        <v/>
      </c>
    </row>
    <row r="1435">
      <c r="A1435" s="38">
        <f>IF(M1435="","",HYPERLINK("https://www.youtube.com/watch?v="&amp;M1435,"▶"))</f>
        <v/>
      </c>
      <c r="B1435" s="39">
        <f>IF(C1435&lt;&gt;"",C1435,IF(P1435&lt;=IFERROR(INDEX(tblChannels[Watched Through],MATCH(N1435,tblChannels[Channel ID],0)),0),"Watched","Unwatched"))</f>
        <v/>
      </c>
      <c r="C1435" s="40" t="n"/>
      <c r="D1435" s="41" t="n"/>
      <c r="E1435" s="42" t="n">
        <v>44328.41666666666</v>
      </c>
      <c r="F1435" s="52" t="inlineStr">
        <is>
          <t>Super Carlin Gaming</t>
        </is>
      </c>
      <c r="G1435" t="inlineStr">
        <is>
          <t>The STEEL Peach.. |  Pokémon LeafGreen Randomizer Nuzlocke #15</t>
        </is>
      </c>
      <c r="H1435" s="44" t="n">
        <v>0.03488425925925926</v>
      </c>
      <c r="I1435" s="45" t="n">
        <v>23929</v>
      </c>
      <c r="J1435" s="45" t="n">
        <v>1299</v>
      </c>
      <c r="K1435" s="45" t="n">
        <v>480</v>
      </c>
      <c r="L1435" s="46" t="n"/>
      <c r="M1435" s="47" t="n"/>
      <c r="N1435" s="47" t="inlineStr">
        <is>
          <t>UCor_9jRnNNZVzTuQ92PKsaQ</t>
        </is>
      </c>
      <c r="O1435" s="48" t="n">
        <v>44328.58333333334</v>
      </c>
      <c r="P1435" s="49" t="n">
        <v>44328</v>
      </c>
      <c r="Q1435" s="47" t="n">
        <v>1833</v>
      </c>
      <c r="R1435" s="47" t="inlineStr">
        <is>
          <t>No Video ID yet</t>
        </is>
      </c>
      <c r="S1435" s="49" t="n"/>
      <c r="T1435" s="49" t="n"/>
      <c r="U1435" s="47" t="inlineStr">
        <is>
          <t>Today J, Happy, Sporkles and the team head back to Saffron to try and kick out the Rockets and acquire the Master Ball BUT FIRST they need to try and catch so new Pokemon!</t>
        </is>
      </c>
      <c r="V1435" s="47">
        <f>IF(AND(P1435&gt;=Calendar!$K$2,P1435&lt;EDATE(Calendar!$K$2,1),OR(Calendar!$K$4="*",N1435=Calendar!$K$4)),P1435*100+COUNTIFS($P$6:$P$3267,P1435,$Q$6:$Q$3267,"&lt;="&amp;Q1435,$N$6:$N$3267,Calendar!$K$4),"")</f>
        <v/>
      </c>
      <c r="W1435" s="47">
        <f>IF(AND(B1435=Queue!$C$4,OR(Queue!$K$4="*",N1435=Queue!$K$4)),Q1435,"")</f>
        <v/>
      </c>
    </row>
    <row r="1436">
      <c r="A1436" s="38">
        <f>IF(M1436="","",HYPERLINK("https://www.youtube.com/watch?v="&amp;M1436,"▶"))</f>
        <v/>
      </c>
      <c r="B1436" s="39">
        <f>IF(C1436&lt;&gt;"",C1436,IF(P1436&lt;=IFERROR(INDEX(tblChannels[Watched Through],MATCH(N1436,tblChannels[Channel ID],0)),0),"Watched","Unwatched"))</f>
        <v/>
      </c>
      <c r="C1436" s="40" t="n"/>
      <c r="D1436" s="41" t="n"/>
      <c r="E1436" s="42" t="n">
        <v>44327.70486111111</v>
      </c>
      <c r="F1436" s="50" t="inlineStr">
        <is>
          <t>Super Carlin Brothers</t>
        </is>
      </c>
      <c r="G1436" t="inlineStr">
        <is>
          <t>Omega is Rey’s Mother | Star Wars Theory</t>
        </is>
      </c>
      <c r="H1436" s="44" t="n">
        <v>0.009456018518518518</v>
      </c>
      <c r="I1436" s="45" t="n">
        <v>79433</v>
      </c>
      <c r="J1436" s="45" t="n">
        <v>4251</v>
      </c>
      <c r="K1436" s="45" t="n">
        <v>861</v>
      </c>
      <c r="L1436" s="46" t="n"/>
      <c r="M1436" s="47" t="n"/>
      <c r="N1436" s="47" t="inlineStr">
        <is>
          <t>UCKZo4N0lVPccBkSiuyVh4yg</t>
        </is>
      </c>
      <c r="O1436" s="48" t="n">
        <v>44327.87152777778</v>
      </c>
      <c r="P1436" s="49" t="n">
        <v>44327</v>
      </c>
      <c r="Q1436" s="47" t="n">
        <v>1832</v>
      </c>
      <c r="R1436" s="47" t="inlineStr">
        <is>
          <t>No Video ID yet</t>
        </is>
      </c>
      <c r="S1436" s="49" t="n"/>
      <c r="T1436" s="49" t="n"/>
      <c r="U1436" s="47" t="inlineStr">
        <is>
          <t>Go to and use code SCB to save $75 on your starter kit! Today J dives into the Star Wars Galaxy to discuss the newly release Bad Batch and its newest and youngest member Omega, who may have greater significance than you realize! #SuperCarlinBrothers #StarWars</t>
        </is>
      </c>
      <c r="V1436" s="47">
        <f>IF(AND(P1436&gt;=Calendar!$K$2,P1436&lt;EDATE(Calendar!$K$2,1),OR(Calendar!$K$4="*",N1436=Calendar!$K$4)),P1436*100+COUNTIFS($P$6:$P$3267,P1436,$Q$6:$Q$3267,"&lt;="&amp;Q1436,$N$6:$N$3267,Calendar!$K$4),"")</f>
        <v/>
      </c>
      <c r="W1436" s="47">
        <f>IF(AND(B1436=Queue!$C$4,OR(Queue!$K$4="*",N1436=Queue!$K$4)),Q1436,"")</f>
        <v/>
      </c>
    </row>
    <row r="1437">
      <c r="A1437" s="38">
        <f>IF(M1437="","",HYPERLINK("https://www.youtube.com/watch?v="&amp;M1437,"▶"))</f>
        <v/>
      </c>
      <c r="B1437" s="39">
        <f>IF(C1437&lt;&gt;"",C1437,IF(P1437&lt;=IFERROR(INDEX(tblChannels[Watched Through],MATCH(N1437,tblChannels[Channel ID],0)),0),"Watched","Unwatched"))</f>
        <v/>
      </c>
      <c r="C1437" s="40" t="n"/>
      <c r="D1437" s="41" t="n"/>
      <c r="E1437" s="42" t="n">
        <v>44326.41666666666</v>
      </c>
      <c r="F1437" s="52" t="inlineStr">
        <is>
          <t>Super Carlin Gaming</t>
        </is>
      </c>
      <c r="G1437" t="inlineStr">
        <is>
          <t>SELF-DESTRUCT |  Pokémon LeafGreen Randomizer Nuzlocke #14</t>
        </is>
      </c>
      <c r="H1437" s="44" t="n">
        <v>0.02938657407407408</v>
      </c>
      <c r="I1437" s="45" t="n">
        <v>23166</v>
      </c>
      <c r="J1437" s="45" t="n">
        <v>1330</v>
      </c>
      <c r="K1437" s="45" t="n">
        <v>568</v>
      </c>
      <c r="L1437" s="46" t="n"/>
      <c r="M1437" s="47" t="n"/>
      <c r="N1437" s="47" t="inlineStr">
        <is>
          <t>UCor_9jRnNNZVzTuQ92PKsaQ</t>
        </is>
      </c>
      <c r="O1437" s="48" t="n">
        <v>44326.58333333334</v>
      </c>
      <c r="P1437" s="49" t="n">
        <v>44326</v>
      </c>
      <c r="Q1437" s="47" t="n">
        <v>1831</v>
      </c>
      <c r="R1437" s="47" t="inlineStr">
        <is>
          <t>No Video ID yet</t>
        </is>
      </c>
      <c r="S1437" s="49" t="n"/>
      <c r="T1437" s="49" t="n"/>
      <c r="U1437" s="47" t="inlineStr">
        <is>
          <t>Today J, Happy, Sporkles and the team train up to take on Koga and his STEEL types.. can they survive his sneaky steelys?</t>
        </is>
      </c>
      <c r="V1437" s="47">
        <f>IF(AND(P1437&gt;=Calendar!$K$2,P1437&lt;EDATE(Calendar!$K$2,1),OR(Calendar!$K$4="*",N1437=Calendar!$K$4)),P1437*100+COUNTIFS($P$6:$P$3267,P1437,$Q$6:$Q$3267,"&lt;="&amp;Q1437,$N$6:$N$3267,Calendar!$K$4),"")</f>
        <v/>
      </c>
      <c r="W1437" s="47">
        <f>IF(AND(B1437=Queue!$C$4,OR(Queue!$K$4="*",N1437=Queue!$K$4)),Q1437,"")</f>
        <v/>
      </c>
    </row>
    <row r="1438">
      <c r="A1438" s="38">
        <f>IF(M1438="","",HYPERLINK("https://www.youtube.com/watch?v="&amp;M1438,"▶"))</f>
        <v/>
      </c>
      <c r="B1438" s="39">
        <f>IF(C1438&lt;&gt;"",C1438,IF(P1438&lt;=IFERROR(INDEX(tblChannels[Watched Through],MATCH(N1438,tblChannels[Channel ID],0)),0),"Watched","Unwatched"))</f>
        <v/>
      </c>
      <c r="C1438" s="40" t="n"/>
      <c r="D1438" s="41" t="n"/>
      <c r="E1438" s="42" t="n">
        <v>44323.41666666666</v>
      </c>
      <c r="F1438" s="50" t="inlineStr">
        <is>
          <t>Super Carlin Brothers</t>
        </is>
      </c>
      <c r="G1438" t="inlineStr">
        <is>
          <t>What's the "Best" Harry Potter Movie? | Popcorn Culture</t>
        </is>
      </c>
      <c r="H1438" s="44" t="n">
        <v>0.0528125</v>
      </c>
      <c r="I1438" s="45" t="n">
        <v>77078</v>
      </c>
      <c r="J1438" s="45" t="n">
        <v>2714</v>
      </c>
      <c r="K1438" s="45" t="n">
        <v>571</v>
      </c>
      <c r="L1438" s="46" t="n"/>
      <c r="M1438" s="47" t="n"/>
      <c r="N1438" s="47" t="inlineStr">
        <is>
          <t>UCKZo4N0lVPccBkSiuyVh4yg</t>
        </is>
      </c>
      <c r="O1438" s="48" t="n">
        <v>44323.58333333334</v>
      </c>
      <c r="P1438" s="49" t="n">
        <v>44323</v>
      </c>
      <c r="Q1438" s="47" t="n">
        <v>1830</v>
      </c>
      <c r="R1438" s="47" t="inlineStr">
        <is>
          <t>No Video ID yet</t>
        </is>
      </c>
      <c r="S1438" s="49" t="n"/>
      <c r="T1438" s="49" t="n"/>
      <c r="U1438" s="47" t="inlineStr">
        <is>
          <t>This episode of Popcorn Culture is Sponsored by NRMeditation. Check out their meditation services at: In the 74th Episode of the Pop, Ben and J discuss: maxing out in games, sports movies, notable historical events, mask-wearing, toll booths, meditation, rule-based imagination, the gold standard, water guns, having favorites, and Ben’s exciting updates! Dunning Kruger: Imposter Syndrome: Without Limits: 1972 Summer Olympics: Why Prisoner is the Best HP Movie: Get your very own candle:</t>
        </is>
      </c>
      <c r="V1438" s="47">
        <f>IF(AND(P1438&gt;=Calendar!$K$2,P1438&lt;EDATE(Calendar!$K$2,1),OR(Calendar!$K$4="*",N1438=Calendar!$K$4)),P1438*100+COUNTIFS($P$6:$P$3267,P1438,$Q$6:$Q$3267,"&lt;="&amp;Q1438,$N$6:$N$3267,Calendar!$K$4),"")</f>
        <v/>
      </c>
      <c r="W1438" s="47">
        <f>IF(AND(B1438=Queue!$C$4,OR(Queue!$K$4="*",N1438=Queue!$K$4)),Q1438,"")</f>
        <v/>
      </c>
    </row>
    <row r="1439">
      <c r="A1439" s="38">
        <f>IF(M1439="","",HYPERLINK("https://www.youtube.com/watch?v="&amp;M1439,"▶"))</f>
        <v/>
      </c>
      <c r="B1439" s="39">
        <f>IF(C1439&lt;&gt;"",C1439,IF(P1439&lt;=IFERROR(INDEX(tblChannels[Watched Through],MATCH(N1439,tblChannels[Channel ID],0)),0),"Watched","Unwatched"))</f>
        <v/>
      </c>
      <c r="C1439" s="40" t="n"/>
      <c r="D1439" s="41" t="n"/>
      <c r="E1439" s="42" t="n">
        <v>44323.25</v>
      </c>
      <c r="F1439" s="43" t="inlineStr">
        <is>
          <t>Popcorn Culture</t>
        </is>
      </c>
      <c r="G1439" t="inlineStr">
        <is>
          <t>74 - There’s Nothing Cooler than a Backflip</t>
        </is>
      </c>
      <c r="H1439" s="44" t="n">
        <v>0.05193287037037037</v>
      </c>
      <c r="I1439" s="45" t="n">
        <v>1608</v>
      </c>
      <c r="J1439" s="45" t="n">
        <v>74</v>
      </c>
      <c r="K1439" s="45" t="n">
        <v>14</v>
      </c>
      <c r="L1439" s="46" t="n"/>
      <c r="M1439" s="47" t="n"/>
      <c r="N1439" s="47" t="inlineStr">
        <is>
          <t>UCHfIbq9thHPC8yrKjAdJgDA</t>
        </is>
      </c>
      <c r="O1439" s="48" t="n">
        <v>44323.41666666666</v>
      </c>
      <c r="P1439" s="49" t="n">
        <v>44323</v>
      </c>
      <c r="Q1439" s="47" t="n">
        <v>1829</v>
      </c>
      <c r="R1439" s="47" t="inlineStr">
        <is>
          <t>No Video ID yet</t>
        </is>
      </c>
      <c r="S1439" s="49" t="n"/>
      <c r="T1439" s="49" t="n"/>
      <c r="U1439" s="47" t="inlineStr">
        <is>
          <t>This episode of Popcorn Culture is Sponsored by NRMeditation. Check out their meditation services at: Ben and J discuss: maxing out in games, sports movies, notable historical events, mask-wearing, toll booths, meditation, rule-based imagination, the gold standard, water guns, having favorites, and Ben’s exciting updates! Dunning Kruger: Imposter Syndrome: Without Limits: 1972 Summer Olympics: Why Prisoner is the Best HP Movie: Get your very own candle:</t>
        </is>
      </c>
      <c r="V1439" s="47">
        <f>IF(AND(P1439&gt;=Calendar!$K$2,P1439&lt;EDATE(Calendar!$K$2,1),OR(Calendar!$K$4="*",N1439=Calendar!$K$4)),P1439*100+COUNTIFS($P$6:$P$3267,P1439,$Q$6:$Q$3267,"&lt;="&amp;Q1439,$N$6:$N$3267,Calendar!$K$4),"")</f>
        <v/>
      </c>
      <c r="W1439" s="47">
        <f>IF(AND(B1439=Queue!$C$4,OR(Queue!$K$4="*",N1439=Queue!$K$4)),Q1439,"")</f>
        <v/>
      </c>
    </row>
    <row r="1440">
      <c r="A1440" s="38">
        <f>IF(M1440="","",HYPERLINK("https://www.youtube.com/watch?v="&amp;M1440,"▶"))</f>
        <v/>
      </c>
      <c r="B1440" s="39">
        <f>IF(C1440&lt;&gt;"",C1440,IF(P1440&lt;=IFERROR(INDEX(tblChannels[Watched Through],MATCH(N1440,tblChannels[Channel ID],0)),0),"Watched","Unwatched"))</f>
        <v/>
      </c>
      <c r="C1440" s="40" t="n"/>
      <c r="D1440" s="41" t="n"/>
      <c r="E1440" s="42" t="n">
        <v>44322.79375</v>
      </c>
      <c r="F1440" s="50" t="inlineStr">
        <is>
          <t>Super Carlin Brothers</t>
        </is>
      </c>
      <c r="G1440" t="inlineStr">
        <is>
          <t>Why Didn’t The Founders Choose Magical Beasts? | Harry Potter Theory</t>
        </is>
      </c>
      <c r="H1440" s="44" t="n">
        <v>0.01020833333333333</v>
      </c>
      <c r="I1440" s="45" t="n">
        <v>490090</v>
      </c>
      <c r="J1440" s="45" t="n">
        <v>20030</v>
      </c>
      <c r="K1440" s="45" t="n">
        <v>2515</v>
      </c>
      <c r="L1440" s="46" t="n"/>
      <c r="M1440" s="47" t="n"/>
      <c r="N1440" s="47" t="inlineStr">
        <is>
          <t>UCKZo4N0lVPccBkSiuyVh4yg</t>
        </is>
      </c>
      <c r="O1440" s="48" t="n">
        <v>44322.96041666667</v>
      </c>
      <c r="P1440" s="49" t="n">
        <v>44322</v>
      </c>
      <c r="Q1440" s="47" t="n">
        <v>1828</v>
      </c>
      <c r="R1440" s="47" t="inlineStr">
        <is>
          <t>No Video ID yet</t>
        </is>
      </c>
      <c r="S1440" s="49" t="n"/>
      <c r="T1440" s="49" t="n"/>
      <c r="U1440" s="47" t="inlineStr">
        <is>
          <t>Today Ben dives into the Wizarding World of Harry Potter to try and determine why the Hogwarts Founders didnt choose magical beasts as their mascots and instead settled on Lion, Snake, Eagle and Badger (or pancakes).</t>
        </is>
      </c>
      <c r="V1440" s="47">
        <f>IF(AND(P1440&gt;=Calendar!$K$2,P1440&lt;EDATE(Calendar!$K$2,1),OR(Calendar!$K$4="*",N1440=Calendar!$K$4)),P1440*100+COUNTIFS($P$6:$P$3267,P1440,$Q$6:$Q$3267,"&lt;="&amp;Q1440,$N$6:$N$3267,Calendar!$K$4),"")</f>
        <v/>
      </c>
      <c r="W1440" s="47">
        <f>IF(AND(B1440=Queue!$C$4,OR(Queue!$K$4="*",N1440=Queue!$K$4)),Q1440,"")</f>
        <v/>
      </c>
    </row>
    <row r="1441">
      <c r="A1441" s="38">
        <f>IF(M1441="","",HYPERLINK("https://www.youtube.com/watch?v="&amp;M1441,"▶"))</f>
        <v/>
      </c>
      <c r="B1441" s="39">
        <f>IF(C1441&lt;&gt;"",C1441,IF(P1441&lt;=IFERROR(INDEX(tblChannels[Watched Through],MATCH(N1441,tblChannels[Channel ID],0)),0),"Watched","Unwatched"))</f>
        <v/>
      </c>
      <c r="C1441" s="40" t="n"/>
      <c r="D1441" s="41" t="n"/>
      <c r="E1441" s="42" t="n">
        <v>44321.70833333334</v>
      </c>
      <c r="F1441" s="50" t="inlineStr">
        <is>
          <t>Super Carlin Brothers</t>
        </is>
      </c>
      <c r="G1441" t="inlineStr">
        <is>
          <t>Is Cinder Playing A Beautiful Game? | Name of the Wind Theory</t>
        </is>
      </c>
      <c r="H1441" s="44" t="n">
        <v>0.01166666666666667</v>
      </c>
      <c r="I1441" s="45" t="n">
        <v>71377</v>
      </c>
      <c r="J1441" s="45" t="n">
        <v>3440</v>
      </c>
      <c r="K1441" s="45" t="n">
        <v>484</v>
      </c>
      <c r="L1441" s="46" t="n"/>
      <c r="M1441" s="47" t="n"/>
      <c r="N1441" s="47" t="inlineStr">
        <is>
          <t>UCKZo4N0lVPccBkSiuyVh4yg</t>
        </is>
      </c>
      <c r="O1441" s="48" t="n">
        <v>44321.875</v>
      </c>
      <c r="P1441" s="49" t="n">
        <v>44321</v>
      </c>
      <c r="Q1441" s="47" t="n">
        <v>1827</v>
      </c>
      <c r="R1441" s="47" t="inlineStr">
        <is>
          <t>No Video ID yet</t>
        </is>
      </c>
      <c r="S1441" s="49" t="n"/>
      <c r="T1441" s="49" t="n"/>
      <c r="U1441" s="47" t="inlineStr">
        <is>
          <t>Today J dives into the world of Patrick Rothfuss' Name of the Wind to discuss Cinder's secret identity as Bredon, the beautiful game he's playing with Kvothe and why he's doing it! Carlin Brothers Candles ►►</t>
        </is>
      </c>
      <c r="V1441" s="47">
        <f>IF(AND(P1441&gt;=Calendar!$K$2,P1441&lt;EDATE(Calendar!$K$2,1),OR(Calendar!$K$4="*",N1441=Calendar!$K$4)),P1441*100+COUNTIFS($P$6:$P$3267,P1441,$Q$6:$Q$3267,"&lt;="&amp;Q1441,$N$6:$N$3267,Calendar!$K$4),"")</f>
        <v/>
      </c>
      <c r="W1441" s="47">
        <f>IF(AND(B1441=Queue!$C$4,OR(Queue!$K$4="*",N1441=Queue!$K$4)),Q1441,"")</f>
        <v/>
      </c>
    </row>
    <row r="1442">
      <c r="A1442" s="38">
        <f>IF(M1442="","",HYPERLINK("https://www.youtube.com/watch?v="&amp;M1442,"▶"))</f>
        <v/>
      </c>
      <c r="B1442" s="39">
        <f>IF(C1442&lt;&gt;"",C1442,IF(P1442&lt;=IFERROR(INDEX(tblChannels[Watched Through],MATCH(N1442,tblChannels[Channel ID],0)),0),"Watched","Unwatched"))</f>
        <v/>
      </c>
      <c r="C1442" s="40" t="n"/>
      <c r="D1442" s="41" t="n"/>
      <c r="E1442" s="42" t="n">
        <v>44321.41666666666</v>
      </c>
      <c r="F1442" s="52" t="inlineStr">
        <is>
          <t>Super Carlin Gaming</t>
        </is>
      </c>
      <c r="G1442" t="inlineStr">
        <is>
          <t>CAN I HAZ CHARIZARD? | Pokémon LeafGreen Nuzlocke #13</t>
        </is>
      </c>
      <c r="H1442" s="44" t="n">
        <v>0.03450231481481481</v>
      </c>
      <c r="I1442" s="45" t="n">
        <v>25330</v>
      </c>
      <c r="J1442" s="45" t="n">
        <v>2260</v>
      </c>
      <c r="K1442" s="45" t="n">
        <v>613</v>
      </c>
      <c r="L1442" s="46" t="n"/>
      <c r="M1442" s="47" t="n"/>
      <c r="N1442" s="47" t="inlineStr">
        <is>
          <t>UCor_9jRnNNZVzTuQ92PKsaQ</t>
        </is>
      </c>
      <c r="O1442" s="48" t="n">
        <v>44321.58333333334</v>
      </c>
      <c r="P1442" s="49" t="n">
        <v>44321</v>
      </c>
      <c r="Q1442" s="47" t="n">
        <v>1826</v>
      </c>
      <c r="R1442" s="47" t="inlineStr">
        <is>
          <t>No Video ID yet</t>
        </is>
      </c>
      <c r="S1442" s="49" t="n"/>
      <c r="T1442" s="49" t="n"/>
      <c r="U1442" s="47" t="inlineStr">
        <is>
          <t>This week J, Happy, Sporkles and the team take a trip through the Safari Zone to pick up some strong new moves and then decided to tackle the Fighting Dojo in hopes of getting a free new Pokemon!</t>
        </is>
      </c>
      <c r="V1442" s="47">
        <f>IF(AND(P1442&gt;=Calendar!$K$2,P1442&lt;EDATE(Calendar!$K$2,1),OR(Calendar!$K$4="*",N1442=Calendar!$K$4)),P1442*100+COUNTIFS($P$6:$P$3267,P1442,$Q$6:$Q$3267,"&lt;="&amp;Q1442,$N$6:$N$3267,Calendar!$K$4),"")</f>
        <v/>
      </c>
      <c r="W1442" s="47">
        <f>IF(AND(B1442=Queue!$C$4,OR(Queue!$K$4="*",N1442=Queue!$K$4)),Q1442,"")</f>
        <v/>
      </c>
    </row>
    <row r="1443">
      <c r="A1443" s="38">
        <f>IF(M1443="","",HYPERLINK("https://www.youtube.com/watch?v="&amp;M1443,"▶"))</f>
        <v/>
      </c>
      <c r="B1443" s="39">
        <f>IF(C1443&lt;&gt;"",C1443,IF(P1443&lt;=IFERROR(INDEX(tblChannels[Watched Through],MATCH(N1443,tblChannels[Channel ID],0)),0),"Watched","Unwatched"))</f>
        <v/>
      </c>
      <c r="C1443" s="40" t="n"/>
      <c r="D1443" s="41" t="n"/>
      <c r="E1443" s="42" t="n">
        <v>44320.70138888889</v>
      </c>
      <c r="F1443" s="50" t="inlineStr">
        <is>
          <t>Super Carlin Brothers</t>
        </is>
      </c>
      <c r="G1443" t="inlineStr">
        <is>
          <t>Is Luca A Monster? | Pixar Theory</t>
        </is>
      </c>
      <c r="H1443" s="44" t="n">
        <v>0.01033564814814815</v>
      </c>
      <c r="I1443" s="45" t="n">
        <v>372315</v>
      </c>
      <c r="J1443" s="45" t="n">
        <v>12941</v>
      </c>
      <c r="K1443" s="45" t="n">
        <v>1092</v>
      </c>
      <c r="L1443" s="46" t="n"/>
      <c r="M1443" s="47" t="n"/>
      <c r="N1443" s="47" t="inlineStr">
        <is>
          <t>UCKZo4N0lVPccBkSiuyVh4yg</t>
        </is>
      </c>
      <c r="O1443" s="48" t="n">
        <v>44320.86805555555</v>
      </c>
      <c r="P1443" s="49" t="n">
        <v>44320</v>
      </c>
      <c r="Q1443" s="47" t="n">
        <v>1825</v>
      </c>
      <c r="R1443" s="47" t="inlineStr">
        <is>
          <t>No Video ID yet</t>
        </is>
      </c>
      <c r="S1443" s="49" t="n"/>
      <c r="T1443" s="49" t="n"/>
      <c r="U1443" s="47" t="inlineStr">
        <is>
          <t>Go to to get an extra 3 months free! Today J dives into the world of Pixar to break down the first full Luca trailer and determine if its already fits into Pixar theory, if Luca is a MONSTER and what connections it might have to Finding Nemo, Wall-E and La Luna!</t>
        </is>
      </c>
      <c r="V1443" s="47">
        <f>IF(AND(P1443&gt;=Calendar!$K$2,P1443&lt;EDATE(Calendar!$K$2,1),OR(Calendar!$K$4="*",N1443=Calendar!$K$4)),P1443*100+COUNTIFS($P$6:$P$3267,P1443,$Q$6:$Q$3267,"&lt;="&amp;Q1443,$N$6:$N$3267,Calendar!$K$4),"")</f>
        <v/>
      </c>
      <c r="W1443" s="47">
        <f>IF(AND(B1443=Queue!$C$4,OR(Queue!$K$4="*",N1443=Queue!$K$4)),Q1443,"")</f>
        <v/>
      </c>
    </row>
    <row r="1444">
      <c r="A1444" s="38">
        <f>IF(M1444="","",HYPERLINK("https://www.youtube.com/watch?v="&amp;M1444,"▶"))</f>
        <v/>
      </c>
      <c r="B1444" s="39">
        <f>IF(C1444&lt;&gt;"",C1444,IF(P1444&lt;=IFERROR(INDEX(tblChannels[Watched Through],MATCH(N1444,tblChannels[Channel ID],0)),0),"Watched","Unwatched"))</f>
        <v/>
      </c>
      <c r="C1444" s="40" t="n"/>
      <c r="D1444" s="41" t="n"/>
      <c r="E1444" s="42" t="n">
        <v>44319.41666666666</v>
      </c>
      <c r="F1444" s="52" t="inlineStr">
        <is>
          <t>Super Carlin Gaming</t>
        </is>
      </c>
      <c r="G1444" t="inlineStr">
        <is>
          <t>A Grumpy Rage.. |  Pokémon LeafGreen Randomizer Nuzlocke #12</t>
        </is>
      </c>
      <c r="H1444" s="44" t="n">
        <v>0.02403935185185185</v>
      </c>
      <c r="I1444" s="45" t="n">
        <v>23079</v>
      </c>
      <c r="J1444" s="45" t="n">
        <v>1390</v>
      </c>
      <c r="K1444" s="45" t="n">
        <v>370</v>
      </c>
      <c r="L1444" s="46" t="n"/>
      <c r="M1444" s="47" t="n"/>
      <c r="N1444" s="47" t="inlineStr">
        <is>
          <t>UCor_9jRnNNZVzTuQ92PKsaQ</t>
        </is>
      </c>
      <c r="O1444" s="48" t="n">
        <v>44319.58333333334</v>
      </c>
      <c r="P1444" s="49" t="n">
        <v>44319</v>
      </c>
      <c r="Q1444" s="47" t="n">
        <v>1824</v>
      </c>
      <c r="R1444" s="47" t="inlineStr">
        <is>
          <t>No Video ID yet</t>
        </is>
      </c>
      <c r="S1444" s="49" t="n"/>
      <c r="T1444" s="49" t="n"/>
      <c r="U1444" s="47" t="inlineStr">
        <is>
          <t>This week J, Happy, Sporkles and the team head towards Fuschia City and try and catch a sleeping "Snorlax" which attacks in a grumpy rage... can the team survive this Large and RANDOM Encounter??</t>
        </is>
      </c>
      <c r="V1444" s="47">
        <f>IF(AND(P1444&gt;=Calendar!$K$2,P1444&lt;EDATE(Calendar!$K$2,1),OR(Calendar!$K$4="*",N1444=Calendar!$K$4)),P1444*100+COUNTIFS($P$6:$P$3267,P1444,$Q$6:$Q$3267,"&lt;="&amp;Q1444,$N$6:$N$3267,Calendar!$K$4),"")</f>
        <v/>
      </c>
      <c r="W1444" s="47">
        <f>IF(AND(B1444=Queue!$C$4,OR(Queue!$K$4="*",N1444=Queue!$K$4)),Q1444,"")</f>
        <v/>
      </c>
    </row>
    <row r="1445">
      <c r="A1445" s="38">
        <f>IF(M1445="","",HYPERLINK("https://www.youtube.com/watch?v="&amp;M1445,"▶"))</f>
        <v/>
      </c>
      <c r="B1445" s="39">
        <f>IF(C1445&lt;&gt;"",C1445,IF(P1445&lt;=IFERROR(INDEX(tblChannels[Watched Through],MATCH(N1445,tblChannels[Channel ID],0)),0),"Watched","Unwatched"))</f>
        <v/>
      </c>
      <c r="C1445" s="40" t="n"/>
      <c r="D1445" s="41" t="n"/>
      <c r="E1445" s="42" t="n">
        <v>44316.41666666666</v>
      </c>
      <c r="F1445" s="50" t="inlineStr">
        <is>
          <t>Super Carlin Brothers</t>
        </is>
      </c>
      <c r="G1445" t="inlineStr">
        <is>
          <t>Are Comedians Modern Day Philosophers? | Popcorn Culture</t>
        </is>
      </c>
      <c r="H1445" s="44" t="n">
        <v>0.04776620370370371</v>
      </c>
      <c r="I1445" s="45" t="n">
        <v>24124</v>
      </c>
      <c r="J1445" s="45" t="n">
        <v>1021</v>
      </c>
      <c r="K1445" s="45" t="n">
        <v>188</v>
      </c>
      <c r="L1445" s="46" t="n"/>
      <c r="M1445" s="47" t="n"/>
      <c r="N1445" s="47" t="inlineStr">
        <is>
          <t>UCKZo4N0lVPccBkSiuyVh4yg</t>
        </is>
      </c>
      <c r="O1445" s="48" t="n">
        <v>44316.58333333334</v>
      </c>
      <c r="P1445" s="49" t="n">
        <v>44316</v>
      </c>
      <c r="Q1445" s="47" t="n">
        <v>1823</v>
      </c>
      <c r="R1445" s="47" t="inlineStr">
        <is>
          <t>No Video ID yet</t>
        </is>
      </c>
      <c r="S1445" s="49" t="n"/>
      <c r="T1445" s="49" t="n"/>
      <c r="U1445" s="47" t="inlineStr">
        <is>
          <t>In the 73rd episode of the Pop, Ben and J discuss: Conch Shell Updates, shower curtains, Dad magic, math, modern philosophy, building bridges, new fandom excitement, Ben’s weekend, hockey standings, and the Popcast Patreon! SAT Words shower curtain: Shower Curtain: What your eyes do when you close them: Why are scientific names important: Why do seashells sound like the ocean: Sample After the Final Pop: Get your very own candle:</t>
        </is>
      </c>
      <c r="V1445" s="47">
        <f>IF(AND(P1445&gt;=Calendar!$K$2,P1445&lt;EDATE(Calendar!$K$2,1),OR(Calendar!$K$4="*",N1445=Calendar!$K$4)),P1445*100+COUNTIFS($P$6:$P$3267,P1445,$Q$6:$Q$3267,"&lt;="&amp;Q1445,$N$6:$N$3267,Calendar!$K$4),"")</f>
        <v/>
      </c>
      <c r="W1445" s="47">
        <f>IF(AND(B1445=Queue!$C$4,OR(Queue!$K$4="*",N1445=Queue!$K$4)),Q1445,"")</f>
        <v/>
      </c>
    </row>
    <row r="1446">
      <c r="A1446" s="38">
        <f>IF(M1446="","",HYPERLINK("https://www.youtube.com/watch?v="&amp;M1446,"▶"))</f>
        <v/>
      </c>
      <c r="B1446" s="39">
        <f>IF(C1446&lt;&gt;"",C1446,IF(P1446&lt;=IFERROR(INDEX(tblChannels[Watched Through],MATCH(N1446,tblChannels[Channel ID],0)),0),"Watched","Unwatched"))</f>
        <v/>
      </c>
      <c r="C1446" s="40" t="n"/>
      <c r="D1446" s="41" t="n"/>
      <c r="E1446" s="42" t="n">
        <v>44316.25</v>
      </c>
      <c r="F1446" s="43" t="inlineStr">
        <is>
          <t>Popcorn Culture</t>
        </is>
      </c>
      <c r="G1446" t="inlineStr">
        <is>
          <t>73 - Comedians are Modern Day Philosophers</t>
        </is>
      </c>
      <c r="H1446" s="44" t="n">
        <v>0.04659722222222222</v>
      </c>
      <c r="I1446" s="45" t="n">
        <v>1064</v>
      </c>
      <c r="J1446" s="45" t="n">
        <v>58</v>
      </c>
      <c r="K1446" s="45" t="n">
        <v>8</v>
      </c>
      <c r="L1446" s="46" t="n"/>
      <c r="M1446" s="47" t="n"/>
      <c r="N1446" s="47" t="inlineStr">
        <is>
          <t>UCHfIbq9thHPC8yrKjAdJgDA</t>
        </is>
      </c>
      <c r="O1446" s="48" t="n">
        <v>44316.41666666666</v>
      </c>
      <c r="P1446" s="49" t="n">
        <v>44316</v>
      </c>
      <c r="Q1446" s="47" t="n">
        <v>1822</v>
      </c>
      <c r="R1446" s="47" t="inlineStr">
        <is>
          <t>No Video ID yet</t>
        </is>
      </c>
      <c r="S1446" s="49" t="n"/>
      <c r="T1446" s="49" t="n"/>
      <c r="U1446" s="47" t="inlineStr">
        <is>
          <t>Ben and J discuss: Conch Shell Updates, shower curtains, Dad magic, math, modern philosophy, building bridges, new fandom excitement, Ben’s weekend, hockey standings, and the Popcast Patreon! SAT Words shower curtain: Shower Curtain: What your eyes do when you close them: Why are scientific names important: Why do seashells sound like the ocean: Sample After the Final Pop: Get your very own candle:</t>
        </is>
      </c>
      <c r="V1446" s="47">
        <f>IF(AND(P1446&gt;=Calendar!$K$2,P1446&lt;EDATE(Calendar!$K$2,1),OR(Calendar!$K$4="*",N1446=Calendar!$K$4)),P1446*100+COUNTIFS($P$6:$P$3267,P1446,$Q$6:$Q$3267,"&lt;="&amp;Q1446,$N$6:$N$3267,Calendar!$K$4),"")</f>
        <v/>
      </c>
      <c r="W1446" s="47">
        <f>IF(AND(B1446=Queue!$C$4,OR(Queue!$K$4="*",N1446=Queue!$K$4)),Q1446,"")</f>
        <v/>
      </c>
    </row>
    <row r="1447">
      <c r="A1447" s="38">
        <f>IF(M1447="","",HYPERLINK("https://www.youtube.com/watch?v="&amp;M1447,"▶"))</f>
        <v/>
      </c>
      <c r="B1447" s="39">
        <f>IF(C1447&lt;&gt;"",C1447,IF(P1447&lt;=IFERROR(INDEX(tblChannels[Watched Through],MATCH(N1447,tblChannels[Channel ID],0)),0),"Watched","Unwatched"))</f>
        <v/>
      </c>
      <c r="C1447" s="40" t="n"/>
      <c r="D1447" s="41" t="n"/>
      <c r="E1447" s="42" t="n">
        <v>44315.68680555555</v>
      </c>
      <c r="F1447" s="50" t="inlineStr">
        <is>
          <t>Super Carlin Brothers</t>
        </is>
      </c>
      <c r="G1447" t="inlineStr">
        <is>
          <t>J vs Ben: INSANELY HARD Harry Potter Trivia Quiz [Quiz Master Edition]</t>
        </is>
      </c>
      <c r="H1447" s="44" t="n">
        <v>0.01967592592592593</v>
      </c>
      <c r="I1447" s="45" t="n">
        <v>432804</v>
      </c>
      <c r="J1447" s="45" t="n">
        <v>12060</v>
      </c>
      <c r="K1447" s="45" t="n">
        <v>1074</v>
      </c>
      <c r="L1447" s="46" t="n"/>
      <c r="M1447" s="47" t="n"/>
      <c r="N1447" s="47" t="inlineStr">
        <is>
          <t>UCKZo4N0lVPccBkSiuyVh4yg</t>
        </is>
      </c>
      <c r="O1447" s="48" t="n">
        <v>44315.85347222222</v>
      </c>
      <c r="P1447" s="49" t="n">
        <v>44315</v>
      </c>
      <c r="Q1447" s="47" t="n">
        <v>1821</v>
      </c>
      <c r="R1447" s="47" t="inlineStr">
        <is>
          <t>No Video ID yet</t>
        </is>
      </c>
      <c r="S1447" s="49" t="n"/>
      <c r="T1447" s="49" t="n"/>
      <c r="U1447" s="47" t="inlineStr">
        <is>
          <t>Download the DoorDash app in the App Store and enter code JVSB2021 to get 25% off and zero delivery fees on your first order! Visit to get Honey for free. Today J and Ben face off in more Harry Potter trivia, but this time all the questions have been supplied but our immensely generous and, in the case of the difficulty, DEVIOUS Quiz Masters over on Patreon! Special thanks to these Patrons whose questions were used for the quiz :: Adam Maw Amanda Hiser, Ben Henderson, Bianca Aboitiz, Brett, Cerenig Ruse, Donna Barck, Emerald Phoenix, Emily West, Erica Franco, Graeson Lounsbury, Jocelyn W, Josie Burkhardt, Lucy Wood, Luke Gibson, Maddy DeVeuve, Madeline Bougher, Malcolm, Max D, Mimi Ginsburg,Nolan Faber, Paras Chauhan, Randy Savage, Sam H, Sami Rae</t>
        </is>
      </c>
      <c r="V1447" s="47">
        <f>IF(AND(P1447&gt;=Calendar!$K$2,P1447&lt;EDATE(Calendar!$K$2,1),OR(Calendar!$K$4="*",N1447=Calendar!$K$4)),P1447*100+COUNTIFS($P$6:$P$3267,P1447,$Q$6:$Q$3267,"&lt;="&amp;Q1447,$N$6:$N$3267,Calendar!$K$4),"")</f>
        <v/>
      </c>
      <c r="W1447" s="47">
        <f>IF(AND(B1447=Queue!$C$4,OR(Queue!$K$4="*",N1447=Queue!$K$4)),Q1447,"")</f>
        <v/>
      </c>
    </row>
    <row r="1448">
      <c r="A1448" s="38">
        <f>IF(M1448="","",HYPERLINK("https://www.youtube.com/watch?v="&amp;M1448,"▶"))</f>
        <v/>
      </c>
      <c r="B1448" s="39">
        <f>IF(C1448&lt;&gt;"",C1448,IF(P1448&lt;=IFERROR(INDEX(tblChannels[Watched Through],MATCH(N1448,tblChannels[Channel ID],0)),0),"Watched","Unwatched"))</f>
        <v/>
      </c>
      <c r="C1448" s="40" t="n"/>
      <c r="D1448" s="41" t="n"/>
      <c r="E1448" s="42" t="n">
        <v>44314.69375</v>
      </c>
      <c r="F1448" s="50" t="inlineStr">
        <is>
          <t>Super Carlin Brothers</t>
        </is>
      </c>
      <c r="G1448" t="inlineStr">
        <is>
          <t>Who Is Denna’s Patron? | Name of the Wind Theory</t>
        </is>
      </c>
      <c r="H1448" s="44" t="n">
        <v>0.01168981481481481</v>
      </c>
      <c r="I1448" s="45" t="n">
        <v>64401</v>
      </c>
      <c r="J1448" s="45" t="n">
        <v>3739</v>
      </c>
      <c r="K1448" s="45" t="n">
        <v>563</v>
      </c>
      <c r="L1448" s="46" t="n"/>
      <c r="M1448" s="47" t="n"/>
      <c r="N1448" s="47" t="inlineStr">
        <is>
          <t>UCKZo4N0lVPccBkSiuyVh4yg</t>
        </is>
      </c>
      <c r="O1448" s="48" t="n">
        <v>44314.86041666667</v>
      </c>
      <c r="P1448" s="49" t="n">
        <v>44314</v>
      </c>
      <c r="Q1448" s="47" t="n">
        <v>1820</v>
      </c>
      <c r="R1448" s="47" t="inlineStr">
        <is>
          <t>No Video ID yet</t>
        </is>
      </c>
      <c r="S1448" s="49" t="n"/>
      <c r="T1448" s="49" t="n"/>
      <c r="U1448" s="47" t="inlineStr">
        <is>
          <t>Today J dives into the wide world of Patrick Rothfuss’ Name of the Wind to discuss the true identity of Denna’s mysterious patron “Master Ash” #SuperCarlinBrothers #NameOfTheWind</t>
        </is>
      </c>
      <c r="V1448" s="47">
        <f>IF(AND(P1448&gt;=Calendar!$K$2,P1448&lt;EDATE(Calendar!$K$2,1),OR(Calendar!$K$4="*",N1448=Calendar!$K$4)),P1448*100+COUNTIFS($P$6:$P$3267,P1448,$Q$6:$Q$3267,"&lt;="&amp;Q1448,$N$6:$N$3267,Calendar!$K$4),"")</f>
        <v/>
      </c>
      <c r="W1448" s="47">
        <f>IF(AND(B1448=Queue!$C$4,OR(Queue!$K$4="*",N1448=Queue!$K$4)),Q1448,"")</f>
        <v/>
      </c>
    </row>
    <row r="1449">
      <c r="A1449" s="38">
        <f>IF(M1449="","",HYPERLINK("https://www.youtube.com/watch?v="&amp;M1449,"▶"))</f>
        <v/>
      </c>
      <c r="B1449" s="39">
        <f>IF(C1449&lt;&gt;"",C1449,IF(P1449&lt;=IFERROR(INDEX(tblChannels[Watched Through],MATCH(N1449,tblChannels[Channel ID],0)),0),"Watched","Unwatched"))</f>
        <v/>
      </c>
      <c r="C1449" s="40" t="n"/>
      <c r="D1449" s="41" t="n"/>
      <c r="E1449" s="42" t="n">
        <v>44314.41666666666</v>
      </c>
      <c r="F1449" s="52" t="inlineStr">
        <is>
          <t>Super Carlin Gaming</t>
        </is>
      </c>
      <c r="G1449" t="inlineStr">
        <is>
          <t>The Truly Haunted Tower |  Pokémon LeafGreen Randomizer Nuzlocke #11</t>
        </is>
      </c>
      <c r="H1449" s="44" t="n">
        <v>0.02697916666666667</v>
      </c>
      <c r="I1449" s="45" t="n">
        <v>23995</v>
      </c>
      <c r="J1449" s="45" t="n">
        <v>1588</v>
      </c>
      <c r="K1449" s="45" t="n">
        <v>488</v>
      </c>
      <c r="L1449" s="46" t="n"/>
      <c r="M1449" s="47" t="n"/>
      <c r="N1449" s="47" t="inlineStr">
        <is>
          <t>UCor_9jRnNNZVzTuQ92PKsaQ</t>
        </is>
      </c>
      <c r="O1449" s="48" t="n">
        <v>44314.58333333334</v>
      </c>
      <c r="P1449" s="49" t="n">
        <v>44314</v>
      </c>
      <c r="Q1449" s="47" t="n">
        <v>1819</v>
      </c>
      <c r="R1449" s="47" t="inlineStr">
        <is>
          <t>No Video ID yet</t>
        </is>
      </c>
      <c r="S1449" s="49" t="n"/>
      <c r="T1449" s="49" t="n"/>
      <c r="U1449" s="47" t="inlineStr">
        <is>
          <t>This week J, Happy, Sporkles and the team head to Lavender Town to face off again against Peaches and try and rescue Mr. Fuji. Will the entire team survive this haunted tower??</t>
        </is>
      </c>
      <c r="V1449" s="47">
        <f>IF(AND(P1449&gt;=Calendar!$K$2,P1449&lt;EDATE(Calendar!$K$2,1),OR(Calendar!$K$4="*",N1449=Calendar!$K$4)),P1449*100+COUNTIFS($P$6:$P$3267,P1449,$Q$6:$Q$3267,"&lt;="&amp;Q1449,$N$6:$N$3267,Calendar!$K$4),"")</f>
        <v/>
      </c>
      <c r="W1449" s="47">
        <f>IF(AND(B1449=Queue!$C$4,OR(Queue!$K$4="*",N1449=Queue!$K$4)),Q1449,"")</f>
        <v/>
      </c>
    </row>
    <row r="1450">
      <c r="A1450" s="38">
        <f>IF(M1450="","",HYPERLINK("https://www.youtube.com/watch?v="&amp;M1450,"▶"))</f>
        <v/>
      </c>
      <c r="B1450" s="39">
        <f>IF(C1450&lt;&gt;"",C1450,IF(P1450&lt;=IFERROR(INDEX(tblChannels[Watched Through],MATCH(N1450,tblChannels[Channel ID],0)),0),"Watched","Unwatched"))</f>
        <v/>
      </c>
      <c r="C1450" s="40" t="n"/>
      <c r="D1450" s="41" t="n"/>
      <c r="E1450" s="42" t="n">
        <v>44313.71180555555</v>
      </c>
      <c r="F1450" s="50" t="inlineStr">
        <is>
          <t>Super Carlin Brothers</t>
        </is>
      </c>
      <c r="G1450" t="inlineStr">
        <is>
          <t>Top 10 Harry Potter Moments That Were Better In The Movies | Theory</t>
        </is>
      </c>
      <c r="H1450" s="44" t="n">
        <v>0.01144675925925926</v>
      </c>
      <c r="I1450" s="45" t="n">
        <v>904617</v>
      </c>
      <c r="J1450" s="45" t="n">
        <v>29805</v>
      </c>
      <c r="K1450" s="45" t="n">
        <v>4207</v>
      </c>
      <c r="L1450" s="46" t="n"/>
      <c r="M1450" s="47" t="n"/>
      <c r="N1450" s="47" t="inlineStr">
        <is>
          <t>UCKZo4N0lVPccBkSiuyVh4yg</t>
        </is>
      </c>
      <c r="O1450" s="48" t="n">
        <v>44313.87847222222</v>
      </c>
      <c r="P1450" s="49" t="n">
        <v>44313</v>
      </c>
      <c r="Q1450" s="47" t="n">
        <v>1818</v>
      </c>
      <c r="R1450" s="47" t="inlineStr">
        <is>
          <t>No Video ID yet</t>
        </is>
      </c>
      <c r="S1450" s="49" t="n"/>
      <c r="T1450" s="49" t="n"/>
      <c r="U1450" s="47" t="inlineStr">
        <is>
          <t>Make your Mother’s day this year and get 10% off at Today J dives into the Wizarding World of Harry Potter to count down the Top 10 scenes in Harry Potter that were better in the movies than in the books!</t>
        </is>
      </c>
      <c r="V1450" s="47">
        <f>IF(AND(P1450&gt;=Calendar!$K$2,P1450&lt;EDATE(Calendar!$K$2,1),OR(Calendar!$K$4="*",N1450=Calendar!$K$4)),P1450*100+COUNTIFS($P$6:$P$3267,P1450,$Q$6:$Q$3267,"&lt;="&amp;Q1450,$N$6:$N$3267,Calendar!$K$4),"")</f>
        <v/>
      </c>
      <c r="W1450" s="47">
        <f>IF(AND(B1450=Queue!$C$4,OR(Queue!$K$4="*",N1450=Queue!$K$4)),Q1450,"")</f>
        <v/>
      </c>
    </row>
    <row r="1451">
      <c r="A1451" s="38">
        <f>IF(M1451="","",HYPERLINK("https://www.youtube.com/watch?v="&amp;M1451,"▶"))</f>
        <v/>
      </c>
      <c r="B1451" s="39">
        <f>IF(C1451&lt;&gt;"",C1451,IF(P1451&lt;=IFERROR(INDEX(tblChannels[Watched Through],MATCH(N1451,tblChannels[Channel ID],0)),0),"Watched","Unwatched"))</f>
        <v/>
      </c>
      <c r="C1451" s="40" t="n"/>
      <c r="D1451" s="41" t="n"/>
      <c r="E1451" s="42" t="n">
        <v>44312.41666666666</v>
      </c>
      <c r="F1451" s="52" t="inlineStr">
        <is>
          <t>Super Carlin Gaming</t>
        </is>
      </c>
      <c r="G1451" t="inlineStr">
        <is>
          <t>ENTER BOSS ROCKET |  Pokémon LeafGreen Randomizer Nuzlocke #10</t>
        </is>
      </c>
      <c r="H1451" s="44" t="n">
        <v>0.02383101851851852</v>
      </c>
      <c r="I1451" s="45" t="n">
        <v>25071</v>
      </c>
      <c r="J1451" s="45" t="n">
        <v>2956</v>
      </c>
      <c r="K1451" s="45" t="n">
        <v>403</v>
      </c>
      <c r="L1451" s="46" t="n"/>
      <c r="M1451" s="47" t="n"/>
      <c r="N1451" s="47" t="inlineStr">
        <is>
          <t>UCor_9jRnNNZVzTuQ92PKsaQ</t>
        </is>
      </c>
      <c r="O1451" s="48" t="n">
        <v>44312.58333333334</v>
      </c>
      <c r="P1451" s="49" t="n">
        <v>44312</v>
      </c>
      <c r="Q1451" s="47" t="n">
        <v>1817</v>
      </c>
      <c r="R1451" s="47" t="inlineStr">
        <is>
          <t>No Video ID yet</t>
        </is>
      </c>
      <c r="S1451" s="49" t="n"/>
      <c r="T1451" s="49" t="n"/>
      <c r="U1451" s="47" t="inlineStr">
        <is>
          <t>This week J, Happy, Sporkles and the team head into the Rocket Game Corner to try and clear out Team Rocket and their Boss Gioviani! Will the whole team survive this new deadly foe?!</t>
        </is>
      </c>
      <c r="V1451" s="47">
        <f>IF(AND(P1451&gt;=Calendar!$K$2,P1451&lt;EDATE(Calendar!$K$2,1),OR(Calendar!$K$4="*",N1451=Calendar!$K$4)),P1451*100+COUNTIFS($P$6:$P$3267,P1451,$Q$6:$Q$3267,"&lt;="&amp;Q1451,$N$6:$N$3267,Calendar!$K$4),"")</f>
        <v/>
      </c>
      <c r="W1451" s="47">
        <f>IF(AND(B1451=Queue!$C$4,OR(Queue!$K$4="*",N1451=Queue!$K$4)),Q1451,"")</f>
        <v/>
      </c>
    </row>
    <row r="1452">
      <c r="A1452" s="38">
        <f>IF(M1452="","",HYPERLINK("https://www.youtube.com/watch?v="&amp;M1452,"▶"))</f>
        <v/>
      </c>
      <c r="B1452" s="39">
        <f>IF(C1452&lt;&gt;"",C1452,IF(P1452&lt;=IFERROR(INDEX(tblChannels[Watched Through],MATCH(N1452,tblChannels[Channel ID],0)),0),"Watched","Unwatched"))</f>
        <v/>
      </c>
      <c r="C1452" s="40" t="n"/>
      <c r="D1452" s="41" t="n"/>
      <c r="E1452" s="42" t="n">
        <v>44309.4375</v>
      </c>
      <c r="F1452" s="50" t="inlineStr">
        <is>
          <t>Super Carlin Brothers</t>
        </is>
      </c>
      <c r="G1452" t="inlineStr">
        <is>
          <t>Did I Ever Actually Like Running? | Popcorn Culture</t>
        </is>
      </c>
      <c r="H1452" s="44" t="n">
        <v>0.04881944444444444</v>
      </c>
      <c r="I1452" s="45" t="n">
        <v>25770</v>
      </c>
      <c r="J1452" s="45" t="n">
        <v>1100</v>
      </c>
      <c r="K1452" s="45" t="n">
        <v>117</v>
      </c>
      <c r="L1452" s="46" t="n"/>
      <c r="M1452" s="47" t="n"/>
      <c r="N1452" s="47" t="inlineStr">
        <is>
          <t>UCKZo4N0lVPccBkSiuyVh4yg</t>
        </is>
      </c>
      <c r="O1452" s="48" t="n">
        <v>44309.60416666666</v>
      </c>
      <c r="P1452" s="49" t="n">
        <v>44309</v>
      </c>
      <c r="Q1452" s="47" t="n">
        <v>1816</v>
      </c>
      <c r="R1452" s="47" t="inlineStr">
        <is>
          <t>No Video ID yet</t>
        </is>
      </c>
      <c r="S1452" s="49" t="n"/>
      <c r="T1452" s="49" t="n"/>
      <c r="U1452" s="47" t="inlineStr">
        <is>
          <t>In the 72nd episode of the Pop, Ben and J discuss: future you's opinions, putting pressure on your past self, holding grudges, birth order, the cross country team, the Blue Ridge Marathon, JOMPS, and hide and seek. How to Eat Bagels: Are Narwhals Real: Is Yogurt Manly: The Dunning-Kruger Effect: Hello Internet: Heavy Weights Podcast: Get your very own candle:</t>
        </is>
      </c>
      <c r="V1452" s="47">
        <f>IF(AND(P1452&gt;=Calendar!$K$2,P1452&lt;EDATE(Calendar!$K$2,1),OR(Calendar!$K$4="*",N1452=Calendar!$K$4)),P1452*100+COUNTIFS($P$6:$P$3267,P1452,$Q$6:$Q$3267,"&lt;="&amp;Q1452,$N$6:$N$3267,Calendar!$K$4),"")</f>
        <v/>
      </c>
      <c r="W1452" s="47">
        <f>IF(AND(B1452=Queue!$C$4,OR(Queue!$K$4="*",N1452=Queue!$K$4)),Q1452,"")</f>
        <v/>
      </c>
    </row>
    <row r="1453">
      <c r="A1453" s="38">
        <f>IF(M1453="","",HYPERLINK("https://www.youtube.com/watch?v="&amp;M1453,"▶"))</f>
        <v/>
      </c>
      <c r="B1453" s="39">
        <f>IF(C1453&lt;&gt;"",C1453,IF(P1453&lt;=IFERROR(INDEX(tblChannels[Watched Through],MATCH(N1453,tblChannels[Channel ID],0)),0),"Watched","Unwatched"))</f>
        <v/>
      </c>
      <c r="C1453" s="40" t="n"/>
      <c r="D1453" s="41" t="n"/>
      <c r="E1453" s="42" t="n">
        <v>44309.25</v>
      </c>
      <c r="F1453" s="43" t="inlineStr">
        <is>
          <t>Popcorn Culture</t>
        </is>
      </c>
      <c r="G1453" t="inlineStr">
        <is>
          <t>72 - Did I Ever Actually Like Running?</t>
        </is>
      </c>
      <c r="H1453" s="44" t="n">
        <v>0.04740740740740741</v>
      </c>
      <c r="I1453" s="45" t="n">
        <v>1509</v>
      </c>
      <c r="J1453" s="45" t="n">
        <v>65</v>
      </c>
      <c r="K1453" s="45" t="n">
        <v>13</v>
      </c>
      <c r="L1453" s="46" t="n"/>
      <c r="M1453" s="47" t="n"/>
      <c r="N1453" s="47" t="inlineStr">
        <is>
          <t>UCHfIbq9thHPC8yrKjAdJgDA</t>
        </is>
      </c>
      <c r="O1453" s="48" t="n">
        <v>44309.41666666666</v>
      </c>
      <c r="P1453" s="49" t="n">
        <v>44309</v>
      </c>
      <c r="Q1453" s="47" t="n">
        <v>1815</v>
      </c>
      <c r="R1453" s="47" t="inlineStr">
        <is>
          <t>No Video ID yet</t>
        </is>
      </c>
      <c r="S1453" s="49" t="n"/>
      <c r="T1453" s="49" t="n"/>
      <c r="U1453" s="47" t="inlineStr">
        <is>
          <t>Ben and J discuss: future yous opinions, putting pressure on your past self, holding grudges, birth order, cross country team, the Blue Ridge Marathon, jomps, and hide and seek. How to Eat Bagels: Are Narwhals Real: Is Yogurt Manly: The Dunning-Kruger Effect: Hello Internet: Heavy Weights Podcast: Get your very own candle:</t>
        </is>
      </c>
      <c r="V1453" s="47">
        <f>IF(AND(P1453&gt;=Calendar!$K$2,P1453&lt;EDATE(Calendar!$K$2,1),OR(Calendar!$K$4="*",N1453=Calendar!$K$4)),P1453*100+COUNTIFS($P$6:$P$3267,P1453,$Q$6:$Q$3267,"&lt;="&amp;Q1453,$N$6:$N$3267,Calendar!$K$4),"")</f>
        <v/>
      </c>
      <c r="W1453" s="47">
        <f>IF(AND(B1453=Queue!$C$4,OR(Queue!$K$4="*",N1453=Queue!$K$4)),Q1453,"")</f>
        <v/>
      </c>
    </row>
    <row r="1454">
      <c r="A1454" s="38">
        <f>IF(M1454="","",HYPERLINK("https://www.youtube.com/watch?v="&amp;M1454,"▶"))</f>
        <v/>
      </c>
      <c r="B1454" s="39">
        <f>IF(C1454&lt;&gt;"",C1454,IF(P1454&lt;=IFERROR(INDEX(tblChannels[Watched Through],MATCH(N1454,tblChannels[Channel ID],0)),0),"Watched","Unwatched"))</f>
        <v/>
      </c>
      <c r="C1454" s="40" t="n"/>
      <c r="D1454" s="41" t="n"/>
      <c r="E1454" s="42" t="n">
        <v>44308.63333333333</v>
      </c>
      <c r="F1454" s="50" t="inlineStr">
        <is>
          <t>Super Carlin Brothers</t>
        </is>
      </c>
      <c r="G1454" t="inlineStr">
        <is>
          <t>Could the Sword of Gryffindor Become a Horcrux? | Harry Potter Theory</t>
        </is>
      </c>
      <c r="H1454" s="44" t="n">
        <v>0.009571759259259259</v>
      </c>
      <c r="I1454" s="45" t="n">
        <v>217982</v>
      </c>
      <c r="J1454" s="45" t="n">
        <v>9864</v>
      </c>
      <c r="K1454" s="45" t="n">
        <v>1631</v>
      </c>
      <c r="L1454" s="46" t="n"/>
      <c r="M1454" s="47" t="n"/>
      <c r="N1454" s="47" t="inlineStr">
        <is>
          <t>UCKZo4N0lVPccBkSiuyVh4yg</t>
        </is>
      </c>
      <c r="O1454" s="48" t="n">
        <v>44308.8</v>
      </c>
      <c r="P1454" s="49" t="n">
        <v>44308</v>
      </c>
      <c r="Q1454" s="47" t="n">
        <v>1814</v>
      </c>
      <c r="R1454" s="47" t="inlineStr">
        <is>
          <t>No Video ID yet</t>
        </is>
      </c>
      <c r="S1454" s="49" t="n"/>
      <c r="T1454" s="49" t="n"/>
      <c r="U1454" s="47" t="inlineStr">
        <is>
          <t>Go to to get 15% off your first order and free shipping! Today Ben dives into the Wizarding World of Harry Potter to discuss the Sword of Gryffindor and if it's even possible that it could become a Horcrux, or if the fact that it only takes things that make it stronger would mean it repels Voldemort’s soul?</t>
        </is>
      </c>
      <c r="V1454" s="47">
        <f>IF(AND(P1454&gt;=Calendar!$K$2,P1454&lt;EDATE(Calendar!$K$2,1),OR(Calendar!$K$4="*",N1454=Calendar!$K$4)),P1454*100+COUNTIFS($P$6:$P$3267,P1454,$Q$6:$Q$3267,"&lt;="&amp;Q1454,$N$6:$N$3267,Calendar!$K$4),"")</f>
        <v/>
      </c>
      <c r="W1454" s="47">
        <f>IF(AND(B1454=Queue!$C$4,OR(Queue!$K$4="*",N1454=Queue!$K$4)),Q1454,"")</f>
        <v/>
      </c>
    </row>
    <row r="1455">
      <c r="A1455" s="38">
        <f>IF(M1455="","",HYPERLINK("https://www.youtube.com/watch?v="&amp;M1455,"▶"))</f>
        <v/>
      </c>
      <c r="B1455" s="39">
        <f>IF(C1455&lt;&gt;"",C1455,IF(P1455&lt;=IFERROR(INDEX(tblChannels[Watched Through],MATCH(N1455,tblChannels[Channel ID],0)),0),"Watched","Unwatched"))</f>
        <v/>
      </c>
      <c r="C1455" s="40" t="n"/>
      <c r="D1455" s="41" t="n"/>
      <c r="E1455" s="42" t="n">
        <v>44307.72638888889</v>
      </c>
      <c r="F1455" s="50" t="inlineStr">
        <is>
          <t>Super Carlin Brothers</t>
        </is>
      </c>
      <c r="G1455" t="inlineStr">
        <is>
          <t>What Is Kvothe’s Last Name? | Name of the Wind Theory</t>
        </is>
      </c>
      <c r="H1455" s="44" t="n">
        <v>0.01189814814814815</v>
      </c>
      <c r="I1455" s="45" t="n">
        <v>80214</v>
      </c>
      <c r="J1455" s="45" t="n">
        <v>4581</v>
      </c>
      <c r="K1455" s="45" t="n">
        <v>955</v>
      </c>
      <c r="L1455" s="46" t="n"/>
      <c r="M1455" s="47" t="n"/>
      <c r="N1455" s="47" t="inlineStr">
        <is>
          <t>UCKZo4N0lVPccBkSiuyVh4yg</t>
        </is>
      </c>
      <c r="O1455" s="48" t="n">
        <v>44307.89305555556</v>
      </c>
      <c r="P1455" s="49" t="n">
        <v>44307</v>
      </c>
      <c r="Q1455" s="47" t="n">
        <v>1813</v>
      </c>
      <c r="R1455" s="47" t="inlineStr">
        <is>
          <t>No Video ID yet</t>
        </is>
      </c>
      <c r="S1455" s="49" t="n"/>
      <c r="T1455" s="49" t="n"/>
      <c r="U1455" s="47" t="inlineStr">
        <is>
          <t>Welcome to Name of the WINDSDAY! This week Ben dives into the world of Patrick Rothfuss' Name of the Wind to discuss Kvothe's mysterious heritage, his true last name, and what that means for the world at large! Head on over to check out our newly redesigned CANDLES (and other stuff too!) at</t>
        </is>
      </c>
      <c r="V1455" s="47">
        <f>IF(AND(P1455&gt;=Calendar!$K$2,P1455&lt;EDATE(Calendar!$K$2,1),OR(Calendar!$K$4="*",N1455=Calendar!$K$4)),P1455*100+COUNTIFS($P$6:$P$3267,P1455,$Q$6:$Q$3267,"&lt;="&amp;Q1455,$N$6:$N$3267,Calendar!$K$4),"")</f>
        <v/>
      </c>
      <c r="W1455" s="47">
        <f>IF(AND(B1455=Queue!$C$4,OR(Queue!$K$4="*",N1455=Queue!$K$4)),Q1455,"")</f>
        <v/>
      </c>
    </row>
    <row r="1456">
      <c r="A1456" s="38">
        <f>IF(M1456="","",HYPERLINK("https://www.youtube.com/watch?v="&amp;M1456,"▶"))</f>
        <v/>
      </c>
      <c r="B1456" s="39">
        <f>IF(C1456&lt;&gt;"",C1456,IF(P1456&lt;=IFERROR(INDEX(tblChannels[Watched Through],MATCH(N1456,tblChannels[Channel ID],0)),0),"Watched","Unwatched"))</f>
        <v/>
      </c>
      <c r="C1456" s="40" t="n"/>
      <c r="D1456" s="41" t="n"/>
      <c r="E1456" s="42" t="n">
        <v>44307.41666666666</v>
      </c>
      <c r="F1456" s="52" t="inlineStr">
        <is>
          <t>Super Carlin Gaming</t>
        </is>
      </c>
      <c r="G1456" t="inlineStr">
        <is>
          <t>A True Disappointment.. |  Pokémon LeafGreen Randomizer Nuzlocke #9</t>
        </is>
      </c>
      <c r="H1456" s="44" t="n">
        <v>0.0290625</v>
      </c>
      <c r="I1456" s="45" t="n">
        <v>28830</v>
      </c>
      <c r="J1456" s="45" t="n">
        <v>1388</v>
      </c>
      <c r="K1456" s="45" t="n">
        <v>646</v>
      </c>
      <c r="L1456" s="46" t="n"/>
      <c r="M1456" s="47" t="n"/>
      <c r="N1456" s="47" t="inlineStr">
        <is>
          <t>UCor_9jRnNNZVzTuQ92PKsaQ</t>
        </is>
      </c>
      <c r="O1456" s="48" t="n">
        <v>44307.58333333334</v>
      </c>
      <c r="P1456" s="49" t="n">
        <v>44307</v>
      </c>
      <c r="Q1456" s="47" t="n">
        <v>1812</v>
      </c>
      <c r="R1456" s="47" t="inlineStr">
        <is>
          <t>No Video ID yet</t>
        </is>
      </c>
      <c r="S1456" s="49" t="n"/>
      <c r="T1456" s="49" t="n"/>
      <c r="U1456" s="47" t="inlineStr">
        <is>
          <t>This week J, Happy, Sporkles and the crew make their way to the Celdadon City gym to take on Erika and whatever random type she has dreamt up! Will the team survive the gym?!</t>
        </is>
      </c>
      <c r="V1456" s="47">
        <f>IF(AND(P1456&gt;=Calendar!$K$2,P1456&lt;EDATE(Calendar!$K$2,1),OR(Calendar!$K$4="*",N1456=Calendar!$K$4)),P1456*100+COUNTIFS($P$6:$P$3267,P1456,$Q$6:$Q$3267,"&lt;="&amp;Q1456,$N$6:$N$3267,Calendar!$K$4),"")</f>
        <v/>
      </c>
      <c r="W1456" s="47">
        <f>IF(AND(B1456=Queue!$C$4,OR(Queue!$K$4="*",N1456=Queue!$K$4)),Q1456,"")</f>
        <v/>
      </c>
    </row>
    <row r="1457">
      <c r="A1457" s="38">
        <f>IF(M1457="","",HYPERLINK("https://www.youtube.com/watch?v="&amp;M1457,"▶"))</f>
        <v/>
      </c>
      <c r="B1457" s="39">
        <f>IF(C1457&lt;&gt;"",C1457,IF(P1457&lt;=IFERROR(INDEX(tblChannels[Watched Through],MATCH(N1457,tblChannels[Channel ID],0)),0),"Watched","Unwatched"))</f>
        <v/>
      </c>
      <c r="C1457" s="40" t="n"/>
      <c r="D1457" s="41" t="n"/>
      <c r="E1457" s="42" t="n">
        <v>44306.67916666667</v>
      </c>
      <c r="F1457" s="50" t="inlineStr">
        <is>
          <t>Super Carlin Brothers</t>
        </is>
      </c>
      <c r="G1457" t="inlineStr">
        <is>
          <t>Who Is Pokemon’s LEAST Favorite Pokemon? | Pokemon Theory</t>
        </is>
      </c>
      <c r="H1457" s="44" t="n">
        <v>0.0128125</v>
      </c>
      <c r="I1457" s="45" t="n">
        <v>185594</v>
      </c>
      <c r="J1457" s="45" t="n">
        <v>10228</v>
      </c>
      <c r="K1457" s="45" t="n">
        <v>2653</v>
      </c>
      <c r="L1457" s="46" t="n"/>
      <c r="M1457" s="47" t="n"/>
      <c r="N1457" s="47" t="inlineStr">
        <is>
          <t>UCKZo4N0lVPccBkSiuyVh4yg</t>
        </is>
      </c>
      <c r="O1457" s="48" t="n">
        <v>44306.84583333333</v>
      </c>
      <c r="P1457" s="49" t="n">
        <v>44306</v>
      </c>
      <c r="Q1457" s="47" t="n">
        <v>1811</v>
      </c>
      <c r="R1457" s="47" t="inlineStr">
        <is>
          <t>No Video ID yet</t>
        </is>
      </c>
      <c r="S1457" s="49" t="n"/>
      <c r="T1457" s="49" t="n"/>
      <c r="U1457" s="47" t="inlineStr">
        <is>
          <t>Go to to get 10% off plus free shipping! Today J dives into the wide world of Pokemon to try and determine the Pokemon company’s LEAST favorite Pokmeon! #SuperCarlinBrothers #Pokemon</t>
        </is>
      </c>
      <c r="V1457" s="47">
        <f>IF(AND(P1457&gt;=Calendar!$K$2,P1457&lt;EDATE(Calendar!$K$2,1),OR(Calendar!$K$4="*",N1457=Calendar!$K$4)),P1457*100+COUNTIFS($P$6:$P$3267,P1457,$Q$6:$Q$3267,"&lt;="&amp;Q1457,$N$6:$N$3267,Calendar!$K$4),"")</f>
        <v/>
      </c>
      <c r="W1457" s="47">
        <f>IF(AND(B1457=Queue!$C$4,OR(Queue!$K$4="*",N1457=Queue!$K$4)),Q1457,"")</f>
        <v/>
      </c>
    </row>
    <row r="1458">
      <c r="A1458" s="38">
        <f>IF(M1458="","",HYPERLINK("https://www.youtube.com/watch?v="&amp;M1458,"▶"))</f>
        <v/>
      </c>
      <c r="B1458" s="39">
        <f>IF(C1458&lt;&gt;"",C1458,IF(P1458&lt;=IFERROR(INDEX(tblChannels[Watched Through],MATCH(N1458,tblChannels[Channel ID],0)),0),"Watched","Unwatched"))</f>
        <v/>
      </c>
      <c r="C1458" s="40" t="n"/>
      <c r="D1458" s="41" t="n"/>
      <c r="E1458" s="42" t="n">
        <v>44305.41666666666</v>
      </c>
      <c r="F1458" s="52" t="inlineStr">
        <is>
          <t>Super Carlin Gaming</t>
        </is>
      </c>
      <c r="G1458" t="inlineStr">
        <is>
          <t>Hello Darkness My Old Friend.. |  Pokémon LeafGreen Randomizer Nuzlocke</t>
        </is>
      </c>
      <c r="H1458" s="44" t="n">
        <v>0.02733796296296296</v>
      </c>
      <c r="I1458" s="45" t="n">
        <v>32173</v>
      </c>
      <c r="J1458" s="45" t="n">
        <v>1352</v>
      </c>
      <c r="K1458" s="45" t="n">
        <v>448</v>
      </c>
      <c r="L1458" s="46" t="n"/>
      <c r="M1458" s="47" t="n"/>
      <c r="N1458" s="47" t="inlineStr">
        <is>
          <t>UCor_9jRnNNZVzTuQ92PKsaQ</t>
        </is>
      </c>
      <c r="O1458" s="48" t="n">
        <v>44305.58333333334</v>
      </c>
      <c r="P1458" s="49" t="n">
        <v>44305</v>
      </c>
      <c r="Q1458" s="47" t="n">
        <v>1810</v>
      </c>
      <c r="R1458" s="47" t="inlineStr">
        <is>
          <t>No Video ID yet</t>
        </is>
      </c>
      <c r="S1458" s="49" t="n"/>
      <c r="T1458" s="49" t="n"/>
      <c r="U1458" s="47" t="inlineStr">
        <is>
          <t>Without the aid of Flash J and the Team must navigate the Rock Tunnel with nothing but blind faith in each other.. can they survive the dark and the INSANE Grass trainers?</t>
        </is>
      </c>
      <c r="V1458" s="47">
        <f>IF(AND(P1458&gt;=Calendar!$K$2,P1458&lt;EDATE(Calendar!$K$2,1),OR(Calendar!$K$4="*",N1458=Calendar!$K$4)),P1458*100+COUNTIFS($P$6:$P$3267,P1458,$Q$6:$Q$3267,"&lt;="&amp;Q1458,$N$6:$N$3267,Calendar!$K$4),"")</f>
        <v/>
      </c>
      <c r="W1458" s="47">
        <f>IF(AND(B1458=Queue!$C$4,OR(Queue!$K$4="*",N1458=Queue!$K$4)),Q1458,"")</f>
        <v/>
      </c>
    </row>
    <row r="1459">
      <c r="A1459" s="38">
        <f>IF(M1459="","",HYPERLINK("https://www.youtube.com/watch?v="&amp;M1459,"▶"))</f>
        <v/>
      </c>
      <c r="B1459" s="39">
        <f>IF(C1459&lt;&gt;"",C1459,IF(P1459&lt;=IFERROR(INDEX(tblChannels[Watched Through],MATCH(N1459,tblChannels[Channel ID],0)),0),"Watched","Unwatched"))</f>
        <v/>
      </c>
      <c r="C1459" s="40" t="n"/>
      <c r="D1459" s="41" t="n"/>
      <c r="E1459" s="42" t="n">
        <v>44302.86319444444</v>
      </c>
      <c r="F1459" s="50" t="inlineStr">
        <is>
          <t>Super Carlin Brothers</t>
        </is>
      </c>
      <c r="G1459" t="inlineStr">
        <is>
          <t>ALL FANDOMS Trivia Night LIVE STREAM!</t>
        </is>
      </c>
      <c r="H1459" s="44" t="n">
        <v>0.1066550925925926</v>
      </c>
      <c r="I1459" s="45" t="n">
        <v>135902</v>
      </c>
      <c r="J1459" s="45" t="n">
        <v>2166</v>
      </c>
      <c r="K1459" s="45" t="n">
        <v>146</v>
      </c>
      <c r="L1459" s="46" t="n"/>
      <c r="M1459" s="47" t="n"/>
      <c r="N1459" s="47" t="inlineStr">
        <is>
          <t>UCKZo4N0lVPccBkSiuyVh4yg</t>
        </is>
      </c>
      <c r="O1459" s="48" t="n">
        <v>44303.02986111111</v>
      </c>
      <c r="P1459" s="49" t="n">
        <v>44302</v>
      </c>
      <c r="Q1459" s="47" t="n">
        <v>1809</v>
      </c>
      <c r="R1459" s="47" t="inlineStr">
        <is>
          <t>No Video ID yet</t>
        </is>
      </c>
      <c r="S1459" s="49" t="n"/>
      <c r="T1459" s="49" t="n"/>
      <c r="U1459" s="47" t="inlineStr">
        <is>
          <t>DO YOU HAVE WHAT IT TAKES TO BECOME THE CHAMPION OF ALL SIX FANDOMS?! - Tonight we test your knowledge of Disney, Pixar, Marvel, Star Wars, Harry Potter and Avatar: The Last Airbender! Winners email: secretcarlinbrothers@gmail.com with a screenshot of your winning score! HOW TO PLAY Kahoot with the Carlins! 1. Download the Kahoot app to your mobile device, or go to Kahoot.it to join the game! If the app is already installed on your device we recommend making sure it is up to date before the game starts! 2. Make sure you’re running the SCB Livestream on a different device or a different window than Kahoot! (We recommend having Kahoot on your phone and the stream on a computer or TV, but two tabs/windows on the same computer works as well!) 3. Shortly before we start the game, SCB will announce the game PIN. Enter the pin into your Kahoot App or at Kahoot.it 4. Enter a nickname for yourself and join the game! 5. Points are awarded for accuracy and speed, so make sure your live stream is caught up! You can skip ahead in the video, or set your video speed to 2x to catch up! (To increase video speed, click the settings gear near the bottom right corner (computer) or the 3 dots at the to</t>
        </is>
      </c>
      <c r="V1459" s="47">
        <f>IF(AND(P1459&gt;=Calendar!$K$2,P1459&lt;EDATE(Calendar!$K$2,1),OR(Calendar!$K$4="*",N1459=Calendar!$K$4)),P1459*100+COUNTIFS($P$6:$P$3267,P1459,$Q$6:$Q$3267,"&lt;="&amp;Q1459,$N$6:$N$3267,Calendar!$K$4),"")</f>
        <v/>
      </c>
      <c r="W1459" s="47">
        <f>IF(AND(B1459=Queue!$C$4,OR(Queue!$K$4="*",N1459=Queue!$K$4)),Q1459,"")</f>
        <v/>
      </c>
    </row>
    <row r="1460">
      <c r="A1460" s="38">
        <f>IF(M1460="","",HYPERLINK("https://www.youtube.com/watch?v="&amp;M1460,"▶"))</f>
        <v/>
      </c>
      <c r="B1460" s="39">
        <f>IF(C1460&lt;&gt;"",C1460,IF(P1460&lt;=IFERROR(INDEX(tblChannels[Watched Through],MATCH(N1460,tblChannels[Channel ID],0)),0),"Watched","Unwatched"))</f>
        <v/>
      </c>
      <c r="C1460" s="40" t="n"/>
      <c r="D1460" s="41" t="n"/>
      <c r="E1460" s="42" t="n">
        <v>44302.41666666666</v>
      </c>
      <c r="F1460" s="50" t="inlineStr">
        <is>
          <t>Super Carlin Brothers</t>
        </is>
      </c>
      <c r="G1460" t="inlineStr">
        <is>
          <t>The Just Noticeable Difference | Popcorn Culture</t>
        </is>
      </c>
      <c r="H1460" s="44" t="n">
        <v>0.04803240740740741</v>
      </c>
      <c r="I1460" s="45" t="n">
        <v>23709</v>
      </c>
      <c r="J1460" s="45" t="n">
        <v>983</v>
      </c>
      <c r="K1460" s="45" t="n">
        <v>188</v>
      </c>
      <c r="L1460" s="46" t="n"/>
      <c r="M1460" s="47" t="n"/>
      <c r="N1460" s="47" t="inlineStr">
        <is>
          <t>UCKZo4N0lVPccBkSiuyVh4yg</t>
        </is>
      </c>
      <c r="O1460" s="48" t="n">
        <v>44302.58333333334</v>
      </c>
      <c r="P1460" s="49" t="n">
        <v>44302</v>
      </c>
      <c r="Q1460" s="47" t="n">
        <v>1808</v>
      </c>
      <c r="R1460" s="47" t="inlineStr">
        <is>
          <t>No Video ID yet</t>
        </is>
      </c>
      <c r="S1460" s="49" t="n"/>
      <c r="T1460" s="49" t="n"/>
      <c r="U1460" s="47" t="inlineStr">
        <is>
          <t>Ben and J discuss: becoming a YouTuber, the Just Noticeable Difference, dad jokes, kids TV, seashells, household chores, seashells, Pokémon cards… and seashells. www.Patreon.com/PopcornCulture Just Noticeable Difference: Just Noticeable Difference 2: Email the Pop about seashells: popcornculturepod@gmail.com Revisiting Ben’s Skeleton Key: Pokémon cards unboxing:</t>
        </is>
      </c>
      <c r="V1460" s="47">
        <f>IF(AND(P1460&gt;=Calendar!$K$2,P1460&lt;EDATE(Calendar!$K$2,1),OR(Calendar!$K$4="*",N1460=Calendar!$K$4)),P1460*100+COUNTIFS($P$6:$P$3267,P1460,$Q$6:$Q$3267,"&lt;="&amp;Q1460,$N$6:$N$3267,Calendar!$K$4),"")</f>
        <v/>
      </c>
      <c r="W1460" s="47">
        <f>IF(AND(B1460=Queue!$C$4,OR(Queue!$K$4="*",N1460=Queue!$K$4)),Q1460,"")</f>
        <v/>
      </c>
    </row>
    <row r="1461">
      <c r="A1461" s="38">
        <f>IF(M1461="","",HYPERLINK("https://www.youtube.com/watch?v="&amp;M1461,"▶"))</f>
        <v/>
      </c>
      <c r="B1461" s="39">
        <f>IF(C1461&lt;&gt;"",C1461,IF(P1461&lt;=IFERROR(INDEX(tblChannels[Watched Through],MATCH(N1461,tblChannels[Channel ID],0)),0),"Watched","Unwatched"))</f>
        <v/>
      </c>
      <c r="C1461" s="40" t="n"/>
      <c r="D1461" s="41" t="n"/>
      <c r="E1461" s="42" t="n">
        <v>44302.25</v>
      </c>
      <c r="F1461" s="43" t="inlineStr">
        <is>
          <t>Popcorn Culture</t>
        </is>
      </c>
      <c r="G1461" t="inlineStr">
        <is>
          <t>71 - The Just Noticeable Difference</t>
        </is>
      </c>
      <c r="H1461" s="44" t="n">
        <v>0.04597222222222222</v>
      </c>
      <c r="I1461" s="45" t="n">
        <v>1378</v>
      </c>
      <c r="J1461" s="45" t="n">
        <v>71</v>
      </c>
      <c r="K1461" s="45" t="n">
        <v>7</v>
      </c>
      <c r="L1461" s="46" t="n"/>
      <c r="M1461" s="47" t="n"/>
      <c r="N1461" s="47" t="inlineStr">
        <is>
          <t>UCHfIbq9thHPC8yrKjAdJgDA</t>
        </is>
      </c>
      <c r="O1461" s="48" t="n">
        <v>44302.41666666666</v>
      </c>
      <c r="P1461" s="49" t="n">
        <v>44302</v>
      </c>
      <c r="Q1461" s="47" t="n">
        <v>1807</v>
      </c>
      <c r="R1461" s="47" t="inlineStr">
        <is>
          <t>No Video ID yet</t>
        </is>
      </c>
      <c r="S1461" s="49" t="n"/>
      <c r="T1461" s="49" t="n"/>
      <c r="U1461" s="47" t="inlineStr">
        <is>
          <t>Ben and J discuss: becoming a YouTuber, the Just Noticeable Difference, seashells, household chores, and Pokémon cards. Just Noticeable Difference: Just Noticeable Difference 2: Email the Pop about seashells: popcornculturepod@gmail.com Get your very own candle: Revisiting Ben’s Skeleton Key: Pokémon cards unboxing:</t>
        </is>
      </c>
      <c r="V1461" s="47">
        <f>IF(AND(P1461&gt;=Calendar!$K$2,P1461&lt;EDATE(Calendar!$K$2,1),OR(Calendar!$K$4="*",N1461=Calendar!$K$4)),P1461*100+COUNTIFS($P$6:$P$3267,P1461,$Q$6:$Q$3267,"&lt;="&amp;Q1461,$N$6:$N$3267,Calendar!$K$4),"")</f>
        <v/>
      </c>
      <c r="W1461" s="47">
        <f>IF(AND(B1461=Queue!$C$4,OR(Queue!$K$4="*",N1461=Queue!$K$4)),Q1461,"")</f>
        <v/>
      </c>
    </row>
    <row r="1462">
      <c r="A1462" s="38">
        <f>IF(M1462="","",HYPERLINK("https://www.youtube.com/watch?v="&amp;M1462,"▶"))</f>
        <v/>
      </c>
      <c r="B1462" s="39">
        <f>IF(C1462&lt;&gt;"",C1462,IF(P1462&lt;=IFERROR(INDEX(tblChannels[Watched Through],MATCH(N1462,tblChannels[Channel ID],0)),0),"Watched","Unwatched"))</f>
        <v/>
      </c>
      <c r="C1462" s="40" t="n"/>
      <c r="D1462" s="41" t="n"/>
      <c r="E1462" s="42" t="n">
        <v>44301.70625</v>
      </c>
      <c r="F1462" s="50" t="inlineStr">
        <is>
          <t>Super Carlin Brothers</t>
        </is>
      </c>
      <c r="G1462" t="inlineStr">
        <is>
          <t>J vs Ben: We FAILED More Harry Potter Trivia - REDEMPTION Quiz</t>
        </is>
      </c>
      <c r="H1462" s="44" t="n">
        <v>0.021875</v>
      </c>
      <c r="I1462" s="45" t="n">
        <v>504100</v>
      </c>
      <c r="J1462" s="45" t="n">
        <v>13134</v>
      </c>
      <c r="K1462" s="45" t="n">
        <v>1258</v>
      </c>
      <c r="L1462" s="46" t="n"/>
      <c r="M1462" s="47" t="n"/>
      <c r="N1462" s="47" t="inlineStr">
        <is>
          <t>UCKZo4N0lVPccBkSiuyVh4yg</t>
        </is>
      </c>
      <c r="O1462" s="48" t="n">
        <v>44301.87291666667</v>
      </c>
      <c r="P1462" s="49" t="n">
        <v>44301</v>
      </c>
      <c r="Q1462" s="47" t="n">
        <v>1806</v>
      </c>
      <c r="R1462" s="47" t="inlineStr">
        <is>
          <t>No Video ID yet</t>
        </is>
      </c>
      <c r="S1462" s="49" t="n"/>
      <c r="T1462" s="49" t="n"/>
      <c r="U1462" s="47" t="inlineStr">
        <is>
          <t>Go to and enter the code SUPER at checkout to get 20% off your first box! Go to to get 10% off plus free shipping! J and Ben face off once again for the Ultimate Harry Potter Trivia Redemption as they tackle only questions they have missed in previous quizzes! Who has learned from their mistakes, and why does Harry love baked potatoes so much?? Become a Quiz Master ::</t>
        </is>
      </c>
      <c r="V1462" s="47">
        <f>IF(AND(P1462&gt;=Calendar!$K$2,P1462&lt;EDATE(Calendar!$K$2,1),OR(Calendar!$K$4="*",N1462=Calendar!$K$4)),P1462*100+COUNTIFS($P$6:$P$3267,P1462,$Q$6:$Q$3267,"&lt;="&amp;Q1462,$N$6:$N$3267,Calendar!$K$4),"")</f>
        <v/>
      </c>
      <c r="W1462" s="47">
        <f>IF(AND(B1462=Queue!$C$4,OR(Queue!$K$4="*",N1462=Queue!$K$4)),Q1462,"")</f>
        <v/>
      </c>
    </row>
    <row r="1463">
      <c r="A1463" s="38">
        <f>IF(M1463="","",HYPERLINK("https://www.youtube.com/watch?v="&amp;M1463,"▶"))</f>
        <v/>
      </c>
      <c r="B1463" s="39">
        <f>IF(C1463&lt;&gt;"",C1463,IF(P1463&lt;=IFERROR(INDEX(tblChannels[Watched Through],MATCH(N1463,tblChannels[Channel ID],0)),0),"Watched","Unwatched"))</f>
        <v/>
      </c>
      <c r="C1463" s="40" t="n"/>
      <c r="D1463" s="41" t="n"/>
      <c r="E1463" s="42" t="n">
        <v>44300.41666666666</v>
      </c>
      <c r="F1463" s="52" t="inlineStr">
        <is>
          <t>Super Carlin Gaming</t>
        </is>
      </c>
      <c r="G1463" t="inlineStr">
        <is>
          <t>The CRITICAL Exeggutor |  Pokémon LeafGreen Randomizer Nuzlocke #7</t>
        </is>
      </c>
      <c r="H1463" s="44" t="n">
        <v>0.02744212962962963</v>
      </c>
      <c r="I1463" s="45" t="n">
        <v>30363</v>
      </c>
      <c r="J1463" s="45" t="n">
        <v>1293</v>
      </c>
      <c r="K1463" s="45" t="n">
        <v>729</v>
      </c>
      <c r="L1463" s="46" t="n"/>
      <c r="M1463" s="47" t="n"/>
      <c r="N1463" s="47" t="inlineStr">
        <is>
          <t>UCor_9jRnNNZVzTuQ92PKsaQ</t>
        </is>
      </c>
      <c r="O1463" s="48" t="n">
        <v>44300.58333333334</v>
      </c>
      <c r="P1463" s="49" t="n">
        <v>44300</v>
      </c>
      <c r="Q1463" s="47" t="n">
        <v>1805</v>
      </c>
      <c r="R1463" s="47" t="inlineStr">
        <is>
          <t>No Video ID yet</t>
        </is>
      </c>
      <c r="S1463" s="49" t="n"/>
      <c r="T1463" s="49" t="n"/>
      <c r="U1463" s="47" t="inlineStr">
        <is>
          <t>This week J and the team take on Lt. Surge and try to win their 3rd gym badge! Will the team survive the encounter, and what kind of gym will it be?!!</t>
        </is>
      </c>
      <c r="V1463" s="47">
        <f>IF(AND(P1463&gt;=Calendar!$K$2,P1463&lt;EDATE(Calendar!$K$2,1),OR(Calendar!$K$4="*",N1463=Calendar!$K$4)),P1463*100+COUNTIFS($P$6:$P$3267,P1463,$Q$6:$Q$3267,"&lt;="&amp;Q1463,$N$6:$N$3267,Calendar!$K$4),"")</f>
        <v/>
      </c>
      <c r="W1463" s="47">
        <f>IF(AND(B1463=Queue!$C$4,OR(Queue!$K$4="*",N1463=Queue!$K$4)),Q1463,"")</f>
        <v/>
      </c>
    </row>
    <row r="1464">
      <c r="A1464" s="38">
        <f>IF(M1464="","",HYPERLINK("https://www.youtube.com/watch?v="&amp;M1464,"▶"))</f>
        <v/>
      </c>
      <c r="B1464" s="39">
        <f>IF(C1464&lt;&gt;"",C1464,IF(P1464&lt;=IFERROR(INDEX(tblChannels[Watched Through],MATCH(N1464,tblChannels[Channel ID],0)),0),"Watched","Unwatched"))</f>
        <v/>
      </c>
      <c r="C1464" s="40" t="n"/>
      <c r="D1464" s="41" t="n"/>
      <c r="E1464" s="42" t="n">
        <v>44299.64722222222</v>
      </c>
      <c r="F1464" s="50" t="inlineStr">
        <is>
          <t>Super Carlin Brothers</t>
        </is>
      </c>
      <c r="G1464" t="inlineStr">
        <is>
          <t>The TRUTH About Polyjuice Potion | Harry Potter Theory</t>
        </is>
      </c>
      <c r="H1464" s="44" t="n">
        <v>0.01136574074074074</v>
      </c>
      <c r="I1464" s="45" t="n">
        <v>501573</v>
      </c>
      <c r="J1464" s="45" t="n">
        <v>17590</v>
      </c>
      <c r="K1464" s="45" t="n">
        <v>2748</v>
      </c>
      <c r="L1464" s="46" t="n"/>
      <c r="M1464" s="47" t="n"/>
      <c r="N1464" s="47" t="inlineStr">
        <is>
          <t>UCKZo4N0lVPccBkSiuyVh4yg</t>
        </is>
      </c>
      <c r="O1464" s="48" t="n">
        <v>44299.81388888889</v>
      </c>
      <c r="P1464" s="49" t="n">
        <v>44299</v>
      </c>
      <c r="Q1464" s="47" t="n">
        <v>1804</v>
      </c>
      <c r="R1464" s="47" t="inlineStr">
        <is>
          <t>No Video ID yet</t>
        </is>
      </c>
      <c r="S1464" s="49" t="n"/>
      <c r="T1464" s="49" t="n"/>
      <c r="U1464" s="47" t="inlineStr">
        <is>
          <t>Go to to get 3 extra months FREE! Today J dives into the Wizarding World of Harry Potter to reveal all the weird inner workings of Polyjuice Potion! Can you polyjuice a dead person? Could a child polyjuice into an adult? Shoud Pumpkin Juice be called Pumpkin SLUDGE?? GRIZZLY EAGLE SHARK SHIRTS ::</t>
        </is>
      </c>
      <c r="V1464" s="47">
        <f>IF(AND(P1464&gt;=Calendar!$K$2,P1464&lt;EDATE(Calendar!$K$2,1),OR(Calendar!$K$4="*",N1464=Calendar!$K$4)),P1464*100+COUNTIFS($P$6:$P$3267,P1464,$Q$6:$Q$3267,"&lt;="&amp;Q1464,$N$6:$N$3267,Calendar!$K$4),"")</f>
        <v/>
      </c>
      <c r="W1464" s="47">
        <f>IF(AND(B1464=Queue!$C$4,OR(Queue!$K$4="*",N1464=Queue!$K$4)),Q1464,"")</f>
        <v/>
      </c>
    </row>
    <row r="1465">
      <c r="A1465" s="38">
        <f>IF(M1465="","",HYPERLINK("https://www.youtube.com/watch?v="&amp;M1465,"▶"))</f>
        <v/>
      </c>
      <c r="B1465" s="39">
        <f>IF(C1465&lt;&gt;"",C1465,IF(P1465&lt;=IFERROR(INDEX(tblChannels[Watched Through],MATCH(N1465,tblChannels[Channel ID],0)),0),"Watched","Unwatched"))</f>
        <v/>
      </c>
      <c r="C1465" s="40" t="n"/>
      <c r="D1465" s="41" t="n"/>
      <c r="E1465" s="42" t="n">
        <v>44298.41666666666</v>
      </c>
      <c r="F1465" s="52" t="inlineStr">
        <is>
          <t>Super Carlin Gaming</t>
        </is>
      </c>
      <c r="G1465" t="inlineStr">
        <is>
          <t>Draccus is Fast Asleep.. |  Pokémon LeafGreen Randomizer Nuzlocke #6</t>
        </is>
      </c>
      <c r="H1465" s="44" t="n">
        <v>0.02702546296296296</v>
      </c>
      <c r="I1465" s="45" t="n">
        <v>33953</v>
      </c>
      <c r="J1465" s="45" t="n">
        <v>1378</v>
      </c>
      <c r="K1465" s="45" t="n">
        <v>475</v>
      </c>
      <c r="L1465" s="46" t="n"/>
      <c r="M1465" s="47" t="n"/>
      <c r="N1465" s="47" t="inlineStr">
        <is>
          <t>UCor_9jRnNNZVzTuQ92PKsaQ</t>
        </is>
      </c>
      <c r="O1465" s="48" t="n">
        <v>44298.58333333334</v>
      </c>
      <c r="P1465" s="49" t="n">
        <v>44298</v>
      </c>
      <c r="Q1465" s="47" t="n">
        <v>1803</v>
      </c>
      <c r="R1465" s="47" t="inlineStr">
        <is>
          <t>No Video ID yet</t>
        </is>
      </c>
      <c r="S1465" s="49" t="n"/>
      <c r="T1465" s="49" t="n"/>
      <c r="U1465" s="47" t="inlineStr">
        <is>
          <t>J and the team head to the SS Anne to try meet the Cut master but find a stinking Peach in the way... Will the entire team survive another rival fight??</t>
        </is>
      </c>
      <c r="V1465" s="47">
        <f>IF(AND(P1465&gt;=Calendar!$K$2,P1465&lt;EDATE(Calendar!$K$2,1),OR(Calendar!$K$4="*",N1465=Calendar!$K$4)),P1465*100+COUNTIFS($P$6:$P$3267,P1465,$Q$6:$Q$3267,"&lt;="&amp;Q1465,$N$6:$N$3267,Calendar!$K$4),"")</f>
        <v/>
      </c>
      <c r="W1465" s="47">
        <f>IF(AND(B1465=Queue!$C$4,OR(Queue!$K$4="*",N1465=Queue!$K$4)),Q1465,"")</f>
        <v/>
      </c>
    </row>
    <row r="1466">
      <c r="A1466" s="38">
        <f>IF(M1466="","",HYPERLINK("https://www.youtube.com/watch?v="&amp;M1466,"▶"))</f>
        <v/>
      </c>
      <c r="B1466" s="39">
        <f>IF(C1466&lt;&gt;"",C1466,IF(P1466&lt;=IFERROR(INDEX(tblChannels[Watched Through],MATCH(N1466,tblChannels[Channel ID],0)),0),"Watched","Unwatched"))</f>
        <v/>
      </c>
      <c r="C1466" s="40" t="n"/>
      <c r="D1466" s="41" t="n"/>
      <c r="E1466" s="42" t="n">
        <v>44295.41666666666</v>
      </c>
      <c r="F1466" s="50" t="inlineStr">
        <is>
          <t>Super Carlin Brothers</t>
        </is>
      </c>
      <c r="G1466" t="inlineStr">
        <is>
          <t>Ben Finds A SECRET Key! | Popcorn Culture</t>
        </is>
      </c>
      <c r="H1466" s="44" t="n">
        <v>0.0453125</v>
      </c>
      <c r="I1466" s="45" t="n">
        <v>24465</v>
      </c>
      <c r="J1466" s="45" t="n">
        <v>1071</v>
      </c>
      <c r="K1466" s="45" t="n">
        <v>151</v>
      </c>
      <c r="L1466" s="46" t="n"/>
      <c r="M1466" s="47" t="n"/>
      <c r="N1466" s="47" t="inlineStr">
        <is>
          <t>UCKZo4N0lVPccBkSiuyVh4yg</t>
        </is>
      </c>
      <c r="O1466" s="48" t="n">
        <v>44295.58333333334</v>
      </c>
      <c r="P1466" s="49" t="n">
        <v>44295</v>
      </c>
      <c r="Q1466" s="47" t="n">
        <v>1802</v>
      </c>
      <c r="R1466" s="47" t="inlineStr">
        <is>
          <t>No Video ID yet</t>
        </is>
      </c>
      <c r="S1466" s="49" t="n"/>
      <c r="T1466" s="49" t="n"/>
      <c r="U1466" s="47" t="inlineStr">
        <is>
          <t>In the 70th episode of Popcorn Culture, Ben and J discuss: knowing your own oddities, home improvement, The Berenstain Bears, secret rooms, overbuilt machines, hockey, and internal importance. Lath and Plaster: Ben’s Skeleton Key: Berenstain Bears:</t>
        </is>
      </c>
      <c r="V1466" s="47">
        <f>IF(AND(P1466&gt;=Calendar!$K$2,P1466&lt;EDATE(Calendar!$K$2,1),OR(Calendar!$K$4="*",N1466=Calendar!$K$4)),P1466*100+COUNTIFS($P$6:$P$3267,P1466,$Q$6:$Q$3267,"&lt;="&amp;Q1466,$N$6:$N$3267,Calendar!$K$4),"")</f>
        <v/>
      </c>
      <c r="W1466" s="47">
        <f>IF(AND(B1466=Queue!$C$4,OR(Queue!$K$4="*",N1466=Queue!$K$4)),Q1466,"")</f>
        <v/>
      </c>
    </row>
    <row r="1467">
      <c r="A1467" s="38">
        <f>IF(M1467="","",HYPERLINK("https://www.youtube.com/watch?v="&amp;M1467,"▶"))</f>
        <v/>
      </c>
      <c r="B1467" s="39">
        <f>IF(C1467&lt;&gt;"",C1467,IF(P1467&lt;=IFERROR(INDEX(tblChannels[Watched Through],MATCH(N1467,tblChannels[Channel ID],0)),0),"Watched","Unwatched"))</f>
        <v/>
      </c>
      <c r="C1467" s="40" t="n"/>
      <c r="D1467" s="41" t="n"/>
      <c r="E1467" s="42" t="n">
        <v>44295.25</v>
      </c>
      <c r="F1467" s="43" t="inlineStr">
        <is>
          <t>Popcorn Culture</t>
        </is>
      </c>
      <c r="G1467" t="inlineStr">
        <is>
          <t>70 - Best Thing Not Listed</t>
        </is>
      </c>
      <c r="H1467" s="44" t="n">
        <v>0.04346064814814815</v>
      </c>
      <c r="I1467" s="45" t="n">
        <v>1583</v>
      </c>
      <c r="J1467" s="45" t="n">
        <v>79</v>
      </c>
      <c r="K1467" s="45" t="n">
        <v>13</v>
      </c>
      <c r="L1467" s="46" t="n"/>
      <c r="M1467" s="47" t="n"/>
      <c r="N1467" s="47" t="inlineStr">
        <is>
          <t>UCHfIbq9thHPC8yrKjAdJgDA</t>
        </is>
      </c>
      <c r="O1467" s="48" t="n">
        <v>44295.41666666666</v>
      </c>
      <c r="P1467" s="49" t="n">
        <v>44295</v>
      </c>
      <c r="Q1467" s="47" t="n">
        <v>1801</v>
      </c>
      <c r="R1467" s="47" t="inlineStr">
        <is>
          <t>No Video ID yet</t>
        </is>
      </c>
      <c r="S1467" s="49" t="n"/>
      <c r="T1467" s="49" t="n"/>
      <c r="U1467" s="47" t="inlineStr">
        <is>
          <t>Ben and J discuss: knowing your own oddities, home improvement, The Berenstain Bears, secret rooms, overbuilt machines, hockey, and internal importance. Lath and Plaster: Ben’s Skeleton Key: Berenstain Bears:</t>
        </is>
      </c>
      <c r="V1467" s="47">
        <f>IF(AND(P1467&gt;=Calendar!$K$2,P1467&lt;EDATE(Calendar!$K$2,1),OR(Calendar!$K$4="*",N1467=Calendar!$K$4)),P1467*100+COUNTIFS($P$6:$P$3267,P1467,$Q$6:$Q$3267,"&lt;="&amp;Q1467,$N$6:$N$3267,Calendar!$K$4),"")</f>
        <v/>
      </c>
      <c r="W1467" s="47">
        <f>IF(AND(B1467=Queue!$C$4,OR(Queue!$K$4="*",N1467=Queue!$K$4)),Q1467,"")</f>
        <v/>
      </c>
    </row>
    <row r="1468">
      <c r="A1468" s="38">
        <f>IF(M1468="","",HYPERLINK("https://www.youtube.com/watch?v="&amp;M1468,"▶"))</f>
        <v/>
      </c>
      <c r="B1468" s="39">
        <f>IF(C1468&lt;&gt;"",C1468,IF(P1468&lt;=IFERROR(INDEX(tblChannels[Watched Through],MATCH(N1468,tblChannels[Channel ID],0)),0),"Watched","Unwatched"))</f>
        <v/>
      </c>
      <c r="C1468" s="40" t="n"/>
      <c r="D1468" s="41" t="n"/>
      <c r="E1468" s="42" t="n">
        <v>44294.67291666667</v>
      </c>
      <c r="F1468" s="50" t="inlineStr">
        <is>
          <t>Super Carlin Brothers</t>
        </is>
      </c>
      <c r="G1468" t="inlineStr">
        <is>
          <t>Harry Is DEATH | Harry Potter Theory</t>
        </is>
      </c>
      <c r="H1468" s="44" t="n">
        <v>0.009560185185185185</v>
      </c>
      <c r="I1468" s="45" t="n">
        <v>342669</v>
      </c>
      <c r="J1468" s="45" t="n">
        <v>14526</v>
      </c>
      <c r="K1468" s="45" t="n">
        <v>1582</v>
      </c>
      <c r="L1468" s="46" t="n"/>
      <c r="M1468" s="47" t="n"/>
      <c r="N1468" s="47" t="inlineStr">
        <is>
          <t>UCKZo4N0lVPccBkSiuyVh4yg</t>
        </is>
      </c>
      <c r="O1468" s="48" t="n">
        <v>44294.83958333333</v>
      </c>
      <c r="P1468" s="49" t="n">
        <v>44294</v>
      </c>
      <c r="Q1468" s="47" t="n">
        <v>1800</v>
      </c>
      <c r="R1468" s="47" t="inlineStr">
        <is>
          <t>No Video ID yet</t>
        </is>
      </c>
      <c r="S1468" s="49" t="n"/>
      <c r="T1468" s="49" t="n"/>
      <c r="U1468" s="47" t="inlineStr">
        <is>
          <t>Head on over to to get 10% off your first month of BetterHelp! Today Ben dives into the Wizarding World of Harry Potter to discuss if the Elder Wand operates under a Goblin system of ownership, and if that means Harry is actually DEATH!</t>
        </is>
      </c>
      <c r="V1468" s="47">
        <f>IF(AND(P1468&gt;=Calendar!$K$2,P1468&lt;EDATE(Calendar!$K$2,1),OR(Calendar!$K$4="*",N1468=Calendar!$K$4)),P1468*100+COUNTIFS($P$6:$P$3267,P1468,$Q$6:$Q$3267,"&lt;="&amp;Q1468,$N$6:$N$3267,Calendar!$K$4),"")</f>
        <v/>
      </c>
      <c r="W1468" s="47">
        <f>IF(AND(B1468=Queue!$C$4,OR(Queue!$K$4="*",N1468=Queue!$K$4)),Q1468,"")</f>
        <v/>
      </c>
    </row>
    <row r="1469">
      <c r="A1469" s="38">
        <f>IF(M1469="","",HYPERLINK("https://www.youtube.com/watch?v="&amp;M1469,"▶"))</f>
        <v/>
      </c>
      <c r="B1469" s="39">
        <f>IF(C1469&lt;&gt;"",C1469,IF(P1469&lt;=IFERROR(INDEX(tblChannels[Watched Through],MATCH(N1469,tblChannels[Channel ID],0)),0),"Watched","Unwatched"))</f>
        <v/>
      </c>
      <c r="C1469" s="40" t="n"/>
      <c r="D1469" s="41" t="n"/>
      <c r="E1469" s="42" t="n">
        <v>44293.41666666666</v>
      </c>
      <c r="F1469" s="52" t="inlineStr">
        <is>
          <t>Super Carlin Gaming</t>
        </is>
      </c>
      <c r="G1469" t="inlineStr">
        <is>
          <t>Why Can't We Have Nice Things?! |  Pokémon LeafGreen Randomizer Nuzlocke #5</t>
        </is>
      </c>
      <c r="H1469" s="44" t="n">
        <v>0.02642361111111111</v>
      </c>
      <c r="I1469" s="45" t="n">
        <v>37451</v>
      </c>
      <c r="J1469" s="45" t="n">
        <v>1655</v>
      </c>
      <c r="K1469" s="45" t="n">
        <v>745</v>
      </c>
      <c r="L1469" s="46" t="n"/>
      <c r="M1469" s="47" t="n"/>
      <c r="N1469" s="47" t="inlineStr">
        <is>
          <t>UCor_9jRnNNZVzTuQ92PKsaQ</t>
        </is>
      </c>
      <c r="O1469" s="48" t="n">
        <v>44293.58333333334</v>
      </c>
      <c r="P1469" s="49" t="n">
        <v>44293</v>
      </c>
      <c r="Q1469" s="47" t="n">
        <v>1799</v>
      </c>
      <c r="R1469" s="47" t="inlineStr">
        <is>
          <t>No Video ID yet</t>
        </is>
      </c>
      <c r="S1469" s="49" t="n"/>
      <c r="T1469" s="49" t="n"/>
      <c r="U1469" s="47" t="inlineStr">
        <is>
          <t>J, Happy, Sporkles and the team continue to grow as a team as they fight their way through a long series of trainers and attempt to catch new pokemon Edited by: Riley Murtagh</t>
        </is>
      </c>
      <c r="V1469" s="47">
        <f>IF(AND(P1469&gt;=Calendar!$K$2,P1469&lt;EDATE(Calendar!$K$2,1),OR(Calendar!$K$4="*",N1469=Calendar!$K$4)),P1469*100+COUNTIFS($P$6:$P$3267,P1469,$Q$6:$Q$3267,"&lt;="&amp;Q1469,$N$6:$N$3267,Calendar!$K$4),"")</f>
        <v/>
      </c>
      <c r="W1469" s="47">
        <f>IF(AND(B1469=Queue!$C$4,OR(Queue!$K$4="*",N1469=Queue!$K$4)),Q1469,"")</f>
        <v/>
      </c>
    </row>
    <row r="1470">
      <c r="A1470" s="38">
        <f>IF(M1470="","",HYPERLINK("https://www.youtube.com/watch?v="&amp;M1470,"▶"))</f>
        <v/>
      </c>
      <c r="B1470" s="39">
        <f>IF(C1470&lt;&gt;"",C1470,IF(P1470&lt;=IFERROR(INDEX(tblChannels[Watched Through],MATCH(N1470,tblChannels[Channel ID],0)),0),"Watched","Unwatched"))</f>
        <v/>
      </c>
      <c r="C1470" s="40" t="n"/>
      <c r="D1470" s="41" t="n"/>
      <c r="E1470" s="42" t="n">
        <v>44292.69791666666</v>
      </c>
      <c r="F1470" s="50" t="inlineStr">
        <is>
          <t>Super Carlin Brothers</t>
        </is>
      </c>
      <c r="G1470" t="inlineStr">
        <is>
          <t>The TRUTH About Sokka's Space Sword | Avatar the Last Airbender Theory</t>
        </is>
      </c>
      <c r="H1470" s="44" t="n">
        <v>0.01038194444444444</v>
      </c>
      <c r="I1470" s="45" t="n">
        <v>389039</v>
      </c>
      <c r="J1470" s="45" t="n">
        <v>17446</v>
      </c>
      <c r="K1470" s="45" t="n">
        <v>1149</v>
      </c>
      <c r="L1470" s="46" t="n"/>
      <c r="M1470" s="47" t="n"/>
      <c r="N1470" s="47" t="inlineStr">
        <is>
          <t>UCKZo4N0lVPccBkSiuyVh4yg</t>
        </is>
      </c>
      <c r="O1470" s="48" t="n">
        <v>44292.86458333334</v>
      </c>
      <c r="P1470" s="49" t="n">
        <v>44292</v>
      </c>
      <c r="Q1470" s="47" t="n">
        <v>1798</v>
      </c>
      <c r="R1470" s="47" t="inlineStr">
        <is>
          <t>No Video ID yet</t>
        </is>
      </c>
      <c r="S1470" s="49" t="n"/>
      <c r="T1470" s="49" t="n"/>
      <c r="U1470" s="47" t="inlineStr">
        <is>
          <t>Go to and use code SCB to save $75 on your starter kit! Today J dives into the world of Avatar the Last Airbender to discuss the CRAZY and heartbreaking history behind Sokka’s SPACE SWORD, the meteorite that forged it Robert Peary’s real life race to the North Pole and what it cost the Inughuit people. Grizzly Eagle Shark Shirt :: Sources: Cape York Meteorite: Minik and the Metero: Caught in the Middle: The Tragic Life of Minik Wallace: The Cape York Meteorite Making an Impact on Greenland: The Prize of the Pole: THE CULTURAL HISTORY OF THE INNAANGANEQ/ CAPE YORK METEORITE: #SuperCarlinBrothers #atla #AvatarTheLastAirbender</t>
        </is>
      </c>
      <c r="V1470" s="47">
        <f>IF(AND(P1470&gt;=Calendar!$K$2,P1470&lt;EDATE(Calendar!$K$2,1),OR(Calendar!$K$4="*",N1470=Calendar!$K$4)),P1470*100+COUNTIFS($P$6:$P$3267,P1470,$Q$6:$Q$3267,"&lt;="&amp;Q1470,$N$6:$N$3267,Calendar!$K$4),"")</f>
        <v/>
      </c>
      <c r="W1470" s="47">
        <f>IF(AND(B1470=Queue!$C$4,OR(Queue!$K$4="*",N1470=Queue!$K$4)),Q1470,"")</f>
        <v/>
      </c>
    </row>
    <row r="1471">
      <c r="A1471" s="38">
        <f>IF(M1471="","",HYPERLINK("https://www.youtube.com/watch?v="&amp;M1471,"▶"))</f>
        <v/>
      </c>
      <c r="B1471" s="39">
        <f>IF(C1471&lt;&gt;"",C1471,IF(P1471&lt;=IFERROR(INDEX(tblChannels[Watched Through],MATCH(N1471,tblChannels[Channel ID],0)),0),"Watched","Unwatched"))</f>
        <v/>
      </c>
      <c r="C1471" s="40" t="n"/>
      <c r="D1471" s="41" t="n"/>
      <c r="E1471" s="42" t="n">
        <v>44291.41666666666</v>
      </c>
      <c r="F1471" s="52" t="inlineStr">
        <is>
          <t>Super Carlin Gaming</t>
        </is>
      </c>
      <c r="G1471" t="inlineStr">
        <is>
          <t>The Battle with Misty! | Pokémon LeafGreen Randomizer Nuzlocke #4</t>
        </is>
      </c>
      <c r="H1471" s="44" t="n">
        <v>0.02712962962962963</v>
      </c>
      <c r="I1471" s="45" t="n">
        <v>39869</v>
      </c>
      <c r="J1471" s="45" t="n">
        <v>1878</v>
      </c>
      <c r="K1471" s="45" t="n">
        <v>679</v>
      </c>
      <c r="L1471" s="46" t="n"/>
      <c r="M1471" s="47" t="n"/>
      <c r="N1471" s="47" t="inlineStr">
        <is>
          <t>UCor_9jRnNNZVzTuQ92PKsaQ</t>
        </is>
      </c>
      <c r="O1471" s="48" t="n">
        <v>44291.58333333334</v>
      </c>
      <c r="P1471" s="49" t="n">
        <v>44291</v>
      </c>
      <c r="Q1471" s="47" t="n">
        <v>1797</v>
      </c>
      <c r="R1471" s="47" t="inlineStr">
        <is>
          <t>No Video ID yet</t>
        </is>
      </c>
      <c r="S1471" s="49" t="n"/>
      <c r="T1471" s="49" t="n"/>
      <c r="U1471" s="47" t="inlineStr">
        <is>
          <t>Today J, Happy, Sporkles, Draccus and Moiran take on their hated rival: PEACHES, tackle Nugget Bridge and head into their 2nd Gym Battle with Misty! Will everyone survive these daunting encounters and what type of gym leader will Misty be??</t>
        </is>
      </c>
      <c r="V1471" s="47">
        <f>IF(AND(P1471&gt;=Calendar!$K$2,P1471&lt;EDATE(Calendar!$K$2,1),OR(Calendar!$K$4="*",N1471=Calendar!$K$4)),P1471*100+COUNTIFS($P$6:$P$3267,P1471,$Q$6:$Q$3267,"&lt;="&amp;Q1471,$N$6:$N$3267,Calendar!$K$4),"")</f>
        <v/>
      </c>
      <c r="W1471" s="47">
        <f>IF(AND(B1471=Queue!$C$4,OR(Queue!$K$4="*",N1471=Queue!$K$4)),Q1471,"")</f>
        <v/>
      </c>
    </row>
    <row r="1472">
      <c r="A1472" s="38">
        <f>IF(M1472="","",HYPERLINK("https://www.youtube.com/watch?v="&amp;M1472,"▶"))</f>
        <v/>
      </c>
      <c r="B1472" s="39">
        <f>IF(C1472&lt;&gt;"",C1472,IF(P1472&lt;=IFERROR(INDEX(tblChannels[Watched Through],MATCH(N1472,tblChannels[Channel ID],0)),0),"Watched","Unwatched"))</f>
        <v/>
      </c>
      <c r="C1472" s="40" t="n"/>
      <c r="D1472" s="41" t="n"/>
      <c r="E1472" s="42" t="n">
        <v>44288.44791666666</v>
      </c>
      <c r="F1472" s="50" t="inlineStr">
        <is>
          <t>Super Carlin Brothers</t>
        </is>
      </c>
      <c r="G1472" t="inlineStr">
        <is>
          <t>The First Annual Strawberry Film Festival &amp; Spirit Bears | Popcorn Culture</t>
        </is>
      </c>
      <c r="H1472" s="44" t="n">
        <v>0.04229166666666666</v>
      </c>
      <c r="I1472" s="45" t="n">
        <v>21607</v>
      </c>
      <c r="J1472" s="45" t="n">
        <v>916</v>
      </c>
      <c r="K1472" s="45" t="n">
        <v>161</v>
      </c>
      <c r="L1472" s="46" t="n"/>
      <c r="M1472" s="47" t="n"/>
      <c r="N1472" s="47" t="inlineStr">
        <is>
          <t>UCKZo4N0lVPccBkSiuyVh4yg</t>
        </is>
      </c>
      <c r="O1472" s="48" t="n">
        <v>44288.61458333334</v>
      </c>
      <c r="P1472" s="49" t="n">
        <v>44288</v>
      </c>
      <c r="Q1472" s="47" t="n">
        <v>1796</v>
      </c>
      <c r="R1472" s="47" t="inlineStr">
        <is>
          <t>No Video ID yet</t>
        </is>
      </c>
      <c r="S1472" s="49" t="n"/>
      <c r="T1472" s="49" t="n"/>
      <c r="U1472" s="47" t="inlineStr">
        <is>
          <t>In the 69th episode of Popcorn Culture, Ben and J discuss: emcees and deejays, Christmas Music, millennial retirement, the Arizona Coyotes, spirit bears, retelling stories, SCB office-isms, cosplay vs costumes, and the First Annual Strawberry Film Festival Don’t forget your bingo card: Emcee: Deejay:</t>
        </is>
      </c>
      <c r="V1472" s="47">
        <f>IF(AND(P1472&gt;=Calendar!$K$2,P1472&lt;EDATE(Calendar!$K$2,1),OR(Calendar!$K$4="*",N1472=Calendar!$K$4)),P1472*100+COUNTIFS($P$6:$P$3267,P1472,$Q$6:$Q$3267,"&lt;="&amp;Q1472,$N$6:$N$3267,Calendar!$K$4),"")</f>
        <v/>
      </c>
      <c r="W1472" s="47">
        <f>IF(AND(B1472=Queue!$C$4,OR(Queue!$K$4="*",N1472=Queue!$K$4)),Q1472,"")</f>
        <v/>
      </c>
    </row>
    <row r="1473">
      <c r="A1473" s="38">
        <f>IF(M1473="","",HYPERLINK("https://www.youtube.com/watch?v="&amp;M1473,"▶"))</f>
        <v/>
      </c>
      <c r="B1473" s="39">
        <f>IF(C1473&lt;&gt;"",C1473,IF(P1473&lt;=IFERROR(INDEX(tblChannels[Watched Through],MATCH(N1473,tblChannels[Channel ID],0)),0),"Watched","Unwatched"))</f>
        <v/>
      </c>
      <c r="C1473" s="40" t="n"/>
      <c r="D1473" s="41" t="n"/>
      <c r="E1473" s="42" t="n">
        <v>44288.25</v>
      </c>
      <c r="F1473" s="43" t="inlineStr">
        <is>
          <t>Popcorn Culture</t>
        </is>
      </c>
      <c r="G1473" t="inlineStr">
        <is>
          <t>69 - The First Annual</t>
        </is>
      </c>
      <c r="H1473" s="44" t="n">
        <v>0.04069444444444444</v>
      </c>
      <c r="I1473" s="45" t="n">
        <v>1373</v>
      </c>
      <c r="J1473" s="45" t="n">
        <v>62</v>
      </c>
      <c r="K1473" s="45" t="n">
        <v>12</v>
      </c>
      <c r="L1473" s="46" t="n"/>
      <c r="M1473" s="47" t="n"/>
      <c r="N1473" s="47" t="inlineStr">
        <is>
          <t>UCHfIbq9thHPC8yrKjAdJgDA</t>
        </is>
      </c>
      <c r="O1473" s="48" t="n">
        <v>44288.41666666666</v>
      </c>
      <c r="P1473" s="49" t="n">
        <v>44288</v>
      </c>
      <c r="Q1473" s="47" t="n">
        <v>1795</v>
      </c>
      <c r="R1473" s="47" t="inlineStr">
        <is>
          <t>No Video ID yet</t>
        </is>
      </c>
      <c r="S1473" s="49" t="n"/>
      <c r="T1473" s="49" t="n"/>
      <c r="U1473" s="47" t="inlineStr">
        <is>
          <t>Ben and J discuss: emcees and deejays, Christmas Music, millennial retirement, the Arizona Coyotes, spirit bears, retelling stories, SCB office-isms, and cosplay vs costumes. Emcee: Deejay:</t>
        </is>
      </c>
      <c r="V1473" s="47">
        <f>IF(AND(P1473&gt;=Calendar!$K$2,P1473&lt;EDATE(Calendar!$K$2,1),OR(Calendar!$K$4="*",N1473=Calendar!$K$4)),P1473*100+COUNTIFS($P$6:$P$3267,P1473,$Q$6:$Q$3267,"&lt;="&amp;Q1473,$N$6:$N$3267,Calendar!$K$4),"")</f>
        <v/>
      </c>
      <c r="W1473" s="47">
        <f>IF(AND(B1473=Queue!$C$4,OR(Queue!$K$4="*",N1473=Queue!$K$4)),Q1473,"")</f>
        <v/>
      </c>
    </row>
    <row r="1474">
      <c r="A1474" s="38">
        <f>IF(M1474="","",HYPERLINK("https://www.youtube.com/watch?v="&amp;M1474,"▶"))</f>
        <v/>
      </c>
      <c r="B1474" s="39">
        <f>IF(C1474&lt;&gt;"",C1474,IF(P1474&lt;=IFERROR(INDEX(tblChannels[Watched Through],MATCH(N1474,tblChannels[Channel ID],0)),0),"Watched","Unwatched"))</f>
        <v/>
      </c>
      <c r="C1474" s="40" t="n"/>
      <c r="D1474" s="41" t="n"/>
      <c r="E1474" s="42" t="n">
        <v>44287.69861111111</v>
      </c>
      <c r="F1474" s="50" t="inlineStr">
        <is>
          <t>Super Carlin Brothers</t>
        </is>
      </c>
      <c r="G1474" t="inlineStr">
        <is>
          <t>J vs Ben: HARDEST Harry Potter Magical Objects Trivia Quiz</t>
        </is>
      </c>
      <c r="H1474" s="44" t="n">
        <v>0.01768518518518519</v>
      </c>
      <c r="I1474" s="45" t="n">
        <v>386852</v>
      </c>
      <c r="J1474" s="45" t="n">
        <v>12435</v>
      </c>
      <c r="K1474" s="45" t="n">
        <v>1336</v>
      </c>
      <c r="L1474" s="46" t="n"/>
      <c r="M1474" s="47" t="n"/>
      <c r="N1474" s="47" t="inlineStr">
        <is>
          <t>UCKZo4N0lVPccBkSiuyVh4yg</t>
        </is>
      </c>
      <c r="O1474" s="48" t="n">
        <v>44287.86527777778</v>
      </c>
      <c r="P1474" s="49" t="n">
        <v>44287</v>
      </c>
      <c r="Q1474" s="47" t="n">
        <v>1794</v>
      </c>
      <c r="R1474" s="47" t="inlineStr">
        <is>
          <t>No Video ID yet</t>
        </is>
      </c>
      <c r="S1474" s="49" t="n"/>
      <c r="T1474" s="49" t="n"/>
      <c r="U1474" s="47" t="inlineStr">
        <is>
          <t>Download the DoorDash app in the App Store and enter code JVSB2021 to get 25% off and zero delivery fees on your first order! Head on over to to get Honey absolutely free! Today J and Ben face off once more to determine who knows the most about the wide array of Magical Objects in the Wizarding World of Harry Potter! #SuperCarlinBrothers #JvsBen #HarryPotter</t>
        </is>
      </c>
      <c r="V1474" s="47">
        <f>IF(AND(P1474&gt;=Calendar!$K$2,P1474&lt;EDATE(Calendar!$K$2,1),OR(Calendar!$K$4="*",N1474=Calendar!$K$4)),P1474*100+COUNTIFS($P$6:$P$3267,P1474,$Q$6:$Q$3267,"&lt;="&amp;Q1474,$N$6:$N$3267,Calendar!$K$4),"")</f>
        <v/>
      </c>
      <c r="W1474" s="47">
        <f>IF(AND(B1474=Queue!$C$4,OR(Queue!$K$4="*",N1474=Queue!$K$4)),Q1474,"")</f>
        <v/>
      </c>
    </row>
    <row r="1475">
      <c r="A1475" s="38">
        <f>IF(M1475="","",HYPERLINK("https://www.youtube.com/watch?v="&amp;M1475,"▶"))</f>
        <v/>
      </c>
      <c r="B1475" s="39">
        <f>IF(C1475&lt;&gt;"",C1475,IF(P1475&lt;=IFERROR(INDEX(tblChannels[Watched Through],MATCH(N1475,tblChannels[Channel ID],0)),0),"Watched","Unwatched"))</f>
        <v/>
      </c>
      <c r="C1475" s="40" t="n"/>
      <c r="D1475" s="41" t="n"/>
      <c r="E1475" s="42" t="n">
        <v>44286.41666666666</v>
      </c>
      <c r="F1475" s="52" t="inlineStr">
        <is>
          <t>Super Carlin Gaming</t>
        </is>
      </c>
      <c r="G1475" t="inlineStr">
        <is>
          <t>Enter the Dragon...  | Pokémon LeafGreen Randomizer Nuzlocke #3</t>
        </is>
      </c>
      <c r="H1475" s="44" t="n">
        <v>0.03027777777777778</v>
      </c>
      <c r="I1475" s="45" t="n">
        <v>45416</v>
      </c>
      <c r="J1475" s="45" t="n">
        <v>1956</v>
      </c>
      <c r="K1475" s="45" t="n">
        <v>857</v>
      </c>
      <c r="L1475" s="46" t="n"/>
      <c r="M1475" s="47" t="n"/>
      <c r="N1475" s="47" t="inlineStr">
        <is>
          <t>UCor_9jRnNNZVzTuQ92PKsaQ</t>
        </is>
      </c>
      <c r="O1475" s="48" t="n">
        <v>44286.58333333334</v>
      </c>
      <c r="P1475" s="49" t="n">
        <v>44286</v>
      </c>
      <c r="Q1475" s="47" t="n">
        <v>1793</v>
      </c>
      <c r="R1475" s="47" t="inlineStr">
        <is>
          <t>No Video ID yet</t>
        </is>
      </c>
      <c r="S1475" s="49" t="n"/>
      <c r="T1475" s="49" t="n"/>
      <c r="U1475" s="47" t="inlineStr">
        <is>
          <t>Today J Happy and Sporkle head into Mt. Moon, start building out their team and prepare for the 2nd gym battle! Edited by: Riley Murtagh</t>
        </is>
      </c>
      <c r="V1475" s="47">
        <f>IF(AND(P1475&gt;=Calendar!$K$2,P1475&lt;EDATE(Calendar!$K$2,1),OR(Calendar!$K$4="*",N1475=Calendar!$K$4)),P1475*100+COUNTIFS($P$6:$P$3267,P1475,$Q$6:$Q$3267,"&lt;="&amp;Q1475,$N$6:$N$3267,Calendar!$K$4),"")</f>
        <v/>
      </c>
      <c r="W1475" s="47">
        <f>IF(AND(B1475=Queue!$C$4,OR(Queue!$K$4="*",N1475=Queue!$K$4)),Q1475,"")</f>
        <v/>
      </c>
    </row>
    <row r="1476">
      <c r="A1476" s="38">
        <f>IF(M1476="","",HYPERLINK("https://www.youtube.com/watch?v="&amp;M1476,"▶"))</f>
        <v/>
      </c>
      <c r="B1476" s="39">
        <f>IF(C1476&lt;&gt;"",C1476,IF(P1476&lt;=IFERROR(INDEX(tblChannels[Watched Through],MATCH(N1476,tblChannels[Channel ID],0)),0),"Watched","Unwatched"))</f>
        <v/>
      </c>
      <c r="C1476" s="40" t="n"/>
      <c r="D1476" s="41" t="n"/>
      <c r="E1476" s="42" t="n">
        <v>44285.625</v>
      </c>
      <c r="F1476" s="50" t="inlineStr">
        <is>
          <t>Super Carlin Brothers</t>
        </is>
      </c>
      <c r="G1476" t="inlineStr">
        <is>
          <t>Could A Muggle Be Master Of The Elder Wand? | Harry Potter Theory</t>
        </is>
      </c>
      <c r="H1476" s="44" t="n">
        <v>0.009062499999999999</v>
      </c>
      <c r="I1476" s="45" t="n">
        <v>265255</v>
      </c>
      <c r="J1476" s="45" t="n">
        <v>12085</v>
      </c>
      <c r="K1476" s="45" t="n">
        <v>1675</v>
      </c>
      <c r="L1476" s="46" t="n"/>
      <c r="M1476" s="47" t="n"/>
      <c r="N1476" s="47" t="inlineStr">
        <is>
          <t>UCKZo4N0lVPccBkSiuyVh4yg</t>
        </is>
      </c>
      <c r="O1476" s="48" t="n">
        <v>44285.79166666666</v>
      </c>
      <c r="P1476" s="49" t="n">
        <v>44285</v>
      </c>
      <c r="Q1476" s="47" t="n">
        <v>1792</v>
      </c>
      <c r="R1476" s="47" t="inlineStr">
        <is>
          <t>No Video ID yet</t>
        </is>
      </c>
      <c r="S1476" s="49" t="n"/>
      <c r="T1476" s="49" t="n"/>
      <c r="U1476" s="47" t="inlineStr">
        <is>
          <t>Go to or text ‘SUPERCARLIN’ to 500-500! Today J dives into the Wizarding World of Harry Potter to determine if a muggle could actually be the Master of the Elder Wand! Edited by: Riley Murtagh</t>
        </is>
      </c>
      <c r="V1476" s="47">
        <f>IF(AND(P1476&gt;=Calendar!$K$2,P1476&lt;EDATE(Calendar!$K$2,1),OR(Calendar!$K$4="*",N1476=Calendar!$K$4)),P1476*100+COUNTIFS($P$6:$P$3267,P1476,$Q$6:$Q$3267,"&lt;="&amp;Q1476,$N$6:$N$3267,Calendar!$K$4),"")</f>
        <v/>
      </c>
      <c r="W1476" s="47">
        <f>IF(AND(B1476=Queue!$C$4,OR(Queue!$K$4="*",N1476=Queue!$K$4)),Q1476,"")</f>
        <v/>
      </c>
    </row>
    <row r="1477">
      <c r="A1477" s="38">
        <f>IF(M1477="","",HYPERLINK("https://www.youtube.com/watch?v="&amp;M1477,"▶"))</f>
        <v/>
      </c>
      <c r="B1477" s="39">
        <f>IF(C1477&lt;&gt;"",C1477,IF(P1477&lt;=IFERROR(INDEX(tblChannels[Watched Through],MATCH(N1477,tblChannels[Channel ID],0)),0),"Watched","Unwatched"))</f>
        <v/>
      </c>
      <c r="C1477" s="40" t="n"/>
      <c r="D1477" s="41" t="n"/>
      <c r="E1477" s="42" t="n">
        <v>44284.41666666666</v>
      </c>
      <c r="F1477" s="52" t="inlineStr">
        <is>
          <t>Super Carlin Gaming</t>
        </is>
      </c>
      <c r="G1477" t="inlineStr">
        <is>
          <t>THE FIRST GYM |  Pokémon LeafGreen Randomizer Nuzlocke #2</t>
        </is>
      </c>
      <c r="H1477" s="44" t="n">
        <v>0.01864583333333333</v>
      </c>
      <c r="I1477" s="45" t="n">
        <v>40006</v>
      </c>
      <c r="J1477" s="45" t="n">
        <v>2225</v>
      </c>
      <c r="K1477" s="45" t="n">
        <v>785</v>
      </c>
      <c r="L1477" s="46" t="n"/>
      <c r="M1477" s="47" t="n"/>
      <c r="N1477" s="47" t="inlineStr">
        <is>
          <t>UCor_9jRnNNZVzTuQ92PKsaQ</t>
        </is>
      </c>
      <c r="O1477" s="48" t="n">
        <v>44284.58333333334</v>
      </c>
      <c r="P1477" s="49" t="n">
        <v>44284</v>
      </c>
      <c r="Q1477" s="47" t="n">
        <v>1791</v>
      </c>
      <c r="R1477" s="47" t="inlineStr">
        <is>
          <t>No Video ID yet</t>
        </is>
      </c>
      <c r="S1477" s="49" t="n"/>
      <c r="T1477" s="49" t="n"/>
      <c r="U1477" s="47" t="inlineStr">
        <is>
          <t>J, Happy and LIVID train up to take on Brock and his new randomly assigned type! What will it be will J ever catch another new team member?? Edited by: Riley Murtagh</t>
        </is>
      </c>
      <c r="V1477" s="47">
        <f>IF(AND(P1477&gt;=Calendar!$K$2,P1477&lt;EDATE(Calendar!$K$2,1),OR(Calendar!$K$4="*",N1477=Calendar!$K$4)),P1477*100+COUNTIFS($P$6:$P$3267,P1477,$Q$6:$Q$3267,"&lt;="&amp;Q1477,$N$6:$N$3267,Calendar!$K$4),"")</f>
        <v/>
      </c>
      <c r="W1477" s="47">
        <f>IF(AND(B1477=Queue!$C$4,OR(Queue!$K$4="*",N1477=Queue!$K$4)),Q1477,"")</f>
        <v/>
      </c>
    </row>
    <row r="1478">
      <c r="A1478" s="38">
        <f>IF(M1478="","",HYPERLINK("https://www.youtube.com/watch?v="&amp;M1478,"▶"))</f>
        <v/>
      </c>
      <c r="B1478" s="39">
        <f>IF(C1478&lt;&gt;"",C1478,IF(P1478&lt;=IFERROR(INDEX(tblChannels[Watched Through],MATCH(N1478,tblChannels[Channel ID],0)),0),"Watched","Unwatched"))</f>
        <v/>
      </c>
      <c r="C1478" s="40" t="n"/>
      <c r="D1478" s="41" t="n"/>
      <c r="E1478" s="42" t="n">
        <v>44281.72569444445</v>
      </c>
      <c r="F1478" s="52" t="inlineStr">
        <is>
          <t>Super Carlin Gaming</t>
        </is>
      </c>
      <c r="G1478" t="inlineStr">
        <is>
          <t>Unboxing Pokemon Card Booster Boxes!</t>
        </is>
      </c>
      <c r="H1478" s="44" t="n">
        <v>0.09672453703703704</v>
      </c>
      <c r="I1478" s="45" t="n">
        <v>12507</v>
      </c>
      <c r="J1478" s="45" t="n">
        <v>397</v>
      </c>
      <c r="K1478" s="45" t="n">
        <v>41</v>
      </c>
      <c r="L1478" s="46" t="n"/>
      <c r="M1478" s="47" t="n"/>
      <c r="N1478" s="47" t="inlineStr">
        <is>
          <t>UCor_9jRnNNZVzTuQ92PKsaQ</t>
        </is>
      </c>
      <c r="O1478" s="48" t="n">
        <v>44281.89236111111</v>
      </c>
      <c r="P1478" s="49" t="n">
        <v>44281</v>
      </c>
      <c r="Q1478" s="47" t="n">
        <v>1790</v>
      </c>
      <c r="R1478" s="47" t="inlineStr">
        <is>
          <t>No Video ID yet</t>
        </is>
      </c>
      <c r="S1478" s="49" t="n"/>
      <c r="T1478" s="49" t="n"/>
      <c r="U1478" s="47" t="inlineStr">
        <is>
          <t>Ben got J 10 boxes of Battle Styles Pokemon cards so today the bros are unboxing them and just hanging out!</t>
        </is>
      </c>
      <c r="V1478" s="47">
        <f>IF(AND(P1478&gt;=Calendar!$K$2,P1478&lt;EDATE(Calendar!$K$2,1),OR(Calendar!$K$4="*",N1478=Calendar!$K$4)),P1478*100+COUNTIFS($P$6:$P$3267,P1478,$Q$6:$Q$3267,"&lt;="&amp;Q1478,$N$6:$N$3267,Calendar!$K$4),"")</f>
        <v/>
      </c>
      <c r="W1478" s="47">
        <f>IF(AND(B1478=Queue!$C$4,OR(Queue!$K$4="*",N1478=Queue!$K$4)),Q1478,"")</f>
        <v/>
      </c>
    </row>
    <row r="1479">
      <c r="A1479" s="38">
        <f>IF(M1479="","",HYPERLINK("https://www.youtube.com/watch?v="&amp;M1479,"▶"))</f>
        <v/>
      </c>
      <c r="B1479" s="39">
        <f>IF(C1479&lt;&gt;"",C1479,IF(P1479&lt;=IFERROR(INDEX(tblChannels[Watched Through],MATCH(N1479,tblChannels[Channel ID],0)),0),"Watched","Unwatched"))</f>
        <v/>
      </c>
      <c r="C1479" s="40" t="n"/>
      <c r="D1479" s="41" t="n"/>
      <c r="E1479" s="42" t="n">
        <v>44281.44791666666</v>
      </c>
      <c r="F1479" s="50" t="inlineStr">
        <is>
          <t>Super Carlin Brothers</t>
        </is>
      </c>
      <c r="G1479" t="inlineStr">
        <is>
          <t>The Hobby Phenomanon | Popcorn Culture</t>
        </is>
      </c>
      <c r="H1479" s="44" t="n">
        <v>0.04590277777777778</v>
      </c>
      <c r="I1479" s="45" t="n">
        <v>29532</v>
      </c>
      <c r="J1479" s="45" t="n">
        <v>1217</v>
      </c>
      <c r="K1479" s="45" t="n">
        <v>173</v>
      </c>
      <c r="L1479" s="46" t="n"/>
      <c r="M1479" s="47" t="n"/>
      <c r="N1479" s="47" t="inlineStr">
        <is>
          <t>UCKZo4N0lVPccBkSiuyVh4yg</t>
        </is>
      </c>
      <c r="O1479" s="48" t="n">
        <v>44281.61458333334</v>
      </c>
      <c r="P1479" s="49" t="n">
        <v>44281</v>
      </c>
      <c r="Q1479" s="47" t="n">
        <v>1789</v>
      </c>
      <c r="R1479" s="47" t="inlineStr">
        <is>
          <t>No Video ID yet</t>
        </is>
      </c>
      <c r="S1479" s="49" t="n"/>
      <c r="T1479" s="49" t="n"/>
      <c r="U1479" s="47" t="inlineStr">
        <is>
          <t>Ben and J discuss: Disney Socks, Professional “Wrestling”, misspellings, Pokemon cards, finding friends from before social media, Diablo 2 again, billion dollar ideas, cell phones, and Mars. Get your Popcast Bingo Card: Is there other intelligent life: Get your own Fred the Cup:</t>
        </is>
      </c>
      <c r="V1479" s="47">
        <f>IF(AND(P1479&gt;=Calendar!$K$2,P1479&lt;EDATE(Calendar!$K$2,1),OR(Calendar!$K$4="*",N1479=Calendar!$K$4)),P1479*100+COUNTIFS($P$6:$P$3267,P1479,$Q$6:$Q$3267,"&lt;="&amp;Q1479,$N$6:$N$3267,Calendar!$K$4),"")</f>
        <v/>
      </c>
      <c r="W1479" s="47">
        <f>IF(AND(B1479=Queue!$C$4,OR(Queue!$K$4="*",N1479=Queue!$K$4)),Q1479,"")</f>
        <v/>
      </c>
    </row>
    <row r="1480">
      <c r="A1480" s="38">
        <f>IF(M1480="","",HYPERLINK("https://www.youtube.com/watch?v="&amp;M1480,"▶"))</f>
        <v/>
      </c>
      <c r="B1480" s="39">
        <f>IF(C1480&lt;&gt;"",C1480,IF(P1480&lt;=IFERROR(INDEX(tblChannels[Watched Through],MATCH(N1480,tblChannels[Channel ID],0)),0),"Watched","Unwatched"))</f>
        <v/>
      </c>
      <c r="C1480" s="40" t="n"/>
      <c r="D1480" s="41" t="n"/>
      <c r="E1480" s="42" t="n">
        <v>44281.25</v>
      </c>
      <c r="F1480" s="43" t="inlineStr">
        <is>
          <t>Popcorn Culture</t>
        </is>
      </c>
      <c r="G1480" t="inlineStr">
        <is>
          <t>68 - The Hobby Phenomanon</t>
        </is>
      </c>
      <c r="H1480" s="44" t="n">
        <v>0.04472222222222222</v>
      </c>
      <c r="I1480" s="45" t="n">
        <v>1418</v>
      </c>
      <c r="J1480" s="45" t="n">
        <v>58</v>
      </c>
      <c r="K1480" s="45" t="n">
        <v>9</v>
      </c>
      <c r="L1480" s="46" t="n"/>
      <c r="M1480" s="47" t="n"/>
      <c r="N1480" s="47" t="inlineStr">
        <is>
          <t>UCHfIbq9thHPC8yrKjAdJgDA</t>
        </is>
      </c>
      <c r="O1480" s="48" t="n">
        <v>44281.41666666666</v>
      </c>
      <c r="P1480" s="49" t="n">
        <v>44281</v>
      </c>
      <c r="Q1480" s="47" t="n">
        <v>1788</v>
      </c>
      <c r="R1480" s="47" t="inlineStr">
        <is>
          <t>No Video ID yet</t>
        </is>
      </c>
      <c r="S1480" s="49" t="n"/>
      <c r="T1480" s="49" t="n"/>
      <c r="U1480" s="47" t="inlineStr">
        <is>
          <t>Ben and J discuss: Disney Socks, Professional “Wrestling”, misspellings, Pokemon cards, finding friends from before social media, Diablo 2 again, billion-dollar ideas, cell phones, and Mars. Get your Popcast Bingo Card: Is there other intelligent life: Get your own Fred the Cup:</t>
        </is>
      </c>
      <c r="V1480" s="47">
        <f>IF(AND(P1480&gt;=Calendar!$K$2,P1480&lt;EDATE(Calendar!$K$2,1),OR(Calendar!$K$4="*",N1480=Calendar!$K$4)),P1480*100+COUNTIFS($P$6:$P$3267,P1480,$Q$6:$Q$3267,"&lt;="&amp;Q1480,$N$6:$N$3267,Calendar!$K$4),"")</f>
        <v/>
      </c>
      <c r="W1480" s="47">
        <f>IF(AND(B1480=Queue!$C$4,OR(Queue!$K$4="*",N1480=Queue!$K$4)),Q1480,"")</f>
        <v/>
      </c>
    </row>
    <row r="1481">
      <c r="A1481" s="38">
        <f>IF(M1481="","",HYPERLINK("https://www.youtube.com/watch?v="&amp;M1481,"▶"))</f>
        <v/>
      </c>
      <c r="B1481" s="39">
        <f>IF(C1481&lt;&gt;"",C1481,IF(P1481&lt;=IFERROR(INDEX(tblChannels[Watched Through],MATCH(N1481,tblChannels[Channel ID],0)),0),"Watched","Unwatched"))</f>
        <v/>
      </c>
      <c r="C1481" s="40" t="n"/>
      <c r="D1481" s="41" t="n"/>
      <c r="E1481" s="42" t="n">
        <v>44280.62013888889</v>
      </c>
      <c r="F1481" s="50" t="inlineStr">
        <is>
          <t>Super Carlin Brothers</t>
        </is>
      </c>
      <c r="G1481" t="inlineStr">
        <is>
          <t>Why You Should Read “The Name of the Wind” | GIVING AWAY 200 BOOKS</t>
        </is>
      </c>
      <c r="H1481" s="44" t="n">
        <v>0.00798611111111111</v>
      </c>
      <c r="I1481" s="45" t="n">
        <v>117628</v>
      </c>
      <c r="J1481" s="45" t="n">
        <v>7415</v>
      </c>
      <c r="K1481" s="45" t="n">
        <v>1976</v>
      </c>
      <c r="L1481" s="46" t="n"/>
      <c r="M1481" s="47" t="n"/>
      <c r="N1481" s="47" t="inlineStr">
        <is>
          <t>UCKZo4N0lVPccBkSiuyVh4yg</t>
        </is>
      </c>
      <c r="O1481" s="48" t="n">
        <v>44280.78680555556</v>
      </c>
      <c r="P1481" s="49" t="n">
        <v>44280</v>
      </c>
      <c r="Q1481" s="47" t="n">
        <v>1787</v>
      </c>
      <c r="R1481" s="47" t="inlineStr">
        <is>
          <t>No Video ID yet</t>
        </is>
      </c>
      <c r="S1481" s="49" t="n"/>
      <c r="T1481" s="49" t="n"/>
      <c r="U1481" s="47" t="inlineStr">
        <is>
          <t>First 200 people there get a FREE copy! Audiobook :: Physical :: Just the Perks :: FREE Audiobook :: Sold Out! FREE Physical Book :: Sold Out! Mass-market Paperback book (does NOT include SCB digital perks) :: J and Ben and fallen in love with a new series: The Name of the Wind by Patrick Rothfuss, and want you to join them in their fandom! To celebrate they are giving away 100 FREE copies of the audiobook and 100 FREE physical copies! All books purchased through DFTBA also get digital perks including J and Ben's book club review of Name of the Wind and Wise Man's Fear! #SuperCarlinBrothers #TheNameOfTheWind #PatrickRothfuss</t>
        </is>
      </c>
      <c r="V1481" s="47">
        <f>IF(AND(P1481&gt;=Calendar!$K$2,P1481&lt;EDATE(Calendar!$K$2,1),OR(Calendar!$K$4="*",N1481=Calendar!$K$4)),P1481*100+COUNTIFS($P$6:$P$3267,P1481,$Q$6:$Q$3267,"&lt;="&amp;Q1481,$N$6:$N$3267,Calendar!$K$4),"")</f>
        <v/>
      </c>
      <c r="W1481" s="47">
        <f>IF(AND(B1481=Queue!$C$4,OR(Queue!$K$4="*",N1481=Queue!$K$4)),Q1481,"")</f>
        <v/>
      </c>
    </row>
    <row r="1482">
      <c r="A1482" s="38">
        <f>IF(M1482="","",HYPERLINK("https://www.youtube.com/watch?v="&amp;M1482,"▶"))</f>
        <v/>
      </c>
      <c r="B1482" s="39">
        <f>IF(C1482&lt;&gt;"",C1482,IF(P1482&lt;=IFERROR(INDEX(tblChannels[Watched Through],MATCH(N1482,tblChannels[Channel ID],0)),0),"Watched","Unwatched"))</f>
        <v/>
      </c>
      <c r="C1482" s="40" t="n"/>
      <c r="D1482" s="41" t="n"/>
      <c r="E1482" s="42" t="n">
        <v>44279.41666666666</v>
      </c>
      <c r="F1482" s="52" t="inlineStr">
        <is>
          <t>Super Carlin Gaming</t>
        </is>
      </c>
      <c r="G1482" t="inlineStr">
        <is>
          <t>Choosing Our Starter! |  Pokémon LeafGreen Randomizer Nuzlocke #1</t>
        </is>
      </c>
      <c r="H1482" s="44" t="n">
        <v>0.02202546296296296</v>
      </c>
      <c r="I1482" s="45" t="n">
        <v>71290</v>
      </c>
      <c r="J1482" s="45" t="n">
        <v>3486</v>
      </c>
      <c r="K1482" s="45" t="n">
        <v>1445</v>
      </c>
      <c r="L1482" s="46" t="n"/>
      <c r="M1482" s="47" t="n"/>
      <c r="N1482" s="47" t="inlineStr">
        <is>
          <t>UCor_9jRnNNZVzTuQ92PKsaQ</t>
        </is>
      </c>
      <c r="O1482" s="48" t="n">
        <v>44279.58333333334</v>
      </c>
      <c r="P1482" s="49" t="n">
        <v>44279</v>
      </c>
      <c r="Q1482" s="47" t="n">
        <v>1786</v>
      </c>
      <c r="R1482" s="47" t="inlineStr">
        <is>
          <t>No Video ID yet</t>
        </is>
      </c>
      <c r="S1482" s="49" t="n"/>
      <c r="T1482" s="49" t="n"/>
      <c r="U1482" s="47" t="inlineStr">
        <is>
          <t>Welcome back to the Nuzlocke Challenge! Today J receives his starter pokemon, reviews the rules of the Nuzlocke and the Randomizer settings and sets out on his very RANDOM journey! Edited by: Riley Murtagh</t>
        </is>
      </c>
      <c r="V1482" s="47">
        <f>IF(AND(P1482&gt;=Calendar!$K$2,P1482&lt;EDATE(Calendar!$K$2,1),OR(Calendar!$K$4="*",N1482=Calendar!$K$4)),P1482*100+COUNTIFS($P$6:$P$3267,P1482,$Q$6:$Q$3267,"&lt;="&amp;Q1482,$N$6:$N$3267,Calendar!$K$4),"")</f>
        <v/>
      </c>
      <c r="W1482" s="47">
        <f>IF(AND(B1482=Queue!$C$4,OR(Queue!$K$4="*",N1482=Queue!$K$4)),Q1482,"")</f>
        <v/>
      </c>
    </row>
    <row r="1483">
      <c r="A1483" s="38">
        <f>IF(M1483="","",HYPERLINK("https://www.youtube.com/watch?v="&amp;M1483,"▶"))</f>
        <v/>
      </c>
      <c r="B1483" s="39">
        <f>IF(C1483&lt;&gt;"",C1483,IF(P1483&lt;=IFERROR(INDEX(tblChannels[Watched Through],MATCH(N1483,tblChannels[Channel ID],0)),0),"Watched","Unwatched"))</f>
        <v/>
      </c>
      <c r="C1483" s="40" t="n"/>
      <c r="D1483" s="41" t="n"/>
      <c r="E1483" s="42" t="n">
        <v>44278.64305555556</v>
      </c>
      <c r="F1483" s="50" t="inlineStr">
        <is>
          <t>Super Carlin Brothers</t>
        </is>
      </c>
      <c r="G1483" t="inlineStr">
        <is>
          <t>Why Are Azula’s Flames Blue? | Avatar the Last Airbender Theory</t>
        </is>
      </c>
      <c r="H1483" s="44" t="n">
        <v>0.008726851851851852</v>
      </c>
      <c r="I1483" s="45" t="n">
        <v>289746</v>
      </c>
      <c r="J1483" s="45" t="n">
        <v>14769</v>
      </c>
      <c r="K1483" s="45" t="n">
        <v>1778</v>
      </c>
      <c r="L1483" s="46" t="n"/>
      <c r="M1483" s="47" t="n"/>
      <c r="N1483" s="47" t="inlineStr">
        <is>
          <t>UCKZo4N0lVPccBkSiuyVh4yg</t>
        </is>
      </c>
      <c r="O1483" s="48" t="n">
        <v>44278.80972222222</v>
      </c>
      <c r="P1483" s="49" t="n">
        <v>44278</v>
      </c>
      <c r="Q1483" s="47" t="n">
        <v>1785</v>
      </c>
      <c r="R1483" s="47" t="inlineStr">
        <is>
          <t>No Video ID yet</t>
        </is>
      </c>
      <c r="S1483" s="49" t="n"/>
      <c r="T1483" s="49" t="n"/>
      <c r="U1483" s="47" t="inlineStr">
        <is>
          <t>Go to for 10% off plus free shipping! Today J dives into the world of Avatar the Last Airbender to discuss everyone's favorite evil fire bending princess and answer the question: Why Are Azula’s Flames Blue? #SuperCarlinBrothers #atla</t>
        </is>
      </c>
      <c r="V1483" s="47">
        <f>IF(AND(P1483&gt;=Calendar!$K$2,P1483&lt;EDATE(Calendar!$K$2,1),OR(Calendar!$K$4="*",N1483=Calendar!$K$4)),P1483*100+COUNTIFS($P$6:$P$3267,P1483,$Q$6:$Q$3267,"&lt;="&amp;Q1483,$N$6:$N$3267,Calendar!$K$4),"")</f>
        <v/>
      </c>
      <c r="W1483" s="47">
        <f>IF(AND(B1483=Queue!$C$4,OR(Queue!$K$4="*",N1483=Queue!$K$4)),Q1483,"")</f>
        <v/>
      </c>
    </row>
    <row r="1484">
      <c r="A1484" s="38">
        <f>IF(M1484="","",HYPERLINK("https://www.youtube.com/watch?v="&amp;M1484,"▶"))</f>
        <v/>
      </c>
      <c r="B1484" s="39">
        <f>IF(C1484&lt;&gt;"",C1484,IF(P1484&lt;=IFERROR(INDEX(tblChannels[Watched Through],MATCH(N1484,tblChannels[Channel ID],0)),0),"Watched","Unwatched"))</f>
        <v/>
      </c>
      <c r="C1484" s="40" t="n"/>
      <c r="D1484" s="41" t="n"/>
      <c r="E1484" s="42" t="n">
        <v>44274.4375</v>
      </c>
      <c r="F1484" s="50" t="inlineStr">
        <is>
          <t>Super Carlin Brothers</t>
        </is>
      </c>
      <c r="G1484" t="inlineStr">
        <is>
          <t>What is Your Legacy? | Popcorn Culture</t>
        </is>
      </c>
      <c r="H1484" s="44" t="n">
        <v>0.04565972222222222</v>
      </c>
      <c r="I1484" s="45" t="n">
        <v>31344</v>
      </c>
      <c r="J1484" s="45" t="n">
        <v>1332</v>
      </c>
      <c r="K1484" s="45" t="n">
        <v>237</v>
      </c>
      <c r="L1484" s="46" t="n"/>
      <c r="M1484" s="47" t="n"/>
      <c r="N1484" s="47" t="inlineStr">
        <is>
          <t>UCKZo4N0lVPccBkSiuyVh4yg</t>
        </is>
      </c>
      <c r="O1484" s="48" t="n">
        <v>44274.60416666666</v>
      </c>
      <c r="P1484" s="49" t="n">
        <v>44274</v>
      </c>
      <c r="Q1484" s="47" t="n">
        <v>1784</v>
      </c>
      <c r="R1484" s="47" t="inlineStr">
        <is>
          <t>No Video ID yet</t>
        </is>
      </c>
      <c r="S1484" s="49" t="n"/>
      <c r="T1484" s="49" t="n"/>
      <c r="U1484" s="47" t="inlineStr">
        <is>
          <t>In the 67th episode of the Popcast, Ben and J discuss: childhood beliefs, legacy, passing down names, the Stanley Duck, vocal fillers, giant Bingo, and easter eggs in movies.</t>
        </is>
      </c>
      <c r="V1484" s="47">
        <f>IF(AND(P1484&gt;=Calendar!$K$2,P1484&lt;EDATE(Calendar!$K$2,1),OR(Calendar!$K$4="*",N1484=Calendar!$K$4)),P1484*100+COUNTIFS($P$6:$P$3267,P1484,$Q$6:$Q$3267,"&lt;="&amp;Q1484,$N$6:$N$3267,Calendar!$K$4),"")</f>
        <v/>
      </c>
      <c r="W1484" s="47">
        <f>IF(AND(B1484=Queue!$C$4,OR(Queue!$K$4="*",N1484=Queue!$K$4)),Q1484,"")</f>
        <v/>
      </c>
    </row>
    <row r="1485">
      <c r="A1485" s="38">
        <f>IF(M1485="","",HYPERLINK("https://www.youtube.com/watch?v="&amp;M1485,"▶"))</f>
        <v/>
      </c>
      <c r="B1485" s="39">
        <f>IF(C1485&lt;&gt;"",C1485,IF(P1485&lt;=IFERROR(INDEX(tblChannels[Watched Through],MATCH(N1485,tblChannels[Channel ID],0)),0),"Watched","Unwatched"))</f>
        <v/>
      </c>
      <c r="C1485" s="40" t="n"/>
      <c r="D1485" s="41" t="n"/>
      <c r="E1485" s="42" t="n">
        <v>44274.25</v>
      </c>
      <c r="F1485" s="43" t="inlineStr">
        <is>
          <t>Popcorn Culture</t>
        </is>
      </c>
      <c r="G1485" t="inlineStr">
        <is>
          <t>67 - What is Your Legacy?</t>
        </is>
      </c>
      <c r="H1485" s="44" t="n">
        <v>0.04472222222222222</v>
      </c>
      <c r="I1485" s="45" t="n">
        <v>1317</v>
      </c>
      <c r="J1485" s="45" t="n">
        <v>62</v>
      </c>
      <c r="K1485" s="45" t="n">
        <v>10</v>
      </c>
      <c r="L1485" s="46" t="n"/>
      <c r="M1485" s="47" t="n"/>
      <c r="N1485" s="47" t="inlineStr">
        <is>
          <t>UCHfIbq9thHPC8yrKjAdJgDA</t>
        </is>
      </c>
      <c r="O1485" s="48" t="n">
        <v>44274.41666666666</v>
      </c>
      <c r="P1485" s="49" t="n">
        <v>44274</v>
      </c>
      <c r="Q1485" s="47" t="n">
        <v>1783</v>
      </c>
      <c r="R1485" s="47" t="inlineStr">
        <is>
          <t>No Video ID yet</t>
        </is>
      </c>
      <c r="S1485" s="49" t="n"/>
      <c r="T1485" s="49" t="n"/>
      <c r="U1485" s="47" t="inlineStr">
        <is>
          <t>Ben and J discuss: childhood beliefs, legacy, passing down names, the Stanley Duck, vocal fillers, giant Bingo, and easter eggs in movies.</t>
        </is>
      </c>
      <c r="V1485" s="47">
        <f>IF(AND(P1485&gt;=Calendar!$K$2,P1485&lt;EDATE(Calendar!$K$2,1),OR(Calendar!$K$4="*",N1485=Calendar!$K$4)),P1485*100+COUNTIFS($P$6:$P$3267,P1485,$Q$6:$Q$3267,"&lt;="&amp;Q1485,$N$6:$N$3267,Calendar!$K$4),"")</f>
        <v/>
      </c>
      <c r="W1485" s="47">
        <f>IF(AND(B1485=Queue!$C$4,OR(Queue!$K$4="*",N1485=Queue!$K$4)),Q1485,"")</f>
        <v/>
      </c>
    </row>
    <row r="1486">
      <c r="A1486" s="38">
        <f>IF(M1486="","",HYPERLINK("https://www.youtube.com/watch?v="&amp;M1486,"▶"))</f>
        <v/>
      </c>
      <c r="B1486" s="39">
        <f>IF(C1486&lt;&gt;"",C1486,IF(P1486&lt;=IFERROR(INDEX(tblChannels[Watched Through],MATCH(N1486,tblChannels[Channel ID],0)),0),"Watched","Unwatched"))</f>
        <v/>
      </c>
      <c r="C1486" s="40" t="n"/>
      <c r="D1486" s="41" t="n"/>
      <c r="E1486" s="42" t="n">
        <v>44273.62708333333</v>
      </c>
      <c r="F1486" s="50" t="inlineStr">
        <is>
          <t>Super Carlin Brothers</t>
        </is>
      </c>
      <c r="G1486" t="inlineStr">
        <is>
          <t>J vs Ben: ULTIMATE Disney Princess Trivia Quiz</t>
        </is>
      </c>
      <c r="H1486" s="44" t="n">
        <v>0.01662037037037037</v>
      </c>
      <c r="I1486" s="45" t="n">
        <v>185305</v>
      </c>
      <c r="J1486" s="45" t="n">
        <v>7966</v>
      </c>
      <c r="K1486" s="45" t="n">
        <v>1477</v>
      </c>
      <c r="L1486" s="46" t="n"/>
      <c r="M1486" s="47" t="n"/>
      <c r="N1486" s="47" t="inlineStr">
        <is>
          <t>UCKZo4N0lVPccBkSiuyVh4yg</t>
        </is>
      </c>
      <c r="O1486" s="48" t="n">
        <v>44273.79375</v>
      </c>
      <c r="P1486" s="49" t="n">
        <v>44273</v>
      </c>
      <c r="Q1486" s="47" t="n">
        <v>1782</v>
      </c>
      <c r="R1486" s="47" t="inlineStr">
        <is>
          <t>No Video ID yet</t>
        </is>
      </c>
      <c r="S1486" s="49" t="n"/>
      <c r="T1486" s="49" t="n"/>
      <c r="U1486" s="47" t="inlineStr">
        <is>
          <t>Download the DoorDash app in the App Store and enter code JVSB2021 to get 25% off and zero delivery fees on your first order! Go to and enter code ‘SUPER’ at checkout to get 20% off your first monthly box! Today J and Ben face off once more to find out who knows more about the Disney Princesses! #SuperCarlinBrothers #DisneyPrincess #Disney</t>
        </is>
      </c>
      <c r="V1486" s="47">
        <f>IF(AND(P1486&gt;=Calendar!$K$2,P1486&lt;EDATE(Calendar!$K$2,1),OR(Calendar!$K$4="*",N1486=Calendar!$K$4)),P1486*100+COUNTIFS($P$6:$P$3267,P1486,$Q$6:$Q$3267,"&lt;="&amp;Q1486,$N$6:$N$3267,Calendar!$K$4),"")</f>
        <v/>
      </c>
      <c r="W1486" s="47">
        <f>IF(AND(B1486=Queue!$C$4,OR(Queue!$K$4="*",N1486=Queue!$K$4)),Q1486,"")</f>
        <v/>
      </c>
    </row>
    <row r="1487">
      <c r="A1487" s="38">
        <f>IF(M1487="","",HYPERLINK("https://www.youtube.com/watch?v="&amp;M1487,"▶"))</f>
        <v/>
      </c>
      <c r="B1487" s="39">
        <f>IF(C1487&lt;&gt;"",C1487,IF(P1487&lt;=IFERROR(INDEX(tblChannels[Watched Through],MATCH(N1487,tblChannels[Channel ID],0)),0),"Watched","Unwatched"))</f>
        <v/>
      </c>
      <c r="C1487" s="40" t="n"/>
      <c r="D1487" s="41" t="n"/>
      <c r="E1487" s="42" t="n">
        <v>44272.41666666666</v>
      </c>
      <c r="F1487" s="52" t="inlineStr">
        <is>
          <t>Super Carlin Gaming</t>
        </is>
      </c>
      <c r="G1487" t="inlineStr">
        <is>
          <t>The Nuzlocke RETURNS! | Teaser Trailer</t>
        </is>
      </c>
      <c r="H1487" s="44" t="n">
        <v>0.0005902777777777778</v>
      </c>
      <c r="I1487" s="45" t="n">
        <v>8619</v>
      </c>
      <c r="J1487" s="45" t="n">
        <v>1137</v>
      </c>
      <c r="K1487" s="45" t="n">
        <v>324</v>
      </c>
      <c r="L1487" s="46" t="n"/>
      <c r="M1487" s="47" t="n"/>
      <c r="N1487" s="47" t="inlineStr">
        <is>
          <t>UCor_9jRnNNZVzTuQ92PKsaQ</t>
        </is>
      </c>
      <c r="O1487" s="48" t="n">
        <v>44272.58333333334</v>
      </c>
      <c r="P1487" s="49" t="n">
        <v>44272</v>
      </c>
      <c r="Q1487" s="47" t="n">
        <v>1781</v>
      </c>
      <c r="R1487" s="47" t="inlineStr">
        <is>
          <t>No Video ID yet</t>
        </is>
      </c>
      <c r="S1487" s="49" t="n"/>
      <c r="T1487" s="49" t="n"/>
      <c r="U1487" s="47" t="inlineStr">
        <is>
          <t>The Nuzlocke Returns Wednesday, March 24th! J returns to where it all started to embark on a brand new totally RANDOM journey!</t>
        </is>
      </c>
      <c r="V1487" s="47">
        <f>IF(AND(P1487&gt;=Calendar!$K$2,P1487&lt;EDATE(Calendar!$K$2,1),OR(Calendar!$K$4="*",N1487=Calendar!$K$4)),P1487*100+COUNTIFS($P$6:$P$3267,P1487,$Q$6:$Q$3267,"&lt;="&amp;Q1487,$N$6:$N$3267,Calendar!$K$4),"")</f>
        <v/>
      </c>
      <c r="W1487" s="47">
        <f>IF(AND(B1487=Queue!$C$4,OR(Queue!$K$4="*",N1487=Queue!$K$4)),Q1487,"")</f>
        <v/>
      </c>
    </row>
    <row r="1488">
      <c r="A1488" s="38">
        <f>IF(M1488="","",HYPERLINK("https://www.youtube.com/watch?v="&amp;M1488,"▶"))</f>
        <v/>
      </c>
      <c r="B1488" s="39">
        <f>IF(C1488&lt;&gt;"",C1488,IF(P1488&lt;=IFERROR(INDEX(tblChannels[Watched Through],MATCH(N1488,tblChannels[Channel ID],0)),0),"Watched","Unwatched"))</f>
        <v/>
      </c>
      <c r="C1488" s="40" t="n"/>
      <c r="D1488" s="41" t="n"/>
      <c r="E1488" s="42" t="n">
        <v>44271.66944444444</v>
      </c>
      <c r="F1488" s="50" t="inlineStr">
        <is>
          <t>Super Carlin Brothers</t>
        </is>
      </c>
      <c r="G1488" t="inlineStr">
        <is>
          <t>Draco Deserved To Be Redeemed | Harry Potter Theory</t>
        </is>
      </c>
      <c r="H1488" s="44" t="n">
        <v>0.0103125</v>
      </c>
      <c r="I1488" s="45" t="n">
        <v>419737</v>
      </c>
      <c r="J1488" s="45" t="n">
        <v>20021</v>
      </c>
      <c r="K1488" s="45" t="n">
        <v>2294</v>
      </c>
      <c r="L1488" s="46" t="n"/>
      <c r="M1488" s="47" t="n"/>
      <c r="N1488" s="47" t="inlineStr">
        <is>
          <t>UCKZo4N0lVPccBkSiuyVh4yg</t>
        </is>
      </c>
      <c r="O1488" s="48" t="n">
        <v>44271.83611111111</v>
      </c>
      <c r="P1488" s="49" t="n">
        <v>44271</v>
      </c>
      <c r="Q1488" s="47" t="n">
        <v>1780</v>
      </c>
      <c r="R1488" s="47" t="inlineStr">
        <is>
          <t>No Video ID yet</t>
        </is>
      </c>
      <c r="S1488" s="49" t="n"/>
      <c r="T1488" s="49" t="n"/>
      <c r="U1488" s="47" t="inlineStr">
        <is>
          <t>Go to to get 10% off plus free shipping! Today J dives into the Wizarding World of Harry Potter to discuss how everyone’s favorite Slytherin, Draco Malfoy, SHOULD have been redeemed! #SuperCarlinBrothers #HarryPotter #MyFatherWillHearAboutThis Video Edited by: Riley Murtagh</t>
        </is>
      </c>
      <c r="V1488" s="47">
        <f>IF(AND(P1488&gt;=Calendar!$K$2,P1488&lt;EDATE(Calendar!$K$2,1),OR(Calendar!$K$4="*",N1488=Calendar!$K$4)),P1488*100+COUNTIFS($P$6:$P$3267,P1488,$Q$6:$Q$3267,"&lt;="&amp;Q1488,$N$6:$N$3267,Calendar!$K$4),"")</f>
        <v/>
      </c>
      <c r="W1488" s="47">
        <f>IF(AND(B1488=Queue!$C$4,OR(Queue!$K$4="*",N1488=Queue!$K$4)),Q1488,"")</f>
        <v/>
      </c>
    </row>
    <row r="1489">
      <c r="A1489" s="38">
        <f>IF(M1489="","",HYPERLINK("https://www.youtube.com/watch?v="&amp;M1489,"▶"))</f>
        <v/>
      </c>
      <c r="B1489" s="39">
        <f>IF(C1489&lt;&gt;"",C1489,IF(P1489&lt;=IFERROR(INDEX(tblChannels[Watched Through],MATCH(N1489,tblChannels[Channel ID],0)),0),"Watched","Unwatched"))</f>
        <v/>
      </c>
      <c r="C1489" s="40" t="n"/>
      <c r="D1489" s="41" t="n"/>
      <c r="E1489" s="42" t="n">
        <v>44267.41666666666</v>
      </c>
      <c r="F1489" s="50" t="inlineStr">
        <is>
          <t>Super Carlin Brothers</t>
        </is>
      </c>
      <c r="G1489" t="inlineStr">
        <is>
          <t>Embrace Your Spikes | Popcorn Culture</t>
        </is>
      </c>
      <c r="H1489" s="44" t="n">
        <v>0.04924768518518519</v>
      </c>
      <c r="I1489" s="45" t="n">
        <v>35402</v>
      </c>
      <c r="J1489" s="45" t="n">
        <v>1391</v>
      </c>
      <c r="K1489" s="45" t="n">
        <v>234</v>
      </c>
      <c r="L1489" s="46" t="n"/>
      <c r="M1489" s="47" t="n"/>
      <c r="N1489" s="47" t="inlineStr">
        <is>
          <t>UCKZo4N0lVPccBkSiuyVh4yg</t>
        </is>
      </c>
      <c r="O1489" s="48" t="n">
        <v>44267.625</v>
      </c>
      <c r="P1489" s="49" t="n">
        <v>44267</v>
      </c>
      <c r="Q1489" s="47" t="n">
        <v>1779</v>
      </c>
      <c r="R1489" s="47" t="inlineStr">
        <is>
          <t>No Video ID yet</t>
        </is>
      </c>
      <c r="S1489" s="49" t="n"/>
      <c r="T1489" s="49" t="n"/>
      <c r="U1489" s="47" t="inlineStr">
        <is>
          <t>In episode 66 of the POPcast, Ben and J discuss: fashion notes, Mickey Mouse mugs, personality spikes, Coyotes, J vlogs, waking up early, napping, and Fred the Cup! Show notes: Arizona Coyotes: Check out the J vlogs: Revenge Bedtime Procrastination: Get your own Fred the Cup:</t>
        </is>
      </c>
      <c r="V1489" s="47">
        <f>IF(AND(P1489&gt;=Calendar!$K$2,P1489&lt;EDATE(Calendar!$K$2,1),OR(Calendar!$K$4="*",N1489=Calendar!$K$4)),P1489*100+COUNTIFS($P$6:$P$3267,P1489,$Q$6:$Q$3267,"&lt;="&amp;Q1489,$N$6:$N$3267,Calendar!$K$4),"")</f>
        <v/>
      </c>
      <c r="W1489" s="47">
        <f>IF(AND(B1489=Queue!$C$4,OR(Queue!$K$4="*",N1489=Queue!$K$4)),Q1489,"")</f>
        <v/>
      </c>
    </row>
    <row r="1490">
      <c r="A1490" s="38">
        <f>IF(M1490="","",HYPERLINK("https://www.youtube.com/watch?v="&amp;M1490,"▶"))</f>
        <v/>
      </c>
      <c r="B1490" s="39">
        <f>IF(C1490&lt;&gt;"",C1490,IF(P1490&lt;=IFERROR(INDEX(tblChannels[Watched Through],MATCH(N1490,tblChannels[Channel ID],0)),0),"Watched","Unwatched"))</f>
        <v/>
      </c>
      <c r="C1490" s="40" t="n"/>
      <c r="D1490" s="41" t="n"/>
      <c r="E1490" s="42" t="n">
        <v>44267.40763888889</v>
      </c>
      <c r="F1490" s="43" t="inlineStr">
        <is>
          <t>Popcorn Culture</t>
        </is>
      </c>
      <c r="G1490" t="inlineStr">
        <is>
          <t>66 - Embrace Your Spikes</t>
        </is>
      </c>
      <c r="H1490" s="44" t="n">
        <v>0.04924768518518519</v>
      </c>
      <c r="I1490" s="45" t="n">
        <v>1391</v>
      </c>
      <c r="J1490" s="45" t="n">
        <v>66</v>
      </c>
      <c r="K1490" s="45" t="n">
        <v>10</v>
      </c>
      <c r="L1490" s="46" t="n"/>
      <c r="M1490" s="47" t="n"/>
      <c r="N1490" s="47" t="inlineStr">
        <is>
          <t>UCHfIbq9thHPC8yrKjAdJgDA</t>
        </is>
      </c>
      <c r="O1490" s="48" t="n">
        <v>44267.61597222222</v>
      </c>
      <c r="P1490" s="49" t="n">
        <v>44267</v>
      </c>
      <c r="Q1490" s="47" t="n">
        <v>1778</v>
      </c>
      <c r="R1490" s="47" t="inlineStr">
        <is>
          <t>No Video ID yet</t>
        </is>
      </c>
      <c r="S1490" s="49" t="n"/>
      <c r="T1490" s="49" t="n"/>
      <c r="U1490" s="47" t="inlineStr">
        <is>
          <t>Ben and J discuss: fashion notes, Mickey Mouse mugs, personality spikes, Coyotes, J vlogs, waking up early, napping, and Fred the Cup! Show notes: J’s aggressive pajamas: Arizona Coyotes: Check out the J vlogs: Revenge Bedtime Procrastination: Get your own Fred the Cup:</t>
        </is>
      </c>
      <c r="V1490" s="47">
        <f>IF(AND(P1490&gt;=Calendar!$K$2,P1490&lt;EDATE(Calendar!$K$2,1),OR(Calendar!$K$4="*",N1490=Calendar!$K$4)),P1490*100+COUNTIFS($P$6:$P$3267,P1490,$Q$6:$Q$3267,"&lt;="&amp;Q1490,$N$6:$N$3267,Calendar!$K$4),"")</f>
        <v/>
      </c>
      <c r="W1490" s="47">
        <f>IF(AND(B1490=Queue!$C$4,OR(Queue!$K$4="*",N1490=Queue!$K$4)),Q1490,"")</f>
        <v/>
      </c>
    </row>
    <row r="1491">
      <c r="A1491" s="38">
        <f>IF(M1491="","",HYPERLINK("https://www.youtube.com/watch?v="&amp;M1491,"▶"))</f>
        <v/>
      </c>
      <c r="B1491" s="39">
        <f>IF(C1491&lt;&gt;"",C1491,IF(P1491&lt;=IFERROR(INDEX(tblChannels[Watched Through],MATCH(N1491,tblChannels[Channel ID],0)),0),"Watched","Unwatched"))</f>
        <v/>
      </c>
      <c r="C1491" s="40" t="n"/>
      <c r="D1491" s="41" t="n"/>
      <c r="E1491" s="42" t="n">
        <v>44266.62847222222</v>
      </c>
      <c r="F1491" s="50" t="inlineStr">
        <is>
          <t>Super Carlin Brothers</t>
        </is>
      </c>
      <c r="G1491" t="inlineStr">
        <is>
          <t>Will Raya Be The Next Disney Princess? | Disney Theory</t>
        </is>
      </c>
      <c r="H1491" s="44" t="n">
        <v>0.008761574074074074</v>
      </c>
      <c r="I1491" s="45" t="n">
        <v>115456</v>
      </c>
      <c r="J1491" s="45" t="n">
        <v>5690</v>
      </c>
      <c r="K1491" s="45" t="n">
        <v>1101</v>
      </c>
      <c r="L1491" s="46" t="n"/>
      <c r="M1491" s="47" t="n"/>
      <c r="N1491" s="47" t="inlineStr">
        <is>
          <t>UCKZo4N0lVPccBkSiuyVh4yg</t>
        </is>
      </c>
      <c r="O1491" s="48" t="n">
        <v>44266.83680555555</v>
      </c>
      <c r="P1491" s="49" t="n">
        <v>44266</v>
      </c>
      <c r="Q1491" s="47" t="n">
        <v>1777</v>
      </c>
      <c r="R1491" s="47" t="inlineStr">
        <is>
          <t>No Video ID yet</t>
        </is>
      </c>
      <c r="S1491" s="49" t="n"/>
      <c r="T1491" s="49" t="n"/>
      <c r="U1491" s="47" t="inlineStr">
        <is>
          <t>Go to to get 3 extra months FREE! Today Ben dives into the world of Disney’s Raya and the Last Dragon to find out if Raya will become the next official Disney Princess! #SuperCarlinBrothers #RayaAndTheLastDragon #Disney</t>
        </is>
      </c>
      <c r="V1491" s="47">
        <f>IF(AND(P1491&gt;=Calendar!$K$2,P1491&lt;EDATE(Calendar!$K$2,1),OR(Calendar!$K$4="*",N1491=Calendar!$K$4)),P1491*100+COUNTIFS($P$6:$P$3267,P1491,$Q$6:$Q$3267,"&lt;="&amp;Q1491,$N$6:$N$3267,Calendar!$K$4),"")</f>
        <v/>
      </c>
      <c r="W1491" s="47">
        <f>IF(AND(B1491=Queue!$C$4,OR(Queue!$K$4="*",N1491=Queue!$K$4)),Q1491,"")</f>
        <v/>
      </c>
    </row>
    <row r="1492">
      <c r="A1492" s="38">
        <f>IF(M1492="","",HYPERLINK("https://www.youtube.com/watch?v="&amp;M1492,"▶"))</f>
        <v/>
      </c>
      <c r="B1492" s="39">
        <f>IF(C1492&lt;&gt;"",C1492,IF(P1492&lt;=IFERROR(INDEX(tblChannels[Watched Through],MATCH(N1492,tblChannels[Channel ID],0)),0),"Watched","Unwatched"))</f>
        <v/>
      </c>
      <c r="C1492" s="40" t="n"/>
      <c r="D1492" s="41" t="n"/>
      <c r="E1492" s="42" t="n">
        <v>44264.69444444445</v>
      </c>
      <c r="F1492" s="50" t="inlineStr">
        <is>
          <t>Super Carlin Brothers</t>
        </is>
      </c>
      <c r="G1492" t="inlineStr">
        <is>
          <t>Raya and the Last Dragon REVIEW: Is It Worth It?</t>
        </is>
      </c>
      <c r="H1492" s="44" t="n">
        <v>0.03337962962962963</v>
      </c>
      <c r="I1492" s="45" t="n">
        <v>171860</v>
      </c>
      <c r="J1492" s="45" t="n">
        <v>6250</v>
      </c>
      <c r="K1492" s="45" t="n">
        <v>1575</v>
      </c>
      <c r="L1492" s="46" t="n"/>
      <c r="M1492" s="47" t="n"/>
      <c r="N1492" s="47" t="inlineStr">
        <is>
          <t>UCKZo4N0lVPccBkSiuyVh4yg</t>
        </is>
      </c>
      <c r="O1492" s="48" t="n">
        <v>44264.90277777778</v>
      </c>
      <c r="P1492" s="49" t="n">
        <v>44264</v>
      </c>
      <c r="Q1492" s="47" t="n">
        <v>1776</v>
      </c>
      <c r="R1492" s="47" t="inlineStr">
        <is>
          <t>No Video ID yet</t>
        </is>
      </c>
      <c r="S1492" s="49" t="n"/>
      <c r="T1492" s="49" t="n"/>
      <c r="U1492" s="47" t="inlineStr">
        <is>
          <t>Thanks to Sony for Sponsoring this video! Check out the Sony WH-1000XM4 Noise Cancelling Headphones here :: Today J and Ben give their full spoiler review of Disney’s latest animated movie Raya and the Last Dragon and determine if its worth Disney Plus’s Premium access price and what message the movie is trying to tell us Follow us on TikTok :: #SuperCarlinBrothers #RayaAndTheLastDragon #Disney #Sponsored</t>
        </is>
      </c>
      <c r="V1492" s="47">
        <f>IF(AND(P1492&gt;=Calendar!$K$2,P1492&lt;EDATE(Calendar!$K$2,1),OR(Calendar!$K$4="*",N1492=Calendar!$K$4)),P1492*100+COUNTIFS($P$6:$P$3267,P1492,$Q$6:$Q$3267,"&lt;="&amp;Q1492,$N$6:$N$3267,Calendar!$K$4),"")</f>
        <v/>
      </c>
      <c r="W1492" s="47">
        <f>IF(AND(B1492=Queue!$C$4,OR(Queue!$K$4="*",N1492=Queue!$K$4)),Q1492,"")</f>
        <v/>
      </c>
    </row>
    <row r="1493">
      <c r="A1493" s="38">
        <f>IF(M1493="","",HYPERLINK("https://www.youtube.com/watch?v="&amp;M1493,"▶"))</f>
        <v/>
      </c>
      <c r="B1493" s="39">
        <f>IF(C1493&lt;&gt;"",C1493,IF(P1493&lt;=IFERROR(INDEX(tblChannels[Watched Through],MATCH(N1493,tblChannels[Channel ID],0)),0),"Watched","Unwatched"))</f>
        <v/>
      </c>
      <c r="C1493" s="40" t="n"/>
      <c r="D1493" s="41" t="n"/>
      <c r="E1493" s="42" t="n">
        <v>44260.41666666666</v>
      </c>
      <c r="F1493" s="50" t="inlineStr">
        <is>
          <t>Super Carlin Brothers</t>
        </is>
      </c>
      <c r="G1493" t="inlineStr">
        <is>
          <t>Boredom in the Time of TikTok | Popcorn Culture</t>
        </is>
      </c>
      <c r="H1493" s="44" t="n">
        <v>0.04516203703703704</v>
      </c>
      <c r="I1493" s="45" t="n">
        <v>31436</v>
      </c>
      <c r="J1493" s="45" t="n">
        <v>1336</v>
      </c>
      <c r="K1493" s="45" t="n">
        <v>227</v>
      </c>
      <c r="L1493" s="46" t="n"/>
      <c r="M1493" s="47" t="n"/>
      <c r="N1493" s="47" t="inlineStr">
        <is>
          <t>UCKZo4N0lVPccBkSiuyVh4yg</t>
        </is>
      </c>
      <c r="O1493" s="48" t="n">
        <v>44260.625</v>
      </c>
      <c r="P1493" s="49" t="n">
        <v>44260</v>
      </c>
      <c r="Q1493" s="47" t="n">
        <v>1775</v>
      </c>
      <c r="R1493" s="47" t="inlineStr">
        <is>
          <t>No Video ID yet</t>
        </is>
      </c>
      <c r="S1493" s="49" t="n"/>
      <c r="T1493" s="49" t="n"/>
      <c r="U1493" s="47" t="inlineStr">
        <is>
          <t>In Episode 65 of the POPcast, Ben and J discuss: big brother approval, talking to yourself, midlife crises, off-roading in the Jep, love/hate relationships with TikTok, boredom, “Art”, and screen addictions. 1996 BMW Z3: Get your own Fred the Cup: Check out Seamus Gorman:</t>
        </is>
      </c>
      <c r="V1493" s="47">
        <f>IF(AND(P1493&gt;=Calendar!$K$2,P1493&lt;EDATE(Calendar!$K$2,1),OR(Calendar!$K$4="*",N1493=Calendar!$K$4)),P1493*100+COUNTIFS($P$6:$P$3267,P1493,$Q$6:$Q$3267,"&lt;="&amp;Q1493,$N$6:$N$3267,Calendar!$K$4),"")</f>
        <v/>
      </c>
      <c r="W1493" s="47">
        <f>IF(AND(B1493=Queue!$C$4,OR(Queue!$K$4="*",N1493=Queue!$K$4)),Q1493,"")</f>
        <v/>
      </c>
    </row>
    <row r="1494">
      <c r="A1494" s="38">
        <f>IF(M1494="","",HYPERLINK("https://www.youtube.com/watch?v="&amp;M1494,"▶"))</f>
        <v/>
      </c>
      <c r="B1494" s="39">
        <f>IF(C1494&lt;&gt;"",C1494,IF(P1494&lt;=IFERROR(INDEX(tblChannels[Watched Through],MATCH(N1494,tblChannels[Channel ID],0)),0),"Watched","Unwatched"))</f>
        <v/>
      </c>
      <c r="C1494" s="40" t="n"/>
      <c r="D1494" s="41" t="n"/>
      <c r="E1494" s="42" t="n">
        <v>44260.25</v>
      </c>
      <c r="F1494" s="43" t="inlineStr">
        <is>
          <t>Popcorn Culture</t>
        </is>
      </c>
      <c r="G1494" t="inlineStr">
        <is>
          <t>65 - Boredom in the Time of TikTok</t>
        </is>
      </c>
      <c r="H1494" s="44" t="n">
        <v>0.04325231481481481</v>
      </c>
      <c r="I1494" s="45" t="n">
        <v>1454</v>
      </c>
      <c r="J1494" s="45" t="n">
        <v>71</v>
      </c>
      <c r="K1494" s="45" t="n">
        <v>9</v>
      </c>
      <c r="L1494" s="46" t="n"/>
      <c r="M1494" s="47" t="n"/>
      <c r="N1494" s="47" t="inlineStr">
        <is>
          <t>UCHfIbq9thHPC8yrKjAdJgDA</t>
        </is>
      </c>
      <c r="O1494" s="48" t="n">
        <v>44260.45833333334</v>
      </c>
      <c r="P1494" s="49" t="n">
        <v>44260</v>
      </c>
      <c r="Q1494" s="47" t="n">
        <v>1774</v>
      </c>
      <c r="R1494" s="47" t="inlineStr">
        <is>
          <t>No Video ID yet</t>
        </is>
      </c>
      <c r="S1494" s="49" t="n"/>
      <c r="T1494" s="49" t="n"/>
      <c r="U1494" s="47" t="inlineStr">
        <is>
          <t>Ben and J discuss: big brother approval, talking to yourself, midlife crises, offroading in the Jep, love/hate relationships with TikTok, boredom, “Art”, and screen addictions. 1996 BMW Z3: Get your own Fred the Cup: Check out Seamus Gorman:</t>
        </is>
      </c>
      <c r="V1494" s="47">
        <f>IF(AND(P1494&gt;=Calendar!$K$2,P1494&lt;EDATE(Calendar!$K$2,1),OR(Calendar!$K$4="*",N1494=Calendar!$K$4)),P1494*100+COUNTIFS($P$6:$P$3267,P1494,$Q$6:$Q$3267,"&lt;="&amp;Q1494,$N$6:$N$3267,Calendar!$K$4),"")</f>
        <v/>
      </c>
      <c r="W1494" s="47">
        <f>IF(AND(B1494=Queue!$C$4,OR(Queue!$K$4="*",N1494=Queue!$K$4)),Q1494,"")</f>
        <v/>
      </c>
    </row>
    <row r="1495">
      <c r="A1495" s="38">
        <f>IF(M1495="","",HYPERLINK("https://www.youtube.com/watch?v="&amp;M1495,"▶"))</f>
        <v/>
      </c>
      <c r="B1495" s="39">
        <f>IF(C1495&lt;&gt;"",C1495,IF(P1495&lt;=IFERROR(INDEX(tblChannels[Watched Through],MATCH(N1495,tblChannels[Channel ID],0)),0),"Watched","Unwatched"))</f>
        <v/>
      </c>
      <c r="C1495" s="40" t="n"/>
      <c r="D1495" s="41" t="n"/>
      <c r="E1495" s="42" t="n">
        <v>44259.68819444445</v>
      </c>
      <c r="F1495" s="50" t="inlineStr">
        <is>
          <t>Super Carlin Brothers</t>
        </is>
      </c>
      <c r="G1495" t="inlineStr">
        <is>
          <t>J vs Ben: ULTIMATE Diagon Alley Harry Potter Trivia Quiz</t>
        </is>
      </c>
      <c r="H1495" s="44" t="n">
        <v>0.01697916666666667</v>
      </c>
      <c r="I1495" s="45" t="n">
        <v>259864</v>
      </c>
      <c r="J1495" s="45" t="n">
        <v>9390</v>
      </c>
      <c r="K1495" s="45" t="n">
        <v>906</v>
      </c>
      <c r="L1495" s="46" t="n"/>
      <c r="M1495" s="47" t="n"/>
      <c r="N1495" s="47" t="inlineStr">
        <is>
          <t>UCKZo4N0lVPccBkSiuyVh4yg</t>
        </is>
      </c>
      <c r="O1495" s="48" t="n">
        <v>44259.89652777778</v>
      </c>
      <c r="P1495" s="49" t="n">
        <v>44259</v>
      </c>
      <c r="Q1495" s="47" t="n">
        <v>1773</v>
      </c>
      <c r="R1495" s="47" t="inlineStr">
        <is>
          <t>No Video ID yet</t>
        </is>
      </c>
      <c r="S1495" s="49" t="n"/>
      <c r="T1495" s="49" t="n"/>
      <c r="U1495" s="47" t="inlineStr">
        <is>
          <t>Visit to get Honey for FREE today! Visit to get 3 extra months of ExpressVPN for free! Today J and Ben face off once again to find out who knows about the Wizarding World of Harry Potter and the famous Diagon Alley! Who did Harry first meet? What is the Poem from Gringotts? What SOLID GOLD items did Harry resist buying?! Follow us on TikTok :: #SuperCarlinBrothers #JvsBen #HarryPotter</t>
        </is>
      </c>
      <c r="V1495" s="47">
        <f>IF(AND(P1495&gt;=Calendar!$K$2,P1495&lt;EDATE(Calendar!$K$2,1),OR(Calendar!$K$4="*",N1495=Calendar!$K$4)),P1495*100+COUNTIFS($P$6:$P$3267,P1495,$Q$6:$Q$3267,"&lt;="&amp;Q1495,$N$6:$N$3267,Calendar!$K$4),"")</f>
        <v/>
      </c>
      <c r="W1495" s="47">
        <f>IF(AND(B1495=Queue!$C$4,OR(Queue!$K$4="*",N1495=Queue!$K$4)),Q1495,"")</f>
        <v/>
      </c>
    </row>
    <row r="1496">
      <c r="A1496" s="38">
        <f>IF(M1496="","",HYPERLINK("https://www.youtube.com/watch?v="&amp;M1496,"▶"))</f>
        <v/>
      </c>
      <c r="B1496" s="39">
        <f>IF(C1496&lt;&gt;"",C1496,IF(P1496&lt;=IFERROR(INDEX(tblChannels[Watched Through],MATCH(N1496,tblChannels[Channel ID],0)),0),"Watched","Unwatched"))</f>
        <v/>
      </c>
      <c r="C1496" s="40" t="n"/>
      <c r="D1496" s="41" t="n"/>
      <c r="E1496" s="42" t="n">
        <v>44257.70069444444</v>
      </c>
      <c r="F1496" s="50" t="inlineStr">
        <is>
          <t>Super Carlin Brothers</t>
        </is>
      </c>
      <c r="G1496" t="inlineStr">
        <is>
          <t>White Vision Explained | WandaVision Theory</t>
        </is>
      </c>
      <c r="H1496" s="44" t="n">
        <v>0.01130787037037037</v>
      </c>
      <c r="I1496" s="45" t="n">
        <v>234435</v>
      </c>
      <c r="J1496" s="45" t="n">
        <v>13099</v>
      </c>
      <c r="K1496" s="45" t="n">
        <v>1715</v>
      </c>
      <c r="L1496" s="46" t="n"/>
      <c r="M1496" s="47" t="n"/>
      <c r="N1496" s="47" t="inlineStr">
        <is>
          <t>UCKZo4N0lVPccBkSiuyVh4yg</t>
        </is>
      </c>
      <c r="O1496" s="48" t="n">
        <v>44257.90902777778</v>
      </c>
      <c r="P1496" s="49" t="n">
        <v>44257</v>
      </c>
      <c r="Q1496" s="47" t="n">
        <v>1772</v>
      </c>
      <c r="R1496" s="47" t="inlineStr">
        <is>
          <t>No Video ID yet</t>
        </is>
      </c>
      <c r="S1496" s="49" t="n"/>
      <c r="T1496" s="49" t="n"/>
      <c r="U1496" s="47" t="inlineStr">
        <is>
          <t>Go to and use code SCB to save $75 on your starter kit! Today J dives into the MCU to try explain the end credits scene from WandaVision Episode 8 where a reanimated White Vision is revealed! Also what is the deal with Pietro, What is Agatha’s motivation and what does it mean to be the Scarlet Witch?? #SuperCarlinBrothers #WandaVision #AgathaAllAlong #marvel</t>
        </is>
      </c>
      <c r="V1496" s="47">
        <f>IF(AND(P1496&gt;=Calendar!$K$2,P1496&lt;EDATE(Calendar!$K$2,1),OR(Calendar!$K$4="*",N1496=Calendar!$K$4)),P1496*100+COUNTIFS($P$6:$P$3267,P1496,$Q$6:$Q$3267,"&lt;="&amp;Q1496,$N$6:$N$3267,Calendar!$K$4),"")</f>
        <v/>
      </c>
      <c r="W1496" s="47">
        <f>IF(AND(B1496=Queue!$C$4,OR(Queue!$K$4="*",N1496=Queue!$K$4)),Q1496,"")</f>
        <v/>
      </c>
    </row>
    <row r="1497">
      <c r="A1497" s="38">
        <f>IF(M1497="","",HYPERLINK("https://www.youtube.com/watch?v="&amp;M1497,"▶"))</f>
        <v/>
      </c>
      <c r="B1497" s="39">
        <f>IF(C1497&lt;&gt;"",C1497,IF(P1497&lt;=IFERROR(INDEX(tblChannels[Watched Through],MATCH(N1497,tblChannels[Channel ID],0)),0),"Watched","Unwatched"))</f>
        <v/>
      </c>
      <c r="C1497" s="40" t="n"/>
      <c r="D1497" s="41" t="n"/>
      <c r="E1497" s="42" t="n">
        <v>44253.44791666666</v>
      </c>
      <c r="F1497" s="50" t="inlineStr">
        <is>
          <t>Super Carlin Brothers</t>
        </is>
      </c>
      <c r="G1497" t="inlineStr">
        <is>
          <t>Did WandaVision Cure Superhero Burnout? | Popcorn Culture</t>
        </is>
      </c>
      <c r="H1497" s="44" t="n">
        <v>0.04733796296296296</v>
      </c>
      <c r="I1497" s="45" t="n">
        <v>59119</v>
      </c>
      <c r="J1497" s="45" t="n">
        <v>2438</v>
      </c>
      <c r="K1497" s="45" t="n">
        <v>312</v>
      </c>
      <c r="L1497" s="46" t="n"/>
      <c r="M1497" s="47" t="n"/>
      <c r="N1497" s="47" t="inlineStr">
        <is>
          <t>UCKZo4N0lVPccBkSiuyVh4yg</t>
        </is>
      </c>
      <c r="O1497" s="48" t="n">
        <v>44253.65625</v>
      </c>
      <c r="P1497" s="49" t="n">
        <v>44253</v>
      </c>
      <c r="Q1497" s="47" t="n">
        <v>1771</v>
      </c>
      <c r="R1497" s="47" t="inlineStr">
        <is>
          <t>No Video ID yet</t>
        </is>
      </c>
      <c r="S1497" s="49" t="n"/>
      <c r="T1497" s="49" t="n"/>
      <c r="U1497" s="47" t="inlineStr">
        <is>
          <t>Ben and J discuss: GMA Stickers, being into comics, WandaVision, superhero burnout, weightlifting, Facebook photos, and annual predictions. Spoiler Notes: Wandavision spoilers through Episode 7 - 24m-37m ish Get your own Fred the Cup: Check out Seamus Gorman:</t>
        </is>
      </c>
      <c r="V1497" s="47">
        <f>IF(AND(P1497&gt;=Calendar!$K$2,P1497&lt;EDATE(Calendar!$K$2,1),OR(Calendar!$K$4="*",N1497=Calendar!$K$4)),P1497*100+COUNTIFS($P$6:$P$3267,P1497,$Q$6:$Q$3267,"&lt;="&amp;Q1497,$N$6:$N$3267,Calendar!$K$4),"")</f>
        <v/>
      </c>
      <c r="W1497" s="47">
        <f>IF(AND(B1497=Queue!$C$4,OR(Queue!$K$4="*",N1497=Queue!$K$4)),Q1497,"")</f>
        <v/>
      </c>
    </row>
    <row r="1498">
      <c r="A1498" s="38">
        <f>IF(M1498="","",HYPERLINK("https://www.youtube.com/watch?v="&amp;M1498,"▶"))</f>
        <v/>
      </c>
      <c r="B1498" s="39">
        <f>IF(C1498&lt;&gt;"",C1498,IF(P1498&lt;=IFERROR(INDEX(tblChannels[Watched Through],MATCH(N1498,tblChannels[Channel ID],0)),0),"Watched","Unwatched"))</f>
        <v/>
      </c>
      <c r="C1498" s="40" t="n"/>
      <c r="D1498" s="41" t="n"/>
      <c r="E1498" s="42" t="n">
        <v>44253.25</v>
      </c>
      <c r="F1498" s="43" t="inlineStr">
        <is>
          <t>Popcorn Culture</t>
        </is>
      </c>
      <c r="G1498" t="inlineStr">
        <is>
          <t>64 - Are We Burned Out on Superheroes?</t>
        </is>
      </c>
      <c r="H1498" s="44" t="n">
        <v>0.04723379629629629</v>
      </c>
      <c r="I1498" s="45" t="n">
        <v>1822</v>
      </c>
      <c r="J1498" s="45" t="n">
        <v>93</v>
      </c>
      <c r="K1498" s="45" t="n">
        <v>13</v>
      </c>
      <c r="L1498" s="46" t="n"/>
      <c r="M1498" s="47" t="n"/>
      <c r="N1498" s="47" t="inlineStr">
        <is>
          <t>UCHfIbq9thHPC8yrKjAdJgDA</t>
        </is>
      </c>
      <c r="O1498" s="48" t="n">
        <v>44253.45833333334</v>
      </c>
      <c r="P1498" s="49" t="n">
        <v>44253</v>
      </c>
      <c r="Q1498" s="47" t="n">
        <v>1770</v>
      </c>
      <c r="R1498" s="47" t="inlineStr">
        <is>
          <t>No Video ID yet</t>
        </is>
      </c>
      <c r="S1498" s="49" t="n"/>
      <c r="T1498" s="49" t="n"/>
      <c r="U1498" s="47" t="inlineStr">
        <is>
          <t>Ben and J discuss: GMA Stickers, being into comics, WandaVision, superhero burnout, weightlifting, Facebook photos, and annual predictions. Spoiler Notes: Wandavision spoilers through Episode 7 ~24m-37m ish Get your own Fred the Cup: Check out Seamus Gorman:</t>
        </is>
      </c>
      <c r="V1498" s="47">
        <f>IF(AND(P1498&gt;=Calendar!$K$2,P1498&lt;EDATE(Calendar!$K$2,1),OR(Calendar!$K$4="*",N1498=Calendar!$K$4)),P1498*100+COUNTIFS($P$6:$P$3267,P1498,$Q$6:$Q$3267,"&lt;="&amp;Q1498,$N$6:$N$3267,Calendar!$K$4),"")</f>
        <v/>
      </c>
      <c r="W1498" s="47">
        <f>IF(AND(B1498=Queue!$C$4,OR(Queue!$K$4="*",N1498=Queue!$K$4)),Q1498,"")</f>
        <v/>
      </c>
    </row>
    <row r="1499">
      <c r="A1499" s="38">
        <f>IF(M1499="","",HYPERLINK("https://www.youtube.com/watch?v="&amp;M1499,"▶"))</f>
        <v/>
      </c>
      <c r="B1499" s="39">
        <f>IF(C1499&lt;&gt;"",C1499,IF(P1499&lt;=IFERROR(INDEX(tblChannels[Watched Through],MATCH(N1499,tblChannels[Channel ID],0)),0),"Watched","Unwatched"))</f>
        <v/>
      </c>
      <c r="C1499" s="40" t="n"/>
      <c r="D1499" s="41" t="n"/>
      <c r="E1499" s="42" t="n">
        <v>44252.75277777778</v>
      </c>
      <c r="F1499" s="50" t="inlineStr">
        <is>
          <t>Super Carlin Brothers</t>
        </is>
      </c>
      <c r="G1499" t="inlineStr">
        <is>
          <t>What Is Agatha’s Plan? | WandaVision Theory</t>
        </is>
      </c>
      <c r="H1499" s="44" t="n">
        <v>0.009895833333333333</v>
      </c>
      <c r="I1499" s="45" t="n">
        <v>198905</v>
      </c>
      <c r="J1499" s="45" t="n">
        <v>12399</v>
      </c>
      <c r="K1499" s="45" t="n">
        <v>1551</v>
      </c>
      <c r="L1499" s="46" t="n"/>
      <c r="M1499" s="47" t="n"/>
      <c r="N1499" s="47" t="inlineStr">
        <is>
          <t>UCKZo4N0lVPccBkSiuyVh4yg</t>
        </is>
      </c>
      <c r="O1499" s="48" t="n">
        <v>44252.96111111111</v>
      </c>
      <c r="P1499" s="49" t="n">
        <v>44252</v>
      </c>
      <c r="Q1499" s="47" t="n">
        <v>1769</v>
      </c>
      <c r="R1499" s="47" t="inlineStr">
        <is>
          <t>No Video ID yet</t>
        </is>
      </c>
      <c r="S1499" s="49" t="n"/>
      <c r="T1499" s="49" t="n"/>
      <c r="U1499" s="47" t="inlineStr">
        <is>
          <t>Today Ben dives into the MCU to try and decide what Agnes’ aka Agatha Harkness’ evil plan truly is and why she needs Billy and Tommy to carry it out! Plus who will be the ‘Luke Skywalker level’ cameo?? What are Monica’s powers? Is Doctor Strange involved? Follow us on TikTok :: #SuperCarlinBrothers #WandaVision #AgathaAllAlong #marvel</t>
        </is>
      </c>
      <c r="V1499" s="47">
        <f>IF(AND(P1499&gt;=Calendar!$K$2,P1499&lt;EDATE(Calendar!$K$2,1),OR(Calendar!$K$4="*",N1499=Calendar!$K$4)),P1499*100+COUNTIFS($P$6:$P$3267,P1499,$Q$6:$Q$3267,"&lt;="&amp;Q1499,$N$6:$N$3267,Calendar!$K$4),"")</f>
        <v/>
      </c>
      <c r="W1499" s="47">
        <f>IF(AND(B1499=Queue!$C$4,OR(Queue!$K$4="*",N1499=Queue!$K$4)),Q1499,"")</f>
        <v/>
      </c>
    </row>
    <row r="1500">
      <c r="A1500" s="38">
        <f>IF(M1500="","",HYPERLINK("https://www.youtube.com/watch?v="&amp;M1500,"▶"))</f>
        <v/>
      </c>
      <c r="B1500" s="39">
        <f>IF(C1500&lt;&gt;"",C1500,IF(P1500&lt;=IFERROR(INDEX(tblChannels[Watched Through],MATCH(N1500,tblChannels[Channel ID],0)),0),"Watched","Unwatched"))</f>
        <v/>
      </c>
      <c r="C1500" s="40" t="n"/>
      <c r="D1500" s="41" t="n"/>
      <c r="E1500" s="42" t="n">
        <v>44250.79236111111</v>
      </c>
      <c r="F1500" s="50" t="inlineStr">
        <is>
          <t>Super Carlin Brothers</t>
        </is>
      </c>
      <c r="G1500" t="inlineStr">
        <is>
          <t>Why Didn't James Sacrifice Protect Harry? | Harry Potter Theory</t>
        </is>
      </c>
      <c r="H1500" s="44" t="n">
        <v>0.00962962962962963</v>
      </c>
      <c r="I1500" s="45" t="n">
        <v>467501</v>
      </c>
      <c r="J1500" s="45" t="n">
        <v>20349</v>
      </c>
      <c r="K1500" s="45" t="n">
        <v>2465</v>
      </c>
      <c r="L1500" s="46" t="n"/>
      <c r="M1500" s="47" t="n"/>
      <c r="N1500" s="47" t="inlineStr">
        <is>
          <t>UCKZo4N0lVPccBkSiuyVh4yg</t>
        </is>
      </c>
      <c r="O1500" s="48" t="n">
        <v>44251.00069444445</v>
      </c>
      <c r="P1500" s="49" t="n">
        <v>44250</v>
      </c>
      <c r="Q1500" s="47" t="n">
        <v>1768</v>
      </c>
      <c r="R1500" s="47" t="inlineStr">
        <is>
          <t>No Video ID yet</t>
        </is>
      </c>
      <c r="S1500" s="49" t="n"/>
      <c r="T1500" s="49" t="n"/>
      <c r="U1500" s="47" t="inlineStr">
        <is>
          <t>Go to or text supercarlin to 500-500! Today J dives into the Wizarding World of Harry Potter to get to help explain one of the oldest mysteries in the books - If both James and Lily were killed by Voldemort, why did only Lily’s sacrifice protect Harry? Follow us on TikTok ::</t>
        </is>
      </c>
      <c r="V1500" s="47">
        <f>IF(AND(P1500&gt;=Calendar!$K$2,P1500&lt;EDATE(Calendar!$K$2,1),OR(Calendar!$K$4="*",N1500=Calendar!$K$4)),P1500*100+COUNTIFS($P$6:$P$3267,P1500,$Q$6:$Q$3267,"&lt;="&amp;Q1500,$N$6:$N$3267,Calendar!$K$4),"")</f>
        <v/>
      </c>
      <c r="W1500" s="47">
        <f>IF(AND(B1500=Queue!$C$4,OR(Queue!$K$4="*",N1500=Queue!$K$4)),Q1500,"")</f>
        <v/>
      </c>
    </row>
    <row r="1501">
      <c r="A1501" s="38">
        <f>IF(M1501="","",HYPERLINK("https://www.youtube.com/watch?v="&amp;M1501,"▶"))</f>
        <v/>
      </c>
      <c r="B1501" s="39">
        <f>IF(C1501&lt;&gt;"",C1501,IF(P1501&lt;=IFERROR(INDEX(tblChannels[Watched Through],MATCH(N1501,tblChannels[Channel ID],0)),0),"Watched","Unwatched"))</f>
        <v/>
      </c>
      <c r="C1501" s="40" t="n"/>
      <c r="D1501" s="41" t="n"/>
      <c r="E1501" s="42" t="n">
        <v>44246.58333333334</v>
      </c>
      <c r="F1501" s="50" t="inlineStr">
        <is>
          <t>Super Carlin Brothers</t>
        </is>
      </c>
      <c r="G1501" t="inlineStr">
        <is>
          <t>Ben Gets Glasses | Popcorn Culture</t>
        </is>
      </c>
      <c r="H1501" s="44" t="n">
        <v>0.04351851851851852</v>
      </c>
      <c r="I1501" s="45" t="n">
        <v>46558</v>
      </c>
      <c r="J1501" s="45" t="n">
        <v>2053</v>
      </c>
      <c r="K1501" s="45" t="n">
        <v>359</v>
      </c>
      <c r="L1501" s="46" t="n"/>
      <c r="M1501" s="47" t="n"/>
      <c r="N1501" s="47" t="inlineStr">
        <is>
          <t>UCKZo4N0lVPccBkSiuyVh4yg</t>
        </is>
      </c>
      <c r="O1501" s="48" t="n">
        <v>44246.79166666666</v>
      </c>
      <c r="P1501" s="49" t="n">
        <v>44246</v>
      </c>
      <c r="Q1501" s="47" t="n">
        <v>1767</v>
      </c>
      <c r="R1501" s="47" t="inlineStr">
        <is>
          <t>No Video ID yet</t>
        </is>
      </c>
      <c r="S1501" s="49" t="n"/>
      <c r="T1501" s="49" t="n"/>
      <c r="U1501" s="47" t="inlineStr">
        <is>
          <t>Ben and J discuss: corny jokes, The Bachelor(ette), seating charts, Virginia Tech Football, Ben’s Best Summer, intentionally mismatched socks, and what we call ourselves. Everyone has a Podcast (not spon): Why are bands set up that way: Ben’s Disney Wedding: Mismatched sock company (not spon): Video Edited by: Ethan Edghill</t>
        </is>
      </c>
      <c r="V1501" s="47">
        <f>IF(AND(P1501&gt;=Calendar!$K$2,P1501&lt;EDATE(Calendar!$K$2,1),OR(Calendar!$K$4="*",N1501=Calendar!$K$4)),P1501*100+COUNTIFS($P$6:$P$3267,P1501,$Q$6:$Q$3267,"&lt;="&amp;Q1501,$N$6:$N$3267,Calendar!$K$4),"")</f>
        <v/>
      </c>
      <c r="W1501" s="47">
        <f>IF(AND(B1501=Queue!$C$4,OR(Queue!$K$4="*",N1501=Queue!$K$4)),Q1501,"")</f>
        <v/>
      </c>
    </row>
    <row r="1502">
      <c r="A1502" s="38">
        <f>IF(M1502="","",HYPERLINK("https://www.youtube.com/watch?v="&amp;M1502,"▶"))</f>
        <v/>
      </c>
      <c r="B1502" s="39">
        <f>IF(C1502&lt;&gt;"",C1502,IF(P1502&lt;=IFERROR(INDEX(tblChannels[Watched Through],MATCH(N1502,tblChannels[Channel ID],0)),0),"Watched","Unwatched"))</f>
        <v/>
      </c>
      <c r="C1502" s="40" t="n"/>
      <c r="D1502" s="41" t="n"/>
      <c r="E1502" s="42" t="n">
        <v>44246.25</v>
      </c>
      <c r="F1502" s="43" t="inlineStr">
        <is>
          <t>Popcorn Culture</t>
        </is>
      </c>
      <c r="G1502" t="inlineStr">
        <is>
          <t>63 - The Summer Camp Effect</t>
        </is>
      </c>
      <c r="H1502" s="44" t="n">
        <v>0.04133101851851852</v>
      </c>
      <c r="I1502" s="45" t="n">
        <v>2048</v>
      </c>
      <c r="J1502" s="45" t="n">
        <v>106</v>
      </c>
      <c r="K1502" s="45" t="n">
        <v>25</v>
      </c>
      <c r="L1502" s="46" t="n"/>
      <c r="M1502" s="47" t="n"/>
      <c r="N1502" s="47" t="inlineStr">
        <is>
          <t>UCHfIbq9thHPC8yrKjAdJgDA</t>
        </is>
      </c>
      <c r="O1502" s="48" t="n">
        <v>44246.45833333334</v>
      </c>
      <c r="P1502" s="49" t="n">
        <v>44246</v>
      </c>
      <c r="Q1502" s="47" t="n">
        <v>1766</v>
      </c>
      <c r="R1502" s="47" t="inlineStr">
        <is>
          <t>No Video ID yet</t>
        </is>
      </c>
      <c r="S1502" s="49" t="n"/>
      <c r="T1502" s="49" t="n"/>
      <c r="U1502" s="47" t="inlineStr">
        <is>
          <t>Ben and J discuss: corny jokes, The Bachelor(ette), seating charts, Virginia Tech Football, Ben’s Best Summer, intentionally mismatched socks, and what we call ourselves. Watch this week’s Popcast Live Premiere: Everyone has a Podcast (not spon): Why are bands set up that way: Ben’s Disney Wedding: Mismatched sock company (not spon):</t>
        </is>
      </c>
      <c r="V1502" s="47">
        <f>IF(AND(P1502&gt;=Calendar!$K$2,P1502&lt;EDATE(Calendar!$K$2,1),OR(Calendar!$K$4="*",N1502=Calendar!$K$4)),P1502*100+COUNTIFS($P$6:$P$3267,P1502,$Q$6:$Q$3267,"&lt;="&amp;Q1502,$N$6:$N$3267,Calendar!$K$4),"")</f>
        <v/>
      </c>
      <c r="W1502" s="47">
        <f>IF(AND(B1502=Queue!$C$4,OR(Queue!$K$4="*",N1502=Queue!$K$4)),Q1502,"")</f>
        <v/>
      </c>
    </row>
    <row r="1503">
      <c r="A1503" s="38">
        <f>IF(M1503="","",HYPERLINK("https://www.youtube.com/watch?v="&amp;M1503,"▶"))</f>
        <v/>
      </c>
      <c r="B1503" s="39">
        <f>IF(C1503&lt;&gt;"",C1503,IF(P1503&lt;=IFERROR(INDEX(tblChannels[Watched Through],MATCH(N1503,tblChannels[Channel ID],0)),0),"Watched","Unwatched"))</f>
        <v/>
      </c>
      <c r="C1503" s="40" t="n"/>
      <c r="D1503" s="41" t="n"/>
      <c r="E1503" s="42" t="n">
        <v>44245.59722222222</v>
      </c>
      <c r="F1503" s="50" t="inlineStr">
        <is>
          <t>Super Carlin Brothers</t>
        </is>
      </c>
      <c r="G1503" t="inlineStr">
        <is>
          <t>J vs Ben: EXPERT Level MCU Trivia Quiz</t>
        </is>
      </c>
      <c r="H1503" s="44" t="n">
        <v>0.02074074074074074</v>
      </c>
      <c r="I1503" s="45" t="n">
        <v>243804</v>
      </c>
      <c r="J1503" s="45" t="n">
        <v>9059</v>
      </c>
      <c r="K1503" s="45" t="n">
        <v>949</v>
      </c>
      <c r="L1503" s="46" t="n"/>
      <c r="M1503" s="47" t="n"/>
      <c r="N1503" s="47" t="inlineStr">
        <is>
          <t>UCKZo4N0lVPccBkSiuyVh4yg</t>
        </is>
      </c>
      <c r="O1503" s="48" t="n">
        <v>44245.80555555555</v>
      </c>
      <c r="P1503" s="49" t="n">
        <v>44245</v>
      </c>
      <c r="Q1503" s="47" t="n">
        <v>1765</v>
      </c>
      <c r="R1503" s="47" t="inlineStr">
        <is>
          <t>No Video ID yet</t>
        </is>
      </c>
      <c r="S1503" s="49" t="n"/>
      <c r="T1503" s="49" t="n"/>
      <c r="U1503" s="47" t="inlineStr">
        <is>
          <t>Go to and enter code super about checkout to get 20% off your first monthly box! Download the DoorDash app in the App Store and enter code JVSB2021 to get 25% off and zero delivery fees on your first order! Today J and Ben face off to find out who has more EXPERT level knowledge of the MCU! What is Pepper Potts allergic to? What was the first song in Iron Man? When did Mjolnir first appear? #SuperCarlinBrothers #Marvel</t>
        </is>
      </c>
      <c r="V1503" s="47">
        <f>IF(AND(P1503&gt;=Calendar!$K$2,P1503&lt;EDATE(Calendar!$K$2,1),OR(Calendar!$K$4="*",N1503=Calendar!$K$4)),P1503*100+COUNTIFS($P$6:$P$3267,P1503,$Q$6:$Q$3267,"&lt;="&amp;Q1503,$N$6:$N$3267,Calendar!$K$4),"")</f>
        <v/>
      </c>
      <c r="W1503" s="47">
        <f>IF(AND(B1503=Queue!$C$4,OR(Queue!$K$4="*",N1503=Queue!$K$4)),Q1503,"")</f>
        <v/>
      </c>
    </row>
    <row r="1504">
      <c r="A1504" s="38">
        <f>IF(M1504="","",HYPERLINK("https://www.youtube.com/watch?v="&amp;M1504,"▶"))</f>
        <v/>
      </c>
      <c r="B1504" s="39">
        <f>IF(C1504&lt;&gt;"",C1504,IF(P1504&lt;=IFERROR(INDEX(tblChannels[Watched Through],MATCH(N1504,tblChannels[Channel ID],0)),0),"Watched","Unwatched"))</f>
        <v/>
      </c>
      <c r="C1504" s="40" t="n"/>
      <c r="D1504" s="41" t="n"/>
      <c r="E1504" s="42" t="n">
        <v>44243.80902777778</v>
      </c>
      <c r="F1504" s="50" t="inlineStr">
        <is>
          <t>Super Carlin Brothers</t>
        </is>
      </c>
      <c r="G1504" t="inlineStr">
        <is>
          <t>Are There TWO Wandas? | Marvel Theory</t>
        </is>
      </c>
      <c r="H1504" s="44" t="n">
        <v>0.01231481481481481</v>
      </c>
      <c r="I1504" s="45" t="n">
        <v>217855</v>
      </c>
      <c r="J1504" s="45" t="n">
        <v>13731</v>
      </c>
      <c r="K1504" s="45" t="n">
        <v>1987</v>
      </c>
      <c r="L1504" s="46" t="n"/>
      <c r="M1504" s="47" t="n"/>
      <c r="N1504" s="47" t="inlineStr">
        <is>
          <t>UCKZo4N0lVPccBkSiuyVh4yg</t>
        </is>
      </c>
      <c r="O1504" s="48" t="n">
        <v>44244.01736111111</v>
      </c>
      <c r="P1504" s="49" t="n">
        <v>44243</v>
      </c>
      <c r="Q1504" s="47" t="n">
        <v>1764</v>
      </c>
      <c r="R1504" s="47" t="inlineStr">
        <is>
          <t>No Video ID yet</t>
        </is>
      </c>
      <c r="S1504" s="49" t="n"/>
      <c r="T1504" s="49" t="n"/>
      <c r="U1504" s="47" t="inlineStr">
        <is>
          <t>Go to to get 10% off plus free shipping! Today J dives into the MCU to discuss WandaVision and the possibility that there are TWO Wanda's! ..and possibly two visions for that matter! #SuperCarlinBrothers #WandaVision</t>
        </is>
      </c>
      <c r="V1504" s="47">
        <f>IF(AND(P1504&gt;=Calendar!$K$2,P1504&lt;EDATE(Calendar!$K$2,1),OR(Calendar!$K$4="*",N1504=Calendar!$K$4)),P1504*100+COUNTIFS($P$6:$P$3267,P1504,$Q$6:$Q$3267,"&lt;="&amp;Q1504,$N$6:$N$3267,Calendar!$K$4),"")</f>
        <v/>
      </c>
      <c r="W1504" s="47">
        <f>IF(AND(B1504=Queue!$C$4,OR(Queue!$K$4="*",N1504=Queue!$K$4)),Q1504,"")</f>
        <v/>
      </c>
    </row>
    <row r="1505">
      <c r="A1505" s="38">
        <f>IF(M1505="","",HYPERLINK("https://www.youtube.com/watch?v="&amp;M1505,"▶"))</f>
        <v/>
      </c>
      <c r="B1505" s="39">
        <f>IF(C1505&lt;&gt;"",C1505,IF(P1505&lt;=IFERROR(INDEX(tblChannels[Watched Through],MATCH(N1505,tblChannels[Channel ID],0)),0),"Watched","Unwatched"))</f>
        <v/>
      </c>
      <c r="C1505" s="40" t="n"/>
      <c r="D1505" s="41" t="n"/>
      <c r="E1505" s="42" t="n">
        <v>44239.5</v>
      </c>
      <c r="F1505" s="50" t="inlineStr">
        <is>
          <t>Super Carlin Brothers</t>
        </is>
      </c>
      <c r="G1505" t="inlineStr">
        <is>
          <t>Popcorn Culture Podcast Video Debut!</t>
        </is>
      </c>
      <c r="H1505" s="44" t="n">
        <v>0.05466435185185185</v>
      </c>
      <c r="I1505" s="45" t="n">
        <v>84238</v>
      </c>
      <c r="J1505" s="45" t="n">
        <v>3989</v>
      </c>
      <c r="K1505" s="45" t="n">
        <v>460</v>
      </c>
      <c r="L1505" s="46" t="n"/>
      <c r="M1505" s="47" t="n"/>
      <c r="N1505" s="47" t="inlineStr">
        <is>
          <t>UCKZo4N0lVPccBkSiuyVh4yg</t>
        </is>
      </c>
      <c r="O1505" s="48" t="n">
        <v>44239.70833333334</v>
      </c>
      <c r="P1505" s="49" t="n">
        <v>44239</v>
      </c>
      <c r="Q1505" s="47" t="n">
        <v>1763</v>
      </c>
      <c r="R1505" s="47" t="inlineStr">
        <is>
          <t>No Video ID yet</t>
        </is>
      </c>
      <c r="S1505" s="49" t="n"/>
      <c r="T1505" s="49" t="n"/>
      <c r="U1505" s="47" t="inlineStr">
        <is>
          <t>Welcome to the POP! Normally we face off in J vs Ben but on this show we join team up in conversation! Today Ben and J discuss: Popcast inside jokes, our worst merch ever, NEW patreon tiers, the simplification lifestyle, two-monitor setup, mountain biking, meat smoking, sentimental items, and cross-threading. Watch the Video Premiere of the Pop: What is a Jellyfish sting: Get your very own Play Ball: The Roanoke Star: Mercury in Retrograde: Mercury is the closest planet: www.Patreon.com/PopcornCulture Find us on Reddit:</t>
        </is>
      </c>
      <c r="V1505" s="47">
        <f>IF(AND(P1505&gt;=Calendar!$K$2,P1505&lt;EDATE(Calendar!$K$2,1),OR(Calendar!$K$4="*",N1505=Calendar!$K$4)),P1505*100+COUNTIFS($P$6:$P$3267,P1505,$Q$6:$Q$3267,"&lt;="&amp;Q1505,$N$6:$N$3267,Calendar!$K$4),"")</f>
        <v/>
      </c>
      <c r="W1505" s="47">
        <f>IF(AND(B1505=Queue!$C$4,OR(Queue!$K$4="*",N1505=Queue!$K$4)),Q1505,"")</f>
        <v/>
      </c>
    </row>
    <row r="1506">
      <c r="A1506" s="38">
        <f>IF(M1506="","",HYPERLINK("https://www.youtube.com/watch?v="&amp;M1506,"▶"))</f>
        <v/>
      </c>
      <c r="B1506" s="39">
        <f>IF(C1506&lt;&gt;"",C1506,IF(P1506&lt;=IFERROR(INDEX(tblChannels[Watched Through],MATCH(N1506,tblChannels[Channel ID],0)),0),"Watched","Unwatched"))</f>
        <v/>
      </c>
      <c r="C1506" s="40" t="n"/>
      <c r="D1506" s="41" t="n"/>
      <c r="E1506" s="42" t="n">
        <v>44239.45138888889</v>
      </c>
      <c r="F1506" s="43" t="inlineStr">
        <is>
          <t>Popcorn Culture</t>
        </is>
      </c>
      <c r="G1506" t="inlineStr">
        <is>
          <t>62 - Never Make a Decision Without a Whiteboard</t>
        </is>
      </c>
      <c r="H1506" s="44" t="n">
        <v>0.05028935185185185</v>
      </c>
      <c r="I1506" s="45" t="n">
        <v>2131</v>
      </c>
      <c r="J1506" s="45" t="n">
        <v>117</v>
      </c>
      <c r="K1506" s="45" t="n">
        <v>11</v>
      </c>
      <c r="L1506" s="46" t="n"/>
      <c r="M1506" s="47" t="n"/>
      <c r="N1506" s="47" t="inlineStr">
        <is>
          <t>UCHfIbq9thHPC8yrKjAdJgDA</t>
        </is>
      </c>
      <c r="O1506" s="48" t="n">
        <v>44239.65972222222</v>
      </c>
      <c r="P1506" s="49" t="n">
        <v>44239</v>
      </c>
      <c r="Q1506" s="47" t="n">
        <v>1762</v>
      </c>
      <c r="R1506" s="47" t="inlineStr">
        <is>
          <t>No Video ID yet</t>
        </is>
      </c>
      <c r="S1506" s="49" t="n"/>
      <c r="T1506" s="49" t="n"/>
      <c r="U1506" s="47" t="inlineStr">
        <is>
          <t>Ben and J discuss: Popcast inside jokes, merch flops, NEW patreon tiers, the simplification lifestyle, two-monitor setup, mountain biking, meat smoking, sentimental items, and cross-threading. Watch the Video Premiere of the Pop: What is a Jellyfish sting: Get your very own Play Ball: The Roanoke Star: Mercury in Retrograde: Mercury is the closest planet:</t>
        </is>
      </c>
      <c r="V1506" s="47">
        <f>IF(AND(P1506&gt;=Calendar!$K$2,P1506&lt;EDATE(Calendar!$K$2,1),OR(Calendar!$K$4="*",N1506=Calendar!$K$4)),P1506*100+COUNTIFS($P$6:$P$3267,P1506,$Q$6:$Q$3267,"&lt;="&amp;Q1506,$N$6:$N$3267,Calendar!$K$4),"")</f>
        <v/>
      </c>
      <c r="W1506" s="47">
        <f>IF(AND(B1506=Queue!$C$4,OR(Queue!$K$4="*",N1506=Queue!$K$4)),Q1506,"")</f>
        <v/>
      </c>
    </row>
    <row r="1507">
      <c r="A1507" s="38">
        <f>IF(M1507="","",HYPERLINK("https://www.youtube.com/watch?v="&amp;M1507,"▶"))</f>
        <v/>
      </c>
      <c r="B1507" s="39">
        <f>IF(C1507&lt;&gt;"",C1507,IF(P1507&lt;=IFERROR(INDEX(tblChannels[Watched Through],MATCH(N1507,tblChannels[Channel ID],0)),0),"Watched","Unwatched"))</f>
        <v/>
      </c>
      <c r="C1507" s="40" t="n"/>
      <c r="D1507" s="41" t="n"/>
      <c r="E1507" s="42" t="n">
        <v>44238.85416666666</v>
      </c>
      <c r="F1507" s="50" t="inlineStr">
        <is>
          <t>Super Carlin Brothers</t>
        </is>
      </c>
      <c r="G1507" t="inlineStr">
        <is>
          <t>Will Sam’s Shield Have Powers? | Marvel Theory</t>
        </is>
      </c>
      <c r="H1507" s="44" t="n">
        <v>0.01177083333333333</v>
      </c>
      <c r="I1507" s="45" t="n">
        <v>157924</v>
      </c>
      <c r="J1507" s="45" t="n">
        <v>9157</v>
      </c>
      <c r="K1507" s="45" t="n">
        <v>1006</v>
      </c>
      <c r="L1507" s="46" t="n"/>
      <c r="M1507" s="47" t="n"/>
      <c r="N1507" s="47" t="inlineStr">
        <is>
          <t>UCKZo4N0lVPccBkSiuyVh4yg</t>
        </is>
      </c>
      <c r="O1507" s="48" t="n">
        <v>44239.0625</v>
      </c>
      <c r="P1507" s="49" t="n">
        <v>44238</v>
      </c>
      <c r="Q1507" s="47" t="n">
        <v>1761</v>
      </c>
      <c r="R1507" s="47" t="inlineStr">
        <is>
          <t>No Video ID yet</t>
        </is>
      </c>
      <c r="S1507" s="49" t="n"/>
      <c r="T1507" s="49" t="n"/>
      <c r="U1507" s="47" t="inlineStr">
        <is>
          <t>Visit to get 3 extra months of ExpressVPN for free! Today Ben dives into the MCU to discuss the upcoming show Falcon and the Winter Soldier, who will wield the shield, US Agent and if the Shield Cap brought back at the end of Avengers Endgame will have powers! Follow us on TikTok :: #SuperCarlinBrothers #Marvel</t>
        </is>
      </c>
      <c r="V1507" s="47">
        <f>IF(AND(P1507&gt;=Calendar!$K$2,P1507&lt;EDATE(Calendar!$K$2,1),OR(Calendar!$K$4="*",N1507=Calendar!$K$4)),P1507*100+COUNTIFS($P$6:$P$3267,P1507,$Q$6:$Q$3267,"&lt;="&amp;Q1507,$N$6:$N$3267,Calendar!$K$4),"")</f>
        <v/>
      </c>
      <c r="W1507" s="47">
        <f>IF(AND(B1507=Queue!$C$4,OR(Queue!$K$4="*",N1507=Queue!$K$4)),Q1507,"")</f>
        <v/>
      </c>
    </row>
    <row r="1508">
      <c r="A1508" s="38">
        <f>IF(M1508="","",HYPERLINK("https://www.youtube.com/watch?v="&amp;M1508,"▶"))</f>
        <v/>
      </c>
      <c r="B1508" s="39">
        <f>IF(C1508&lt;&gt;"",C1508,IF(P1508&lt;=IFERROR(INDEX(tblChannels[Watched Through],MATCH(N1508,tblChannels[Channel ID],0)),0),"Watched","Unwatched"))</f>
        <v/>
      </c>
      <c r="C1508" s="40" t="n"/>
      <c r="D1508" s="41" t="n"/>
      <c r="E1508" s="42" t="n">
        <v>44236.88680555556</v>
      </c>
      <c r="F1508" s="50" t="inlineStr">
        <is>
          <t>Super Carlin Brothers</t>
        </is>
      </c>
      <c r="G1508" t="inlineStr">
        <is>
          <t>Did WandaVision Just Introduce the X-Men? | Marvel Theory</t>
        </is>
      </c>
      <c r="H1508" s="44" t="n">
        <v>0.01280092592592593</v>
      </c>
      <c r="I1508" s="45" t="n">
        <v>300799</v>
      </c>
      <c r="J1508" s="45" t="n">
        <v>17281</v>
      </c>
      <c r="K1508" s="45" t="n">
        <v>2476</v>
      </c>
      <c r="L1508" s="46" t="n"/>
      <c r="M1508" s="47" t="n"/>
      <c r="N1508" s="47" t="inlineStr">
        <is>
          <t>UCKZo4N0lVPccBkSiuyVh4yg</t>
        </is>
      </c>
      <c r="O1508" s="48" t="n">
        <v>44237.09513888889</v>
      </c>
      <c r="P1508" s="49" t="n">
        <v>44236</v>
      </c>
      <c r="Q1508" s="47" t="n">
        <v>1760</v>
      </c>
      <c r="R1508" s="47" t="inlineStr">
        <is>
          <t>No Video ID yet</t>
        </is>
      </c>
      <c r="S1508" s="49" t="n"/>
      <c r="T1508" s="49" t="n"/>
      <c r="U1508" s="47" t="inlineStr">
        <is>
          <t>Head over to for 15% off your entire order and free shipping! Today J dives into the MCU and beyond to discuss WandaVision and how Wanda brought back her brother Pietro and accidentally introduced the X-Men to the MCU. Plus more discussion about if Agnes is Agatha Harkness, and a possible Fantastic Four Easter Egg! Follow us on TikTok :: #SuperCarlinBrothers #WandaVision</t>
        </is>
      </c>
      <c r="V1508" s="47">
        <f>IF(AND(P1508&gt;=Calendar!$K$2,P1508&lt;EDATE(Calendar!$K$2,1),OR(Calendar!$K$4="*",N1508=Calendar!$K$4)),P1508*100+COUNTIFS($P$6:$P$3267,P1508,$Q$6:$Q$3267,"&lt;="&amp;Q1508,$N$6:$N$3267,Calendar!$K$4),"")</f>
        <v/>
      </c>
      <c r="W1508" s="47">
        <f>IF(AND(B1508=Queue!$C$4,OR(Queue!$K$4="*",N1508=Queue!$K$4)),Q1508,"")</f>
        <v/>
      </c>
    </row>
    <row r="1509">
      <c r="A1509" s="38">
        <f>IF(M1509="","",HYPERLINK("https://www.youtube.com/watch?v="&amp;M1509,"▶"))</f>
        <v/>
      </c>
      <c r="B1509" s="39">
        <f>IF(C1509&lt;&gt;"",C1509,IF(P1509&lt;=IFERROR(INDEX(tblChannels[Watched Through],MATCH(N1509,tblChannels[Channel ID],0)),0),"Watched","Unwatched"))</f>
        <v/>
      </c>
      <c r="C1509" s="40" t="n"/>
      <c r="D1509" s="41" t="n"/>
      <c r="E1509" s="42" t="n">
        <v>44232.25</v>
      </c>
      <c r="F1509" s="43" t="inlineStr">
        <is>
          <t>Popcorn Culture</t>
        </is>
      </c>
      <c r="G1509" t="inlineStr">
        <is>
          <t>61 - Jellyfish Stings and Other Things That Ruin the Moment</t>
        </is>
      </c>
      <c r="H1509" s="44" t="n">
        <v>0.04496527777777778</v>
      </c>
      <c r="I1509" s="45" t="n">
        <v>2921</v>
      </c>
      <c r="J1509" s="45" t="n">
        <v>153</v>
      </c>
      <c r="K1509" s="45" t="n">
        <v>11</v>
      </c>
      <c r="L1509" s="46" t="n"/>
      <c r="M1509" s="47" t="n"/>
      <c r="N1509" s="47" t="inlineStr">
        <is>
          <t>UCHfIbq9thHPC8yrKjAdJgDA</t>
        </is>
      </c>
      <c r="O1509" s="48" t="n">
        <v>44232.45833333334</v>
      </c>
      <c r="P1509" s="49" t="n">
        <v>44232</v>
      </c>
      <c r="Q1509" s="47" t="n">
        <v>1759</v>
      </c>
      <c r="R1509" s="47" t="inlineStr">
        <is>
          <t>No Video ID yet</t>
        </is>
      </c>
      <c r="S1509" s="49" t="n"/>
      <c r="T1509" s="49" t="n"/>
      <c r="U1509" s="47" t="inlineStr">
        <is>
          <t>Ben and J discuss: fun facts, animal group names, Totally Accurate Battle Simulator, Roanoke’s Top Dog and Dawgs, jellyfish stings, and other things that ruin the moment. Fun animal group names: Totally Accurate Battle Simulator: Jeff Propst in the described shirt: What is “the bush”: Moon Jellyfish: Disney World Videos: Get your very own GMA stickers:</t>
        </is>
      </c>
      <c r="V1509" s="47">
        <f>IF(AND(P1509&gt;=Calendar!$K$2,P1509&lt;EDATE(Calendar!$K$2,1),OR(Calendar!$K$4="*",N1509=Calendar!$K$4)),P1509*100+COUNTIFS($P$6:$P$3267,P1509,$Q$6:$Q$3267,"&lt;="&amp;Q1509,$N$6:$N$3267,Calendar!$K$4),"")</f>
        <v/>
      </c>
      <c r="W1509" s="47">
        <f>IF(AND(B1509=Queue!$C$4,OR(Queue!$K$4="*",N1509=Queue!$K$4)),Q1509,"")</f>
        <v/>
      </c>
    </row>
    <row r="1510">
      <c r="A1510" s="38">
        <f>IF(M1510="","",HYPERLINK("https://www.youtube.com/watch?v="&amp;M1510,"▶"))</f>
        <v/>
      </c>
      <c r="B1510" s="39">
        <f>IF(C1510&lt;&gt;"",C1510,IF(P1510&lt;=IFERROR(INDEX(tblChannels[Watched Through],MATCH(N1510,tblChannels[Channel ID],0)),0),"Watched","Unwatched"))</f>
        <v/>
      </c>
      <c r="C1510" s="40" t="n"/>
      <c r="D1510" s="41" t="n"/>
      <c r="E1510" s="42" t="n">
        <v>44231.9</v>
      </c>
      <c r="F1510" s="50" t="inlineStr">
        <is>
          <t>Super Carlin Brothers</t>
        </is>
      </c>
      <c r="G1510" t="inlineStr">
        <is>
          <t>J vs Ben: The HARDEST Obscure Spells Harry Potter Trivia Quiz</t>
        </is>
      </c>
      <c r="H1510" s="44" t="n">
        <v>0.01751157407407408</v>
      </c>
      <c r="I1510" s="45" t="n">
        <v>279607</v>
      </c>
      <c r="J1510" s="45" t="n">
        <v>10791</v>
      </c>
      <c r="K1510" s="45" t="n">
        <v>2033</v>
      </c>
      <c r="L1510" s="46" t="n"/>
      <c r="M1510" s="47" t="n"/>
      <c r="N1510" s="47" t="inlineStr">
        <is>
          <t>UCKZo4N0lVPccBkSiuyVh4yg</t>
        </is>
      </c>
      <c r="O1510" s="48" t="n">
        <v>44232.10833333333</v>
      </c>
      <c r="P1510" s="49" t="n">
        <v>44231</v>
      </c>
      <c r="Q1510" s="47" t="n">
        <v>1758</v>
      </c>
      <c r="R1510" s="47" t="inlineStr">
        <is>
          <t>No Video ID yet</t>
        </is>
      </c>
      <c r="S1510" s="49" t="n"/>
      <c r="T1510" s="49" t="n"/>
      <c r="U1510" s="47" t="inlineStr">
        <is>
          <t>Download the DoorDash app in the App Store and enter code JVSB2021 to get 25% off and zero delivery fees on your first order! Visit to get Honey for FREE today! Today J and Ben face off once more to find out who knows more insanely obscure spells used in Harry Potter - I mean who really knows the vanishing spell anyway amiright? Follow us on TikTok ::</t>
        </is>
      </c>
      <c r="V1510" s="47">
        <f>IF(AND(P1510&gt;=Calendar!$K$2,P1510&lt;EDATE(Calendar!$K$2,1),OR(Calendar!$K$4="*",N1510=Calendar!$K$4)),P1510*100+COUNTIFS($P$6:$P$3267,P1510,$Q$6:$Q$3267,"&lt;="&amp;Q1510,$N$6:$N$3267,Calendar!$K$4),"")</f>
        <v/>
      </c>
      <c r="W1510" s="47">
        <f>IF(AND(B1510=Queue!$C$4,OR(Queue!$K$4="*",N1510=Queue!$K$4)),Q1510,"")</f>
        <v/>
      </c>
    </row>
    <row r="1511">
      <c r="A1511" s="38">
        <f>IF(M1511="","",HYPERLINK("https://www.youtube.com/watch?v="&amp;M1511,"▶"))</f>
        <v/>
      </c>
      <c r="B1511" s="39">
        <f>IF(C1511&lt;&gt;"",C1511,IF(P1511&lt;=IFERROR(INDEX(tblChannels[Watched Through],MATCH(N1511,tblChannels[Channel ID],0)),0),"Watched","Unwatched"))</f>
        <v/>
      </c>
      <c r="C1511" s="40" t="n"/>
      <c r="D1511" s="41" t="n"/>
      <c r="E1511" s="42" t="n">
        <v>44231.63680555556</v>
      </c>
      <c r="F1511" s="52" t="inlineStr">
        <is>
          <t>Super Carlin Gaming</t>
        </is>
      </c>
      <c r="G1511" t="inlineStr">
        <is>
          <t>Unboxing Pokemon Card Booster Box!</t>
        </is>
      </c>
      <c r="H1511" s="44" t="n">
        <v>0.04799768518518518</v>
      </c>
      <c r="I1511" s="45" t="n">
        <v>8027</v>
      </c>
      <c r="J1511" s="45" t="n">
        <v>459</v>
      </c>
      <c r="K1511" s="45" t="n">
        <v>49</v>
      </c>
      <c r="L1511" s="46" t="n"/>
      <c r="M1511" s="47" t="n"/>
      <c r="N1511" s="47" t="inlineStr">
        <is>
          <t>UCor_9jRnNNZVzTuQ92PKsaQ</t>
        </is>
      </c>
      <c r="O1511" s="48" t="n">
        <v>44231.84513888889</v>
      </c>
      <c r="P1511" s="49" t="n">
        <v>44231</v>
      </c>
      <c r="Q1511" s="47" t="n">
        <v>1757</v>
      </c>
      <c r="R1511" s="47" t="inlineStr">
        <is>
          <t>No Video ID yet</t>
        </is>
      </c>
      <c r="S1511" s="49" t="n"/>
      <c r="T1511" s="49" t="n"/>
      <c r="U1511" s="47" t="inlineStr">
        <is>
          <t>Ben got J a box of Darkness Ablaze Pokemon cards for his birthday (which is today) so today the bros are unboxing them and just hanging out!</t>
        </is>
      </c>
      <c r="V1511" s="47">
        <f>IF(AND(P1511&gt;=Calendar!$K$2,P1511&lt;EDATE(Calendar!$K$2,1),OR(Calendar!$K$4="*",N1511=Calendar!$K$4)),P1511*100+COUNTIFS($P$6:$P$3267,P1511,$Q$6:$Q$3267,"&lt;="&amp;Q1511,$N$6:$N$3267,Calendar!$K$4),"")</f>
        <v/>
      </c>
      <c r="W1511" s="47">
        <f>IF(AND(B1511=Queue!$C$4,OR(Queue!$K$4="*",N1511=Queue!$K$4)),Q1511,"")</f>
        <v/>
      </c>
    </row>
    <row r="1512">
      <c r="A1512" s="38">
        <f>IF(M1512="","",HYPERLINK("https://www.youtube.com/watch?v="&amp;M1512,"▶"))</f>
        <v/>
      </c>
      <c r="B1512" s="39">
        <f>IF(C1512&lt;&gt;"",C1512,IF(P1512&lt;=IFERROR(INDEX(tblChannels[Watched Through],MATCH(N1512,tblChannels[Channel ID],0)),0),"Watched","Unwatched"))</f>
        <v/>
      </c>
      <c r="C1512" s="40" t="n"/>
      <c r="D1512" s="41" t="n"/>
      <c r="E1512" s="42" t="n">
        <v>44229.81388888889</v>
      </c>
      <c r="F1512" s="50" t="inlineStr">
        <is>
          <t>Super Carlin Brothers</t>
        </is>
      </c>
      <c r="G1512" t="inlineStr">
        <is>
          <t>Is Vision Dead? | Marvel Theory</t>
        </is>
      </c>
      <c r="H1512" s="44" t="n">
        <v>0.01028935185185185</v>
      </c>
      <c r="I1512" s="45" t="n">
        <v>281217</v>
      </c>
      <c r="J1512" s="45" t="n">
        <v>16345</v>
      </c>
      <c r="K1512" s="45" t="n">
        <v>1897</v>
      </c>
      <c r="L1512" s="46" t="n"/>
      <c r="M1512" s="47" t="n"/>
      <c r="N1512" s="47" t="inlineStr">
        <is>
          <t>UCKZo4N0lVPccBkSiuyVh4yg</t>
        </is>
      </c>
      <c r="O1512" s="48" t="n">
        <v>44230.02222222222</v>
      </c>
      <c r="P1512" s="49" t="n">
        <v>44229</v>
      </c>
      <c r="Q1512" s="47" t="n">
        <v>1756</v>
      </c>
      <c r="R1512" s="47" t="inlineStr">
        <is>
          <t>No Video ID yet</t>
        </is>
      </c>
      <c r="S1512" s="49" t="n"/>
      <c r="T1512" s="49" t="n"/>
      <c r="U1512" s="47" t="inlineStr">
        <is>
          <t>Go to to get 10% off plus free shipping! Today J dives into the creepy retro world of WandaVision and the MCU, to discuss: WHY Wanda is doing what she’s doing? Is Vision Alive? Is Vision Dead? AND what is Agnes’ true identity?? Follow us on TikTok :: #SuperCarlinBrothers #Marvel #WandaVision #MCU</t>
        </is>
      </c>
      <c r="V1512" s="47">
        <f>IF(AND(P1512&gt;=Calendar!$K$2,P1512&lt;EDATE(Calendar!$K$2,1),OR(Calendar!$K$4="*",N1512=Calendar!$K$4)),P1512*100+COUNTIFS($P$6:$P$3267,P1512,$Q$6:$Q$3267,"&lt;="&amp;Q1512,$N$6:$N$3267,Calendar!$K$4),"")</f>
        <v/>
      </c>
      <c r="W1512" s="47">
        <f>IF(AND(B1512=Queue!$C$4,OR(Queue!$K$4="*",N1512=Queue!$K$4)),Q1512,"")</f>
        <v/>
      </c>
    </row>
    <row r="1513">
      <c r="A1513" s="38">
        <f>IF(M1513="","",HYPERLINK("https://www.youtube.com/watch?v="&amp;M1513,"▶"))</f>
        <v/>
      </c>
      <c r="B1513" s="39">
        <f>IF(C1513&lt;&gt;"",C1513,IF(P1513&lt;=IFERROR(INDEX(tblChannels[Watched Through],MATCH(N1513,tblChannels[Channel ID],0)),0),"Watched","Unwatched"))</f>
        <v/>
      </c>
      <c r="C1513" s="40" t="n"/>
      <c r="D1513" s="41" t="n"/>
      <c r="E1513" s="42" t="n">
        <v>44225.25</v>
      </c>
      <c r="F1513" s="43" t="inlineStr">
        <is>
          <t>Popcorn Culture</t>
        </is>
      </c>
      <c r="G1513" t="inlineStr">
        <is>
          <t>60 - The Stanley Duck</t>
        </is>
      </c>
      <c r="H1513" s="44" t="n">
        <v>0.04527777777777778</v>
      </c>
      <c r="I1513" s="45" t="n">
        <v>2446</v>
      </c>
      <c r="J1513" s="45" t="n">
        <v>124</v>
      </c>
      <c r="K1513" s="45" t="n">
        <v>20</v>
      </c>
      <c r="L1513" s="46" t="n"/>
      <c r="M1513" s="47" t="n"/>
      <c r="N1513" s="47" t="inlineStr">
        <is>
          <t>UCHfIbq9thHPC8yrKjAdJgDA</t>
        </is>
      </c>
      <c r="O1513" s="48" t="n">
        <v>44225.45833333334</v>
      </c>
      <c r="P1513" s="49" t="n">
        <v>44225</v>
      </c>
      <c r="Q1513" s="47" t="n">
        <v>1755</v>
      </c>
      <c r="R1513" s="47" t="inlineStr">
        <is>
          <t>No Video ID yet</t>
        </is>
      </c>
      <c r="S1513" s="49" t="n"/>
      <c r="T1513" s="49" t="n"/>
      <c r="U1513" s="47" t="inlineStr">
        <is>
          <t>Ben and J discuss: Super Carlin Gaming, tattoos, Pokemon, changing your mind, #GreenMallardAssociation, lightning, and wood carving. Mario Kart Roulette: Nuzlocke Challenge: Get your very own GMA stickers: Lightning Protection Systems: What happens when honey is struck by lightning:</t>
        </is>
      </c>
      <c r="V1513" s="47">
        <f>IF(AND(P1513&gt;=Calendar!$K$2,P1513&lt;EDATE(Calendar!$K$2,1),OR(Calendar!$K$4="*",N1513=Calendar!$K$4)),P1513*100+COUNTIFS($P$6:$P$3267,P1513,$Q$6:$Q$3267,"&lt;="&amp;Q1513,$N$6:$N$3267,Calendar!$K$4),"")</f>
        <v/>
      </c>
      <c r="W1513" s="47">
        <f>IF(AND(B1513=Queue!$C$4,OR(Queue!$K$4="*",N1513=Queue!$K$4)),Q1513,"")</f>
        <v/>
      </c>
    </row>
    <row r="1514">
      <c r="A1514" s="38">
        <f>IF(M1514="","",HYPERLINK("https://www.youtube.com/watch?v="&amp;M1514,"▶"))</f>
        <v/>
      </c>
      <c r="B1514" s="39">
        <f>IF(C1514&lt;&gt;"",C1514,IF(P1514&lt;=IFERROR(INDEX(tblChannels[Watched Through],MATCH(N1514,tblChannels[Channel ID],0)),0),"Watched","Unwatched"))</f>
        <v/>
      </c>
      <c r="C1514" s="40" t="n"/>
      <c r="D1514" s="41" t="n"/>
      <c r="E1514" s="42" t="n">
        <v>44224.88888888889</v>
      </c>
      <c r="F1514" s="50" t="inlineStr">
        <is>
          <t>Super Carlin Brothers</t>
        </is>
      </c>
      <c r="G1514" t="inlineStr">
        <is>
          <t>New Harry Potter TV Show Predictions | Harry Potter Theory</t>
        </is>
      </c>
      <c r="H1514" s="44" t="n">
        <v>0.01178240740740741</v>
      </c>
      <c r="I1514" s="45" t="n">
        <v>281695</v>
      </c>
      <c r="J1514" s="45" t="n">
        <v>17862</v>
      </c>
      <c r="K1514" s="45" t="n">
        <v>5130</v>
      </c>
      <c r="L1514" s="46" t="n"/>
      <c r="M1514" s="47" t="n"/>
      <c r="N1514" s="47" t="inlineStr">
        <is>
          <t>UCKZo4N0lVPccBkSiuyVh4yg</t>
        </is>
      </c>
      <c r="O1514" s="48" t="n">
        <v>44225.09722222222</v>
      </c>
      <c r="P1514" s="49" t="n">
        <v>44224</v>
      </c>
      <c r="Q1514" s="47" t="n">
        <v>1754</v>
      </c>
      <c r="R1514" s="47" t="inlineStr">
        <is>
          <t>No Video ID yet</t>
        </is>
      </c>
      <c r="S1514" s="49" t="n"/>
      <c r="T1514" s="49" t="n"/>
      <c r="U1514" s="47" t="inlineStr">
        <is>
          <t>Go to and use code SCB to get $75 off! Today Ben dives into the Wizarding World of Harry Potter to discuss the recently leaked info about a Harry Potter TV Series coming to HBO Max, when it would happen and what it might be about! (Also how can we be involved????)</t>
        </is>
      </c>
      <c r="V1514" s="47">
        <f>IF(AND(P1514&gt;=Calendar!$K$2,P1514&lt;EDATE(Calendar!$K$2,1),OR(Calendar!$K$4="*",N1514=Calendar!$K$4)),P1514*100+COUNTIFS($P$6:$P$3267,P1514,$Q$6:$Q$3267,"&lt;="&amp;Q1514,$N$6:$N$3267,Calendar!$K$4),"")</f>
        <v/>
      </c>
      <c r="W1514" s="47">
        <f>IF(AND(B1514=Queue!$C$4,OR(Queue!$K$4="*",N1514=Queue!$K$4)),Q1514,"")</f>
        <v/>
      </c>
    </row>
    <row r="1515">
      <c r="A1515" s="38">
        <f>IF(M1515="","",HYPERLINK("https://www.youtube.com/watch?v="&amp;M1515,"▶"))</f>
        <v/>
      </c>
      <c r="B1515" s="39">
        <f>IF(C1515&lt;&gt;"",C1515,IF(P1515&lt;=IFERROR(INDEX(tblChannels[Watched Through],MATCH(N1515,tblChannels[Channel ID],0)),0),"Watched","Unwatched"))</f>
        <v/>
      </c>
      <c r="C1515" s="40" t="n"/>
      <c r="D1515" s="41" t="n"/>
      <c r="E1515" s="42" t="n">
        <v>44222.82986111111</v>
      </c>
      <c r="F1515" s="50" t="inlineStr">
        <is>
          <t>Super Carlin Brothers</t>
        </is>
      </c>
      <c r="G1515" t="inlineStr">
        <is>
          <t>Does Woody Have A Soul? | Pixar Theory</t>
        </is>
      </c>
      <c r="H1515" s="44" t="n">
        <v>0.00962962962962963</v>
      </c>
      <c r="I1515" s="45" t="n">
        <v>492336</v>
      </c>
      <c r="J1515" s="45" t="n">
        <v>19322</v>
      </c>
      <c r="K1515" s="45" t="n">
        <v>1772</v>
      </c>
      <c r="L1515" s="46" t="n"/>
      <c r="M1515" s="47" t="n"/>
      <c r="N1515" s="47" t="inlineStr">
        <is>
          <t>UCKZo4N0lVPccBkSiuyVh4yg</t>
        </is>
      </c>
      <c r="O1515" s="48" t="n">
        <v>44223.03819444445</v>
      </c>
      <c r="P1515" s="49" t="n">
        <v>44222</v>
      </c>
      <c r="Q1515" s="47" t="n">
        <v>1753</v>
      </c>
      <c r="R1515" s="47" t="inlineStr">
        <is>
          <t>No Video ID yet</t>
        </is>
      </c>
      <c r="S1515" s="49" t="n"/>
      <c r="T1515" s="49" t="n"/>
      <c r="U1515" s="47" t="inlineStr">
        <is>
          <t>Today J dives into the world of Pixar to discuss whether or not Woody from Toy Story has a Soul! #SuperCarlinBrothers #Soul #Pixar</t>
        </is>
      </c>
      <c r="V1515" s="47">
        <f>IF(AND(P1515&gt;=Calendar!$K$2,P1515&lt;EDATE(Calendar!$K$2,1),OR(Calendar!$K$4="*",N1515=Calendar!$K$4)),P1515*100+COUNTIFS($P$6:$P$3267,P1515,$Q$6:$Q$3267,"&lt;="&amp;Q1515,$N$6:$N$3267,Calendar!$K$4),"")</f>
        <v/>
      </c>
      <c r="W1515" s="47">
        <f>IF(AND(B1515=Queue!$C$4,OR(Queue!$K$4="*",N1515=Queue!$K$4)),Q1515,"")</f>
        <v/>
      </c>
    </row>
    <row r="1516">
      <c r="A1516" s="38">
        <f>IF(M1516="","",HYPERLINK("https://www.youtube.com/watch?v="&amp;M1516,"▶"))</f>
        <v/>
      </c>
      <c r="B1516" s="39">
        <f>IF(C1516&lt;&gt;"",C1516,IF(P1516&lt;=IFERROR(INDEX(tblChannels[Watched Through],MATCH(N1516,tblChannels[Channel ID],0)),0),"Watched","Unwatched"))</f>
        <v/>
      </c>
      <c r="C1516" s="40" t="n"/>
      <c r="D1516" s="41" t="n"/>
      <c r="E1516" s="42" t="n">
        <v>44218.25</v>
      </c>
      <c r="F1516" s="43" t="inlineStr">
        <is>
          <t>Popcorn Culture</t>
        </is>
      </c>
      <c r="G1516" t="inlineStr">
        <is>
          <t>59 - Ben Has The Cutest Dog</t>
        </is>
      </c>
      <c r="H1516" s="44" t="n">
        <v>0.04471064814814815</v>
      </c>
      <c r="I1516" s="45" t="n">
        <v>2376</v>
      </c>
      <c r="J1516" s="45" t="n">
        <v>125</v>
      </c>
      <c r="K1516" s="45" t="n">
        <v>14</v>
      </c>
      <c r="L1516" s="46" t="n"/>
      <c r="M1516" s="47" t="n"/>
      <c r="N1516" s="47" t="inlineStr">
        <is>
          <t>UCHfIbq9thHPC8yrKjAdJgDA</t>
        </is>
      </c>
      <c r="O1516" s="48" t="n">
        <v>44218.45833333334</v>
      </c>
      <c r="P1516" s="49" t="n">
        <v>44218</v>
      </c>
      <c r="Q1516" s="47" t="n">
        <v>1752</v>
      </c>
      <c r="R1516" s="47" t="inlineStr">
        <is>
          <t>No Video ID yet</t>
        </is>
      </c>
      <c r="S1516" s="49" t="n"/>
      <c r="T1516" s="49" t="n"/>
      <c r="U1516" s="47" t="inlineStr">
        <is>
          <t>Ben and J discuss: being wrong vs being correct, the evolution of the comments section, Indie is the cutest dog, rare corals, and flash games. Check out Seamus Gorman: Why do we yawn: Vote for Indie: J and Beth on the Cover of the Roanoker: Yeti Sports:</t>
        </is>
      </c>
      <c r="V1516" s="47">
        <f>IF(AND(P1516&gt;=Calendar!$K$2,P1516&lt;EDATE(Calendar!$K$2,1),OR(Calendar!$K$4="*",N1516=Calendar!$K$4)),P1516*100+COUNTIFS($P$6:$P$3267,P1516,$Q$6:$Q$3267,"&lt;="&amp;Q1516,$N$6:$N$3267,Calendar!$K$4),"")</f>
        <v/>
      </c>
      <c r="W1516" s="47">
        <f>IF(AND(B1516=Queue!$C$4,OR(Queue!$K$4="*",N1516=Queue!$K$4)),Q1516,"")</f>
        <v/>
      </c>
    </row>
    <row r="1517">
      <c r="A1517" s="38">
        <f>IF(M1517="","",HYPERLINK("https://www.youtube.com/watch?v="&amp;M1517,"▶"))</f>
        <v/>
      </c>
      <c r="B1517" s="39">
        <f>IF(C1517&lt;&gt;"",C1517,IF(P1517&lt;=IFERROR(INDEX(tblChannels[Watched Through],MATCH(N1517,tblChannels[Channel ID],0)),0),"Watched","Unwatched"))</f>
        <v/>
      </c>
      <c r="C1517" s="40" t="n"/>
      <c r="D1517" s="41" t="n"/>
      <c r="E1517" s="42" t="n">
        <v>44217.88194444445</v>
      </c>
      <c r="F1517" s="50" t="inlineStr">
        <is>
          <t>Super Carlin Brothers</t>
        </is>
      </c>
      <c r="G1517" t="inlineStr">
        <is>
          <t>J vs Ben: ULTIMATE Soul Trivia Quiz</t>
        </is>
      </c>
      <c r="H1517" s="44" t="n">
        <v>0.01914351851851852</v>
      </c>
      <c r="I1517" s="45" t="n">
        <v>142579</v>
      </c>
      <c r="J1517" s="45" t="n">
        <v>6061</v>
      </c>
      <c r="K1517" s="45" t="n">
        <v>841</v>
      </c>
      <c r="L1517" s="46" t="n"/>
      <c r="M1517" s="47" t="n"/>
      <c r="N1517" s="47" t="inlineStr">
        <is>
          <t>UCKZo4N0lVPccBkSiuyVh4yg</t>
        </is>
      </c>
      <c r="O1517" s="48" t="n">
        <v>44218.09027777778</v>
      </c>
      <c r="P1517" s="49" t="n">
        <v>44217</v>
      </c>
      <c r="Q1517" s="47" t="n">
        <v>1751</v>
      </c>
      <c r="R1517" s="47" t="inlineStr">
        <is>
          <t>No Video ID yet</t>
        </is>
      </c>
      <c r="S1517" s="49" t="n"/>
      <c r="T1517" s="49" t="n"/>
      <c r="U1517" s="47" t="inlineStr">
        <is>
          <t>Visit to get 3 extra months of ExpressVPN for free! Go to and enter the code super at checkout to get 20% off your first monthly box when you sign up! Today J and Ben face off yet again to find out who knows the most about Pixar’s Soul by answering questions submitted and created by all of our amazing Quiz Masters over on Patreon! #SuperCarlinBrothers #Soul #Pixar</t>
        </is>
      </c>
      <c r="V1517" s="47">
        <f>IF(AND(P1517&gt;=Calendar!$K$2,P1517&lt;EDATE(Calendar!$K$2,1),OR(Calendar!$K$4="*",N1517=Calendar!$K$4)),P1517*100+COUNTIFS($P$6:$P$3267,P1517,$Q$6:$Q$3267,"&lt;="&amp;Q1517,$N$6:$N$3267,Calendar!$K$4),"")</f>
        <v/>
      </c>
      <c r="W1517" s="47">
        <f>IF(AND(B1517=Queue!$C$4,OR(Queue!$K$4="*",N1517=Queue!$K$4)),Q1517,"")</f>
        <v/>
      </c>
    </row>
    <row r="1518">
      <c r="A1518" s="38">
        <f>IF(M1518="","",HYPERLINK("https://www.youtube.com/watch?v="&amp;M1518,"▶"))</f>
        <v/>
      </c>
      <c r="B1518" s="39">
        <f>IF(C1518&lt;&gt;"",C1518,IF(P1518&lt;=IFERROR(INDEX(tblChannels[Watched Through],MATCH(N1518,tblChannels[Channel ID],0)),0),"Watched","Unwatched"))</f>
        <v/>
      </c>
      <c r="C1518" s="40" t="n"/>
      <c r="D1518" s="41" t="n"/>
      <c r="E1518" s="42" t="n">
        <v>44217.625</v>
      </c>
      <c r="F1518" s="53" t="inlineStr">
        <is>
          <t>Jonathan Carlin</t>
        </is>
      </c>
      <c r="G1518" t="inlineStr">
        <is>
          <t>WE NEED YOUR HELP!</t>
        </is>
      </c>
      <c r="H1518" s="44" t="n">
        <v>0.002534722222222222</v>
      </c>
      <c r="I1518" s="45" t="n">
        <v>44393</v>
      </c>
      <c r="J1518" s="45" t="n">
        <v>3221</v>
      </c>
      <c r="K1518" s="45" t="n">
        <v>460</v>
      </c>
      <c r="L1518" s="46" t="n"/>
      <c r="M1518" s="47" t="n"/>
      <c r="N1518" s="47" t="inlineStr">
        <is>
          <t>UCYPKFe86e6nm4TVUYKLsFUQ</t>
        </is>
      </c>
      <c r="O1518" s="48" t="n">
        <v>44217.83333333334</v>
      </c>
      <c r="P1518" s="49" t="n">
        <v>44217</v>
      </c>
      <c r="Q1518" s="47" t="n">
        <v>1750</v>
      </c>
      <c r="R1518" s="47" t="inlineStr">
        <is>
          <t>No Video ID yet</t>
        </is>
      </c>
      <c r="S1518" s="49" t="n"/>
      <c r="T1518" s="49" t="n"/>
      <c r="U1518" s="47" t="inlineStr">
        <is>
          <t>Vote Here :: Click the link above and scroll to the bottom of the page and enter "SuperCarlinBrothers YouTube Channel" for the Best Thing Not Listed category! Our Other Recommendations Male - Star of the City - John Carlin Female Star of the City - Mary Carlin Most Savvy Entrepreneur -- Tyler Carlin Started a Podcast Network WBNE featuring shows such as :: Bacon &amp; Eggs: A Movie Lovers Podcast, That's What I'm Tolkien About, Late to the Party and Unsobered On the Air: John Carlin Favorite Local Festival: Go Fest Best Local Charity Event: Puppy Love Ball (our mom is a big part of this one) Best Idea for Valley’s Future: More Mountain Bike trails (we just love mountain biking) Best Race/Marathon: Blue Ridge Marathon (Our Dad co-founded this race and it's the toughest road marathon in America!)</t>
        </is>
      </c>
      <c r="V1518" s="47">
        <f>IF(AND(P1518&gt;=Calendar!$K$2,P1518&lt;EDATE(Calendar!$K$2,1),OR(Calendar!$K$4="*",N1518=Calendar!$K$4)),P1518*100+COUNTIFS($P$6:$P$3267,P1518,$Q$6:$Q$3267,"&lt;="&amp;Q1518,$N$6:$N$3267,Calendar!$K$4),"")</f>
        <v/>
      </c>
      <c r="W1518" s="47">
        <f>IF(AND(B1518=Queue!$C$4,OR(Queue!$K$4="*",N1518=Queue!$K$4)),Q1518,"")</f>
        <v/>
      </c>
    </row>
    <row r="1519">
      <c r="A1519" s="38">
        <f>IF(M1519="","",HYPERLINK("https://www.youtube.com/watch?v="&amp;M1519,"▶"))</f>
        <v/>
      </c>
      <c r="B1519" s="39">
        <f>IF(C1519&lt;&gt;"",C1519,IF(P1519&lt;=IFERROR(INDEX(tblChannels[Watched Through],MATCH(N1519,tblChannels[Channel ID],0)),0),"Watched","Unwatched"))</f>
        <v/>
      </c>
      <c r="C1519" s="40" t="n"/>
      <c r="D1519" s="41" t="n"/>
      <c r="E1519" s="42" t="n">
        <v>44216.54166666666</v>
      </c>
      <c r="F1519" s="53" t="inlineStr">
        <is>
          <t>Jonathan Carlin</t>
        </is>
      </c>
      <c r="G1519" t="inlineStr">
        <is>
          <t>HAPPY NEW YEAR 2021!</t>
        </is>
      </c>
      <c r="H1519" s="44" t="n">
        <v>0.006319444444444444</v>
      </c>
      <c r="I1519" s="45" t="n">
        <v>22727</v>
      </c>
      <c r="J1519" s="45" t="n">
        <v>1770</v>
      </c>
      <c r="K1519" s="45" t="n">
        <v>132</v>
      </c>
      <c r="L1519" s="46" t="n"/>
      <c r="M1519" s="47" t="n"/>
      <c r="N1519" s="47" t="inlineStr">
        <is>
          <t>UCYPKFe86e6nm4TVUYKLsFUQ</t>
        </is>
      </c>
      <c r="O1519" s="48" t="n">
        <v>44216.75</v>
      </c>
      <c r="P1519" s="49" t="n">
        <v>44216</v>
      </c>
      <c r="Q1519" s="47" t="n">
        <v>1749</v>
      </c>
      <c r="R1519" s="47" t="inlineStr">
        <is>
          <t>No Video ID yet</t>
        </is>
      </c>
      <c r="S1519" s="49" t="n"/>
      <c r="T1519" s="49" t="n"/>
      <c r="U1519" s="47" t="inlineStr">
        <is>
          <t>This week J and the SCB crew finally finish moving out of the old office and the family celebrates the end of 2020 (at last!) and Beth tries out her new bike!</t>
        </is>
      </c>
      <c r="V1519" s="47">
        <f>IF(AND(P1519&gt;=Calendar!$K$2,P1519&lt;EDATE(Calendar!$K$2,1),OR(Calendar!$K$4="*",N1519=Calendar!$K$4)),P1519*100+COUNTIFS($P$6:$P$3267,P1519,$Q$6:$Q$3267,"&lt;="&amp;Q1519,$N$6:$N$3267,Calendar!$K$4),"")</f>
        <v/>
      </c>
      <c r="W1519" s="47">
        <f>IF(AND(B1519=Queue!$C$4,OR(Queue!$K$4="*",N1519=Queue!$K$4)),Q1519,"")</f>
        <v/>
      </c>
    </row>
    <row r="1520">
      <c r="A1520" s="38">
        <f>IF(M1520="","",HYPERLINK("https://www.youtube.com/watch?v="&amp;M1520,"▶"))</f>
        <v/>
      </c>
      <c r="B1520" s="39">
        <f>IF(C1520&lt;&gt;"",C1520,IF(P1520&lt;=IFERROR(INDEX(tblChannels[Watched Through],MATCH(N1520,tblChannels[Channel ID],0)),0),"Watched","Unwatched"))</f>
        <v/>
      </c>
      <c r="C1520" s="40" t="n"/>
      <c r="D1520" s="41" t="n"/>
      <c r="E1520" s="42" t="n">
        <v>44215.87708333333</v>
      </c>
      <c r="F1520" s="50" t="inlineStr">
        <is>
          <t>Super Carlin Brothers</t>
        </is>
      </c>
      <c r="G1520" t="inlineStr">
        <is>
          <t>Who Is Controlling Wanda? | Marvel Theory</t>
        </is>
      </c>
      <c r="H1520" s="44" t="n">
        <v>0.01344907407407407</v>
      </c>
      <c r="I1520" s="45" t="n">
        <v>268020</v>
      </c>
      <c r="J1520" s="45" t="n">
        <v>15230</v>
      </c>
      <c r="K1520" s="45" t="n">
        <v>3197</v>
      </c>
      <c r="L1520" s="46" t="n"/>
      <c r="M1520" s="47" t="n"/>
      <c r="N1520" s="47" t="inlineStr">
        <is>
          <t>UCKZo4N0lVPccBkSiuyVh4yg</t>
        </is>
      </c>
      <c r="O1520" s="48" t="n">
        <v>44216.08541666667</v>
      </c>
      <c r="P1520" s="49" t="n">
        <v>44215</v>
      </c>
      <c r="Q1520" s="47" t="n">
        <v>1748</v>
      </c>
      <c r="R1520" s="47" t="inlineStr">
        <is>
          <t>No Video ID yet</t>
        </is>
      </c>
      <c r="S1520" s="49" t="n"/>
      <c r="T1520" s="49" t="n"/>
      <c r="U1520" s="47" t="inlineStr">
        <is>
          <t>Go to to get 10% off plus free shipping! Today J dives into the warped reality of the Marvel Cinematic Universe to discuss who is controlling Wanda or else “doing this to her” in WandaVision. #SuperCarlinBrothers #Marvel #WandaVision</t>
        </is>
      </c>
      <c r="V1520" s="47">
        <f>IF(AND(P1520&gt;=Calendar!$K$2,P1520&lt;EDATE(Calendar!$K$2,1),OR(Calendar!$K$4="*",N1520=Calendar!$K$4)),P1520*100+COUNTIFS($P$6:$P$3267,P1520,$Q$6:$Q$3267,"&lt;="&amp;Q1520,$N$6:$N$3267,Calendar!$K$4),"")</f>
        <v/>
      </c>
      <c r="W1520" s="47">
        <f>IF(AND(B1520=Queue!$C$4,OR(Queue!$K$4="*",N1520=Queue!$K$4)),Q1520,"")</f>
        <v/>
      </c>
    </row>
    <row r="1521">
      <c r="A1521" s="38">
        <f>IF(M1521="","",HYPERLINK("https://www.youtube.com/watch?v="&amp;M1521,"▶"))</f>
        <v/>
      </c>
      <c r="B1521" s="39">
        <f>IF(C1521&lt;&gt;"",C1521,IF(P1521&lt;=IFERROR(INDEX(tblChannels[Watched Through],MATCH(N1521,tblChannels[Channel ID],0)),0),"Watched","Unwatched"))</f>
        <v/>
      </c>
      <c r="C1521" s="40" t="n"/>
      <c r="D1521" s="41" t="n"/>
      <c r="E1521" s="42" t="n">
        <v>44211.5</v>
      </c>
      <c r="F1521" s="43" t="inlineStr">
        <is>
          <t>Popcorn Culture</t>
        </is>
      </c>
      <c r="G1521" t="inlineStr">
        <is>
          <t>58 - Cantaloupe Catapults</t>
        </is>
      </c>
      <c r="H1521" s="44" t="n">
        <v>0.04606481481481482</v>
      </c>
      <c r="I1521" s="45" t="n">
        <v>2545</v>
      </c>
      <c r="J1521" s="45" t="n">
        <v>127</v>
      </c>
      <c r="K1521" s="45" t="n">
        <v>27</v>
      </c>
      <c r="L1521" s="46" t="n"/>
      <c r="M1521" s="47" t="n"/>
      <c r="N1521" s="47" t="inlineStr">
        <is>
          <t>UCHfIbq9thHPC8yrKjAdJgDA</t>
        </is>
      </c>
      <c r="O1521" s="48" t="n">
        <v>44211.70833333334</v>
      </c>
      <c r="P1521" s="49" t="n">
        <v>44211</v>
      </c>
      <c r="Q1521" s="47" t="n">
        <v>1747</v>
      </c>
      <c r="R1521" s="47" t="inlineStr">
        <is>
          <t>No Video ID yet</t>
        </is>
      </c>
      <c r="S1521" s="49" t="n"/>
      <c r="T1521" s="49" t="n"/>
      <c r="U1521" s="47" t="inlineStr">
        <is>
          <t>Ben and J discuss: being tech savvy, cupdate, stickers, cool shoes, watch wearing, Ben’s parties, fruit cannons, and stripping your laundry. Check out Bacon and Eggs: Watch Wearing: Popcast Watch Wearing Habits: Watermelon Pop: Laundry stripping:</t>
        </is>
      </c>
      <c r="V1521" s="47">
        <f>IF(AND(P1521&gt;=Calendar!$K$2,P1521&lt;EDATE(Calendar!$K$2,1),OR(Calendar!$K$4="*",N1521=Calendar!$K$4)),P1521*100+COUNTIFS($P$6:$P$3267,P1521,$Q$6:$Q$3267,"&lt;="&amp;Q1521,$N$6:$N$3267,Calendar!$K$4),"")</f>
        <v/>
      </c>
      <c r="W1521" s="47">
        <f>IF(AND(B1521=Queue!$C$4,OR(Queue!$K$4="*",N1521=Queue!$K$4)),Q1521,"")</f>
        <v/>
      </c>
    </row>
    <row r="1522">
      <c r="A1522" s="38">
        <f>IF(M1522="","",HYPERLINK("https://www.youtube.com/watch?v="&amp;M1522,"▶"))</f>
        <v/>
      </c>
      <c r="B1522" s="39">
        <f>IF(C1522&lt;&gt;"",C1522,IF(P1522&lt;=IFERROR(INDEX(tblChannels[Watched Through],MATCH(N1522,tblChannels[Channel ID],0)),0),"Watched","Unwatched"))</f>
        <v/>
      </c>
      <c r="C1522" s="40" t="n"/>
      <c r="D1522" s="41" t="n"/>
      <c r="E1522" s="42" t="n">
        <v>44210.84583333333</v>
      </c>
      <c r="F1522" s="50" t="inlineStr">
        <is>
          <t>Super Carlin Brothers</t>
        </is>
      </c>
      <c r="G1522" t="inlineStr">
        <is>
          <t>Who Originally Disrupted The Count? | Pixar Theory</t>
        </is>
      </c>
      <c r="H1522" s="44" t="n">
        <v>0.01085648148148148</v>
      </c>
      <c r="I1522" s="45" t="n">
        <v>1222913</v>
      </c>
      <c r="J1522" s="45" t="n">
        <v>40865</v>
      </c>
      <c r="K1522" s="45" t="n">
        <v>4166</v>
      </c>
      <c r="L1522" s="46" t="n"/>
      <c r="M1522" s="47" t="n"/>
      <c r="N1522" s="47" t="inlineStr">
        <is>
          <t>UCKZo4N0lVPccBkSiuyVh4yg</t>
        </is>
      </c>
      <c r="O1522" s="48" t="n">
        <v>44211.05416666667</v>
      </c>
      <c r="P1522" s="49" t="n">
        <v>44210</v>
      </c>
      <c r="Q1522" s="47" t="n">
        <v>1746</v>
      </c>
      <c r="R1522" s="47" t="inlineStr">
        <is>
          <t>No Video ID yet</t>
        </is>
      </c>
      <c r="S1522" s="49" t="n"/>
      <c r="T1522" s="49" t="n"/>
      <c r="U1522" s="47" t="inlineStr">
        <is>
          <t>Visit for 10% off! Today Ben dives into the world of Pixar’s Soul to try and uncover which other Pixar character may have upset the count before Joe and 22 got involved in the mix! #SuperCarlinBrothers #Pixar #Soul #SwampFarts</t>
        </is>
      </c>
      <c r="V1522" s="47">
        <f>IF(AND(P1522&gt;=Calendar!$K$2,P1522&lt;EDATE(Calendar!$K$2,1),OR(Calendar!$K$4="*",N1522=Calendar!$K$4)),P1522*100+COUNTIFS($P$6:$P$3267,P1522,$Q$6:$Q$3267,"&lt;="&amp;Q1522,$N$6:$N$3267,Calendar!$K$4),"")</f>
        <v/>
      </c>
      <c r="W1522" s="47">
        <f>IF(AND(B1522=Queue!$C$4,OR(Queue!$K$4="*",N1522=Queue!$K$4)),Q1522,"")</f>
        <v/>
      </c>
    </row>
    <row r="1523">
      <c r="A1523" s="38">
        <f>IF(M1523="","",HYPERLINK("https://www.youtube.com/watch?v="&amp;M1523,"▶"))</f>
        <v/>
      </c>
      <c r="B1523" s="39">
        <f>IF(C1523&lt;&gt;"",C1523,IF(P1523&lt;=IFERROR(INDEX(tblChannels[Watched Through],MATCH(N1523,tblChannels[Channel ID],0)),0),"Watched","Unwatched"))</f>
        <v/>
      </c>
      <c r="C1523" s="40" t="n"/>
      <c r="D1523" s="41" t="n"/>
      <c r="E1523" s="42" t="n">
        <v>44209.60416666666</v>
      </c>
      <c r="F1523" s="53" t="inlineStr">
        <is>
          <t>Jonathan Carlin</t>
        </is>
      </c>
      <c r="G1523" t="inlineStr">
        <is>
          <t>The Twins First Christmas!</t>
        </is>
      </c>
      <c r="H1523" s="44" t="n">
        <v>0.008287037037037037</v>
      </c>
      <c r="I1523" s="45" t="n">
        <v>35306</v>
      </c>
      <c r="J1523" s="45" t="n">
        <v>2218</v>
      </c>
      <c r="K1523" s="45" t="n">
        <v>221</v>
      </c>
      <c r="L1523" s="46" t="n"/>
      <c r="M1523" s="47" t="n"/>
      <c r="N1523" s="47" t="inlineStr">
        <is>
          <t>UCYPKFe86e6nm4TVUYKLsFUQ</t>
        </is>
      </c>
      <c r="O1523" s="48" t="n">
        <v>44209.8125</v>
      </c>
      <c r="P1523" s="49" t="n">
        <v>44209</v>
      </c>
      <c r="Q1523" s="47" t="n">
        <v>1745</v>
      </c>
      <c r="R1523" s="47" t="inlineStr">
        <is>
          <t>No Video ID yet</t>
        </is>
      </c>
      <c r="S1523" s="49" t="n"/>
      <c r="T1523" s="49" t="n"/>
      <c r="U1523" s="47" t="inlineStr">
        <is>
          <t>J, Beth, Luke Nick and Nate celebrate Christmas!!</t>
        </is>
      </c>
      <c r="V1523" s="47">
        <f>IF(AND(P1523&gt;=Calendar!$K$2,P1523&lt;EDATE(Calendar!$K$2,1),OR(Calendar!$K$4="*",N1523=Calendar!$K$4)),P1523*100+COUNTIFS($P$6:$P$3267,P1523,$Q$6:$Q$3267,"&lt;="&amp;Q1523,$N$6:$N$3267,Calendar!$K$4),"")</f>
        <v/>
      </c>
      <c r="W1523" s="47">
        <f>IF(AND(B1523=Queue!$C$4,OR(Queue!$K$4="*",N1523=Queue!$K$4)),Q1523,"")</f>
        <v/>
      </c>
    </row>
    <row r="1524">
      <c r="A1524" s="38">
        <f>IF(M1524="","",HYPERLINK("https://www.youtube.com/watch?v="&amp;M1524,"▶"))</f>
        <v/>
      </c>
      <c r="B1524" s="39">
        <f>IF(C1524&lt;&gt;"",C1524,IF(P1524&lt;=IFERROR(INDEX(tblChannels[Watched Through],MATCH(N1524,tblChannels[Channel ID],0)),0),"Watched","Unwatched"))</f>
        <v/>
      </c>
      <c r="C1524" s="40" t="n"/>
      <c r="D1524" s="41" t="n"/>
      <c r="E1524" s="42" t="n">
        <v>44208.84097222222</v>
      </c>
      <c r="F1524" s="50" t="inlineStr">
        <is>
          <t>Super Carlin Brothers</t>
        </is>
      </c>
      <c r="G1524" t="inlineStr">
        <is>
          <t>Who Does 22 Become? | Pixar Theory</t>
        </is>
      </c>
      <c r="H1524" s="44" t="n">
        <v>0.01158564814814815</v>
      </c>
      <c r="I1524" s="45" t="n">
        <v>3372811</v>
      </c>
      <c r="J1524" s="45" t="n">
        <v>82879</v>
      </c>
      <c r="K1524" s="45" t="n">
        <v>7981</v>
      </c>
      <c r="L1524" s="46" t="n"/>
      <c r="M1524" s="47" t="n"/>
      <c r="N1524" s="47" t="inlineStr">
        <is>
          <t>UCKZo4N0lVPccBkSiuyVh4yg</t>
        </is>
      </c>
      <c r="O1524" s="48" t="n">
        <v>44209.04930555556</v>
      </c>
      <c r="P1524" s="49" t="n">
        <v>44208</v>
      </c>
      <c r="Q1524" s="47" t="n">
        <v>1744</v>
      </c>
      <c r="R1524" s="47" t="inlineStr">
        <is>
          <t>No Video ID yet</t>
        </is>
      </c>
      <c r="S1524" s="49" t="n"/>
      <c r="T1524" s="49" t="n"/>
      <c r="U1524" s="47" t="inlineStr">
        <is>
          <t>Go to and use code SCB to get $75 off your starter kit! Today J dives into the Pixar Universe to discuss Soul and uncover 22’s identity after they land on Earth! Are they Boo? Russel? Maybe even Wall-E?? #SuperCarlinBrothers #Pixar #Soul</t>
        </is>
      </c>
      <c r="V1524" s="47">
        <f>IF(AND(P1524&gt;=Calendar!$K$2,P1524&lt;EDATE(Calendar!$K$2,1),OR(Calendar!$K$4="*",N1524=Calendar!$K$4)),P1524*100+COUNTIFS($P$6:$P$3267,P1524,$Q$6:$Q$3267,"&lt;="&amp;Q1524,$N$6:$N$3267,Calendar!$K$4),"")</f>
        <v/>
      </c>
      <c r="W1524" s="47">
        <f>IF(AND(B1524=Queue!$C$4,OR(Queue!$K$4="*",N1524=Queue!$K$4)),Q1524,"")</f>
        <v/>
      </c>
    </row>
    <row r="1525">
      <c r="A1525" s="38">
        <f>IF(M1525="","",HYPERLINK("https://www.youtube.com/watch?v="&amp;M1525,"▶"))</f>
        <v/>
      </c>
      <c r="B1525" s="39">
        <f>IF(C1525&lt;&gt;"",C1525,IF(P1525&lt;=IFERROR(INDEX(tblChannels[Watched Through],MATCH(N1525,tblChannels[Channel ID],0)),0),"Watched","Unwatched"))</f>
        <v/>
      </c>
      <c r="C1525" s="40" t="n"/>
      <c r="D1525" s="41" t="n"/>
      <c r="E1525" s="42" t="n">
        <v>44204.62777777778</v>
      </c>
      <c r="F1525" s="43" t="inlineStr">
        <is>
          <t>Popcorn Culture</t>
        </is>
      </c>
      <c r="G1525" t="inlineStr">
        <is>
          <t>57 - Throwing the Game</t>
        </is>
      </c>
      <c r="H1525" s="44" t="n">
        <v>0.04931712962962963</v>
      </c>
      <c r="I1525" s="45" t="n">
        <v>2644</v>
      </c>
      <c r="J1525" s="45" t="n">
        <v>119</v>
      </c>
      <c r="K1525" s="45" t="n">
        <v>16</v>
      </c>
      <c r="L1525" s="46" t="n"/>
      <c r="M1525" s="47" t="n"/>
      <c r="N1525" s="47" t="inlineStr">
        <is>
          <t>UCHfIbq9thHPC8yrKjAdJgDA</t>
        </is>
      </c>
      <c r="O1525" s="48" t="n">
        <v>44204.83611111111</v>
      </c>
      <c r="P1525" s="49" t="n">
        <v>44204</v>
      </c>
      <c r="Q1525" s="47" t="n">
        <v>1743</v>
      </c>
      <c r="R1525" s="47" t="inlineStr">
        <is>
          <t>No Video ID yet</t>
        </is>
      </c>
      <c r="S1525" s="49" t="n"/>
      <c r="T1525" s="49" t="n"/>
      <c r="U1525" s="47" t="inlineStr">
        <is>
          <t>Ben and J discuss: tapas, staycations, decor for self-expression, AFC East and the football playoffs, interesting pets, mountain biking, and the importance of stretching. Kani Salad:</t>
        </is>
      </c>
      <c r="V1525" s="47">
        <f>IF(AND(P1525&gt;=Calendar!$K$2,P1525&lt;EDATE(Calendar!$K$2,1),OR(Calendar!$K$4="*",N1525=Calendar!$K$4)),P1525*100+COUNTIFS($P$6:$P$3267,P1525,$Q$6:$Q$3267,"&lt;="&amp;Q1525,$N$6:$N$3267,Calendar!$K$4),"")</f>
        <v/>
      </c>
      <c r="W1525" s="47">
        <f>IF(AND(B1525=Queue!$C$4,OR(Queue!$K$4="*",N1525=Queue!$K$4)),Q1525,"")</f>
        <v/>
      </c>
    </row>
    <row r="1526">
      <c r="A1526" s="38">
        <f>IF(M1526="","",HYPERLINK("https://www.youtube.com/watch?v="&amp;M1526,"▶"))</f>
        <v/>
      </c>
      <c r="B1526" s="39">
        <f>IF(C1526&lt;&gt;"",C1526,IF(P1526&lt;=IFERROR(INDEX(tblChannels[Watched Through],MATCH(N1526,tblChannels[Channel ID],0)),0),"Watched","Unwatched"))</f>
        <v/>
      </c>
      <c r="C1526" s="40" t="n"/>
      <c r="D1526" s="41" t="n"/>
      <c r="E1526" s="42" t="n">
        <v>44203.87777777778</v>
      </c>
      <c r="F1526" s="50" t="inlineStr">
        <is>
          <t>Super Carlin Brothers</t>
        </is>
      </c>
      <c r="G1526" t="inlineStr">
        <is>
          <t>How Soul Fits Into The Pixar Theory</t>
        </is>
      </c>
      <c r="H1526" s="44" t="n">
        <v>0.01168981481481481</v>
      </c>
      <c r="I1526" s="45" t="n">
        <v>871608</v>
      </c>
      <c r="J1526" s="45" t="n">
        <v>35939</v>
      </c>
      <c r="K1526" s="45" t="n">
        <v>3528</v>
      </c>
      <c r="L1526" s="46" t="n"/>
      <c r="M1526" s="47" t="n"/>
      <c r="N1526" s="47" t="inlineStr">
        <is>
          <t>UCKZo4N0lVPccBkSiuyVh4yg</t>
        </is>
      </c>
      <c r="O1526" s="48" t="n">
        <v>44204.08611111111</v>
      </c>
      <c r="P1526" s="49" t="n">
        <v>44203</v>
      </c>
      <c r="Q1526" s="47" t="n">
        <v>1742</v>
      </c>
      <c r="R1526" s="47" t="inlineStr">
        <is>
          <t>No Video ID yet</t>
        </is>
      </c>
      <c r="S1526" s="49" t="n"/>
      <c r="T1526" s="49" t="n"/>
      <c r="U1526" s="47" t="inlineStr">
        <is>
          <t>Go to to get 3 extra months free! SCB Annual Survey :: Today J dives into the Pixar Universe to reveal how Soul fits into the ever growing Pixar Theory! #SuperCarlinBrothers #Pixar #Soul</t>
        </is>
      </c>
      <c r="V1526" s="47">
        <f>IF(AND(P1526&gt;=Calendar!$K$2,P1526&lt;EDATE(Calendar!$K$2,1),OR(Calendar!$K$4="*",N1526=Calendar!$K$4)),P1526*100+COUNTIFS($P$6:$P$3267,P1526,$Q$6:$Q$3267,"&lt;="&amp;Q1526,$N$6:$N$3267,Calendar!$K$4),"")</f>
        <v/>
      </c>
      <c r="W1526" s="47">
        <f>IF(AND(B1526=Queue!$C$4,OR(Queue!$K$4="*",N1526=Queue!$K$4)),Q1526,"")</f>
        <v/>
      </c>
    </row>
    <row r="1527">
      <c r="A1527" s="38">
        <f>IF(M1527="","",HYPERLINK("https://www.youtube.com/watch?v="&amp;M1527,"▶"))</f>
        <v/>
      </c>
      <c r="B1527" s="39">
        <f>IF(C1527&lt;&gt;"",C1527,IF(P1527&lt;=IFERROR(INDEX(tblChannels[Watched Through],MATCH(N1527,tblChannels[Channel ID],0)),0),"Watched","Unwatched"))</f>
        <v/>
      </c>
      <c r="C1527" s="40" t="n"/>
      <c r="D1527" s="41" t="n"/>
      <c r="E1527" s="42" t="n">
        <v>44201.8375</v>
      </c>
      <c r="F1527" s="50" t="inlineStr">
        <is>
          <t>Super Carlin Brothers</t>
        </is>
      </c>
      <c r="G1527" t="inlineStr">
        <is>
          <t>Soul Review: Is it LIFE CHANGING? [J vs Ben]</t>
        </is>
      </c>
      <c r="H1527" s="44" t="n">
        <v>0.02826388888888889</v>
      </c>
      <c r="I1527" s="45" t="n">
        <v>220376</v>
      </c>
      <c r="J1527" s="45" t="n">
        <v>9773</v>
      </c>
      <c r="K1527" s="45" t="n">
        <v>2332</v>
      </c>
      <c r="L1527" s="46" t="n"/>
      <c r="M1527" s="47" t="n"/>
      <c r="N1527" s="47" t="inlineStr">
        <is>
          <t>UCKZo4N0lVPccBkSiuyVh4yg</t>
        </is>
      </c>
      <c r="O1527" s="48" t="n">
        <v>44202.04583333333</v>
      </c>
      <c r="P1527" s="49" t="n">
        <v>44201</v>
      </c>
      <c r="Q1527" s="47" t="n">
        <v>1741</v>
      </c>
      <c r="R1527" s="47" t="inlineStr">
        <is>
          <t>No Video ID yet</t>
        </is>
      </c>
      <c r="S1527" s="49" t="n"/>
      <c r="T1527" s="49" t="n"/>
      <c r="U1527" s="47" t="inlineStr">
        <is>
          <t>Get $5 off and zero delivery fees on your first order of $15 or more when you download the DoorDash app and enter code JVSB! Visit to get Honey for FREE today! Today J and Ben give their full Spoiler review of Pixar’s latest movie Soul and discuss if, how and why it could be a life changing movie for lots of people #SuperCarlinBrothers #Pixar #Soul</t>
        </is>
      </c>
      <c r="V1527" s="47">
        <f>IF(AND(P1527&gt;=Calendar!$K$2,P1527&lt;EDATE(Calendar!$K$2,1),OR(Calendar!$K$4="*",N1527=Calendar!$K$4)),P1527*100+COUNTIFS($P$6:$P$3267,P1527,$Q$6:$Q$3267,"&lt;="&amp;Q1527,$N$6:$N$3267,Calendar!$K$4),"")</f>
        <v/>
      </c>
      <c r="W1527" s="47">
        <f>IF(AND(B1527=Queue!$C$4,OR(Queue!$K$4="*",N1527=Queue!$K$4)),Q1527,"")</f>
        <v/>
      </c>
    </row>
    <row r="1528">
      <c r="A1528" s="38">
        <f>IF(M1528="","",HYPERLINK("https://www.youtube.com/watch?v="&amp;M1528,"▶"))</f>
        <v/>
      </c>
      <c r="B1528" s="39">
        <f>IF(C1528&lt;&gt;"",C1528,IF(P1528&lt;=IFERROR(INDEX(tblChannels[Watched Through],MATCH(N1528,tblChannels[Channel ID],0)),0),"Watched","Unwatched"))</f>
        <v/>
      </c>
      <c r="C1528" s="40" t="n"/>
      <c r="D1528" s="41" t="n"/>
      <c r="E1528" s="42" t="n">
        <v>44200.64930555555</v>
      </c>
      <c r="F1528" s="43" t="inlineStr">
        <is>
          <t>Popcorn Culture</t>
        </is>
      </c>
      <c r="G1528" t="inlineStr">
        <is>
          <t>56 - New Year's Resolutions</t>
        </is>
      </c>
      <c r="H1528" s="44" t="n">
        <v>0.04427083333333334</v>
      </c>
      <c r="I1528" s="45" t="n">
        <v>3207</v>
      </c>
      <c r="J1528" s="45" t="n">
        <v>123</v>
      </c>
      <c r="K1528" s="45" t="n">
        <v>14</v>
      </c>
      <c r="L1528" s="46" t="n"/>
      <c r="M1528" s="47" t="n"/>
      <c r="N1528" s="47" t="inlineStr">
        <is>
          <t>UCHfIbq9thHPC8yrKjAdJgDA</t>
        </is>
      </c>
      <c r="O1528" s="48" t="n">
        <v>44200.85763888889</v>
      </c>
      <c r="P1528" s="49" t="n">
        <v>44200</v>
      </c>
      <c r="Q1528" s="47" t="n">
        <v>1740</v>
      </c>
      <c r="R1528" s="47" t="inlineStr">
        <is>
          <t>No Video ID yet</t>
        </is>
      </c>
      <c r="S1528" s="49" t="n"/>
      <c r="T1528" s="49" t="n"/>
      <c r="U1528" s="47" t="inlineStr">
        <is>
          <t>Ben and J discuss: becoming professional, SCB video highlights, New Year’s Resolutions, the point of social media, and positivity. Thor’s New Eye: Thrawn is Coming: Nagini is a Woman: Peter Pettigrew’s Son: CGP Grey Theme’s Video: J vs Ben HP Candy: Isaac Carlson:</t>
        </is>
      </c>
      <c r="V1528" s="47">
        <f>IF(AND(P1528&gt;=Calendar!$K$2,P1528&lt;EDATE(Calendar!$K$2,1),OR(Calendar!$K$4="*",N1528=Calendar!$K$4)),P1528*100+COUNTIFS($P$6:$P$3267,P1528,$Q$6:$Q$3267,"&lt;="&amp;Q1528,$N$6:$N$3267,Calendar!$K$4),"")</f>
        <v/>
      </c>
      <c r="W1528" s="47">
        <f>IF(AND(B1528=Queue!$C$4,OR(Queue!$K$4="*",N1528=Queue!$K$4)),Q1528,"")</f>
        <v/>
      </c>
    </row>
    <row r="1529">
      <c r="A1529" s="38">
        <f>IF(M1529="","",HYPERLINK("https://www.youtube.com/watch?v="&amp;M1529,"▶"))</f>
        <v/>
      </c>
      <c r="B1529" s="39">
        <f>IF(C1529&lt;&gt;"",C1529,IF(P1529&lt;=IFERROR(INDEX(tblChannels[Watched Through],MATCH(N1529,tblChannels[Channel ID],0)),0),"Watched","Unwatched"))</f>
        <v/>
      </c>
      <c r="C1529" s="40" t="n"/>
      <c r="D1529" s="41" t="n"/>
      <c r="E1529" s="42" t="n">
        <v>44200.41666666666</v>
      </c>
      <c r="F1529" s="53" t="inlineStr">
        <is>
          <t>Jonathan Carlin</t>
        </is>
      </c>
      <c r="G1529" t="inlineStr">
        <is>
          <t>Insane Gift Wrapping Challenge</t>
        </is>
      </c>
      <c r="H1529" s="44" t="n">
        <v>0.01142361111111111</v>
      </c>
      <c r="I1529" s="45" t="n">
        <v>28726</v>
      </c>
      <c r="J1529" s="45" t="n">
        <v>2140</v>
      </c>
      <c r="K1529" s="45" t="n">
        <v>180</v>
      </c>
      <c r="L1529" s="46" t="n"/>
      <c r="M1529" s="47" t="n"/>
      <c r="N1529" s="47" t="inlineStr">
        <is>
          <t>UCYPKFe86e6nm4TVUYKLsFUQ</t>
        </is>
      </c>
      <c r="O1529" s="48" t="n">
        <v>44200.625</v>
      </c>
      <c r="P1529" s="49" t="n">
        <v>44200</v>
      </c>
      <c r="Q1529" s="47" t="n">
        <v>1739</v>
      </c>
      <c r="R1529" s="47" t="inlineStr">
        <is>
          <t>No Video ID yet</t>
        </is>
      </c>
      <c r="S1529" s="49" t="n"/>
      <c r="T1529" s="49" t="n"/>
      <c r="U1529" s="47" t="inlineStr">
        <is>
          <t>This week J and Ben bring back the GMA gift exchange, a tradition where they exchange gifts with their best friends and everyone tries to wrap the gifts in the most creative, difficult, annoying and fun way possible! If you are unfamiliar GMA stands for "Green Mallard Association" and is the self-assigned nick name of J, Ben and their 2 friends John and Mike. They having nothing to do with ducks in anyway.</t>
        </is>
      </c>
      <c r="V1529" s="47">
        <f>IF(AND(P1529&gt;=Calendar!$K$2,P1529&lt;EDATE(Calendar!$K$2,1),OR(Calendar!$K$4="*",N1529=Calendar!$K$4)),P1529*100+COUNTIFS($P$6:$P$3267,P1529,$Q$6:$Q$3267,"&lt;="&amp;Q1529,$N$6:$N$3267,Calendar!$K$4),"")</f>
        <v/>
      </c>
      <c r="W1529" s="47">
        <f>IF(AND(B1529=Queue!$C$4,OR(Queue!$K$4="*",N1529=Queue!$K$4)),Q1529,"")</f>
        <v/>
      </c>
    </row>
    <row r="1530">
      <c r="A1530" s="38">
        <f>IF(M1530="","",HYPERLINK("https://www.youtube.com/watch?v="&amp;M1530,"▶"))</f>
        <v/>
      </c>
      <c r="B1530" s="39">
        <f>IF(C1530&lt;&gt;"",C1530,IF(P1530&lt;=IFERROR(INDEX(tblChannels[Watched Through],MATCH(N1530,tblChannels[Channel ID],0)),0),"Watched","Unwatched"))</f>
        <v/>
      </c>
      <c r="C1530" s="40" t="n"/>
      <c r="D1530" s="41" t="n"/>
      <c r="E1530" s="42" t="n">
        <v>44190.25</v>
      </c>
      <c r="F1530" s="43" t="inlineStr">
        <is>
          <t>Popcorn Culture</t>
        </is>
      </c>
      <c r="G1530" t="inlineStr">
        <is>
          <t>55 - GMA Christmas Special</t>
        </is>
      </c>
      <c r="H1530" s="44" t="n">
        <v>0.05392361111111111</v>
      </c>
      <c r="I1530" s="45" t="n">
        <v>4489</v>
      </c>
      <c r="J1530" s="45" t="n">
        <v>210</v>
      </c>
      <c r="K1530" s="45" t="n">
        <v>16</v>
      </c>
      <c r="L1530" s="46" t="n"/>
      <c r="M1530" s="47" t="n"/>
      <c r="N1530" s="47" t="inlineStr">
        <is>
          <t>UCHfIbq9thHPC8yrKjAdJgDA</t>
        </is>
      </c>
      <c r="O1530" s="48" t="n">
        <v>44190.45833333334</v>
      </c>
      <c r="P1530" s="49" t="n">
        <v>44190</v>
      </c>
      <c r="Q1530" s="47" t="n">
        <v>1738</v>
      </c>
      <c r="R1530" s="47" t="inlineStr">
        <is>
          <t>No Video ID yet</t>
        </is>
      </c>
      <c r="S1530" s="49" t="n"/>
      <c r="T1530" s="49" t="n"/>
      <c r="U1530" s="47" t="inlineStr">
        <is>
          <t>In this extra-special anniversary episode, Ben and J discuss specialiest guests and the Green Mallard Association Gift Exchange. Stereograms: Rocky Dale Quarry:</t>
        </is>
      </c>
      <c r="V1530" s="47">
        <f>IF(AND(P1530&gt;=Calendar!$K$2,P1530&lt;EDATE(Calendar!$K$2,1),OR(Calendar!$K$4="*",N1530=Calendar!$K$4)),P1530*100+COUNTIFS($P$6:$P$3267,P1530,$Q$6:$Q$3267,"&lt;="&amp;Q1530,$N$6:$N$3267,Calendar!$K$4),"")</f>
        <v/>
      </c>
      <c r="W1530" s="47">
        <f>IF(AND(B1530=Queue!$C$4,OR(Queue!$K$4="*",N1530=Queue!$K$4)),Q1530,"")</f>
        <v/>
      </c>
    </row>
    <row r="1531">
      <c r="A1531" s="38">
        <f>IF(M1531="","",HYPERLINK("https://www.youtube.com/watch?v="&amp;M1531,"▶"))</f>
        <v/>
      </c>
      <c r="B1531" s="39">
        <f>IF(C1531&lt;&gt;"",C1531,IF(P1531&lt;=IFERROR(INDEX(tblChannels[Watched Through],MATCH(N1531,tblChannels[Channel ID],0)),0),"Watched","Unwatched"))</f>
        <v/>
      </c>
      <c r="C1531" s="40" t="n"/>
      <c r="D1531" s="41" t="n"/>
      <c r="E1531" s="42" t="n">
        <v>44189.61458333334</v>
      </c>
      <c r="F1531" s="50" t="inlineStr">
        <is>
          <t>Super Carlin Brothers</t>
        </is>
      </c>
      <c r="G1531" t="inlineStr">
        <is>
          <t>We Try EVERY Harry Potter Candy from Honeydukes [J vs Ben]</t>
        </is>
      </c>
      <c r="H1531" s="44" t="n">
        <v>0.02815972222222222</v>
      </c>
      <c r="I1531" s="45" t="n">
        <v>608605</v>
      </c>
      <c r="J1531" s="45" t="n">
        <v>20817</v>
      </c>
      <c r="K1531" s="45" t="n">
        <v>3012</v>
      </c>
      <c r="L1531" s="46" t="n"/>
      <c r="M1531" s="47" t="n"/>
      <c r="N1531" s="47" t="inlineStr">
        <is>
          <t>UCKZo4N0lVPccBkSiuyVh4yg</t>
        </is>
      </c>
      <c r="O1531" s="48" t="n">
        <v>44189.82291666666</v>
      </c>
      <c r="P1531" s="49" t="n">
        <v>44189</v>
      </c>
      <c r="Q1531" s="47" t="n">
        <v>1737</v>
      </c>
      <c r="R1531" s="47" t="inlineStr">
        <is>
          <t>No Video ID yet</t>
        </is>
      </c>
      <c r="S1531" s="49" t="n"/>
      <c r="T1531" s="49" t="n"/>
      <c r="U1531" s="47" t="inlineStr">
        <is>
          <t>Go to and use code jvsb80 to get $80 off including free shipping! Visit or text jvsb to 500-500 to try AudiblePlus for $4.95 a month for your first 6 months! Today J and Ben taste EVERY Harry Potter Candy from Honeydukes to find out which is the ultimate sweet treat!</t>
        </is>
      </c>
      <c r="V1531" s="47">
        <f>IF(AND(P1531&gt;=Calendar!$K$2,P1531&lt;EDATE(Calendar!$K$2,1),OR(Calendar!$K$4="*",N1531=Calendar!$K$4)),P1531*100+COUNTIFS($P$6:$P$3267,P1531,$Q$6:$Q$3267,"&lt;="&amp;Q1531,$N$6:$N$3267,Calendar!$K$4),"")</f>
        <v/>
      </c>
      <c r="W1531" s="47">
        <f>IF(AND(B1531=Queue!$C$4,OR(Queue!$K$4="*",N1531=Queue!$K$4)),Q1531,"")</f>
        <v/>
      </c>
    </row>
    <row r="1532">
      <c r="A1532" s="38">
        <f>IF(M1532="","",HYPERLINK("https://www.youtube.com/watch?v="&amp;M1532,"▶"))</f>
        <v/>
      </c>
      <c r="B1532" s="39">
        <f>IF(C1532&lt;&gt;"",C1532,IF(P1532&lt;=IFERROR(INDEX(tblChannels[Watched Through],MATCH(N1532,tblChannels[Channel ID],0)),0),"Watched","Unwatched"))</f>
        <v/>
      </c>
      <c r="C1532" s="40" t="n"/>
      <c r="D1532" s="41" t="n"/>
      <c r="E1532" s="42" t="n">
        <v>44189.25</v>
      </c>
      <c r="F1532" s="43" t="inlineStr">
        <is>
          <t>Popcorn Culture</t>
        </is>
      </c>
      <c r="G1532" t="inlineStr">
        <is>
          <t>54 - What is the Point of Sports?</t>
        </is>
      </c>
      <c r="H1532" s="44" t="n">
        <v>0.04974537037037037</v>
      </c>
      <c r="I1532" s="45" t="n">
        <v>2466</v>
      </c>
      <c r="J1532" s="45" t="n">
        <v>105</v>
      </c>
      <c r="K1532" s="45" t="n">
        <v>10</v>
      </c>
      <c r="L1532" s="46" t="n"/>
      <c r="M1532" s="47" t="n"/>
      <c r="N1532" s="47" t="inlineStr">
        <is>
          <t>UCHfIbq9thHPC8yrKjAdJgDA</t>
        </is>
      </c>
      <c r="O1532" s="48" t="n">
        <v>44189.45833333334</v>
      </c>
      <c r="P1532" s="49" t="n">
        <v>44189</v>
      </c>
      <c r="Q1532" s="47" t="n">
        <v>1736</v>
      </c>
      <c r="R1532" s="47" t="inlineStr">
        <is>
          <t>No Video ID yet</t>
        </is>
      </c>
      <c r="S1532" s="49" t="n"/>
      <c r="T1532" s="49" t="n"/>
      <c r="U1532" s="47" t="inlineStr">
        <is>
          <t>Ben and J discuss: Victory Stadium, the underdog advantage, football, getting into the Christmas spirit, Rocky Horror Picture Show, mariachi music, Enneagram test, and the Popcast anniversary. Brad Pitt’s High School: Ronde and Tiki Barber: Boston College vs Virginia Tech 2007: Klaus Trailer: 2019 Academy Awards Animated Winners: Enneagram Test:</t>
        </is>
      </c>
      <c r="V1532" s="47">
        <f>IF(AND(P1532&gt;=Calendar!$K$2,P1532&lt;EDATE(Calendar!$K$2,1),OR(Calendar!$K$4="*",N1532=Calendar!$K$4)),P1532*100+COUNTIFS($P$6:$P$3267,P1532,$Q$6:$Q$3267,"&lt;="&amp;Q1532,$N$6:$N$3267,Calendar!$K$4),"")</f>
        <v/>
      </c>
      <c r="W1532" s="47">
        <f>IF(AND(B1532=Queue!$C$4,OR(Queue!$K$4="*",N1532=Queue!$K$4)),Q1532,"")</f>
        <v/>
      </c>
    </row>
    <row r="1533">
      <c r="A1533" s="38">
        <f>IF(M1533="","",HYPERLINK("https://www.youtube.com/watch?v="&amp;M1533,"▶"))</f>
        <v/>
      </c>
      <c r="B1533" s="39">
        <f>IF(C1533&lt;&gt;"",C1533,IF(P1533&lt;=IFERROR(INDEX(tblChannels[Watched Through],MATCH(N1533,tblChannels[Channel ID],0)),0),"Watched","Unwatched"))</f>
        <v/>
      </c>
      <c r="C1533" s="40" t="n"/>
      <c r="D1533" s="41" t="n"/>
      <c r="E1533" s="42" t="n">
        <v>44188.25</v>
      </c>
      <c r="F1533" s="43" t="inlineStr">
        <is>
          <t>Popcorn Culture</t>
        </is>
      </c>
      <c r="G1533" t="inlineStr">
        <is>
          <t>53 - It’s Always Better Live</t>
        </is>
      </c>
      <c r="H1533" s="44" t="n">
        <v>0.04898148148148148</v>
      </c>
      <c r="I1533" s="45" t="n">
        <v>2132</v>
      </c>
      <c r="J1533" s="45" t="n">
        <v>109</v>
      </c>
      <c r="K1533" s="45" t="n">
        <v>13</v>
      </c>
      <c r="L1533" s="46" t="n"/>
      <c r="M1533" s="47" t="n"/>
      <c r="N1533" s="47" t="inlineStr">
        <is>
          <t>UCHfIbq9thHPC8yrKjAdJgDA</t>
        </is>
      </c>
      <c r="O1533" s="48" t="n">
        <v>44188.45833333334</v>
      </c>
      <c r="P1533" s="49" t="n">
        <v>44188</v>
      </c>
      <c r="Q1533" s="47" t="n">
        <v>1735</v>
      </c>
      <c r="R1533" s="47" t="inlineStr">
        <is>
          <t>No Video ID yet</t>
        </is>
      </c>
      <c r="S1533" s="49" t="n"/>
      <c r="T1533" s="49" t="n"/>
      <c r="U1533" s="47" t="inlineStr">
        <is>
          <t>Ben and J discuss: things better live, Buckets Blakes, seeing the future, sensory deprivation, Ben’s attempt to see the future, soul mates, and invasive species. Show notes: Carlin Brothers Coffee: Buckets Blakes: More Buckets: Epic leap climb: Baby’s First Brand Deal: Karate Boards: African Golden Wolf: Yellowstone Wolves:</t>
        </is>
      </c>
      <c r="V1533" s="47">
        <f>IF(AND(P1533&gt;=Calendar!$K$2,P1533&lt;EDATE(Calendar!$K$2,1),OR(Calendar!$K$4="*",N1533=Calendar!$K$4)),P1533*100+COUNTIFS($P$6:$P$3267,P1533,$Q$6:$Q$3267,"&lt;="&amp;Q1533,$N$6:$N$3267,Calendar!$K$4),"")</f>
        <v/>
      </c>
      <c r="W1533" s="47">
        <f>IF(AND(B1533=Queue!$C$4,OR(Queue!$K$4="*",N1533=Queue!$K$4)),Q1533,"")</f>
        <v/>
      </c>
    </row>
    <row r="1534">
      <c r="A1534" s="38">
        <f>IF(M1534="","",HYPERLINK("https://www.youtube.com/watch?v="&amp;M1534,"▶"))</f>
        <v/>
      </c>
      <c r="B1534" s="39">
        <f>IF(C1534&lt;&gt;"",C1534,IF(P1534&lt;=IFERROR(INDEX(tblChannels[Watched Through],MATCH(N1534,tblChannels[Channel ID],0)),0),"Watched","Unwatched"))</f>
        <v/>
      </c>
      <c r="C1534" s="40" t="n"/>
      <c r="D1534" s="41" t="n"/>
      <c r="E1534" s="42" t="n">
        <v>44187.86597222222</v>
      </c>
      <c r="F1534" s="50" t="inlineStr">
        <is>
          <t>Super Carlin Brothers</t>
        </is>
      </c>
      <c r="G1534" t="inlineStr">
        <is>
          <t>Top 7 Unanswered Questions From The Mandalorian</t>
        </is>
      </c>
      <c r="H1534" s="44" t="n">
        <v>0.01193287037037037</v>
      </c>
      <c r="I1534" s="45" t="n">
        <v>148064</v>
      </c>
      <c r="J1534" s="45" t="n">
        <v>8249</v>
      </c>
      <c r="K1534" s="45" t="n">
        <v>2602</v>
      </c>
      <c r="L1534" s="46" t="n"/>
      <c r="M1534" s="47" t="n"/>
      <c r="N1534" s="47" t="inlineStr">
        <is>
          <t>UCKZo4N0lVPccBkSiuyVh4yg</t>
        </is>
      </c>
      <c r="O1534" s="48" t="n">
        <v>44188.07430555556</v>
      </c>
      <c r="P1534" s="49" t="n">
        <v>44187</v>
      </c>
      <c r="Q1534" s="47" t="n">
        <v>1734</v>
      </c>
      <c r="R1534" s="47" t="inlineStr">
        <is>
          <t>No Video ID yet</t>
        </is>
      </c>
      <c r="S1534" s="49" t="n"/>
      <c r="T1534" s="49" t="n"/>
      <c r="U1534" s="47" t="inlineStr">
        <is>
          <t>Go to and use code SCB to get $75 off! Today J dives into the Star Wars Galaxy to discuss their top 7 unanswered questions from the Mandalorian Season 2! Where is Grogu? Whats the deal with Boba Fett? #SuperCarlinBrothers #StarWars #TheMandalorian</t>
        </is>
      </c>
      <c r="V1534" s="47">
        <f>IF(AND(P1534&gt;=Calendar!$K$2,P1534&lt;EDATE(Calendar!$K$2,1),OR(Calendar!$K$4="*",N1534=Calendar!$K$4)),P1534*100+COUNTIFS($P$6:$P$3267,P1534,$Q$6:$Q$3267,"&lt;="&amp;Q1534,$N$6:$N$3267,Calendar!$K$4),"")</f>
        <v/>
      </c>
      <c r="W1534" s="47">
        <f>IF(AND(B1534=Queue!$C$4,OR(Queue!$K$4="*",N1534=Queue!$K$4)),Q1534,"")</f>
        <v/>
      </c>
    </row>
    <row r="1535">
      <c r="A1535" s="38">
        <f>IF(M1535="","",HYPERLINK("https://www.youtube.com/watch?v="&amp;M1535,"▶"))</f>
        <v/>
      </c>
      <c r="B1535" s="39">
        <f>IF(C1535&lt;&gt;"",C1535,IF(P1535&lt;=IFERROR(INDEX(tblChannels[Watched Through],MATCH(N1535,tblChannels[Channel ID],0)),0),"Watched","Unwatched"))</f>
        <v/>
      </c>
      <c r="C1535" s="40" t="n"/>
      <c r="D1535" s="41" t="n"/>
      <c r="E1535" s="42" t="n">
        <v>44187.25</v>
      </c>
      <c r="F1535" s="43" t="inlineStr">
        <is>
          <t>Popcorn Culture</t>
        </is>
      </c>
      <c r="G1535" t="inlineStr">
        <is>
          <t>52 - At the Center of Your Universe</t>
        </is>
      </c>
      <c r="H1535" s="44" t="n">
        <v>0.05100694444444445</v>
      </c>
      <c r="I1535" s="45" t="n">
        <v>2468</v>
      </c>
      <c r="J1535" s="45" t="n">
        <v>109</v>
      </c>
      <c r="K1535" s="45" t="n">
        <v>15</v>
      </c>
      <c r="L1535" s="46" t="n"/>
      <c r="M1535" s="47" t="n"/>
      <c r="N1535" s="47" t="inlineStr">
        <is>
          <t>UCHfIbq9thHPC8yrKjAdJgDA</t>
        </is>
      </c>
      <c r="O1535" s="48" t="n">
        <v>44187.45833333334</v>
      </c>
      <c r="P1535" s="49" t="n">
        <v>44187</v>
      </c>
      <c r="Q1535" s="47" t="n">
        <v>1733</v>
      </c>
      <c r="R1535" s="47" t="inlineStr">
        <is>
          <t>No Video ID yet</t>
        </is>
      </c>
      <c r="S1535" s="49" t="n"/>
      <c r="T1535" s="49" t="n"/>
      <c r="U1535" s="47" t="inlineStr">
        <is>
          <t>Ben and J discuss: popcast creation, nail care, men’s dress fashion, Super Carlin Sock Club, merchandise on YouTube, inner monologue, The Truman Show, questions far too deep for the podcast and one more thing. Beginner Nail Care: Get a CBC Mug here: Truman Show:</t>
        </is>
      </c>
      <c r="V1535" s="47">
        <f>IF(AND(P1535&gt;=Calendar!$K$2,P1535&lt;EDATE(Calendar!$K$2,1),OR(Calendar!$K$4="*",N1535=Calendar!$K$4)),P1535*100+COUNTIFS($P$6:$P$3267,P1535,$Q$6:$Q$3267,"&lt;="&amp;Q1535,$N$6:$N$3267,Calendar!$K$4),"")</f>
        <v/>
      </c>
      <c r="W1535" s="47">
        <f>IF(AND(B1535=Queue!$C$4,OR(Queue!$K$4="*",N1535=Queue!$K$4)),Q1535,"")</f>
        <v/>
      </c>
    </row>
    <row r="1536">
      <c r="A1536" s="38">
        <f>IF(M1536="","",HYPERLINK("https://www.youtube.com/watch?v="&amp;M1536,"▶"))</f>
        <v/>
      </c>
      <c r="B1536" s="39">
        <f>IF(C1536&lt;&gt;"",C1536,IF(P1536&lt;=IFERROR(INDEX(tblChannels[Watched Through],MATCH(N1536,tblChannels[Channel ID],0)),0),"Watched","Unwatched"))</f>
        <v/>
      </c>
      <c r="C1536" s="40" t="n"/>
      <c r="D1536" s="41" t="n"/>
      <c r="E1536" s="42" t="n">
        <v>44186.42708333334</v>
      </c>
      <c r="F1536" s="53" t="inlineStr">
        <is>
          <t>Jonathan Carlin</t>
        </is>
      </c>
      <c r="G1536" t="inlineStr">
        <is>
          <t>Decorating the NEW Set!</t>
        </is>
      </c>
      <c r="H1536" s="44" t="n">
        <v>0.006296296296296296</v>
      </c>
      <c r="I1536" s="45" t="n">
        <v>34060</v>
      </c>
      <c r="J1536" s="45" t="n">
        <v>2314</v>
      </c>
      <c r="K1536" s="45" t="n">
        <v>213</v>
      </c>
      <c r="L1536" s="46" t="n"/>
      <c r="M1536" s="47" t="n"/>
      <c r="N1536" s="47" t="inlineStr">
        <is>
          <t>UCYPKFe86e6nm4TVUYKLsFUQ</t>
        </is>
      </c>
      <c r="O1536" s="48" t="n">
        <v>44186.63541666666</v>
      </c>
      <c r="P1536" s="49" t="n">
        <v>44186</v>
      </c>
      <c r="Q1536" s="47" t="n">
        <v>1732</v>
      </c>
      <c r="R1536" s="47" t="inlineStr">
        <is>
          <t>No Video ID yet</t>
        </is>
      </c>
      <c r="S1536" s="49" t="n"/>
      <c r="T1536" s="49" t="n"/>
      <c r="U1536" s="47" t="inlineStr">
        <is>
          <t>This week Luke plays his first board game, Ben and J decorate the new set and we unbox a lifesize Grogu and give him a blow out!</t>
        </is>
      </c>
      <c r="V1536" s="47">
        <f>IF(AND(P1536&gt;=Calendar!$K$2,P1536&lt;EDATE(Calendar!$K$2,1),OR(Calendar!$K$4="*",N1536=Calendar!$K$4)),P1536*100+COUNTIFS($P$6:$P$3267,P1536,$Q$6:$Q$3267,"&lt;="&amp;Q1536,$N$6:$N$3267,Calendar!$K$4),"")</f>
        <v/>
      </c>
      <c r="W1536" s="47">
        <f>IF(AND(B1536=Queue!$C$4,OR(Queue!$K$4="*",N1536=Queue!$K$4)),Q1536,"")</f>
        <v/>
      </c>
    </row>
    <row r="1537">
      <c r="A1537" s="38">
        <f>IF(M1537="","",HYPERLINK("https://www.youtube.com/watch?v="&amp;M1537,"▶"))</f>
        <v/>
      </c>
      <c r="B1537" s="39">
        <f>IF(C1537&lt;&gt;"",C1537,IF(P1537&lt;=IFERROR(INDEX(tblChannels[Watched Through],MATCH(N1537,tblChannels[Channel ID],0)),0),"Watched","Unwatched"))</f>
        <v/>
      </c>
      <c r="C1537" s="40" t="n"/>
      <c r="D1537" s="41" t="n"/>
      <c r="E1537" s="42" t="n">
        <v>44186.25</v>
      </c>
      <c r="F1537" s="43" t="inlineStr">
        <is>
          <t>Popcorn Culture</t>
        </is>
      </c>
      <c r="G1537" t="inlineStr">
        <is>
          <t>51 - Pizza Parties are the Best Reward</t>
        </is>
      </c>
      <c r="H1537" s="44" t="n">
        <v>0.04605324074074074</v>
      </c>
      <c r="I1537" s="45" t="n">
        <v>2282</v>
      </c>
      <c r="J1537" s="45" t="n">
        <v>109</v>
      </c>
      <c r="K1537" s="45" t="n">
        <v>10</v>
      </c>
      <c r="L1537" s="46" t="n"/>
      <c r="M1537" s="47" t="n"/>
      <c r="N1537" s="47" t="inlineStr">
        <is>
          <t>UCHfIbq9thHPC8yrKjAdJgDA</t>
        </is>
      </c>
      <c r="O1537" s="48" t="n">
        <v>44186.45833333334</v>
      </c>
      <c r="P1537" s="49" t="n">
        <v>44186</v>
      </c>
      <c r="Q1537" s="47" t="n">
        <v>1731</v>
      </c>
      <c r="R1537" s="47" t="inlineStr">
        <is>
          <t>No Video ID yet</t>
        </is>
      </c>
      <c r="S1537" s="49" t="n"/>
      <c r="T1537" s="49" t="n"/>
      <c r="U1537" s="47" t="inlineStr">
        <is>
          <t>Ben and J discuss: skilled announcers and commentators, Beamer Ball, types of motivation, trophy ceremonies, elementary school rewards, bikes, cameras, and gift giving. 3XL Gloves Friend: Over the Edge video:</t>
        </is>
      </c>
      <c r="V1537" s="47">
        <f>IF(AND(P1537&gt;=Calendar!$K$2,P1537&lt;EDATE(Calendar!$K$2,1),OR(Calendar!$K$4="*",N1537=Calendar!$K$4)),P1537*100+COUNTIFS($P$6:$P$3267,P1537,$Q$6:$Q$3267,"&lt;="&amp;Q1537,$N$6:$N$3267,Calendar!$K$4),"")</f>
        <v/>
      </c>
      <c r="W1537" s="47">
        <f>IF(AND(B1537=Queue!$C$4,OR(Queue!$K$4="*",N1537=Queue!$K$4)),Q1537,"")</f>
        <v/>
      </c>
    </row>
    <row r="1538">
      <c r="A1538" s="38">
        <f>IF(M1538="","",HYPERLINK("https://www.youtube.com/watch?v="&amp;M1538,"▶"))</f>
        <v/>
      </c>
      <c r="B1538" s="39">
        <f>IF(C1538&lt;&gt;"",C1538,IF(P1538&lt;=IFERROR(INDEX(tblChannels[Watched Through],MATCH(N1538,tblChannels[Channel ID],0)),0),"Watched","Unwatched"))</f>
        <v/>
      </c>
      <c r="C1538" s="40" t="n"/>
      <c r="D1538" s="41" t="n"/>
      <c r="E1538" s="42" t="n">
        <v>44183.25</v>
      </c>
      <c r="F1538" s="43" t="inlineStr">
        <is>
          <t>Popcorn Culture</t>
        </is>
      </c>
      <c r="G1538" t="inlineStr">
        <is>
          <t>50 - Ben Give's (Bad) Examples</t>
        </is>
      </c>
      <c r="H1538" s="44" t="n">
        <v>0.04788194444444444</v>
      </c>
      <c r="I1538" s="45" t="n">
        <v>2476</v>
      </c>
      <c r="J1538" s="45" t="n">
        <v>116</v>
      </c>
      <c r="K1538" s="45" t="n">
        <v>8</v>
      </c>
      <c r="L1538" s="46" t="n"/>
      <c r="M1538" s="47" t="n"/>
      <c r="N1538" s="47" t="inlineStr">
        <is>
          <t>UCHfIbq9thHPC8yrKjAdJgDA</t>
        </is>
      </c>
      <c r="O1538" s="48" t="n">
        <v>44183.45833333334</v>
      </c>
      <c r="P1538" s="49" t="n">
        <v>44183</v>
      </c>
      <c r="Q1538" s="47" t="n">
        <v>1730</v>
      </c>
      <c r="R1538" s="47" t="inlineStr">
        <is>
          <t>No Video ID yet</t>
        </is>
      </c>
      <c r="S1538" s="49" t="n"/>
      <c r="T1538" s="49" t="n"/>
      <c r="U1538" s="47" t="inlineStr">
        <is>
          <t>Ben and J discuss: calendars, memory, paintball, biking, cell phones, singing along, what’s “trendy”, board games, important music, Netflix pressure, and Instagram. Merged Circus Companies: Emily in Paris Trailer: Greatest Showman Trailer: Ben’s Insta: J’s Insta:</t>
        </is>
      </c>
      <c r="V1538" s="47">
        <f>IF(AND(P1538&gt;=Calendar!$K$2,P1538&lt;EDATE(Calendar!$K$2,1),OR(Calendar!$K$4="*",N1538=Calendar!$K$4)),P1538*100+COUNTIFS($P$6:$P$3267,P1538,$Q$6:$Q$3267,"&lt;="&amp;Q1538,$N$6:$N$3267,Calendar!$K$4),"")</f>
        <v/>
      </c>
      <c r="W1538" s="47">
        <f>IF(AND(B1538=Queue!$C$4,OR(Queue!$K$4="*",N1538=Queue!$K$4)),Q1538,"")</f>
        <v/>
      </c>
    </row>
    <row r="1539">
      <c r="A1539" s="38">
        <f>IF(M1539="","",HYPERLINK("https://www.youtube.com/watch?v="&amp;M1539,"▶"))</f>
        <v/>
      </c>
      <c r="B1539" s="39">
        <f>IF(C1539&lt;&gt;"",C1539,IF(P1539&lt;=IFERROR(INDEX(tblChannels[Watched Through],MATCH(N1539,tblChannels[Channel ID],0)),0),"Watched","Unwatched"))</f>
        <v/>
      </c>
      <c r="C1539" s="40" t="n"/>
      <c r="D1539" s="41" t="n"/>
      <c r="E1539" s="42" t="n">
        <v>44182.78541666667</v>
      </c>
      <c r="F1539" s="50" t="inlineStr">
        <is>
          <t>Super Carlin Brothers</t>
        </is>
      </c>
      <c r="G1539" t="inlineStr">
        <is>
          <t>How To Block Avada Kedavra [Harry Potter Theory]</t>
        </is>
      </c>
      <c r="H1539" s="44" t="n">
        <v>0.01141203703703704</v>
      </c>
      <c r="I1539" s="45" t="n">
        <v>584189</v>
      </c>
      <c r="J1539" s="45" t="n">
        <v>21054</v>
      </c>
      <c r="K1539" s="45" t="n">
        <v>3222</v>
      </c>
      <c r="L1539" s="46" t="n"/>
      <c r="M1539" s="47" t="n"/>
      <c r="N1539" s="47" t="inlineStr">
        <is>
          <t>UCKZo4N0lVPccBkSiuyVh4yg</t>
        </is>
      </c>
      <c r="O1539" s="48" t="n">
        <v>44182.99375</v>
      </c>
      <c r="P1539" s="49" t="n">
        <v>44182</v>
      </c>
      <c r="Q1539" s="47" t="n">
        <v>1729</v>
      </c>
      <c r="R1539" s="47" t="inlineStr">
        <is>
          <t>No Video ID yet</t>
        </is>
      </c>
      <c r="S1539" s="49" t="n"/>
      <c r="T1539" s="49" t="n"/>
      <c r="U1539" s="47" t="inlineStr">
        <is>
          <t>Go to to get 20% off your first monthly box when you sign up! Today Ben dives into the Wizarding World of Harry Potter to reveal how to block the unblockable Killing Curse: Avada Kedavra!</t>
        </is>
      </c>
      <c r="V1539" s="47">
        <f>IF(AND(P1539&gt;=Calendar!$K$2,P1539&lt;EDATE(Calendar!$K$2,1),OR(Calendar!$K$4="*",N1539=Calendar!$K$4)),P1539*100+COUNTIFS($P$6:$P$3267,P1539,$Q$6:$Q$3267,"&lt;="&amp;Q1539,$N$6:$N$3267,Calendar!$K$4),"")</f>
        <v/>
      </c>
      <c r="W1539" s="47">
        <f>IF(AND(B1539=Queue!$C$4,OR(Queue!$K$4="*",N1539=Queue!$K$4)),Q1539,"")</f>
        <v/>
      </c>
    </row>
    <row r="1540">
      <c r="A1540" s="38">
        <f>IF(M1540="","",HYPERLINK("https://www.youtube.com/watch?v="&amp;M1540,"▶"))</f>
        <v/>
      </c>
      <c r="B1540" s="39">
        <f>IF(C1540&lt;&gt;"",C1540,IF(P1540&lt;=IFERROR(INDEX(tblChannels[Watched Through],MATCH(N1540,tblChannels[Channel ID],0)),0),"Watched","Unwatched"))</f>
        <v/>
      </c>
      <c r="C1540" s="40" t="n"/>
      <c r="D1540" s="41" t="n"/>
      <c r="E1540" s="42" t="n">
        <v>44182.25</v>
      </c>
      <c r="F1540" s="43" t="inlineStr">
        <is>
          <t>Popcorn Culture</t>
        </is>
      </c>
      <c r="G1540" t="inlineStr">
        <is>
          <t>49 - Braincrack</t>
        </is>
      </c>
      <c r="H1540" s="44" t="n">
        <v>0.04248842592592592</v>
      </c>
      <c r="I1540" s="45" t="n">
        <v>2013</v>
      </c>
      <c r="J1540" s="45" t="n">
        <v>107</v>
      </c>
      <c r="K1540" s="45" t="n">
        <v>12</v>
      </c>
      <c r="L1540" s="46" t="n"/>
      <c r="M1540" s="47" t="n"/>
      <c r="N1540" s="47" t="inlineStr">
        <is>
          <t>UCHfIbq9thHPC8yrKjAdJgDA</t>
        </is>
      </c>
      <c r="O1540" s="48" t="n">
        <v>44182.45833333334</v>
      </c>
      <c r="P1540" s="49" t="n">
        <v>44182</v>
      </c>
      <c r="Q1540" s="47" t="n">
        <v>1728</v>
      </c>
      <c r="R1540" s="47" t="inlineStr">
        <is>
          <t>No Video ID yet</t>
        </is>
      </c>
      <c r="S1540" s="49" t="n"/>
      <c r="T1540" s="49" t="n"/>
      <c r="U1540" s="47" t="inlineStr">
        <is>
          <t>Ben and J discuss: jokes, snacks, cereal, meat smoking, SCB offices, negotiation, RV campers, chess, and mountain biking. Why did the chicken cross the road?:</t>
        </is>
      </c>
      <c r="V1540" s="47">
        <f>IF(AND(P1540&gt;=Calendar!$K$2,P1540&lt;EDATE(Calendar!$K$2,1),OR(Calendar!$K$4="*",N1540=Calendar!$K$4)),P1540*100+COUNTIFS($P$6:$P$3267,P1540,$Q$6:$Q$3267,"&lt;="&amp;Q1540,$N$6:$N$3267,Calendar!$K$4),"")</f>
        <v/>
      </c>
      <c r="W1540" s="47">
        <f>IF(AND(B1540=Queue!$C$4,OR(Queue!$K$4="*",N1540=Queue!$K$4)),Q1540,"")</f>
        <v/>
      </c>
    </row>
    <row r="1541">
      <c r="A1541" s="38">
        <f>IF(M1541="","",HYPERLINK("https://www.youtube.com/watch?v="&amp;M1541,"▶"))</f>
        <v/>
      </c>
      <c r="B1541" s="39">
        <f>IF(C1541&lt;&gt;"",C1541,IF(P1541&lt;=IFERROR(INDEX(tblChannels[Watched Through],MATCH(N1541,tblChannels[Channel ID],0)),0),"Watched","Unwatched"))</f>
        <v/>
      </c>
      <c r="C1541" s="40" t="n"/>
      <c r="D1541" s="41" t="n"/>
      <c r="E1541" s="42" t="n">
        <v>44181.25</v>
      </c>
      <c r="F1541" s="43" t="inlineStr">
        <is>
          <t>Popcorn Culture</t>
        </is>
      </c>
      <c r="G1541" t="inlineStr">
        <is>
          <t>48 - Pulling off the En Passant</t>
        </is>
      </c>
      <c r="H1541" s="44" t="n">
        <v>0.05016203703703704</v>
      </c>
      <c r="I1541" s="45" t="n">
        <v>2229</v>
      </c>
      <c r="J1541" s="45" t="n">
        <v>90</v>
      </c>
      <c r="K1541" s="45" t="n">
        <v>10</v>
      </c>
      <c r="L1541" s="46" t="n"/>
      <c r="M1541" s="47" t="n"/>
      <c r="N1541" s="47" t="inlineStr">
        <is>
          <t>UCHfIbq9thHPC8yrKjAdJgDA</t>
        </is>
      </c>
      <c r="O1541" s="48" t="n">
        <v>44181.45833333334</v>
      </c>
      <c r="P1541" s="49" t="n">
        <v>44181</v>
      </c>
      <c r="Q1541" s="47" t="n">
        <v>1727</v>
      </c>
      <c r="R1541" s="47" t="inlineStr">
        <is>
          <t>No Video ID yet</t>
        </is>
      </c>
      <c r="S1541" s="49" t="n"/>
      <c r="T1541" s="49" t="n"/>
      <c r="U1541" s="47" t="inlineStr">
        <is>
          <t>Ben and J discuss: Intro to Acting 101, the vulnerability of enthusiasm, color theory, animal sidekicks, mountain biking, beginner’s luck, chess strategy, and dog skills. Purple doesn’t exist (adult language): J riding the skinny: Dunning Kruger Effect: DARE Programs are not effective: Beginner’s Luck and why it works: Queen’s Gambit Trailer: En Passant in Chess:</t>
        </is>
      </c>
      <c r="V1541" s="47">
        <f>IF(AND(P1541&gt;=Calendar!$K$2,P1541&lt;EDATE(Calendar!$K$2,1),OR(Calendar!$K$4="*",N1541=Calendar!$K$4)),P1541*100+COUNTIFS($P$6:$P$3267,P1541,$Q$6:$Q$3267,"&lt;="&amp;Q1541,$N$6:$N$3267,Calendar!$K$4),"")</f>
        <v/>
      </c>
      <c r="W1541" s="47">
        <f>IF(AND(B1541=Queue!$C$4,OR(Queue!$K$4="*",N1541=Queue!$K$4)),Q1541,"")</f>
        <v/>
      </c>
    </row>
    <row r="1542">
      <c r="A1542" s="38">
        <f>IF(M1542="","",HYPERLINK("https://www.youtube.com/watch?v="&amp;M1542,"▶"))</f>
        <v/>
      </c>
      <c r="B1542" s="39">
        <f>IF(C1542&lt;&gt;"",C1542,IF(P1542&lt;=IFERROR(INDEX(tblChannels[Watched Through],MATCH(N1542,tblChannels[Channel ID],0)),0),"Watched","Unwatched"))</f>
        <v/>
      </c>
      <c r="C1542" s="40" t="n"/>
      <c r="D1542" s="41" t="n"/>
      <c r="E1542" s="42" t="n">
        <v>44180.65902777778</v>
      </c>
      <c r="F1542" s="50" t="inlineStr">
        <is>
          <t>Super Carlin Brothers</t>
        </is>
      </c>
      <c r="G1542" t="inlineStr">
        <is>
          <t>Buzz Lightyear’s Origin Story [Pixar Theory]</t>
        </is>
      </c>
      <c r="H1542" s="44" t="n">
        <v>0.00986111111111111</v>
      </c>
      <c r="I1542" s="45" t="n">
        <v>430179</v>
      </c>
      <c r="J1542" s="45" t="n">
        <v>18135</v>
      </c>
      <c r="K1542" s="45" t="n">
        <v>2188</v>
      </c>
      <c r="L1542" s="46" t="n"/>
      <c r="M1542" s="47" t="n"/>
      <c r="N1542" s="47" t="inlineStr">
        <is>
          <t>UCKZo4N0lVPccBkSiuyVh4yg</t>
        </is>
      </c>
      <c r="O1542" s="48" t="n">
        <v>44180.86736111111</v>
      </c>
      <c r="P1542" s="49" t="n">
        <v>44180</v>
      </c>
      <c r="Q1542" s="47" t="n">
        <v>1726</v>
      </c>
      <c r="R1542" s="47" t="inlineStr">
        <is>
          <t>No Video ID yet</t>
        </is>
      </c>
      <c r="S1542" s="49" t="n"/>
      <c r="T1542" s="49" t="n"/>
      <c r="U1542" s="47" t="inlineStr">
        <is>
          <t>Hurry to to find out HOW LOW your Upstart rate can be! Today J dives into the world of Disney and Pixar to discuss the Disney Investors meeting and the plethora of new projects they announced including the new Pixar movie Lightyear which will tell the origin story of the REAL Buzz whom the toy is later based on! #SuperCarlinBrothers #Lightyear #Pixar</t>
        </is>
      </c>
      <c r="V1542" s="47">
        <f>IF(AND(P1542&gt;=Calendar!$K$2,P1542&lt;EDATE(Calendar!$K$2,1),OR(Calendar!$K$4="*",N1542=Calendar!$K$4)),P1542*100+COUNTIFS($P$6:$P$3267,P1542,$Q$6:$Q$3267,"&lt;="&amp;Q1542,$N$6:$N$3267,Calendar!$K$4),"")</f>
        <v/>
      </c>
      <c r="W1542" s="47">
        <f>IF(AND(B1542=Queue!$C$4,OR(Queue!$K$4="*",N1542=Queue!$K$4)),Q1542,"")</f>
        <v/>
      </c>
    </row>
    <row r="1543">
      <c r="A1543" s="38">
        <f>IF(M1543="","",HYPERLINK("https://www.youtube.com/watch?v="&amp;M1543,"▶"))</f>
        <v/>
      </c>
      <c r="B1543" s="39">
        <f>IF(C1543&lt;&gt;"",C1543,IF(P1543&lt;=IFERROR(INDEX(tblChannels[Watched Through],MATCH(N1543,tblChannels[Channel ID],0)),0),"Watched","Unwatched"))</f>
        <v/>
      </c>
      <c r="C1543" s="40" t="n"/>
      <c r="D1543" s="41" t="n"/>
      <c r="E1543" s="42" t="n">
        <v>44180.25</v>
      </c>
      <c r="F1543" s="43" t="inlineStr">
        <is>
          <t>Popcorn Culture</t>
        </is>
      </c>
      <c r="G1543" t="inlineStr">
        <is>
          <t>47 - A Helix of Condiments</t>
        </is>
      </c>
      <c r="H1543" s="44" t="n">
        <v>0.04388888888888889</v>
      </c>
      <c r="I1543" s="45" t="n">
        <v>2073</v>
      </c>
      <c r="J1543" s="45" t="n">
        <v>93</v>
      </c>
      <c r="K1543" s="45" t="n">
        <v>18</v>
      </c>
      <c r="L1543" s="46" t="n"/>
      <c r="M1543" s="47" t="n"/>
      <c r="N1543" s="47" t="inlineStr">
        <is>
          <t>UCHfIbq9thHPC8yrKjAdJgDA</t>
        </is>
      </c>
      <c r="O1543" s="48" t="n">
        <v>44180.45833333334</v>
      </c>
      <c r="P1543" s="49" t="n">
        <v>44180</v>
      </c>
      <c r="Q1543" s="47" t="n">
        <v>1725</v>
      </c>
      <c r="R1543" s="47" t="inlineStr">
        <is>
          <t>No Video ID yet</t>
        </is>
      </c>
      <c r="S1543" s="49" t="n"/>
      <c r="T1543" s="49" t="n"/>
      <c r="U1543" s="47" t="inlineStr">
        <is>
          <t>Ben and J discuss: premium movie theaters, cable packages, Game of Thrones, Harry Potter, “The Yellow Shirt”, and hot dog toppings. Why is Movie Theater Popcorn So Expensive: Is Hagrid Rich?: The Shirt, Original: Hot Dog Purist Poll: Take the Poll:</t>
        </is>
      </c>
      <c r="V1543" s="47">
        <f>IF(AND(P1543&gt;=Calendar!$K$2,P1543&lt;EDATE(Calendar!$K$2,1),OR(Calendar!$K$4="*",N1543=Calendar!$K$4)),P1543*100+COUNTIFS($P$6:$P$3267,P1543,$Q$6:$Q$3267,"&lt;="&amp;Q1543,$N$6:$N$3267,Calendar!$K$4),"")</f>
        <v/>
      </c>
      <c r="W1543" s="47">
        <f>IF(AND(B1543=Queue!$C$4,OR(Queue!$K$4="*",N1543=Queue!$K$4)),Q1543,"")</f>
        <v/>
      </c>
    </row>
    <row r="1544">
      <c r="A1544" s="38">
        <f>IF(M1544="","",HYPERLINK("https://www.youtube.com/watch?v="&amp;M1544,"▶"))</f>
        <v/>
      </c>
      <c r="B1544" s="39">
        <f>IF(C1544&lt;&gt;"",C1544,IF(P1544&lt;=IFERROR(INDEX(tblChannels[Watched Through],MATCH(N1544,tblChannels[Channel ID],0)),0),"Watched","Unwatched"))</f>
        <v/>
      </c>
      <c r="C1544" s="40" t="n"/>
      <c r="D1544" s="41" t="n"/>
      <c r="E1544" s="42" t="n">
        <v>44179.42708333334</v>
      </c>
      <c r="F1544" s="53" t="inlineStr">
        <is>
          <t>Jonathan Carlin</t>
        </is>
      </c>
      <c r="G1544" t="inlineStr">
        <is>
          <t>Carlin Family Christmas Tree!</t>
        </is>
      </c>
      <c r="H1544" s="44" t="n">
        <v>0.007453703703703704</v>
      </c>
      <c r="I1544" s="45" t="n">
        <v>26772</v>
      </c>
      <c r="J1544" s="45" t="n">
        <v>1936</v>
      </c>
      <c r="K1544" s="45" t="n">
        <v>191</v>
      </c>
      <c r="L1544" s="46" t="n"/>
      <c r="M1544" s="47" t="n"/>
      <c r="N1544" s="47" t="inlineStr">
        <is>
          <t>UCYPKFe86e6nm4TVUYKLsFUQ</t>
        </is>
      </c>
      <c r="O1544" s="48" t="n">
        <v>44179.63541666666</v>
      </c>
      <c r="P1544" s="49" t="n">
        <v>44179</v>
      </c>
      <c r="Q1544" s="47" t="n">
        <v>1724</v>
      </c>
      <c r="R1544" s="47" t="inlineStr">
        <is>
          <t>No Video ID yet</t>
        </is>
      </c>
      <c r="S1544" s="49" t="n"/>
      <c r="T1544" s="49" t="n"/>
      <c r="U1544" s="47" t="inlineStr">
        <is>
          <t>Happy Twelve-O- Five Day Everyone! This week J, Beth, Luke and the twins head out to get a Christmas Tree and celebrate the 6 year anniversary of J and Beth's engagement! Also J and Luke discover some mysterious holes in a tree!</t>
        </is>
      </c>
      <c r="V1544" s="47">
        <f>IF(AND(P1544&gt;=Calendar!$K$2,P1544&lt;EDATE(Calendar!$K$2,1),OR(Calendar!$K$4="*",N1544=Calendar!$K$4)),P1544*100+COUNTIFS($P$6:$P$3267,P1544,$Q$6:$Q$3267,"&lt;="&amp;Q1544,$N$6:$N$3267,Calendar!$K$4),"")</f>
        <v/>
      </c>
      <c r="W1544" s="47">
        <f>IF(AND(B1544=Queue!$C$4,OR(Queue!$K$4="*",N1544=Queue!$K$4)),Q1544,"")</f>
        <v/>
      </c>
    </row>
    <row r="1545">
      <c r="A1545" s="38">
        <f>IF(M1545="","",HYPERLINK("https://www.youtube.com/watch?v="&amp;M1545,"▶"))</f>
        <v/>
      </c>
      <c r="B1545" s="39">
        <f>IF(C1545&lt;&gt;"",C1545,IF(P1545&lt;=IFERROR(INDEX(tblChannels[Watched Through],MATCH(N1545,tblChannels[Channel ID],0)),0),"Watched","Unwatched"))</f>
        <v/>
      </c>
      <c r="C1545" s="40" t="n"/>
      <c r="D1545" s="41" t="n"/>
      <c r="E1545" s="42" t="n">
        <v>44179.25</v>
      </c>
      <c r="F1545" s="43" t="inlineStr">
        <is>
          <t>Popcorn Culture</t>
        </is>
      </c>
      <c r="G1545" t="inlineStr">
        <is>
          <t>46 - The Element of Surprise</t>
        </is>
      </c>
      <c r="H1545" s="44" t="n">
        <v>0.04258101851851852</v>
      </c>
      <c r="I1545" s="45" t="n">
        <v>2153</v>
      </c>
      <c r="J1545" s="45" t="n">
        <v>103</v>
      </c>
      <c r="K1545" s="45" t="n">
        <v>17</v>
      </c>
      <c r="L1545" s="46" t="n"/>
      <c r="M1545" s="47" t="n"/>
      <c r="N1545" s="47" t="inlineStr">
        <is>
          <t>UCHfIbq9thHPC8yrKjAdJgDA</t>
        </is>
      </c>
      <c r="O1545" s="48" t="n">
        <v>44179.45833333334</v>
      </c>
      <c r="P1545" s="49" t="n">
        <v>44179</v>
      </c>
      <c r="Q1545" s="47" t="n">
        <v>1723</v>
      </c>
      <c r="R1545" s="47" t="inlineStr">
        <is>
          <t>No Video ID yet</t>
        </is>
      </c>
      <c r="S1545" s="49" t="n"/>
      <c r="T1545" s="49" t="n"/>
      <c r="U1545" s="47" t="inlineStr">
        <is>
          <t>Ben and J discuss: permanent marker, harmless pranks, food hacks, the Mandalorian, interesting superpowers, Christmas music, ladders, and horses. LAST CHANCE to get your Person card: Taking sharpie off with dry erase marker: Adding Milk to Eggs (spoilers - don’t do it): Making powdered sugar from granulated: Thrawn is coming: Longest long jump distance:</t>
        </is>
      </c>
      <c r="V1545" s="47">
        <f>IF(AND(P1545&gt;=Calendar!$K$2,P1545&lt;EDATE(Calendar!$K$2,1),OR(Calendar!$K$4="*",N1545=Calendar!$K$4)),P1545*100+COUNTIFS($P$6:$P$3267,P1545,$Q$6:$Q$3267,"&lt;="&amp;Q1545,$N$6:$N$3267,Calendar!$K$4),"")</f>
        <v/>
      </c>
      <c r="W1545" s="47">
        <f>IF(AND(B1545=Queue!$C$4,OR(Queue!$K$4="*",N1545=Queue!$K$4)),Q1545,"")</f>
        <v/>
      </c>
    </row>
    <row r="1546">
      <c r="A1546" s="38">
        <f>IF(M1546="","",HYPERLINK("https://www.youtube.com/watch?v="&amp;M1546,"▶"))</f>
        <v/>
      </c>
      <c r="B1546" s="39">
        <f>IF(C1546&lt;&gt;"",C1546,IF(P1546&lt;=IFERROR(INDEX(tblChannels[Watched Through],MATCH(N1546,tblChannels[Channel ID],0)),0),"Watched","Unwatched"))</f>
        <v/>
      </c>
      <c r="C1546" s="40" t="n"/>
      <c r="D1546" s="41" t="n"/>
      <c r="E1546" s="42" t="n">
        <v>44176.25</v>
      </c>
      <c r="F1546" s="43" t="inlineStr">
        <is>
          <t>Popcorn Culture</t>
        </is>
      </c>
      <c r="G1546" t="inlineStr">
        <is>
          <t>45 - Do People Eat Gingerbread Houses?</t>
        </is>
      </c>
      <c r="H1546" s="44" t="n">
        <v>0.04585648148148148</v>
      </c>
      <c r="I1546" s="45" t="n">
        <v>2445</v>
      </c>
      <c r="J1546" s="45" t="n">
        <v>104</v>
      </c>
      <c r="K1546" s="45" t="n">
        <v>14</v>
      </c>
      <c r="L1546" s="46" t="n"/>
      <c r="M1546" s="47" t="n"/>
      <c r="N1546" s="47" t="inlineStr">
        <is>
          <t>UCHfIbq9thHPC8yrKjAdJgDA</t>
        </is>
      </c>
      <c r="O1546" s="48" t="n">
        <v>44176.45833333334</v>
      </c>
      <c r="P1546" s="49" t="n">
        <v>44176</v>
      </c>
      <c r="Q1546" s="47" t="n">
        <v>1722</v>
      </c>
      <c r="R1546" s="47" t="inlineStr">
        <is>
          <t>No Video ID yet</t>
        </is>
      </c>
      <c r="S1546" s="49" t="n"/>
      <c r="T1546" s="49" t="n"/>
      <c r="U1546" s="47" t="inlineStr">
        <is>
          <t>Ben and J discuss: trick or treating, heelies, holiday yard decor, gingerbread houses, chocolate chip ice cream, coyotes, sound systems, and Weird Al. Proof for Person Card: C9 Bulb lights: Bad Hair Day Album: Arctic Wolf Spider:</t>
        </is>
      </c>
      <c r="V1546" s="47">
        <f>IF(AND(P1546&gt;=Calendar!$K$2,P1546&lt;EDATE(Calendar!$K$2,1),OR(Calendar!$K$4="*",N1546=Calendar!$K$4)),P1546*100+COUNTIFS($P$6:$P$3267,P1546,$Q$6:$Q$3267,"&lt;="&amp;Q1546,$N$6:$N$3267,Calendar!$K$4),"")</f>
        <v/>
      </c>
      <c r="W1546" s="47">
        <f>IF(AND(B1546=Queue!$C$4,OR(Queue!$K$4="*",N1546=Queue!$K$4)),Q1546,"")</f>
        <v/>
      </c>
    </row>
    <row r="1547">
      <c r="A1547" s="38">
        <f>IF(M1547="","",HYPERLINK("https://www.youtube.com/watch?v="&amp;M1547,"▶"))</f>
        <v/>
      </c>
      <c r="B1547" s="39">
        <f>IF(C1547&lt;&gt;"",C1547,IF(P1547&lt;=IFERROR(INDEX(tblChannels[Watched Through],MATCH(N1547,tblChannels[Channel ID],0)),0),"Watched","Unwatched"))</f>
        <v/>
      </c>
      <c r="C1547" s="40" t="n"/>
      <c r="D1547" s="41" t="n"/>
      <c r="E1547" s="42" t="n">
        <v>44175.70555555556</v>
      </c>
      <c r="F1547" s="50" t="inlineStr">
        <is>
          <t>Super Carlin Brothers</t>
        </is>
      </c>
      <c r="G1547" t="inlineStr">
        <is>
          <t>J vs Ben: HARDEST Frozen Trivia Quiz</t>
        </is>
      </c>
      <c r="H1547" s="44" t="n">
        <v>0.01439814814814815</v>
      </c>
      <c r="I1547" s="45" t="n">
        <v>155718</v>
      </c>
      <c r="J1547" s="45" t="n">
        <v>6612</v>
      </c>
      <c r="K1547" s="45" t="n">
        <v>653</v>
      </c>
      <c r="L1547" s="46" t="n"/>
      <c r="M1547" s="47" t="n"/>
      <c r="N1547" s="47" t="inlineStr">
        <is>
          <t>UCKZo4N0lVPccBkSiuyVh4yg</t>
        </is>
      </c>
      <c r="O1547" s="48" t="n">
        <v>44175.91388888889</v>
      </c>
      <c r="P1547" s="49" t="n">
        <v>44175</v>
      </c>
      <c r="Q1547" s="47" t="n">
        <v>1721</v>
      </c>
      <c r="R1547" s="47" t="inlineStr">
        <is>
          <t>No Video ID yet</t>
        </is>
      </c>
      <c r="S1547" s="49" t="n"/>
      <c r="T1547" s="49" t="n"/>
      <c r="U1547" s="47" t="inlineStr">
        <is>
          <t>Get $5 off and zero delivery fees on your first order of $15 or more when you download the DoorDash app and enter code JVSB! Go to and use the code JVSB to claim your special offer today! It's getting COLD out so today J and Ben face off once again to find out who knows the most about Anna, Elsa, Olaf, Kristoff and the entire world of Disney’s Frozen! #SuperCarlinBrothers #Frozen #Disney</t>
        </is>
      </c>
      <c r="V1547" s="47">
        <f>IF(AND(P1547&gt;=Calendar!$K$2,P1547&lt;EDATE(Calendar!$K$2,1),OR(Calendar!$K$4="*",N1547=Calendar!$K$4)),P1547*100+COUNTIFS($P$6:$P$3267,P1547,$Q$6:$Q$3267,"&lt;="&amp;Q1547,$N$6:$N$3267,Calendar!$K$4),"")</f>
        <v/>
      </c>
      <c r="W1547" s="47">
        <f>IF(AND(B1547=Queue!$C$4,OR(Queue!$K$4="*",N1547=Queue!$K$4)),Q1547,"")</f>
        <v/>
      </c>
    </row>
    <row r="1548">
      <c r="A1548" s="38">
        <f>IF(M1548="","",HYPERLINK("https://www.youtube.com/watch?v="&amp;M1548,"▶"))</f>
        <v/>
      </c>
      <c r="B1548" s="39">
        <f>IF(C1548&lt;&gt;"",C1548,IF(P1548&lt;=IFERROR(INDEX(tblChannels[Watched Through],MATCH(N1548,tblChannels[Channel ID],0)),0),"Watched","Unwatched"))</f>
        <v/>
      </c>
      <c r="C1548" s="40" t="n"/>
      <c r="D1548" s="41" t="n"/>
      <c r="E1548" s="42" t="n">
        <v>44175.25</v>
      </c>
      <c r="F1548" s="43" t="inlineStr">
        <is>
          <t>Popcorn Culture</t>
        </is>
      </c>
      <c r="G1548" t="inlineStr">
        <is>
          <t>44 - We Know Literally Nothing About Music</t>
        </is>
      </c>
      <c r="H1548" s="44" t="n">
        <v>0.05074074074074074</v>
      </c>
      <c r="I1548" s="45" t="n">
        <v>2500</v>
      </c>
      <c r="J1548" s="45" t="n">
        <v>118</v>
      </c>
      <c r="K1548" s="45" t="n">
        <v>27</v>
      </c>
      <c r="L1548" s="46" t="n"/>
      <c r="M1548" s="47" t="n"/>
      <c r="N1548" s="47" t="inlineStr">
        <is>
          <t>UCHfIbq9thHPC8yrKjAdJgDA</t>
        </is>
      </c>
      <c r="O1548" s="48" t="n">
        <v>44175.45833333334</v>
      </c>
      <c r="P1548" s="49" t="n">
        <v>44175</v>
      </c>
      <c r="Q1548" s="47" t="n">
        <v>1720</v>
      </c>
      <c r="R1548" s="47" t="inlineStr">
        <is>
          <t>No Video ID yet</t>
        </is>
      </c>
      <c r="S1548" s="49" t="n"/>
      <c r="T1548" s="49" t="n"/>
      <c r="U1548" s="47" t="inlineStr">
        <is>
          <t>Ben and J discuss: wild horses, joke construction, Ted Lasso, musicians, American Idol, country songs, one-star reviews, Lime Scooters, and being in on inside jokes. Chincoteague and Assateague: Ted Lasso Trailer (#notsponsored): Building Frequencies (there’s a video on the right): When Building frequencies go wrong: American Idol contestants who became successful: Join the Patreon and get your own Popcast Person Card:</t>
        </is>
      </c>
      <c r="V1548" s="47">
        <f>IF(AND(P1548&gt;=Calendar!$K$2,P1548&lt;EDATE(Calendar!$K$2,1),OR(Calendar!$K$4="*",N1548=Calendar!$K$4)),P1548*100+COUNTIFS($P$6:$P$3267,P1548,$Q$6:$Q$3267,"&lt;="&amp;Q1548,$N$6:$N$3267,Calendar!$K$4),"")</f>
        <v/>
      </c>
      <c r="W1548" s="47">
        <f>IF(AND(B1548=Queue!$C$4,OR(Queue!$K$4="*",N1548=Queue!$K$4)),Q1548,"")</f>
        <v/>
      </c>
    </row>
    <row r="1549">
      <c r="A1549" s="38">
        <f>IF(M1549="","",HYPERLINK("https://www.youtube.com/watch?v="&amp;M1549,"▶"))</f>
        <v/>
      </c>
      <c r="B1549" s="39">
        <f>IF(C1549&lt;&gt;"",C1549,IF(P1549&lt;=IFERROR(INDEX(tblChannels[Watched Through],MATCH(N1549,tblChannels[Channel ID],0)),0),"Watched","Unwatched"))</f>
        <v/>
      </c>
      <c r="C1549" s="40" t="n"/>
      <c r="D1549" s="41" t="n"/>
      <c r="E1549" s="42" t="n">
        <v>44174.25</v>
      </c>
      <c r="F1549" s="43" t="inlineStr">
        <is>
          <t>Popcorn Culture</t>
        </is>
      </c>
      <c r="G1549" t="inlineStr">
        <is>
          <t>43 - How To Start A New Idea</t>
        </is>
      </c>
      <c r="H1549" s="44" t="n">
        <v>0.04479166666666667</v>
      </c>
      <c r="I1549" s="45" t="n">
        <v>2290</v>
      </c>
      <c r="J1549" s="45" t="n">
        <v>113</v>
      </c>
      <c r="K1549" s="45" t="n">
        <v>10</v>
      </c>
      <c r="L1549" s="46" t="n"/>
      <c r="M1549" s="47" t="n"/>
      <c r="N1549" s="47" t="inlineStr">
        <is>
          <t>UCHfIbq9thHPC8yrKjAdJgDA</t>
        </is>
      </c>
      <c r="O1549" s="48" t="n">
        <v>44174.45833333334</v>
      </c>
      <c r="P1549" s="49" t="n">
        <v>44174</v>
      </c>
      <c r="Q1549" s="47" t="n">
        <v>1719</v>
      </c>
      <c r="R1549" s="47" t="inlineStr">
        <is>
          <t>No Video ID yet</t>
        </is>
      </c>
      <c r="S1549" s="49" t="n"/>
      <c r="T1549" s="49" t="n"/>
      <c r="U1549" s="47" t="inlineStr">
        <is>
          <t>Ben and J discuss: Person Cards, Wild Opportunities, Starting Carlin Brothers Coffee, Life Plans, Rain, Mountain Biking, Tattoos, and Ski Adventures. Join the Patreon and get your own Popcast Person Card: Three-Wolf Moon Shirt: J loves Beanbags Picture:</t>
        </is>
      </c>
      <c r="V1549" s="47">
        <f>IF(AND(P1549&gt;=Calendar!$K$2,P1549&lt;EDATE(Calendar!$K$2,1),OR(Calendar!$K$4="*",N1549=Calendar!$K$4)),P1549*100+COUNTIFS($P$6:$P$3267,P1549,$Q$6:$Q$3267,"&lt;="&amp;Q1549,$N$6:$N$3267,Calendar!$K$4),"")</f>
        <v/>
      </c>
      <c r="W1549" s="47">
        <f>IF(AND(B1549=Queue!$C$4,OR(Queue!$K$4="*",N1549=Queue!$K$4)),Q1549,"")</f>
        <v/>
      </c>
    </row>
    <row r="1550">
      <c r="A1550" s="38">
        <f>IF(M1550="","",HYPERLINK("https://www.youtube.com/watch?v="&amp;M1550,"▶"))</f>
        <v/>
      </c>
      <c r="B1550" s="39">
        <f>IF(C1550&lt;&gt;"",C1550,IF(P1550&lt;=IFERROR(INDEX(tblChannels[Watched Through],MATCH(N1550,tblChannels[Channel ID],0)),0),"Watched","Unwatched"))</f>
        <v/>
      </c>
      <c r="C1550" s="40" t="n"/>
      <c r="D1550" s="41" t="n"/>
      <c r="E1550" s="42" t="n">
        <v>44173.78958333333</v>
      </c>
      <c r="F1550" s="50" t="inlineStr">
        <is>
          <t>Super Carlin Brothers</t>
        </is>
      </c>
      <c r="G1550" t="inlineStr">
        <is>
          <t>Rey and Grogu’s SECRET Connection! [Star Wars Theory]</t>
        </is>
      </c>
      <c r="H1550" s="44" t="n">
        <v>0.009212962962962963</v>
      </c>
      <c r="I1550" s="45" t="n">
        <v>116227</v>
      </c>
      <c r="J1550" s="45" t="n">
        <v>6709</v>
      </c>
      <c r="K1550" s="45" t="n">
        <v>1014</v>
      </c>
      <c r="L1550" s="46" t="n"/>
      <c r="M1550" s="47" t="n"/>
      <c r="N1550" s="47" t="inlineStr">
        <is>
          <t>UCKZo4N0lVPccBkSiuyVh4yg</t>
        </is>
      </c>
      <c r="O1550" s="48" t="n">
        <v>44173.99791666667</v>
      </c>
      <c r="P1550" s="49" t="n">
        <v>44173</v>
      </c>
      <c r="Q1550" s="47" t="n">
        <v>1718</v>
      </c>
      <c r="R1550" s="47" t="inlineStr">
        <is>
          <t>No Video ID yet</t>
        </is>
      </c>
      <c r="S1550" s="49" t="n"/>
      <c r="T1550" s="49" t="n"/>
      <c r="U1550" s="47" t="inlineStr">
        <is>
          <t>Hello Fresh :: Go to and use code super80 to get $80 off including free shipping! Today J dives into the Star Wars Galaxy to discuss The Mandalorian and how Baby Yoda aka Grogu is connected to Rey! #SuperCarlinBrothers #StarWars</t>
        </is>
      </c>
      <c r="V1550" s="47">
        <f>IF(AND(P1550&gt;=Calendar!$K$2,P1550&lt;EDATE(Calendar!$K$2,1),OR(Calendar!$K$4="*",N1550=Calendar!$K$4)),P1550*100+COUNTIFS($P$6:$P$3267,P1550,$Q$6:$Q$3267,"&lt;="&amp;Q1550,$N$6:$N$3267,Calendar!$K$4),"")</f>
        <v/>
      </c>
      <c r="W1550" s="47">
        <f>IF(AND(B1550=Queue!$C$4,OR(Queue!$K$4="*",N1550=Queue!$K$4)),Q1550,"")</f>
        <v/>
      </c>
    </row>
    <row r="1551">
      <c r="A1551" s="38">
        <f>IF(M1551="","",HYPERLINK("https://www.youtube.com/watch?v="&amp;M1551,"▶"))</f>
        <v/>
      </c>
      <c r="B1551" s="39">
        <f>IF(C1551&lt;&gt;"",C1551,IF(P1551&lt;=IFERROR(INDEX(tblChannels[Watched Through],MATCH(N1551,tblChannels[Channel ID],0)),0),"Watched","Unwatched"))</f>
        <v/>
      </c>
      <c r="C1551" s="40" t="n"/>
      <c r="D1551" s="41" t="n"/>
      <c r="E1551" s="42" t="n">
        <v>44173.25</v>
      </c>
      <c r="F1551" s="43" t="inlineStr">
        <is>
          <t>Popcorn Culture</t>
        </is>
      </c>
      <c r="G1551" t="inlineStr">
        <is>
          <t>42 -  Best Ways to Wrap a Present</t>
        </is>
      </c>
      <c r="H1551" s="44" t="n">
        <v>0.04833333333333333</v>
      </c>
      <c r="I1551" s="45" t="n">
        <v>2441</v>
      </c>
      <c r="J1551" s="45" t="n">
        <v>118</v>
      </c>
      <c r="K1551" s="45" t="n">
        <v>17</v>
      </c>
      <c r="L1551" s="46" t="n"/>
      <c r="M1551" s="47" t="n"/>
      <c r="N1551" s="47" t="inlineStr">
        <is>
          <t>UCHfIbq9thHPC8yrKjAdJgDA</t>
        </is>
      </c>
      <c r="O1551" s="48" t="n">
        <v>44173.45833333334</v>
      </c>
      <c r="P1551" s="49" t="n">
        <v>44173</v>
      </c>
      <c r="Q1551" s="47" t="n">
        <v>1717</v>
      </c>
      <c r="R1551" s="47" t="inlineStr">
        <is>
          <t>No Video ID yet</t>
        </is>
      </c>
      <c r="S1551" s="49" t="n"/>
      <c r="T1551" s="49" t="n"/>
      <c r="U1551" s="47" t="inlineStr">
        <is>
          <t>Ben and J discuss: laughter, GMA gift exchange stories, bee stings, mountain biking, Bear Grylls, and the return of sports. Get Your Very Own Metal Person Card: Scott Sterling is the best goalkeeper: Poisonous vs Venomous: Dr Bronner’s Magic Soap (#notsponsored):</t>
        </is>
      </c>
      <c r="V1551" s="47">
        <f>IF(AND(P1551&gt;=Calendar!$K$2,P1551&lt;EDATE(Calendar!$K$2,1),OR(Calendar!$K$4="*",N1551=Calendar!$K$4)),P1551*100+COUNTIFS($P$6:$P$3267,P1551,$Q$6:$Q$3267,"&lt;="&amp;Q1551,$N$6:$N$3267,Calendar!$K$4),"")</f>
        <v/>
      </c>
      <c r="W1551" s="47">
        <f>IF(AND(B1551=Queue!$C$4,OR(Queue!$K$4="*",N1551=Queue!$K$4)),Q1551,"")</f>
        <v/>
      </c>
    </row>
    <row r="1552">
      <c r="A1552" s="38">
        <f>IF(M1552="","",HYPERLINK("https://www.youtube.com/watch?v="&amp;M1552,"▶"))</f>
        <v/>
      </c>
      <c r="B1552" s="39">
        <f>IF(C1552&lt;&gt;"",C1552,IF(P1552&lt;=IFERROR(INDEX(tblChannels[Watched Through],MATCH(N1552,tblChannels[Channel ID],0)),0),"Watched","Unwatched"))</f>
        <v/>
      </c>
      <c r="C1552" s="40" t="n"/>
      <c r="D1552" s="41" t="n"/>
      <c r="E1552" s="42" t="n">
        <v>44172.41666666666</v>
      </c>
      <c r="F1552" s="53" t="inlineStr">
        <is>
          <t>Jonathan Carlin</t>
        </is>
      </c>
      <c r="G1552" t="inlineStr">
        <is>
          <t>LUKE'S THIRD BIRTHDAY!</t>
        </is>
      </c>
      <c r="H1552" s="44" t="n">
        <v>0.00712962962962963</v>
      </c>
      <c r="I1552" s="45" t="n">
        <v>39060</v>
      </c>
      <c r="J1552" s="45" t="n">
        <v>2916</v>
      </c>
      <c r="K1552" s="45" t="n">
        <v>420</v>
      </c>
      <c r="L1552" s="46" t="n"/>
      <c r="M1552" s="47" t="n"/>
      <c r="N1552" s="47" t="inlineStr">
        <is>
          <t>UCYPKFe86e6nm4TVUYKLsFUQ</t>
        </is>
      </c>
      <c r="O1552" s="48" t="n">
        <v>44172.625</v>
      </c>
      <c r="P1552" s="49" t="n">
        <v>44172</v>
      </c>
      <c r="Q1552" s="47" t="n">
        <v>1716</v>
      </c>
      <c r="R1552" s="47" t="inlineStr">
        <is>
          <t>No Video ID yet</t>
        </is>
      </c>
      <c r="S1552" s="49" t="n"/>
      <c r="T1552" s="49" t="n"/>
      <c r="U1552" s="47" t="inlineStr">
        <is>
          <t>This week the Carlin family celebrates Thanksgiving with a virtual Drumstick Dash and Luke celebrates his third birthday!!</t>
        </is>
      </c>
      <c r="V1552" s="47">
        <f>IF(AND(P1552&gt;=Calendar!$K$2,P1552&lt;EDATE(Calendar!$K$2,1),OR(Calendar!$K$4="*",N1552=Calendar!$K$4)),P1552*100+COUNTIFS($P$6:$P$3267,P1552,$Q$6:$Q$3267,"&lt;="&amp;Q1552,$N$6:$N$3267,Calendar!$K$4),"")</f>
        <v/>
      </c>
      <c r="W1552" s="47">
        <f>IF(AND(B1552=Queue!$C$4,OR(Queue!$K$4="*",N1552=Queue!$K$4)),Q1552,"")</f>
        <v/>
      </c>
    </row>
    <row r="1553">
      <c r="A1553" s="38">
        <f>IF(M1553="","",HYPERLINK("https://www.youtube.com/watch?v="&amp;M1553,"▶"))</f>
        <v/>
      </c>
      <c r="B1553" s="39">
        <f>IF(C1553&lt;&gt;"",C1553,IF(P1553&lt;=IFERROR(INDEX(tblChannels[Watched Through],MATCH(N1553,tblChannels[Channel ID],0)),0),"Watched","Unwatched"))</f>
        <v/>
      </c>
      <c r="C1553" s="40" t="n"/>
      <c r="D1553" s="41" t="n"/>
      <c r="E1553" s="42" t="n">
        <v>44172.25</v>
      </c>
      <c r="F1553" s="43" t="inlineStr">
        <is>
          <t>Popcorn Culture</t>
        </is>
      </c>
      <c r="G1553" t="inlineStr">
        <is>
          <t>41 - How To Dance Like No One’s Watching</t>
        </is>
      </c>
      <c r="H1553" s="44" t="n">
        <v>0.04653935185185185</v>
      </c>
      <c r="I1553" s="45" t="n">
        <v>1572</v>
      </c>
      <c r="J1553" s="45" t="n">
        <v>100</v>
      </c>
      <c r="K1553" s="45" t="n">
        <v>30</v>
      </c>
      <c r="L1553" s="46" t="n"/>
      <c r="M1553" s="47" t="n"/>
      <c r="N1553" s="47" t="inlineStr">
        <is>
          <t>UCHfIbq9thHPC8yrKjAdJgDA</t>
        </is>
      </c>
      <c r="O1553" s="48" t="n">
        <v>44172.45833333334</v>
      </c>
      <c r="P1553" s="49" t="n">
        <v>44172</v>
      </c>
      <c r="Q1553" s="47" t="n">
        <v>1715</v>
      </c>
      <c r="R1553" s="47" t="inlineStr">
        <is>
          <t>No Video ID yet</t>
        </is>
      </c>
      <c r="S1553" s="49" t="n"/>
      <c r="T1553" s="49" t="n"/>
      <c r="U1553" s="47" t="inlineStr">
        <is>
          <t>Ben and J discuss: rough drafts, scent memory, furniture shopping, college couch stories, shirt story revisit, hair color, feeding the trolls, dancing, and TV shows we’re watching. The Yellow Shirt: Why does Woody have a holster: What color is J’s hair: Baby J and Baby Ben: Ben’s Mr. Incredible photo: J’s Weard: Wacky Wavy Inflatable Arm Flailing Tube Man:</t>
        </is>
      </c>
      <c r="V1553" s="47">
        <f>IF(AND(P1553&gt;=Calendar!$K$2,P1553&lt;EDATE(Calendar!$K$2,1),OR(Calendar!$K$4="*",N1553=Calendar!$K$4)),P1553*100+COUNTIFS($P$6:$P$3267,P1553,$Q$6:$Q$3267,"&lt;="&amp;Q1553,$N$6:$N$3267,Calendar!$K$4),"")</f>
        <v/>
      </c>
      <c r="W1553" s="47">
        <f>IF(AND(B1553=Queue!$C$4,OR(Queue!$K$4="*",N1553=Queue!$K$4)),Q1553,"")</f>
        <v/>
      </c>
    </row>
    <row r="1554">
      <c r="A1554" s="38">
        <f>IF(M1554="","",HYPERLINK("https://www.youtube.com/watch?v="&amp;M1554,"▶"))</f>
        <v/>
      </c>
      <c r="B1554" s="39">
        <f>IF(C1554&lt;&gt;"",C1554,IF(P1554&lt;=IFERROR(INDEX(tblChannels[Watched Through],MATCH(N1554,tblChannels[Channel ID],0)),0),"Watched","Unwatched"))</f>
        <v/>
      </c>
      <c r="C1554" s="40" t="n"/>
      <c r="D1554" s="41" t="n"/>
      <c r="E1554" s="42" t="n">
        <v>44171.25</v>
      </c>
      <c r="F1554" s="43" t="inlineStr">
        <is>
          <t>Popcorn Culture</t>
        </is>
      </c>
      <c r="G1554" t="inlineStr">
        <is>
          <t>40 - Living During Interesting Times</t>
        </is>
      </c>
      <c r="H1554" s="44" t="n">
        <v>0.04603009259259259</v>
      </c>
      <c r="I1554" s="45" t="n">
        <v>2533</v>
      </c>
      <c r="J1554" s="45" t="n">
        <v>124</v>
      </c>
      <c r="K1554" s="45" t="n">
        <v>14</v>
      </c>
      <c r="L1554" s="46" t="n"/>
      <c r="M1554" s="47" t="n"/>
      <c r="N1554" s="47" t="inlineStr">
        <is>
          <t>UCHfIbq9thHPC8yrKjAdJgDA</t>
        </is>
      </c>
      <c r="O1554" s="48" t="n">
        <v>44171.45833333334</v>
      </c>
      <c r="P1554" s="49" t="n">
        <v>44171</v>
      </c>
      <c r="Q1554" s="47" t="n">
        <v>1714</v>
      </c>
      <c r="R1554" s="47" t="inlineStr">
        <is>
          <t>No Video ID yet</t>
        </is>
      </c>
      <c r="S1554" s="49" t="n"/>
      <c r="T1554" s="49" t="n"/>
      <c r="U1554" s="47" t="inlineStr">
        <is>
          <t>Ben and J discuss: frictionless purchasing, cool bedrooms, sunglasses, the Blue Checkmark, Hamilton, theatres, work conferences, and barriers to entry. Oakley Gascan Sunglasses: SCB Goodr Sunglasses: Luxottica Owns all the glasses: Editor’s Note: Please do not edit Wikipedia for SCB</t>
        </is>
      </c>
      <c r="V1554" s="47">
        <f>IF(AND(P1554&gt;=Calendar!$K$2,P1554&lt;EDATE(Calendar!$K$2,1),OR(Calendar!$K$4="*",N1554=Calendar!$K$4)),P1554*100+COUNTIFS($P$6:$P$3267,P1554,$Q$6:$Q$3267,"&lt;="&amp;Q1554,$N$6:$N$3267,Calendar!$K$4),"")</f>
        <v/>
      </c>
      <c r="W1554" s="47">
        <f>IF(AND(B1554=Queue!$C$4,OR(Queue!$K$4="*",N1554=Queue!$K$4)),Q1554,"")</f>
        <v/>
      </c>
    </row>
    <row r="1555">
      <c r="A1555" s="38">
        <f>IF(M1555="","",HYPERLINK("https://www.youtube.com/watch?v="&amp;M1555,"▶"))</f>
        <v/>
      </c>
      <c r="B1555" s="39">
        <f>IF(C1555&lt;&gt;"",C1555,IF(P1555&lt;=IFERROR(INDEX(tblChannels[Watched Through],MATCH(N1555,tblChannels[Channel ID],0)),0),"Watched","Unwatched"))</f>
        <v/>
      </c>
      <c r="C1555" s="40" t="n"/>
      <c r="D1555" s="41" t="n"/>
      <c r="E1555" s="42" t="n">
        <v>44170.25</v>
      </c>
      <c r="F1555" s="43" t="inlineStr">
        <is>
          <t>Popcorn Culture</t>
        </is>
      </c>
      <c r="G1555" t="inlineStr">
        <is>
          <t>39 -  The Quest for the Yeard</t>
        </is>
      </c>
      <c r="H1555" s="44" t="n">
        <v>0.04670138888888889</v>
      </c>
      <c r="I1555" s="45" t="n">
        <v>1784</v>
      </c>
      <c r="J1555" s="45" t="n">
        <v>108</v>
      </c>
      <c r="K1555" s="45" t="n">
        <v>14</v>
      </c>
      <c r="L1555" s="46" t="n"/>
      <c r="M1555" s="47" t="n"/>
      <c r="N1555" s="47" t="inlineStr">
        <is>
          <t>UCHfIbq9thHPC8yrKjAdJgDA</t>
        </is>
      </c>
      <c r="O1555" s="48" t="n">
        <v>44170.45833333334</v>
      </c>
      <c r="P1555" s="49" t="n">
        <v>44170</v>
      </c>
      <c r="Q1555" s="47" t="n">
        <v>1713</v>
      </c>
      <c r="R1555" s="47" t="inlineStr">
        <is>
          <t>No Video ID yet</t>
        </is>
      </c>
      <c r="S1555" s="49" t="n"/>
      <c r="T1555" s="49" t="n"/>
      <c r="U1555" s="47" t="inlineStr">
        <is>
          <t>Ben and J discuss: online presences, personal core memories, camping misadventures, hitting zero, getting good at something, social media, missing the party, the quest for the yeard, anxiety dreams, and fear of the unknown. Boy Scout Ranks: Beard care tips: Email us your yeard opinions and story: popcornculturepod@gmail.com</t>
        </is>
      </c>
      <c r="V1555" s="47">
        <f>IF(AND(P1555&gt;=Calendar!$K$2,P1555&lt;EDATE(Calendar!$K$2,1),OR(Calendar!$K$4="*",N1555=Calendar!$K$4)),P1555*100+COUNTIFS($P$6:$P$3267,P1555,$Q$6:$Q$3267,"&lt;="&amp;Q1555,$N$6:$N$3267,Calendar!$K$4),"")</f>
        <v/>
      </c>
      <c r="W1555" s="47">
        <f>IF(AND(B1555=Queue!$C$4,OR(Queue!$K$4="*",N1555=Queue!$K$4)),Q1555,"")</f>
        <v/>
      </c>
    </row>
    <row r="1556">
      <c r="A1556" s="38">
        <f>IF(M1556="","",HYPERLINK("https://www.youtube.com/watch?v="&amp;M1556,"▶"))</f>
        <v/>
      </c>
      <c r="B1556" s="39">
        <f>IF(C1556&lt;&gt;"",C1556,IF(P1556&lt;=IFERROR(INDEX(tblChannels[Watched Through],MATCH(N1556,tblChannels[Channel ID],0)),0),"Watched","Unwatched"))</f>
        <v/>
      </c>
      <c r="C1556" s="40" t="n"/>
      <c r="D1556" s="41" t="n"/>
      <c r="E1556" s="42" t="n">
        <v>44169.25</v>
      </c>
      <c r="F1556" s="43" t="inlineStr">
        <is>
          <t>Popcorn Culture</t>
        </is>
      </c>
      <c r="G1556" t="inlineStr">
        <is>
          <t>38 - Why it’s hard to change someone’s mind</t>
        </is>
      </c>
      <c r="H1556" s="44" t="n">
        <v>0.04534722222222222</v>
      </c>
      <c r="I1556" s="45" t="n">
        <v>2621</v>
      </c>
      <c r="J1556" s="45" t="n">
        <v>132</v>
      </c>
      <c r="K1556" s="45" t="n">
        <v>24</v>
      </c>
      <c r="L1556" s="46" t="n"/>
      <c r="M1556" s="47" t="n"/>
      <c r="N1556" s="47" t="inlineStr">
        <is>
          <t>UCHfIbq9thHPC8yrKjAdJgDA</t>
        </is>
      </c>
      <c r="O1556" s="48" t="n">
        <v>44169.45833333334</v>
      </c>
      <c r="P1556" s="49" t="n">
        <v>44169</v>
      </c>
      <c r="Q1556" s="47" t="n">
        <v>1712</v>
      </c>
      <c r="R1556" s="47" t="inlineStr">
        <is>
          <t>No Video ID yet</t>
        </is>
      </c>
      <c r="S1556" s="49" t="n"/>
      <c r="T1556" s="49" t="n"/>
      <c r="U1556" s="47" t="inlineStr">
        <is>
          <t>Ben and J discuss: Job Perceptions, Jump Cuts, Why it’s hard to change your mind, actor friends, swear words, dad jokes, Dungeons and Dragons, and tubing. Meg Ryan: Dungeons and Dragons Character Name Generator: Email us your D&amp;D Character names: popcornculturepod@gmail.com Get Your Own Fred Cup:</t>
        </is>
      </c>
      <c r="V1556" s="47">
        <f>IF(AND(P1556&gt;=Calendar!$K$2,P1556&lt;EDATE(Calendar!$K$2,1),OR(Calendar!$K$4="*",N1556=Calendar!$K$4)),P1556*100+COUNTIFS($P$6:$P$3267,P1556,$Q$6:$Q$3267,"&lt;="&amp;Q1556,$N$6:$N$3267,Calendar!$K$4),"")</f>
        <v/>
      </c>
      <c r="W1556" s="47">
        <f>IF(AND(B1556=Queue!$C$4,OR(Queue!$K$4="*",N1556=Queue!$K$4)),Q1556,"")</f>
        <v/>
      </c>
    </row>
    <row r="1557">
      <c r="A1557" s="38">
        <f>IF(M1557="","",HYPERLINK("https://www.youtube.com/watch?v="&amp;M1557,"▶"))</f>
        <v/>
      </c>
      <c r="B1557" s="39">
        <f>IF(C1557&lt;&gt;"",C1557,IF(P1557&lt;=IFERROR(INDEX(tblChannels[Watched Through],MATCH(N1557,tblChannels[Channel ID],0)),0),"Watched","Unwatched"))</f>
        <v/>
      </c>
      <c r="C1557" s="40" t="n"/>
      <c r="D1557" s="41" t="n"/>
      <c r="E1557" s="42" t="n">
        <v>44168.81736111111</v>
      </c>
      <c r="F1557" s="50" t="inlineStr">
        <is>
          <t>Super Carlin Brothers</t>
        </is>
      </c>
      <c r="G1557" t="inlineStr">
        <is>
          <t>Top 10 Scenes Left OUT of the Harry Potter Movies</t>
        </is>
      </c>
      <c r="H1557" s="44" t="n">
        <v>0.01310185185185185</v>
      </c>
      <c r="I1557" s="45" t="n">
        <v>662934</v>
      </c>
      <c r="J1557" s="45" t="n">
        <v>22364</v>
      </c>
      <c r="K1557" s="45" t="n">
        <v>3555</v>
      </c>
      <c r="L1557" s="46" t="n"/>
      <c r="M1557" s="47" t="n"/>
      <c r="N1557" s="47" t="inlineStr">
        <is>
          <t>UCKZo4N0lVPccBkSiuyVh4yg</t>
        </is>
      </c>
      <c r="O1557" s="48" t="n">
        <v>44169.02569444444</v>
      </c>
      <c r="P1557" s="49" t="n">
        <v>44168</v>
      </c>
      <c r="Q1557" s="47" t="n">
        <v>1711</v>
      </c>
      <c r="R1557" s="47" t="inlineStr">
        <is>
          <t>No Video ID yet</t>
        </is>
      </c>
      <c r="S1557" s="49" t="n"/>
      <c r="T1557" s="49" t="n"/>
      <c r="U1557" s="47" t="inlineStr">
        <is>
          <t>Video Sponsored by Ridge Wallet: Use Code “SCB” for 10% off your order! Today Ben dives into the Wizarding World of Harry Potter to review the Top 10 scenes from the books that the movies left out! Take a biscuit and enjoy!</t>
        </is>
      </c>
      <c r="V1557" s="47">
        <f>IF(AND(P1557&gt;=Calendar!$K$2,P1557&lt;EDATE(Calendar!$K$2,1),OR(Calendar!$K$4="*",N1557=Calendar!$K$4)),P1557*100+COUNTIFS($P$6:$P$3267,P1557,$Q$6:$Q$3267,"&lt;="&amp;Q1557,$N$6:$N$3267,Calendar!$K$4),"")</f>
        <v/>
      </c>
      <c r="W1557" s="47">
        <f>IF(AND(B1557=Queue!$C$4,OR(Queue!$K$4="*",N1557=Queue!$K$4)),Q1557,"")</f>
        <v/>
      </c>
    </row>
    <row r="1558">
      <c r="A1558" s="38">
        <f>IF(M1558="","",HYPERLINK("https://www.youtube.com/watch?v="&amp;M1558,"▶"))</f>
        <v/>
      </c>
      <c r="B1558" s="39">
        <f>IF(C1558&lt;&gt;"",C1558,IF(P1558&lt;=IFERROR(INDEX(tblChannels[Watched Through],MATCH(N1558,tblChannels[Channel ID],0)),0),"Watched","Unwatched"))</f>
        <v/>
      </c>
      <c r="C1558" s="40" t="n"/>
      <c r="D1558" s="41" t="n"/>
      <c r="E1558" s="42" t="n">
        <v>44168.25</v>
      </c>
      <c r="F1558" s="43" t="inlineStr">
        <is>
          <t>Popcorn Culture</t>
        </is>
      </c>
      <c r="G1558" t="inlineStr">
        <is>
          <t>37 - Am I the Chosen One?</t>
        </is>
      </c>
      <c r="H1558" s="44" t="n">
        <v>0.04221064814814815</v>
      </c>
      <c r="I1558" s="45" t="n">
        <v>2679</v>
      </c>
      <c r="J1558" s="45" t="n">
        <v>151</v>
      </c>
      <c r="K1558" s="45" t="n">
        <v>27</v>
      </c>
      <c r="L1558" s="46" t="n"/>
      <c r="M1558" s="47" t="n"/>
      <c r="N1558" s="47" t="inlineStr">
        <is>
          <t>UCHfIbq9thHPC8yrKjAdJgDA</t>
        </is>
      </c>
      <c r="O1558" s="48" t="n">
        <v>44168.45833333334</v>
      </c>
      <c r="P1558" s="49" t="n">
        <v>44168</v>
      </c>
      <c r="Q1558" s="47" t="n">
        <v>1710</v>
      </c>
      <c r="R1558" s="47" t="inlineStr">
        <is>
          <t>No Video ID yet</t>
        </is>
      </c>
      <c r="S1558" s="49" t="n"/>
      <c r="T1558" s="49" t="n"/>
      <c r="U1558" s="47" t="inlineStr">
        <is>
          <t>Ben and J discuss: shock jocks, nice accents, terms of endearment, anxiety dreams, research papers, personality tests, Hunger Games, acrostics, Cup-date Alert, Narwhals (are they real?), and savoring the moment. Hierarchy of Needs: Get Your Own Fred Cup: 7 Fun Facts about Narwhals (check out number 6!):</t>
        </is>
      </c>
      <c r="V1558" s="47">
        <f>IF(AND(P1558&gt;=Calendar!$K$2,P1558&lt;EDATE(Calendar!$K$2,1),OR(Calendar!$K$4="*",N1558=Calendar!$K$4)),P1558*100+COUNTIFS($P$6:$P$3267,P1558,$Q$6:$Q$3267,"&lt;="&amp;Q1558,$N$6:$N$3267,Calendar!$K$4),"")</f>
        <v/>
      </c>
      <c r="W1558" s="47">
        <f>IF(AND(B1558=Queue!$C$4,OR(Queue!$K$4="*",N1558=Queue!$K$4)),Q1558,"")</f>
        <v/>
      </c>
    </row>
    <row r="1559">
      <c r="A1559" s="38">
        <f>IF(M1559="","",HYPERLINK("https://www.youtube.com/watch?v="&amp;M1559,"▶"))</f>
        <v/>
      </c>
      <c r="B1559" s="39">
        <f>IF(C1559&lt;&gt;"",C1559,IF(P1559&lt;=IFERROR(INDEX(tblChannels[Watched Through],MATCH(N1559,tblChannels[Channel ID],0)),0),"Watched","Unwatched"))</f>
        <v/>
      </c>
      <c r="C1559" s="40" t="n"/>
      <c r="D1559" s="41" t="n"/>
      <c r="E1559" s="42" t="n">
        <v>44166.81458333333</v>
      </c>
      <c r="F1559" s="50" t="inlineStr">
        <is>
          <t>Super Carlin Brothers</t>
        </is>
      </c>
      <c r="G1559" t="inlineStr">
        <is>
          <t>Could The Veil Destroy A Horcrux? [Harry Potter Theory]</t>
        </is>
      </c>
      <c r="H1559" s="44" t="n">
        <v>0.009398148148148149</v>
      </c>
      <c r="I1559" s="45" t="n">
        <v>384472</v>
      </c>
      <c r="J1559" s="45" t="n">
        <v>15777</v>
      </c>
      <c r="K1559" s="45" t="n">
        <v>1498</v>
      </c>
      <c r="L1559" s="46" t="n"/>
      <c r="M1559" s="47" t="n"/>
      <c r="N1559" s="47" t="inlineStr">
        <is>
          <t>UCKZo4N0lVPccBkSiuyVh4yg</t>
        </is>
      </c>
      <c r="O1559" s="48" t="n">
        <v>44167.02291666667</v>
      </c>
      <c r="P1559" s="49" t="n">
        <v>44166</v>
      </c>
      <c r="Q1559" s="47" t="n">
        <v>1709</v>
      </c>
      <c r="R1559" s="47" t="inlineStr">
        <is>
          <t>No Video ID yet</t>
        </is>
      </c>
      <c r="S1559" s="49" t="n"/>
      <c r="T1559" s="49" t="n"/>
      <c r="U1559" s="47" t="inlineStr">
        <is>
          <t>Video Sponsored by Ridge Wallet: Use Code “SCB” for 10% off your order! Today J dives into the Wizarding World of Harry Potter to determine whether or not the Veil in the Department of Mysteries is capable of destroying a Horcrux OR if its the best most unreachable hiding place ever!</t>
        </is>
      </c>
      <c r="V1559" s="47">
        <f>IF(AND(P1559&gt;=Calendar!$K$2,P1559&lt;EDATE(Calendar!$K$2,1),OR(Calendar!$K$4="*",N1559=Calendar!$K$4)),P1559*100+COUNTIFS($P$6:$P$3267,P1559,$Q$6:$Q$3267,"&lt;="&amp;Q1559,$N$6:$N$3267,Calendar!$K$4),"")</f>
        <v/>
      </c>
      <c r="W1559" s="47">
        <f>IF(AND(B1559=Queue!$C$4,OR(Queue!$K$4="*",N1559=Queue!$K$4)),Q1559,"")</f>
        <v/>
      </c>
    </row>
    <row r="1560">
      <c r="A1560" s="38">
        <f>IF(M1560="","",HYPERLINK("https://www.youtube.com/watch?v="&amp;M1560,"▶"))</f>
        <v/>
      </c>
      <c r="B1560" s="39">
        <f>IF(C1560&lt;&gt;"",C1560,IF(P1560&lt;=IFERROR(INDEX(tblChannels[Watched Through],MATCH(N1560,tblChannels[Channel ID],0)),0),"Watched","Unwatched"))</f>
        <v/>
      </c>
      <c r="C1560" s="40" t="n"/>
      <c r="D1560" s="41" t="n"/>
      <c r="E1560" s="42" t="n">
        <v>44165.41666666666</v>
      </c>
      <c r="F1560" s="53" t="inlineStr">
        <is>
          <t>Jonathan Carlin</t>
        </is>
      </c>
      <c r="G1560" t="inlineStr">
        <is>
          <t>WE GOT A NEW OFFICE!</t>
        </is>
      </c>
      <c r="H1560" s="44" t="n">
        <v>0.01009259259259259</v>
      </c>
      <c r="I1560" s="45" t="n">
        <v>61588</v>
      </c>
      <c r="J1560" s="45" t="n">
        <v>4420</v>
      </c>
      <c r="K1560" s="45" t="n">
        <v>495</v>
      </c>
      <c r="L1560" s="46" t="n"/>
      <c r="M1560" s="47" t="n"/>
      <c r="N1560" s="47" t="inlineStr">
        <is>
          <t>UCYPKFe86e6nm4TVUYKLsFUQ</t>
        </is>
      </c>
      <c r="O1560" s="48" t="n">
        <v>44165.625</v>
      </c>
      <c r="P1560" s="49" t="n">
        <v>44165</v>
      </c>
      <c r="Q1560" s="47" t="n">
        <v>1708</v>
      </c>
      <c r="R1560" s="47" t="inlineStr">
        <is>
          <t>No Video ID yet</t>
        </is>
      </c>
      <c r="S1560" s="49" t="n"/>
      <c r="T1560" s="49" t="n"/>
      <c r="U1560" s="47" t="inlineStr">
        <is>
          <t>We're back! It's been awhile but J has big updates with Beth, Luke the Twins, and a brand new office for Super Carlin Brothers! Also Luke shows off some very impressive bike skills. Animal Mugs ::</t>
        </is>
      </c>
      <c r="V1560" s="47">
        <f>IF(AND(P1560&gt;=Calendar!$K$2,P1560&lt;EDATE(Calendar!$K$2,1),OR(Calendar!$K$4="*",N1560=Calendar!$K$4)),P1560*100+COUNTIFS($P$6:$P$3267,P1560,$Q$6:$Q$3267,"&lt;="&amp;Q1560,$N$6:$N$3267,Calendar!$K$4),"")</f>
        <v/>
      </c>
      <c r="W1560" s="47">
        <f>IF(AND(B1560=Queue!$C$4,OR(Queue!$K$4="*",N1560=Queue!$K$4)),Q1560,"")</f>
        <v/>
      </c>
    </row>
    <row r="1561">
      <c r="A1561" s="38">
        <f>IF(M1561="","",HYPERLINK("https://www.youtube.com/watch?v="&amp;M1561,"▶"))</f>
        <v/>
      </c>
      <c r="B1561" s="39">
        <f>IF(C1561&lt;&gt;"",C1561,IF(P1561&lt;=IFERROR(INDEX(tblChannels[Watched Through],MATCH(N1561,tblChannels[Channel ID],0)),0),"Watched","Unwatched"))</f>
        <v/>
      </c>
      <c r="C1561" s="40" t="n"/>
      <c r="D1561" s="41" t="n"/>
      <c r="E1561" s="42" t="n">
        <v>44161.58333333334</v>
      </c>
      <c r="F1561" s="50" t="inlineStr">
        <is>
          <t>Super Carlin Brothers</t>
        </is>
      </c>
      <c r="G1561" t="inlineStr">
        <is>
          <t>J vs Ben: ULTIMATE Harry Potter Feast TRIVIA Quiz</t>
        </is>
      </c>
      <c r="H1561" s="44" t="n">
        <v>0.0190625</v>
      </c>
      <c r="I1561" s="45" t="n">
        <v>290997</v>
      </c>
      <c r="J1561" s="45" t="n">
        <v>10041</v>
      </c>
      <c r="K1561" s="45" t="n">
        <v>1796</v>
      </c>
      <c r="L1561" s="46" t="n"/>
      <c r="M1561" s="47" t="n"/>
      <c r="N1561" s="47" t="inlineStr">
        <is>
          <t>UCKZo4N0lVPccBkSiuyVh4yg</t>
        </is>
      </c>
      <c r="O1561" s="48" t="n">
        <v>44161.79166666666</v>
      </c>
      <c r="P1561" s="49" t="n">
        <v>44161</v>
      </c>
      <c r="Q1561" s="47" t="n">
        <v>1707</v>
      </c>
      <c r="R1561" s="47" t="inlineStr">
        <is>
          <t>No Video ID yet</t>
        </is>
      </c>
      <c r="S1561" s="49" t="n"/>
      <c r="T1561" s="49" t="n"/>
      <c r="U1561" s="47" t="inlineStr">
        <is>
          <t>Go to for 15% off! Go to to get a 1-month free trial of everything you need to start your skincare journey at home! Today J and Ben face off yet again to determine who knows the most about the Wizarding World of Harry Potter and everything that happens at the opening feast!</t>
        </is>
      </c>
      <c r="V1561" s="47">
        <f>IF(AND(P1561&gt;=Calendar!$K$2,P1561&lt;EDATE(Calendar!$K$2,1),OR(Calendar!$K$4="*",N1561=Calendar!$K$4)),P1561*100+COUNTIFS($P$6:$P$3267,P1561,$Q$6:$Q$3267,"&lt;="&amp;Q1561,$N$6:$N$3267,Calendar!$K$4),"")</f>
        <v/>
      </c>
      <c r="W1561" s="47">
        <f>IF(AND(B1561=Queue!$C$4,OR(Queue!$K$4="*",N1561=Queue!$K$4)),Q1561,"")</f>
        <v/>
      </c>
    </row>
    <row r="1562">
      <c r="A1562" s="38">
        <f>IF(M1562="","",HYPERLINK("https://www.youtube.com/watch?v="&amp;M1562,"▶"))</f>
        <v/>
      </c>
      <c r="B1562" s="39">
        <f>IF(C1562&lt;&gt;"",C1562,IF(P1562&lt;=IFERROR(INDEX(tblChannels[Watched Through],MATCH(N1562,tblChannels[Channel ID],0)),0),"Watched","Unwatched"))</f>
        <v/>
      </c>
      <c r="C1562" s="40" t="n"/>
      <c r="D1562" s="41" t="n"/>
      <c r="E1562" s="42" t="n">
        <v>44159.74375</v>
      </c>
      <c r="F1562" s="50" t="inlineStr">
        <is>
          <t>Super Carlin Brothers</t>
        </is>
      </c>
      <c r="G1562" t="inlineStr">
        <is>
          <t>Why Does Korra Look Like Katara [Avatar: The Last Airbender Theory]</t>
        </is>
      </c>
      <c r="H1562" s="44" t="n">
        <v>0.009062499999999999</v>
      </c>
      <c r="I1562" s="45" t="n">
        <v>497574</v>
      </c>
      <c r="J1562" s="45" t="n">
        <v>20782</v>
      </c>
      <c r="K1562" s="45" t="n">
        <v>2543</v>
      </c>
      <c r="L1562" s="46" t="n"/>
      <c r="M1562" s="47" t="n"/>
      <c r="N1562" s="47" t="inlineStr">
        <is>
          <t>UCKZo4N0lVPccBkSiuyVh4yg</t>
        </is>
      </c>
      <c r="O1562" s="48" t="n">
        <v>44159.95208333333</v>
      </c>
      <c r="P1562" s="49" t="n">
        <v>44159</v>
      </c>
      <c r="Q1562" s="47" t="n">
        <v>1706</v>
      </c>
      <c r="R1562" s="47" t="inlineStr">
        <is>
          <t>No Video ID yet</t>
        </is>
      </c>
      <c r="S1562" s="49" t="n"/>
      <c r="T1562" s="49" t="n"/>
      <c r="U1562" s="47" t="inlineStr">
        <is>
          <t>Go to and use code SCB to get $75 off! Today J dives into the world of Avatar the Last Airbender to discuss an adorable pattern in the world of avatar and explain why each avatar bears at least a small resemblance to the last avatars significant other</t>
        </is>
      </c>
      <c r="V1562" s="47">
        <f>IF(AND(P1562&gt;=Calendar!$K$2,P1562&lt;EDATE(Calendar!$K$2,1),OR(Calendar!$K$4="*",N1562=Calendar!$K$4)),P1562*100+COUNTIFS($P$6:$P$3267,P1562,$Q$6:$Q$3267,"&lt;="&amp;Q1562,$N$6:$N$3267,Calendar!$K$4),"")</f>
        <v/>
      </c>
      <c r="W1562" s="47">
        <f>IF(AND(B1562=Queue!$C$4,OR(Queue!$K$4="*",N1562=Queue!$K$4)),Q1562,"")</f>
        <v/>
      </c>
    </row>
    <row r="1563">
      <c r="A1563" s="38">
        <f>IF(M1563="","",HYPERLINK("https://www.youtube.com/watch?v="&amp;M1563,"▶"))</f>
        <v/>
      </c>
      <c r="B1563" s="39">
        <f>IF(C1563&lt;&gt;"",C1563,IF(P1563&lt;=IFERROR(INDEX(tblChannels[Watched Through],MATCH(N1563,tblChannels[Channel ID],0)),0),"Watched","Unwatched"))</f>
        <v/>
      </c>
      <c r="C1563" s="40" t="n"/>
      <c r="D1563" s="41" t="n"/>
      <c r="E1563" s="42" t="n">
        <v>44155.85902777778</v>
      </c>
      <c r="F1563" s="50" t="inlineStr">
        <is>
          <t>Super Carlin Brothers</t>
        </is>
      </c>
      <c r="G1563" t="inlineStr">
        <is>
          <t>ALL FANDOMS Trivia Night LIVE STREAM!</t>
        </is>
      </c>
      <c r="H1563" s="44" t="n">
        <v>0.104375</v>
      </c>
      <c r="I1563" s="45" t="n">
        <v>110350</v>
      </c>
      <c r="J1563" s="45" t="n">
        <v>2598</v>
      </c>
      <c r="K1563" s="45" t="n">
        <v>189</v>
      </c>
      <c r="L1563" s="46" t="n"/>
      <c r="M1563" s="47" t="n"/>
      <c r="N1563" s="47" t="inlineStr">
        <is>
          <t>UCKZo4N0lVPccBkSiuyVh4yg</t>
        </is>
      </c>
      <c r="O1563" s="48" t="n">
        <v>44156.06736111111</v>
      </c>
      <c r="P1563" s="49" t="n">
        <v>44155</v>
      </c>
      <c r="Q1563" s="47" t="n">
        <v>1705</v>
      </c>
      <c r="R1563" s="47" t="inlineStr">
        <is>
          <t>No Video ID yet</t>
        </is>
      </c>
      <c r="S1563" s="49" t="n"/>
      <c r="T1563" s="49" t="n"/>
      <c r="U1563" s="47" t="inlineStr">
        <is>
          <t>DO YOU HAVE WHAT IT TAKES TO BECOME THE CHAMPION OF ALL SIX FANDOMS?! - Tonight we test your knowledge of Disney, Pixar, Marvel, Star Wars, Harry Potter and Avatar: The Last Airbender! NEW Animal Mugs :: Winners email: secretcarlinbrothers@gmail.com with a screenshot of your winning score! HOW TO PLAY Kahoot with the Carlins! 1. Download the Kahoot app to your mobile device, or go to Kahoot.it to join the game! 2. Make sure you’re running the SCB Livestream on a different device or a different window than Kahoot! (We recommend having Kahoot on your phone and the stream on a computer or TV, but two tabs/windows on the same computer works as well!) 3. Shortly before we start the game, SCB will announce the game PIN. Enter the pin into your Kahoot App or at Kahoot.it 4. Enter a nickname for yourself and join the game! 5. Points are awarded for accuracy and speed, so make sure your live stream is caught up! You can skip ahead in the video, or set your video speed to 2x to catch up! (To increase video speed, click the settings gear near the bottom right corner (computer) or the 3 dots at the top right (mobile), then click "playback speed" and select a higher speed to catch up!) 6. Follo</t>
        </is>
      </c>
      <c r="V1563" s="47">
        <f>IF(AND(P1563&gt;=Calendar!$K$2,P1563&lt;EDATE(Calendar!$K$2,1),OR(Calendar!$K$4="*",N1563=Calendar!$K$4)),P1563*100+COUNTIFS($P$6:$P$3267,P1563,$Q$6:$Q$3267,"&lt;="&amp;Q1563,$N$6:$N$3267,Calendar!$K$4),"")</f>
        <v/>
      </c>
      <c r="W1563" s="47">
        <f>IF(AND(B1563=Queue!$C$4,OR(Queue!$K$4="*",N1563=Queue!$K$4)),Q1563,"")</f>
        <v/>
      </c>
    </row>
    <row r="1564">
      <c r="A1564" s="38">
        <f>IF(M1564="","",HYPERLINK("https://www.youtube.com/watch?v="&amp;M1564,"▶"))</f>
        <v/>
      </c>
      <c r="B1564" s="39">
        <f>IF(C1564&lt;&gt;"",C1564,IF(P1564&lt;=IFERROR(INDEX(tblChannels[Watched Through],MATCH(N1564,tblChannels[Channel ID],0)),0),"Watched","Unwatched"))</f>
        <v/>
      </c>
      <c r="C1564" s="40" t="n"/>
      <c r="D1564" s="41" t="n"/>
      <c r="E1564" s="42" t="n">
        <v>44154.71041666667</v>
      </c>
      <c r="F1564" s="50" t="inlineStr">
        <is>
          <t>Super Carlin Brothers</t>
        </is>
      </c>
      <c r="G1564" t="inlineStr">
        <is>
          <t>Is Snape Still Alive? [Harry Potter Theory]</t>
        </is>
      </c>
      <c r="H1564" s="44" t="n">
        <v>0.01175925925925926</v>
      </c>
      <c r="I1564" s="45" t="n">
        <v>652163</v>
      </c>
      <c r="J1564" s="45" t="n">
        <v>23785</v>
      </c>
      <c r="K1564" s="45" t="n">
        <v>3416</v>
      </c>
      <c r="L1564" s="46" t="n"/>
      <c r="M1564" s="47" t="n"/>
      <c r="N1564" s="47" t="inlineStr">
        <is>
          <t>UCKZo4N0lVPccBkSiuyVh4yg</t>
        </is>
      </c>
      <c r="O1564" s="48" t="n">
        <v>44154.91875</v>
      </c>
      <c r="P1564" s="49" t="n">
        <v>44154</v>
      </c>
      <c r="Q1564" s="47" t="n">
        <v>1704</v>
      </c>
      <c r="R1564" s="47" t="inlineStr">
        <is>
          <t>No Video ID yet</t>
        </is>
      </c>
      <c r="S1564" s="49" t="n"/>
      <c r="T1564" s="49" t="n"/>
      <c r="U1564" s="47" t="inlineStr">
        <is>
          <t>Go to and enter the code: 'SUPER' at checkout and get 20% off your first monthly box! Today Ben dives into the Wizarding World of Harry Potter to try and figure out if everyones favorite potions master: Severus Snape is somehow actually still alive after the events of Deathly Hallows.</t>
        </is>
      </c>
      <c r="V1564" s="47">
        <f>IF(AND(P1564&gt;=Calendar!$K$2,P1564&lt;EDATE(Calendar!$K$2,1),OR(Calendar!$K$4="*",N1564=Calendar!$K$4)),P1564*100+COUNTIFS($P$6:$P$3267,P1564,$Q$6:$Q$3267,"&lt;="&amp;Q1564,$N$6:$N$3267,Calendar!$K$4),"")</f>
        <v/>
      </c>
      <c r="W1564" s="47">
        <f>IF(AND(B1564=Queue!$C$4,OR(Queue!$K$4="*",N1564=Queue!$K$4)),Q1564,"")</f>
        <v/>
      </c>
    </row>
    <row r="1565">
      <c r="A1565" s="38">
        <f>IF(M1565="","",HYPERLINK("https://www.youtube.com/watch?v="&amp;M1565,"▶"))</f>
        <v/>
      </c>
      <c r="B1565" s="39">
        <f>IF(C1565&lt;&gt;"",C1565,IF(P1565&lt;=IFERROR(INDEX(tblChannels[Watched Through],MATCH(N1565,tblChannels[Channel ID],0)),0),"Watched","Unwatched"))</f>
        <v/>
      </c>
      <c r="C1565" s="40" t="n"/>
      <c r="D1565" s="41" t="n"/>
      <c r="E1565" s="42" t="n">
        <v>44152.72083333333</v>
      </c>
      <c r="F1565" s="50" t="inlineStr">
        <is>
          <t>Super Carlin Brothers</t>
        </is>
      </c>
      <c r="G1565" t="inlineStr">
        <is>
          <t>Why Is Lightning Bending So Common In Korra? [Avatar: The Last Airbender Theory]</t>
        </is>
      </c>
      <c r="H1565" s="44" t="n">
        <v>0.01012731481481481</v>
      </c>
      <c r="I1565" s="45" t="n">
        <v>362056</v>
      </c>
      <c r="J1565" s="45" t="n">
        <v>15620</v>
      </c>
      <c r="K1565" s="45" t="n">
        <v>1525</v>
      </c>
      <c r="L1565" s="46" t="n"/>
      <c r="M1565" s="47" t="n"/>
      <c r="N1565" s="47" t="inlineStr">
        <is>
          <t>UCKZo4N0lVPccBkSiuyVh4yg</t>
        </is>
      </c>
      <c r="O1565" s="48" t="n">
        <v>44152.92916666667</v>
      </c>
      <c r="P1565" s="49" t="n">
        <v>44152</v>
      </c>
      <c r="Q1565" s="47" t="n">
        <v>1703</v>
      </c>
      <c r="R1565" s="47" t="inlineStr">
        <is>
          <t>No Video ID yet</t>
        </is>
      </c>
      <c r="S1565" s="49" t="n"/>
      <c r="T1565" s="49" t="n"/>
      <c r="U1565" s="47" t="inlineStr">
        <is>
          <t>Hurry over to to get 15% off plus FREE shipping automatically applied to your entire order! Today J dives into the world of Avatar the last airbender to discuss Princess Azula’s signature skill: Lightning Bending and how by the time of Legend of Korra it became so commonplace. #SuperCarlinBrothers #AvatarTheLastAirbender</t>
        </is>
      </c>
      <c r="V1565" s="47">
        <f>IF(AND(P1565&gt;=Calendar!$K$2,P1565&lt;EDATE(Calendar!$K$2,1),OR(Calendar!$K$4="*",N1565=Calendar!$K$4)),P1565*100+COUNTIFS($P$6:$P$3267,P1565,$Q$6:$Q$3267,"&lt;="&amp;Q1565,$N$6:$N$3267,Calendar!$K$4),"")</f>
        <v/>
      </c>
      <c r="W1565" s="47">
        <f>IF(AND(B1565=Queue!$C$4,OR(Queue!$K$4="*",N1565=Queue!$K$4)),Q1565,"")</f>
        <v/>
      </c>
    </row>
    <row r="1566">
      <c r="A1566" s="38">
        <f>IF(M1566="","",HYPERLINK("https://www.youtube.com/watch?v="&amp;M1566,"▶"))</f>
        <v/>
      </c>
      <c r="B1566" s="39">
        <f>IF(C1566&lt;&gt;"",C1566,IF(P1566&lt;=IFERROR(INDEX(tblChannels[Watched Through],MATCH(N1566,tblChannels[Channel ID],0)),0),"Watched","Unwatched"))</f>
        <v/>
      </c>
      <c r="C1566" s="40" t="n"/>
      <c r="D1566" s="41" t="n"/>
      <c r="E1566" s="42" t="n">
        <v>44147.95763888889</v>
      </c>
      <c r="F1566" s="50" t="inlineStr">
        <is>
          <t>Super Carlin Brothers</t>
        </is>
      </c>
      <c r="G1566" t="inlineStr">
        <is>
          <t>J vs Ben: ULTIMATE Star Wars TRIVIA Quiz</t>
        </is>
      </c>
      <c r="H1566" s="44" t="n">
        <v>0.01878472222222222</v>
      </c>
      <c r="I1566" s="45" t="n">
        <v>144087</v>
      </c>
      <c r="J1566" s="45" t="n">
        <v>5948</v>
      </c>
      <c r="K1566" s="45" t="n">
        <v>988</v>
      </c>
      <c r="L1566" s="46" t="n"/>
      <c r="M1566" s="47" t="n"/>
      <c r="N1566" s="47" t="inlineStr">
        <is>
          <t>UCKZo4N0lVPccBkSiuyVh4yg</t>
        </is>
      </c>
      <c r="O1566" s="48" t="n">
        <v>44148.16597222222</v>
      </c>
      <c r="P1566" s="49" t="n">
        <v>44147</v>
      </c>
      <c r="Q1566" s="47" t="n">
        <v>1702</v>
      </c>
      <c r="R1566" s="47" t="inlineStr">
        <is>
          <t>No Video ID yet</t>
        </is>
      </c>
      <c r="S1566" s="49" t="n"/>
      <c r="T1566" s="49" t="n"/>
      <c r="U1566" s="47" t="inlineStr">
        <is>
          <t>Get $5 off and zero delivery fees on your first order of $15 or more when you download the DoorDash app and enter code JVSB! Go to and use the code JVSB to claim your special offer today! Today J and Ben face off once more to find out who knows more trivia about the Star Wars Galaxy!</t>
        </is>
      </c>
      <c r="V1566" s="47">
        <f>IF(AND(P1566&gt;=Calendar!$K$2,P1566&lt;EDATE(Calendar!$K$2,1),OR(Calendar!$K$4="*",N1566=Calendar!$K$4)),P1566*100+COUNTIFS($P$6:$P$3267,P1566,$Q$6:$Q$3267,"&lt;="&amp;Q1566,$N$6:$N$3267,Calendar!$K$4),"")</f>
        <v/>
      </c>
      <c r="W1566" s="47">
        <f>IF(AND(B1566=Queue!$C$4,OR(Queue!$K$4="*",N1566=Queue!$K$4)),Q1566,"")</f>
        <v/>
      </c>
    </row>
    <row r="1567">
      <c r="A1567" s="38">
        <f>IF(M1567="","",HYPERLINK("https://www.youtube.com/watch?v="&amp;M1567,"▶"))</f>
        <v/>
      </c>
      <c r="B1567" s="39">
        <f>IF(C1567&lt;&gt;"",C1567,IF(P1567&lt;=IFERROR(INDEX(tblChannels[Watched Through],MATCH(N1567,tblChannels[Channel ID],0)),0),"Watched","Unwatched"))</f>
        <v/>
      </c>
      <c r="C1567" s="40" t="n"/>
      <c r="D1567" s="41" t="n"/>
      <c r="E1567" s="42" t="n">
        <v>44145.86736111111</v>
      </c>
      <c r="F1567" s="50" t="inlineStr">
        <is>
          <t>Super Carlin Brothers</t>
        </is>
      </c>
      <c r="G1567" t="inlineStr">
        <is>
          <t>Is Dumbledore the Heir of Gryffindor? [Harry Potter Theory]</t>
        </is>
      </c>
      <c r="H1567" s="44" t="n">
        <v>0.01068287037037037</v>
      </c>
      <c r="I1567" s="45" t="n">
        <v>721087</v>
      </c>
      <c r="J1567" s="45" t="n">
        <v>24332</v>
      </c>
      <c r="K1567" s="45" t="n">
        <v>2715</v>
      </c>
      <c r="L1567" s="46" t="n"/>
      <c r="M1567" s="47" t="n"/>
      <c r="N1567" s="47" t="inlineStr">
        <is>
          <t>UCKZo4N0lVPccBkSiuyVh4yg</t>
        </is>
      </c>
      <c r="O1567" s="48" t="n">
        <v>44146.07569444444</v>
      </c>
      <c r="P1567" s="49" t="n">
        <v>44145</v>
      </c>
      <c r="Q1567" s="47" t="n">
        <v>1701</v>
      </c>
      <c r="R1567" s="47" t="inlineStr">
        <is>
          <t>No Video ID yet</t>
        </is>
      </c>
      <c r="S1567" s="49" t="n"/>
      <c r="T1567" s="49" t="n"/>
      <c r="U1567" s="47" t="inlineStr">
        <is>
          <t>Hurry to to find out HOW LOW your Upstart rate can be! Today J dives into the Wizarding World to determine Dumbledores' true lineage and reveal how he is the heir of Godric Gryffindor!</t>
        </is>
      </c>
      <c r="V1567" s="47">
        <f>IF(AND(P1567&gt;=Calendar!$K$2,P1567&lt;EDATE(Calendar!$K$2,1),OR(Calendar!$K$4="*",N1567=Calendar!$K$4)),P1567*100+COUNTIFS($P$6:$P$3267,P1567,$Q$6:$Q$3267,"&lt;="&amp;Q1567,$N$6:$N$3267,Calendar!$K$4),"")</f>
        <v/>
      </c>
      <c r="W1567" s="47">
        <f>IF(AND(B1567=Queue!$C$4,OR(Queue!$K$4="*",N1567=Queue!$K$4)),Q1567,"")</f>
        <v/>
      </c>
    </row>
    <row r="1568">
      <c r="A1568" s="38">
        <f>IF(M1568="","",HYPERLINK("https://www.youtube.com/watch?v="&amp;M1568,"▶"))</f>
        <v/>
      </c>
      <c r="B1568" s="39">
        <f>IF(C1568&lt;&gt;"",C1568,IF(P1568&lt;=IFERROR(INDEX(tblChannels[Watched Through],MATCH(N1568,tblChannels[Channel ID],0)),0),"Watched","Unwatched"))</f>
        <v/>
      </c>
      <c r="C1568" s="40" t="n"/>
      <c r="D1568" s="41" t="n"/>
      <c r="E1568" s="42" t="n">
        <v>44140.81319444445</v>
      </c>
      <c r="F1568" s="50" t="inlineStr">
        <is>
          <t>Super Carlin Brothers</t>
        </is>
      </c>
      <c r="G1568" t="inlineStr">
        <is>
          <t>Where Does The Sword Of Gryffindor Hide? [Harry Potter Theory]</t>
        </is>
      </c>
      <c r="H1568" s="44" t="n">
        <v>0.01056712962962963</v>
      </c>
      <c r="I1568" s="45" t="n">
        <v>376724</v>
      </c>
      <c r="J1568" s="45" t="n">
        <v>16507</v>
      </c>
      <c r="K1568" s="45" t="n">
        <v>2679</v>
      </c>
      <c r="L1568" s="46" t="n"/>
      <c r="M1568" s="47" t="n"/>
      <c r="N1568" s="47" t="inlineStr">
        <is>
          <t>UCKZo4N0lVPccBkSiuyVh4yg</t>
        </is>
      </c>
      <c r="O1568" s="48" t="n">
        <v>44141.02152777778</v>
      </c>
      <c r="P1568" s="49" t="n">
        <v>44140</v>
      </c>
      <c r="Q1568" s="47" t="n">
        <v>1700</v>
      </c>
      <c r="R1568" s="47" t="inlineStr">
        <is>
          <t>No Video ID yet</t>
        </is>
      </c>
      <c r="S1568" s="49" t="n"/>
      <c r="T1568" s="49" t="n"/>
      <c r="U1568" s="47" t="inlineStr">
        <is>
          <t>HOT CHOCOLATE IS BACK! Get Double Chocolate &amp; Salted Caramel at Today J dives into the Wizarding World of Harry Potter to try and answer and age old question: Where does the sword of Gryffindor go when its not in use? Back in the hat? Godric's Hollow? Nevada? Today we find out! #HarryPotter #WizardingWorld</t>
        </is>
      </c>
      <c r="V1568" s="47">
        <f>IF(AND(P1568&gt;=Calendar!$K$2,P1568&lt;EDATE(Calendar!$K$2,1),OR(Calendar!$K$4="*",N1568=Calendar!$K$4)),P1568*100+COUNTIFS($P$6:$P$3267,P1568,$Q$6:$Q$3267,"&lt;="&amp;Q1568,$N$6:$N$3267,Calendar!$K$4),"")</f>
        <v/>
      </c>
      <c r="W1568" s="47">
        <f>IF(AND(B1568=Queue!$C$4,OR(Queue!$K$4="*",N1568=Queue!$K$4)),Q1568,"")</f>
        <v/>
      </c>
    </row>
    <row r="1569">
      <c r="A1569" s="38">
        <f>IF(M1569="","",HYPERLINK("https://www.youtube.com/watch?v="&amp;M1569,"▶"))</f>
        <v/>
      </c>
      <c r="B1569" s="39">
        <f>IF(C1569&lt;&gt;"",C1569,IF(P1569&lt;=IFERROR(INDEX(tblChannels[Watched Through],MATCH(N1569,tblChannels[Channel ID],0)),0),"Watched","Unwatched"))</f>
        <v/>
      </c>
      <c r="C1569" s="40" t="n"/>
      <c r="D1569" s="41" t="n"/>
      <c r="E1569" s="42" t="n">
        <v>44138.76388888889</v>
      </c>
      <c r="F1569" s="50" t="inlineStr">
        <is>
          <t>Super Carlin Brothers</t>
        </is>
      </c>
      <c r="G1569" t="inlineStr">
        <is>
          <t>The Mandalorian Is Getting a Lightsaber! [Star Wars Theory]</t>
        </is>
      </c>
      <c r="H1569" s="44" t="n">
        <v>0.009918981481481482</v>
      </c>
      <c r="I1569" s="45" t="n">
        <v>245709</v>
      </c>
      <c r="J1569" s="45" t="n">
        <v>11513</v>
      </c>
      <c r="K1569" s="45" t="n">
        <v>2224</v>
      </c>
      <c r="L1569" s="46" t="n"/>
      <c r="M1569" s="47" t="n"/>
      <c r="N1569" s="47" t="inlineStr">
        <is>
          <t>UCKZo4N0lVPccBkSiuyVh4yg</t>
        </is>
      </c>
      <c r="O1569" s="48" t="n">
        <v>44138.97222222222</v>
      </c>
      <c r="P1569" s="49" t="n">
        <v>44138</v>
      </c>
      <c r="Q1569" s="47" t="n">
        <v>1699</v>
      </c>
      <c r="R1569" s="47" t="inlineStr">
        <is>
          <t>No Video ID yet</t>
        </is>
      </c>
      <c r="S1569" s="49" t="n"/>
      <c r="T1569" s="49" t="n"/>
      <c r="U1569" s="47" t="inlineStr">
        <is>
          <t>Double Double Chocolate Chocolate &amp; Salted Caramel Hot Chocolate are ON SALE NOW! Today J dives into the Star Wars Galaxy to discuss how The Mandalorian is going to acquire his own lightsaber with the help of The Child aka Baby Yoda!</t>
        </is>
      </c>
      <c r="V1569" s="47">
        <f>IF(AND(P1569&gt;=Calendar!$K$2,P1569&lt;EDATE(Calendar!$K$2,1),OR(Calendar!$K$4="*",N1569=Calendar!$K$4)),P1569*100+COUNTIFS($P$6:$P$3267,P1569,$Q$6:$Q$3267,"&lt;="&amp;Q1569,$N$6:$N$3267,Calendar!$K$4),"")</f>
        <v/>
      </c>
      <c r="W1569" s="47">
        <f>IF(AND(B1569=Queue!$C$4,OR(Queue!$K$4="*",N1569=Queue!$K$4)),Q1569,"")</f>
        <v/>
      </c>
    </row>
    <row r="1570">
      <c r="A1570" s="38">
        <f>IF(M1570="","",HYPERLINK("https://www.youtube.com/watch?v="&amp;M1570,"▶"))</f>
        <v/>
      </c>
      <c r="B1570" s="39">
        <f>IF(C1570&lt;&gt;"",C1570,IF(P1570&lt;=IFERROR(INDEX(tblChannels[Watched Through],MATCH(N1570,tblChannels[Channel ID],0)),0),"Watched","Unwatched"))</f>
        <v/>
      </c>
      <c r="C1570" s="40" t="n"/>
      <c r="D1570" s="41" t="n"/>
      <c r="E1570" s="42" t="n">
        <v>44133.78263888889</v>
      </c>
      <c r="F1570" s="50" t="inlineStr">
        <is>
          <t>Super Carlin Brothers</t>
        </is>
      </c>
      <c r="G1570" t="inlineStr">
        <is>
          <t>J vs Ben: HARDEST Harry Potter Halloween Trivia Quiz</t>
        </is>
      </c>
      <c r="H1570" s="44" t="n">
        <v>0.01954861111111111</v>
      </c>
      <c r="I1570" s="45" t="n">
        <v>270316</v>
      </c>
      <c r="J1570" s="45" t="n">
        <v>10169</v>
      </c>
      <c r="K1570" s="45" t="n">
        <v>1653</v>
      </c>
      <c r="L1570" s="46" t="n"/>
      <c r="M1570" s="47" t="n"/>
      <c r="N1570" s="47" t="inlineStr">
        <is>
          <t>UCKZo4N0lVPccBkSiuyVh4yg</t>
        </is>
      </c>
      <c r="O1570" s="48" t="n">
        <v>44133.94930555556</v>
      </c>
      <c r="P1570" s="49" t="n">
        <v>44133</v>
      </c>
      <c r="Q1570" s="47" t="n">
        <v>1698</v>
      </c>
      <c r="R1570" s="47" t="inlineStr">
        <is>
          <t>No Video ID yet</t>
        </is>
      </c>
      <c r="S1570" s="49" t="n"/>
      <c r="T1570" s="49" t="n"/>
      <c r="U1570" s="47" t="inlineStr">
        <is>
          <t>Go to for 10% off! Go to today and get an extra 3 months free on a 1-year package! Go to and use code JVSB80 to get a total of $80 off across 5 boxes, including free shipping on your first box! Today J and Ben face off in another Harry Potter Trivia Quiz to find out who knows the most about the Wizaring World and what happens there on Halloween!</t>
        </is>
      </c>
      <c r="V1570" s="47">
        <f>IF(AND(P1570&gt;=Calendar!$K$2,P1570&lt;EDATE(Calendar!$K$2,1),OR(Calendar!$K$4="*",N1570=Calendar!$K$4)),P1570*100+COUNTIFS($P$6:$P$3267,P1570,$Q$6:$Q$3267,"&lt;="&amp;Q1570,$N$6:$N$3267,Calendar!$K$4),"")</f>
        <v/>
      </c>
      <c r="W1570" s="47">
        <f>IF(AND(B1570=Queue!$C$4,OR(Queue!$K$4="*",N1570=Queue!$K$4)),Q1570,"")</f>
        <v/>
      </c>
    </row>
    <row r="1571">
      <c r="A1571" s="38">
        <f>IF(M1571="","",HYPERLINK("https://www.youtube.com/watch?v="&amp;M1571,"▶"))</f>
        <v/>
      </c>
      <c r="B1571" s="39">
        <f>IF(C1571&lt;&gt;"",C1571,IF(P1571&lt;=IFERROR(INDEX(tblChannels[Watched Through],MATCH(N1571,tblChannels[Channel ID],0)),0),"Watched","Unwatched"))</f>
        <v/>
      </c>
      <c r="C1571" s="40" t="n"/>
      <c r="D1571" s="41" t="n"/>
      <c r="E1571" s="42" t="n">
        <v>44131.65</v>
      </c>
      <c r="F1571" s="50" t="inlineStr">
        <is>
          <t>Super Carlin Brothers</t>
        </is>
      </c>
      <c r="G1571" t="inlineStr">
        <is>
          <t>Did Voldemort CURSE Halloween? [Harry Potter Theory]</t>
        </is>
      </c>
      <c r="H1571" s="44" t="n">
        <v>0.009918981481481482</v>
      </c>
      <c r="I1571" s="45" t="n">
        <v>400478</v>
      </c>
      <c r="J1571" s="45" t="n">
        <v>17130</v>
      </c>
      <c r="K1571" s="45" t="n">
        <v>2512</v>
      </c>
      <c r="L1571" s="46" t="n"/>
      <c r="M1571" s="47" t="n"/>
      <c r="N1571" s="47" t="inlineStr">
        <is>
          <t>UCKZo4N0lVPccBkSiuyVh4yg</t>
        </is>
      </c>
      <c r="O1571" s="48" t="n">
        <v>44131.81666666667</v>
      </c>
      <c r="P1571" s="49" t="n">
        <v>44131</v>
      </c>
      <c r="Q1571" s="47" t="n">
        <v>1697</v>
      </c>
      <c r="R1571" s="47" t="inlineStr">
        <is>
          <t>No Video ID yet</t>
        </is>
      </c>
      <c r="S1571" s="49" t="n"/>
      <c r="T1571" s="49" t="n"/>
      <c r="U1571" s="47" t="inlineStr">
        <is>
          <t>Go to and use code SCB to get $75 off! Today J dives into the Wizarding World of Harry Potter to uncover the odd mystery of Halloween and why its always such a big deal between Philosophers Stone and Goblet of Fire! Did Voldemort Curse Halloween or are unseen forces at work?!</t>
        </is>
      </c>
      <c r="V1571" s="47">
        <f>IF(AND(P1571&gt;=Calendar!$K$2,P1571&lt;EDATE(Calendar!$K$2,1),OR(Calendar!$K$4="*",N1571=Calendar!$K$4)),P1571*100+COUNTIFS($P$6:$P$3267,P1571,$Q$6:$Q$3267,"&lt;="&amp;Q1571,$N$6:$N$3267,Calendar!$K$4),"")</f>
        <v/>
      </c>
      <c r="W1571" s="47">
        <f>IF(AND(B1571=Queue!$C$4,OR(Queue!$K$4="*",N1571=Queue!$K$4)),Q1571,"")</f>
        <v/>
      </c>
    </row>
    <row r="1572">
      <c r="A1572" s="38">
        <f>IF(M1572="","",HYPERLINK("https://www.youtube.com/watch?v="&amp;M1572,"▶"))</f>
        <v/>
      </c>
      <c r="B1572" s="39">
        <f>IF(C1572&lt;&gt;"",C1572,IF(P1572&lt;=IFERROR(INDEX(tblChannels[Watched Through],MATCH(N1572,tblChannels[Channel ID],0)),0),"Watched","Unwatched"))</f>
        <v/>
      </c>
      <c r="C1572" s="40" t="n"/>
      <c r="D1572" s="41" t="n"/>
      <c r="E1572" s="42" t="n">
        <v>44126.67361111111</v>
      </c>
      <c r="F1572" s="50" t="inlineStr">
        <is>
          <t>Super Carlin Brothers</t>
        </is>
      </c>
      <c r="G1572" t="inlineStr">
        <is>
          <t>How Does Harry Resist The Imperius Curse? [Harry Potter Theory]</t>
        </is>
      </c>
      <c r="H1572" s="44" t="n">
        <v>0.01173611111111111</v>
      </c>
      <c r="I1572" s="45" t="n">
        <v>1154834</v>
      </c>
      <c r="J1572" s="45" t="n">
        <v>34821</v>
      </c>
      <c r="K1572" s="45" t="n">
        <v>3217</v>
      </c>
      <c r="L1572" s="46" t="n"/>
      <c r="M1572" s="47" t="n"/>
      <c r="N1572" s="47" t="inlineStr">
        <is>
          <t>UCKZo4N0lVPccBkSiuyVh4yg</t>
        </is>
      </c>
      <c r="O1572" s="48" t="n">
        <v>44126.84027777778</v>
      </c>
      <c r="P1572" s="49" t="n">
        <v>44126</v>
      </c>
      <c r="Q1572" s="47" t="n">
        <v>1696</v>
      </c>
      <c r="R1572" s="47" t="inlineStr">
        <is>
          <t>No Video ID yet</t>
        </is>
      </c>
      <c r="S1572" s="49" t="n"/>
      <c r="T1572" s="49" t="n"/>
      <c r="U1572" s="47" t="inlineStr">
        <is>
          <t>Get 20% off your first monthly box when you sign up at and enter the code SUPER at checkout! Today Ben dives into the Wizarding World of Harry Potter to try and determine HOW Harry manages to shake off the Imperius Curse on his FIRST try.</t>
        </is>
      </c>
      <c r="V1572" s="47">
        <f>IF(AND(P1572&gt;=Calendar!$K$2,P1572&lt;EDATE(Calendar!$K$2,1),OR(Calendar!$K$4="*",N1572=Calendar!$K$4)),P1572*100+COUNTIFS($P$6:$P$3267,P1572,$Q$6:$Q$3267,"&lt;="&amp;Q1572,$N$6:$N$3267,Calendar!$K$4),"")</f>
        <v/>
      </c>
      <c r="W1572" s="47">
        <f>IF(AND(B1572=Queue!$C$4,OR(Queue!$K$4="*",N1572=Queue!$K$4)),Q1572,"")</f>
        <v/>
      </c>
    </row>
    <row r="1573">
      <c r="A1573" s="38">
        <f>IF(M1573="","",HYPERLINK("https://www.youtube.com/watch?v="&amp;M1573,"▶"))</f>
        <v/>
      </c>
      <c r="B1573" s="39">
        <f>IF(C1573&lt;&gt;"",C1573,IF(P1573&lt;=IFERROR(INDEX(tblChannels[Watched Through],MATCH(N1573,tblChannels[Channel ID],0)),0),"Watched","Unwatched"))</f>
        <v/>
      </c>
      <c r="C1573" s="40" t="n"/>
      <c r="D1573" s="41" t="n"/>
      <c r="E1573" s="42" t="n">
        <v>44124.66111111111</v>
      </c>
      <c r="F1573" s="50" t="inlineStr">
        <is>
          <t>Super Carlin Brothers</t>
        </is>
      </c>
      <c r="G1573" t="inlineStr">
        <is>
          <t>How Do Avatar Ghosts Work? [Avatar: The Last Airbender Theory]</t>
        </is>
      </c>
      <c r="H1573" s="44" t="n">
        <v>0.01178240740740741</v>
      </c>
      <c r="I1573" s="45" t="n">
        <v>276556</v>
      </c>
      <c r="J1573" s="45" t="n">
        <v>12010</v>
      </c>
      <c r="K1573" s="45" t="n">
        <v>1155</v>
      </c>
      <c r="L1573" s="46" t="n"/>
      <c r="M1573" s="47" t="n"/>
      <c r="N1573" s="47" t="inlineStr">
        <is>
          <t>UCKZo4N0lVPccBkSiuyVh4yg</t>
        </is>
      </c>
      <c r="O1573" s="48" t="n">
        <v>44124.82777777778</v>
      </c>
      <c r="P1573" s="49" t="n">
        <v>44124</v>
      </c>
      <c r="Q1573" s="47" t="n">
        <v>1695</v>
      </c>
      <c r="R1573" s="47" t="inlineStr">
        <is>
          <t>No Video ID yet</t>
        </is>
      </c>
      <c r="S1573" s="49" t="n"/>
      <c r="T1573" s="49" t="n"/>
      <c r="U1573" s="47" t="inlineStr">
        <is>
          <t>Today J dives into the world of Avatar the Last Airbender to try and determine HOW Avatar Ghosts work and whether or not future avatars will still have access to them based on what happens to Raava during Legend of Korra! Special thanks to Christopher Wildi for submitting this idea to us! #atla #avatarthelastairbender</t>
        </is>
      </c>
      <c r="V1573" s="47">
        <f>IF(AND(P1573&gt;=Calendar!$K$2,P1573&lt;EDATE(Calendar!$K$2,1),OR(Calendar!$K$4="*",N1573=Calendar!$K$4)),P1573*100+COUNTIFS($P$6:$P$3267,P1573,$Q$6:$Q$3267,"&lt;="&amp;Q1573,$N$6:$N$3267,Calendar!$K$4),"")</f>
        <v/>
      </c>
      <c r="W1573" s="47">
        <f>IF(AND(B1573=Queue!$C$4,OR(Queue!$K$4="*",N1573=Queue!$K$4)),Q1573,"")</f>
        <v/>
      </c>
    </row>
    <row r="1574">
      <c r="A1574" s="38">
        <f>IF(M1574="","",HYPERLINK("https://www.youtube.com/watch?v="&amp;M1574,"▶"))</f>
        <v/>
      </c>
      <c r="B1574" s="39">
        <f>IF(C1574&lt;&gt;"",C1574,IF(P1574&lt;=IFERROR(INDEX(tblChannels[Watched Through],MATCH(N1574,tblChannels[Channel ID],0)),0),"Watched","Unwatched"))</f>
        <v/>
      </c>
      <c r="C1574" s="40" t="n"/>
      <c r="D1574" s="41" t="n"/>
      <c r="E1574" s="42" t="n">
        <v>44119.90555555555</v>
      </c>
      <c r="F1574" s="50" t="inlineStr">
        <is>
          <t>Super Carlin Brothers</t>
        </is>
      </c>
      <c r="G1574" t="inlineStr">
        <is>
          <t>J vs Ben: The Pixar Quiz That Just Keeps Getting Harder</t>
        </is>
      </c>
      <c r="H1574" s="44" t="n">
        <v>0.01546296296296296</v>
      </c>
      <c r="I1574" s="45" t="n">
        <v>187833</v>
      </c>
      <c r="J1574" s="45" t="n">
        <v>7932</v>
      </c>
      <c r="K1574" s="45" t="n">
        <v>1447</v>
      </c>
      <c r="L1574" s="46" t="n"/>
      <c r="M1574" s="47" t="n"/>
      <c r="N1574" s="47" t="inlineStr">
        <is>
          <t>UCKZo4N0lVPccBkSiuyVh4yg</t>
        </is>
      </c>
      <c r="O1574" s="48" t="n">
        <v>44120.07222222222</v>
      </c>
      <c r="P1574" s="49" t="n">
        <v>44119</v>
      </c>
      <c r="Q1574" s="47" t="n">
        <v>1694</v>
      </c>
      <c r="R1574" s="47" t="inlineStr">
        <is>
          <t>No Video ID yet</t>
        </is>
      </c>
      <c r="S1574" s="49" t="n"/>
      <c r="T1574" s="49" t="n"/>
      <c r="U1574" s="47" t="inlineStr">
        <is>
          <t>Get $5 off and zero delivery fees on your first order of $15 or more when you download the DoorDash app and enter code JVSB! Go to and type in JVSB to claim your special offer today! In today’s episode J and Ben face off on a Pixar Quiz that get’s progressively harder the further in you go! The Progessively Harder PIxar Quiz :: Check out Bacon and Eggs: A Movie Lover's Podcast:</t>
        </is>
      </c>
      <c r="V1574" s="47">
        <f>IF(AND(P1574&gt;=Calendar!$K$2,P1574&lt;EDATE(Calendar!$K$2,1),OR(Calendar!$K$4="*",N1574=Calendar!$K$4)),P1574*100+COUNTIFS($P$6:$P$3267,P1574,$Q$6:$Q$3267,"&lt;="&amp;Q1574,$N$6:$N$3267,Calendar!$K$4),"")</f>
        <v/>
      </c>
      <c r="W1574" s="47">
        <f>IF(AND(B1574=Queue!$C$4,OR(Queue!$K$4="*",N1574=Queue!$K$4)),Q1574,"")</f>
        <v/>
      </c>
    </row>
    <row r="1575">
      <c r="A1575" s="38">
        <f>IF(M1575="","",HYPERLINK("https://www.youtube.com/watch?v="&amp;M1575,"▶"))</f>
        <v/>
      </c>
      <c r="B1575" s="39">
        <f>IF(C1575&lt;&gt;"",C1575,IF(P1575&lt;=IFERROR(INDEX(tblChannels[Watched Through],MATCH(N1575,tblChannels[Channel ID],0)),0),"Watched","Unwatched"))</f>
        <v/>
      </c>
      <c r="C1575" s="40" t="n"/>
      <c r="D1575" s="41" t="n"/>
      <c r="E1575" s="42" t="n">
        <v>44117.81458333333</v>
      </c>
      <c r="F1575" s="50" t="inlineStr">
        <is>
          <t>Super Carlin Brothers</t>
        </is>
      </c>
      <c r="G1575" t="inlineStr">
        <is>
          <t>The Painted Lady's TRUE Identity [Avatar The Last Airbender Theory]</t>
        </is>
      </c>
      <c r="H1575" s="44" t="n">
        <v>0.009166666666666667</v>
      </c>
      <c r="I1575" s="45" t="n">
        <v>398658</v>
      </c>
      <c r="J1575" s="45" t="n">
        <v>19236</v>
      </c>
      <c r="K1575" s="45" t="n">
        <v>1885</v>
      </c>
      <c r="L1575" s="46" t="n"/>
      <c r="M1575" s="47" t="n"/>
      <c r="N1575" s="47" t="inlineStr">
        <is>
          <t>UCKZo4N0lVPccBkSiuyVh4yg</t>
        </is>
      </c>
      <c r="O1575" s="48" t="n">
        <v>44117.98125</v>
      </c>
      <c r="P1575" s="49" t="n">
        <v>44117</v>
      </c>
      <c r="Q1575" s="47" t="n">
        <v>1693</v>
      </c>
      <c r="R1575" s="47" t="inlineStr">
        <is>
          <t>No Video ID yet</t>
        </is>
      </c>
      <c r="S1575" s="49" t="n"/>
      <c r="T1575" s="49" t="n"/>
      <c r="U1575" s="47" t="inlineStr">
        <is>
          <t>Hurry to to find out HOW LOW your Upstart rate can be! Today J dives into the world of Avatar the Last Airbender to try and determine the true identity of The Painted Lady - Who was she before she became a spirit?</t>
        </is>
      </c>
      <c r="V1575" s="47">
        <f>IF(AND(P1575&gt;=Calendar!$K$2,P1575&lt;EDATE(Calendar!$K$2,1),OR(Calendar!$K$4="*",N1575=Calendar!$K$4)),P1575*100+COUNTIFS($P$6:$P$3267,P1575,$Q$6:$Q$3267,"&lt;="&amp;Q1575,$N$6:$N$3267,Calendar!$K$4),"")</f>
        <v/>
      </c>
      <c r="W1575" s="47">
        <f>IF(AND(B1575=Queue!$C$4,OR(Queue!$K$4="*",N1575=Queue!$K$4)),Q1575,"")</f>
        <v/>
      </c>
    </row>
    <row r="1576">
      <c r="A1576" s="38">
        <f>IF(M1576="","",HYPERLINK("https://www.youtube.com/watch?v="&amp;M1576,"▶"))</f>
        <v/>
      </c>
      <c r="B1576" s="39">
        <f>IF(C1576&lt;&gt;"",C1576,IF(P1576&lt;=IFERROR(INDEX(tblChannels[Watched Through],MATCH(N1576,tblChannels[Channel ID],0)),0),"Watched","Unwatched"))</f>
        <v/>
      </c>
      <c r="C1576" s="40" t="n"/>
      <c r="D1576" s="41" t="n"/>
      <c r="E1576" s="42" t="n">
        <v>44112.82847222222</v>
      </c>
      <c r="F1576" s="50" t="inlineStr">
        <is>
          <t>Super Carlin Brothers</t>
        </is>
      </c>
      <c r="G1576" t="inlineStr">
        <is>
          <t>Why Didn’t Quirrell Kill Fluffy? [Harry Potter Theory]</t>
        </is>
      </c>
      <c r="H1576" s="44" t="n">
        <v>0.008194444444444445</v>
      </c>
      <c r="I1576" s="45" t="n">
        <v>473004</v>
      </c>
      <c r="J1576" s="45" t="n">
        <v>17720</v>
      </c>
      <c r="K1576" s="45" t="n">
        <v>1678</v>
      </c>
      <c r="L1576" s="46" t="n"/>
      <c r="M1576" s="47" t="n"/>
      <c r="N1576" s="47" t="inlineStr">
        <is>
          <t>UCKZo4N0lVPccBkSiuyVh4yg</t>
        </is>
      </c>
      <c r="O1576" s="48" t="n">
        <v>44112.99513888889</v>
      </c>
      <c r="P1576" s="49" t="n">
        <v>44112</v>
      </c>
      <c r="Q1576" s="47" t="n">
        <v>1692</v>
      </c>
      <c r="R1576" s="47" t="inlineStr">
        <is>
          <t>No Video ID yet</t>
        </is>
      </c>
      <c r="S1576" s="49" t="n"/>
      <c r="T1576" s="49" t="n"/>
      <c r="U1576" s="47" t="inlineStr">
        <is>
          <t>Hurry to to find out HOW LOW your Upstart rate can be! Today Ben dives into the Wizarding World of Harry Potter to try and figure out why Voldemort and Quirrell allowed themselves to be stopped by a FLuffy for a YEAR when they could have just killed him?</t>
        </is>
      </c>
      <c r="V1576" s="47">
        <f>IF(AND(P1576&gt;=Calendar!$K$2,P1576&lt;EDATE(Calendar!$K$2,1),OR(Calendar!$K$4="*",N1576=Calendar!$K$4)),P1576*100+COUNTIFS($P$6:$P$3267,P1576,$Q$6:$Q$3267,"&lt;="&amp;Q1576,$N$6:$N$3267,Calendar!$K$4),"")</f>
        <v/>
      </c>
      <c r="W1576" s="47">
        <f>IF(AND(B1576=Queue!$C$4,OR(Queue!$K$4="*",N1576=Queue!$K$4)),Q1576,"")</f>
        <v/>
      </c>
    </row>
    <row r="1577">
      <c r="A1577" s="38">
        <f>IF(M1577="","",HYPERLINK("https://www.youtube.com/watch?v="&amp;M1577,"▶"))</f>
        <v/>
      </c>
      <c r="B1577" s="39">
        <f>IF(C1577&lt;&gt;"",C1577,IF(P1577&lt;=IFERROR(INDEX(tblChannels[Watched Through],MATCH(N1577,tblChannels[Channel ID],0)),0),"Watched","Unwatched"))</f>
        <v/>
      </c>
      <c r="C1577" s="40" t="n"/>
      <c r="D1577" s="41" t="n"/>
      <c r="E1577" s="42" t="n">
        <v>44110.66388888889</v>
      </c>
      <c r="F1577" s="50" t="inlineStr">
        <is>
          <t>Super Carlin Brothers</t>
        </is>
      </c>
      <c r="G1577" t="inlineStr">
        <is>
          <t>Why The Fire Nation Killed Katara's Mom [Avatar: The Last Airbender Theory]</t>
        </is>
      </c>
      <c r="H1577" s="44" t="n">
        <v>0.007939814814814814</v>
      </c>
      <c r="I1577" s="45" t="n">
        <v>434955</v>
      </c>
      <c r="J1577" s="45" t="n">
        <v>19884</v>
      </c>
      <c r="K1577" s="45" t="n">
        <v>1882</v>
      </c>
      <c r="L1577" s="46" t="n"/>
      <c r="M1577" s="47" t="n"/>
      <c r="N1577" s="47" t="inlineStr">
        <is>
          <t>UCKZo4N0lVPccBkSiuyVh4yg</t>
        </is>
      </c>
      <c r="O1577" s="48" t="n">
        <v>44110.83055555556</v>
      </c>
      <c r="P1577" s="49" t="n">
        <v>44110</v>
      </c>
      <c r="Q1577" s="47" t="n">
        <v>1691</v>
      </c>
      <c r="R1577" s="47" t="inlineStr">
        <is>
          <t>No Video ID yet</t>
        </is>
      </c>
      <c r="S1577" s="49" t="n"/>
      <c r="T1577" s="49" t="n"/>
      <c r="U1577" s="47" t="inlineStr">
        <is>
          <t>Today J dives into the world of Avatar: The Last Airbender to address one of the shows longest unanswered mysteries. Why did the Fire Nation suddenly decided to kill Katara and Sokka's mother Kya after just capturing water benders for so long?</t>
        </is>
      </c>
      <c r="V1577" s="47">
        <f>IF(AND(P1577&gt;=Calendar!$K$2,P1577&lt;EDATE(Calendar!$K$2,1),OR(Calendar!$K$4="*",N1577=Calendar!$K$4)),P1577*100+COUNTIFS($P$6:$P$3267,P1577,$Q$6:$Q$3267,"&lt;="&amp;Q1577,$N$6:$N$3267,Calendar!$K$4),"")</f>
        <v/>
      </c>
      <c r="W1577" s="47">
        <f>IF(AND(B1577=Queue!$C$4,OR(Queue!$K$4="*",N1577=Queue!$K$4)),Q1577,"")</f>
        <v/>
      </c>
    </row>
    <row r="1578">
      <c r="A1578" s="38">
        <f>IF(M1578="","",HYPERLINK("https://www.youtube.com/watch?v="&amp;M1578,"▶"))</f>
        <v/>
      </c>
      <c r="B1578" s="39">
        <f>IF(C1578&lt;&gt;"",C1578,IF(P1578&lt;=IFERROR(INDEX(tblChannels[Watched Through],MATCH(N1578,tblChannels[Channel ID],0)),0),"Watched","Unwatched"))</f>
        <v/>
      </c>
      <c r="C1578" s="40" t="n"/>
      <c r="D1578" s="41" t="n"/>
      <c r="E1578" s="42" t="n">
        <v>44105.57222222222</v>
      </c>
      <c r="F1578" s="50" t="inlineStr">
        <is>
          <t>Super Carlin Brothers</t>
        </is>
      </c>
      <c r="G1578" t="inlineStr">
        <is>
          <t>J vs Ben: The ULTIMATE Ministry of Magic TRIVIA Quiz</t>
        </is>
      </c>
      <c r="H1578" s="44" t="n">
        <v>0.01711805555555556</v>
      </c>
      <c r="I1578" s="45" t="n">
        <v>286654</v>
      </c>
      <c r="J1578" s="45" t="n">
        <v>10221</v>
      </c>
      <c r="K1578" s="45" t="n">
        <v>952</v>
      </c>
      <c r="L1578" s="46" t="n"/>
      <c r="M1578" s="47" t="n"/>
      <c r="N1578" s="47" t="inlineStr">
        <is>
          <t>UCKZo4N0lVPccBkSiuyVh4yg</t>
        </is>
      </c>
      <c r="O1578" s="48" t="n">
        <v>44105.73888888889</v>
      </c>
      <c r="P1578" s="49" t="n">
        <v>44105</v>
      </c>
      <c r="Q1578" s="47" t="n">
        <v>1690</v>
      </c>
      <c r="R1578" s="47" t="inlineStr">
        <is>
          <t>No Video ID yet</t>
        </is>
      </c>
      <c r="S1578" s="49" t="n"/>
      <c r="T1578" s="49" t="n"/>
      <c r="U1578" s="47" t="inlineStr">
        <is>
          <t>Go to today and get an extra 3 months free on a 1-year package! Go to and enter promo code jvsb to get $25 off your first box! Today J and Ben face off in the ULTIMATE Ministry of Magic Harry Potter Trivia Quiz to find out who knows more about the most corrupt government agency out there.</t>
        </is>
      </c>
      <c r="V1578" s="47">
        <f>IF(AND(P1578&gt;=Calendar!$K$2,P1578&lt;EDATE(Calendar!$K$2,1),OR(Calendar!$K$4="*",N1578=Calendar!$K$4)),P1578*100+COUNTIFS($P$6:$P$3267,P1578,$Q$6:$Q$3267,"&lt;="&amp;Q1578,$N$6:$N$3267,Calendar!$K$4),"")</f>
        <v/>
      </c>
      <c r="W1578" s="47">
        <f>IF(AND(B1578=Queue!$C$4,OR(Queue!$K$4="*",N1578=Queue!$K$4)),Q1578,"")</f>
        <v/>
      </c>
    </row>
    <row r="1579">
      <c r="A1579" s="38">
        <f>IF(M1579="","",HYPERLINK("https://www.youtube.com/watch?v="&amp;M1579,"▶"))</f>
        <v/>
      </c>
      <c r="B1579" s="39">
        <f>IF(C1579&lt;&gt;"",C1579,IF(P1579&lt;=IFERROR(INDEX(tblChannels[Watched Through],MATCH(N1579,tblChannels[Channel ID],0)),0),"Watched","Unwatched"))</f>
        <v/>
      </c>
      <c r="C1579" s="40" t="n"/>
      <c r="D1579" s="41" t="n"/>
      <c r="E1579" s="42" t="n">
        <v>44103.77291666667</v>
      </c>
      <c r="F1579" s="50" t="inlineStr">
        <is>
          <t>Super Carlin Brothers</t>
        </is>
      </c>
      <c r="G1579" t="inlineStr">
        <is>
          <t>Arthur Weasley Is A Corrupt Employee? [Harry Potter Theory]</t>
        </is>
      </c>
      <c r="H1579" s="44" t="n">
        <v>0.01037037037037037</v>
      </c>
      <c r="I1579" s="45" t="n">
        <v>690413</v>
      </c>
      <c r="J1579" s="45" t="n">
        <v>25973</v>
      </c>
      <c r="K1579" s="45" t="n">
        <v>2991</v>
      </c>
      <c r="L1579" s="46" t="n"/>
      <c r="M1579" s="47" t="n"/>
      <c r="N1579" s="47" t="inlineStr">
        <is>
          <t>UCKZo4N0lVPccBkSiuyVh4yg</t>
        </is>
      </c>
      <c r="O1579" s="48" t="n">
        <v>44103.93958333333</v>
      </c>
      <c r="P1579" s="49" t="n">
        <v>44103</v>
      </c>
      <c r="Q1579" s="47" t="n">
        <v>1689</v>
      </c>
      <c r="R1579" s="47" t="inlineStr">
        <is>
          <t>No Video ID yet</t>
        </is>
      </c>
      <c r="S1579" s="49" t="n"/>
      <c r="T1579" s="49" t="n"/>
      <c r="U1579" s="47" t="inlineStr">
        <is>
          <t>Hurry to to find out HOW LOW your Upstart rate can be! Today Ben dives into the Wizarding World of Harry Potter to discuss Arthur Weasley and his occasionally self indulgent work habits... AND THE REAL FUNCTION OF A RUBBER DUCK! TRIVIA LIVE STREAM - Friday, October 2 @ 6pm Eastern on #SuperCarlinBrothers #HarryPotter #DuckInACup</t>
        </is>
      </c>
      <c r="V1579" s="47">
        <f>IF(AND(P1579&gt;=Calendar!$K$2,P1579&lt;EDATE(Calendar!$K$2,1),OR(Calendar!$K$4="*",N1579=Calendar!$K$4)),P1579*100+COUNTIFS($P$6:$P$3267,P1579,$Q$6:$Q$3267,"&lt;="&amp;Q1579,$N$6:$N$3267,Calendar!$K$4),"")</f>
        <v/>
      </c>
      <c r="W1579" s="47">
        <f>IF(AND(B1579=Queue!$C$4,OR(Queue!$K$4="*",N1579=Queue!$K$4)),Q1579,"")</f>
        <v/>
      </c>
    </row>
    <row r="1580">
      <c r="A1580" s="38">
        <f>IF(M1580="","",HYPERLINK("https://www.youtube.com/watch?v="&amp;M1580,"▶"))</f>
        <v/>
      </c>
      <c r="B1580" s="39">
        <f>IF(C1580&lt;&gt;"",C1580,IF(P1580&lt;=IFERROR(INDEX(tblChannels[Watched Through],MATCH(N1580,tblChannels[Channel ID],0)),0),"Watched","Unwatched"))</f>
        <v/>
      </c>
      <c r="C1580" s="40" t="n"/>
      <c r="D1580" s="41" t="n"/>
      <c r="E1580" s="42" t="n">
        <v>44098.725</v>
      </c>
      <c r="F1580" s="50" t="inlineStr">
        <is>
          <t>Super Carlin Brothers</t>
        </is>
      </c>
      <c r="G1580" t="inlineStr">
        <is>
          <t>Wormtail Has A Son? [Harry Potter Theory]</t>
        </is>
      </c>
      <c r="H1580" s="44" t="n">
        <v>0.003935185185185185</v>
      </c>
      <c r="I1580" s="45" t="n">
        <v>237397</v>
      </c>
      <c r="J1580" s="45" t="n">
        <v>17068</v>
      </c>
      <c r="K1580" s="45" t="n">
        <v>2242</v>
      </c>
      <c r="L1580" s="46" t="n"/>
      <c r="M1580" s="47" t="n"/>
      <c r="N1580" s="47" t="inlineStr">
        <is>
          <t>UCKZo4N0lVPccBkSiuyVh4yg</t>
        </is>
      </c>
      <c r="O1580" s="48" t="n">
        <v>44098.89166666667</v>
      </c>
      <c r="P1580" s="49" t="n">
        <v>44098</v>
      </c>
      <c r="Q1580" s="47" t="n">
        <v>1688</v>
      </c>
      <c r="R1580" s="47" t="inlineStr">
        <is>
          <t>No Video ID yet</t>
        </is>
      </c>
      <c r="S1580" s="49" t="n"/>
      <c r="T1580" s="49" t="n"/>
      <c r="U1580" s="47" t="inlineStr">
        <is>
          <t>Today J goes out of his way to rhyme time after time, about Peter Pettigrew and the son he never knew. Hope you enjoy this Harry Potter theory and that it makes your day a little less dreary! Check out the Show After The Show ::</t>
        </is>
      </c>
      <c r="V1580" s="47">
        <f>IF(AND(P1580&gt;=Calendar!$K$2,P1580&lt;EDATE(Calendar!$K$2,1),OR(Calendar!$K$4="*",N1580=Calendar!$K$4)),P1580*100+COUNTIFS($P$6:$P$3267,P1580,$Q$6:$Q$3267,"&lt;="&amp;Q1580,$N$6:$N$3267,Calendar!$K$4),"")</f>
        <v/>
      </c>
      <c r="W1580" s="47">
        <f>IF(AND(B1580=Queue!$C$4,OR(Queue!$K$4="*",N1580=Queue!$K$4)),Q1580,"")</f>
        <v/>
      </c>
    </row>
    <row r="1581">
      <c r="A1581" s="38">
        <f>IF(M1581="","",HYPERLINK("https://www.youtube.com/watch?v="&amp;M1581,"▶"))</f>
        <v/>
      </c>
      <c r="B1581" s="39">
        <f>IF(C1581&lt;&gt;"",C1581,IF(P1581&lt;=IFERROR(INDEX(tblChannels[Watched Through],MATCH(N1581,tblChannels[Channel ID],0)),0),"Watched","Unwatched"))</f>
        <v/>
      </c>
      <c r="C1581" s="40" t="n"/>
      <c r="D1581" s="41" t="n"/>
      <c r="E1581" s="42" t="n">
        <v>44096.84583333333</v>
      </c>
      <c r="F1581" s="50" t="inlineStr">
        <is>
          <t>Super Carlin Brothers</t>
        </is>
      </c>
      <c r="G1581" t="inlineStr">
        <is>
          <t>The Tragedy of Snow White's Voice Actress</t>
        </is>
      </c>
      <c r="H1581" s="44" t="n">
        <v>0.0103125</v>
      </c>
      <c r="I1581" s="45" t="n">
        <v>282568</v>
      </c>
      <c r="J1581" s="45" t="n">
        <v>17139</v>
      </c>
      <c r="K1581" s="45" t="n">
        <v>1066</v>
      </c>
      <c r="L1581" s="46" t="n"/>
      <c r="M1581" s="47" t="n"/>
      <c r="N1581" s="47" t="inlineStr">
        <is>
          <t>UCKZo4N0lVPccBkSiuyVh4yg</t>
        </is>
      </c>
      <c r="O1581" s="48" t="n">
        <v>44097.0125</v>
      </c>
      <c r="P1581" s="49" t="n">
        <v>44096</v>
      </c>
      <c r="Q1581" s="47" t="n">
        <v>1687</v>
      </c>
      <c r="R1581" s="47" t="inlineStr">
        <is>
          <t>No Video ID yet</t>
        </is>
      </c>
      <c r="S1581" s="49" t="n"/>
      <c r="T1581" s="49" t="n"/>
      <c r="U1581" s="47" t="inlineStr">
        <is>
          <t>Go to and use code SCB to get $75 off! Today J dives into Disney's history to discuss the tragedy of Snow Whites Voice Actress Adriana Caselotti. Casting Moana :: Sources ::</t>
        </is>
      </c>
      <c r="V1581" s="47">
        <f>IF(AND(P1581&gt;=Calendar!$K$2,P1581&lt;EDATE(Calendar!$K$2,1),OR(Calendar!$K$4="*",N1581=Calendar!$K$4)),P1581*100+COUNTIFS($P$6:$P$3267,P1581,$Q$6:$Q$3267,"&lt;="&amp;Q1581,$N$6:$N$3267,Calendar!$K$4),"")</f>
        <v/>
      </c>
      <c r="W1581" s="47">
        <f>IF(AND(B1581=Queue!$C$4,OR(Queue!$K$4="*",N1581=Queue!$K$4)),Q1581,"")</f>
        <v/>
      </c>
    </row>
    <row r="1582">
      <c r="A1582" s="38">
        <f>IF(M1582="","",HYPERLINK("https://www.youtube.com/watch?v="&amp;M1582,"▶"))</f>
        <v/>
      </c>
      <c r="B1582" s="39">
        <f>IF(C1582&lt;&gt;"",C1582,IF(P1582&lt;=IFERROR(INDEX(tblChannels[Watched Through],MATCH(N1582,tblChannels[Channel ID],0)),0),"Watched","Unwatched"))</f>
        <v/>
      </c>
      <c r="C1582" s="40" t="n"/>
      <c r="D1582" s="41" t="n"/>
      <c r="E1582" s="42" t="n">
        <v>44091.77638888889</v>
      </c>
      <c r="F1582" s="50" t="inlineStr">
        <is>
          <t>Super Carlin Brothers</t>
        </is>
      </c>
      <c r="G1582" t="inlineStr">
        <is>
          <t>THRAWN IS COMING [Mandalorian Theory]</t>
        </is>
      </c>
      <c r="H1582" s="44" t="n">
        <v>0.009988425925925927</v>
      </c>
      <c r="I1582" s="45" t="n">
        <v>143996</v>
      </c>
      <c r="J1582" s="45" t="n">
        <v>7063</v>
      </c>
      <c r="K1582" s="45" t="n">
        <v>1291</v>
      </c>
      <c r="L1582" s="46" t="n"/>
      <c r="M1582" s="47" t="n"/>
      <c r="N1582" s="47" t="inlineStr">
        <is>
          <t>UCKZo4N0lVPccBkSiuyVh4yg</t>
        </is>
      </c>
      <c r="O1582" s="48" t="n">
        <v>44091.94305555556</v>
      </c>
      <c r="P1582" s="49" t="n">
        <v>44091</v>
      </c>
      <c r="Q1582" s="47" t="n">
        <v>1686</v>
      </c>
      <c r="R1582" s="47" t="inlineStr">
        <is>
          <t>No Video ID yet</t>
        </is>
      </c>
      <c r="S1582" s="49" t="n"/>
      <c r="T1582" s="49" t="n"/>
      <c r="U1582" s="47" t="inlineStr">
        <is>
          <t>Hurry to to find out HOW LOW your Upstart rate can be! Today J dives into the Star Wars Galaxy and to discuss predictions for season 2 of the Mandalorian and the possible appearance of THRAWN! #SuperCarlinBrothers #StarWars #Mandalorian</t>
        </is>
      </c>
      <c r="V1582" s="47">
        <f>IF(AND(P1582&gt;=Calendar!$K$2,P1582&lt;EDATE(Calendar!$K$2,1),OR(Calendar!$K$4="*",N1582=Calendar!$K$4)),P1582*100+COUNTIFS($P$6:$P$3267,P1582,$Q$6:$Q$3267,"&lt;="&amp;Q1582,$N$6:$N$3267,Calendar!$K$4),"")</f>
        <v/>
      </c>
      <c r="W1582" s="47">
        <f>IF(AND(B1582=Queue!$C$4,OR(Queue!$K$4="*",N1582=Queue!$K$4)),Q1582,"")</f>
        <v/>
      </c>
    </row>
    <row r="1583">
      <c r="A1583" s="38">
        <f>IF(M1583="","",HYPERLINK("https://www.youtube.com/watch?v="&amp;M1583,"▶"))</f>
        <v/>
      </c>
      <c r="B1583" s="39">
        <f>IF(C1583&lt;&gt;"",C1583,IF(P1583&lt;=IFERROR(INDEX(tblChannels[Watched Through],MATCH(N1583,tblChannels[Channel ID],0)),0),"Watched","Unwatched"))</f>
        <v/>
      </c>
      <c r="C1583" s="40" t="n"/>
      <c r="D1583" s="41" t="n"/>
      <c r="E1583" s="42" t="n">
        <v>44089.83819444444</v>
      </c>
      <c r="F1583" s="50" t="inlineStr">
        <is>
          <t>Super Carlin Brothers</t>
        </is>
      </c>
      <c r="G1583" t="inlineStr">
        <is>
          <t>J vs Ben: MOST Expensive Marvel Merch | GAME</t>
        </is>
      </c>
      <c r="H1583" s="44" t="n">
        <v>0.02127314814814815</v>
      </c>
      <c r="I1583" s="45" t="n">
        <v>183405</v>
      </c>
      <c r="J1583" s="45" t="n">
        <v>7235</v>
      </c>
      <c r="K1583" s="45" t="n">
        <v>811</v>
      </c>
      <c r="L1583" s="46" t="n"/>
      <c r="M1583" s="47" t="n"/>
      <c r="N1583" s="47" t="inlineStr">
        <is>
          <t>UCKZo4N0lVPccBkSiuyVh4yg</t>
        </is>
      </c>
      <c r="O1583" s="48" t="n">
        <v>44090.00486111111</v>
      </c>
      <c r="P1583" s="49" t="n">
        <v>44089</v>
      </c>
      <c r="Q1583" s="47" t="n">
        <v>1685</v>
      </c>
      <c r="R1583" s="47" t="inlineStr">
        <is>
          <t>No Video ID yet</t>
        </is>
      </c>
      <c r="S1583" s="49" t="n"/>
      <c r="T1583" s="49" t="n"/>
      <c r="U1583" s="47" t="inlineStr">
        <is>
          <t>Go to and use promo code jvsb10 to get 10% off any order of $200 or more! Get $5 off and zero delivery fees on your first order of $15 or more when you download the DoorDash app and enter code JVSB! Today J and Ben Face off and try to guess the exact price of various pieces of Marvel merch. Feel free to play along with us and see if you can out score us! #SuperCarlinBrothers #Marvel #JvsBen</t>
        </is>
      </c>
      <c r="V1583" s="47">
        <f>IF(AND(P1583&gt;=Calendar!$K$2,P1583&lt;EDATE(Calendar!$K$2,1),OR(Calendar!$K$4="*",N1583=Calendar!$K$4)),P1583*100+COUNTIFS($P$6:$P$3267,P1583,$Q$6:$Q$3267,"&lt;="&amp;Q1583,$N$6:$N$3267,Calendar!$K$4),"")</f>
        <v/>
      </c>
      <c r="W1583" s="47">
        <f>IF(AND(B1583=Queue!$C$4,OR(Queue!$K$4="*",N1583=Queue!$K$4)),Q1583,"")</f>
        <v/>
      </c>
    </row>
    <row r="1584">
      <c r="A1584" s="38">
        <f>IF(M1584="","",HYPERLINK("https://www.youtube.com/watch?v="&amp;M1584,"▶"))</f>
        <v/>
      </c>
      <c r="B1584" s="39">
        <f>IF(C1584&lt;&gt;"",C1584,IF(P1584&lt;=IFERROR(INDEX(tblChannels[Watched Through],MATCH(N1584,tblChannels[Channel ID],0)),0),"Watched","Unwatched"))</f>
        <v/>
      </c>
      <c r="C1584" s="40" t="n"/>
      <c r="D1584" s="41" t="n"/>
      <c r="E1584" s="42" t="n">
        <v>44084.72777777778</v>
      </c>
      <c r="F1584" s="50" t="inlineStr">
        <is>
          <t>Super Carlin Brothers</t>
        </is>
      </c>
      <c r="G1584" t="inlineStr">
        <is>
          <t>Why Does The Elder Wand Keep Losing? [Harry Potter Theory]</t>
        </is>
      </c>
      <c r="H1584" s="44" t="n">
        <v>0.01267361111111111</v>
      </c>
      <c r="I1584" s="45" t="n">
        <v>1087092</v>
      </c>
      <c r="J1584" s="45" t="n">
        <v>36549</v>
      </c>
      <c r="K1584" s="45" t="n">
        <v>4999</v>
      </c>
      <c r="L1584" s="46" t="n"/>
      <c r="M1584" s="47" t="n"/>
      <c r="N1584" s="47" t="inlineStr">
        <is>
          <t>UCKZo4N0lVPccBkSiuyVh4yg</t>
        </is>
      </c>
      <c r="O1584" s="48" t="n">
        <v>44084.89444444444</v>
      </c>
      <c r="P1584" s="49" t="n">
        <v>44084</v>
      </c>
      <c r="Q1584" s="47" t="n">
        <v>1684</v>
      </c>
      <c r="R1584" s="47" t="inlineStr">
        <is>
          <t>No Video ID yet</t>
        </is>
      </c>
      <c r="S1584" s="49" t="n"/>
      <c r="T1584" s="49" t="n"/>
      <c r="U1584" s="47" t="inlineStr">
        <is>
          <t>Get 20% off your first monthly box when you sign up at and enter the code super at checkout! Today Ben dives into the Wizarding World of Harry Potter to determine how and why the most infamous of the Deathly Hallows, the Elder Wand, keeps losing battles and changing hands if its supposed to be unbeatable!</t>
        </is>
      </c>
      <c r="V1584" s="47">
        <f>IF(AND(P1584&gt;=Calendar!$K$2,P1584&lt;EDATE(Calendar!$K$2,1),OR(Calendar!$K$4="*",N1584=Calendar!$K$4)),P1584*100+COUNTIFS($P$6:$P$3267,P1584,$Q$6:$Q$3267,"&lt;="&amp;Q1584,$N$6:$N$3267,Calendar!$K$4),"")</f>
        <v/>
      </c>
      <c r="W1584" s="47">
        <f>IF(AND(B1584=Queue!$C$4,OR(Queue!$K$4="*",N1584=Queue!$K$4)),Q1584,"")</f>
        <v/>
      </c>
    </row>
    <row r="1585">
      <c r="A1585" s="38">
        <f>IF(M1585="","",HYPERLINK("https://www.youtube.com/watch?v="&amp;M1585,"▶"))</f>
        <v/>
      </c>
      <c r="B1585" s="39">
        <f>IF(C1585&lt;&gt;"",C1585,IF(P1585&lt;=IFERROR(INDEX(tblChannels[Watched Through],MATCH(N1585,tblChannels[Channel ID],0)),0),"Watched","Unwatched"))</f>
        <v/>
      </c>
      <c r="C1585" s="40" t="n"/>
      <c r="D1585" s="41" t="n"/>
      <c r="E1585" s="42" t="n">
        <v>44082.67708333334</v>
      </c>
      <c r="F1585" s="50" t="inlineStr">
        <is>
          <t>Super Carlin Brothers</t>
        </is>
      </c>
      <c r="G1585" t="inlineStr">
        <is>
          <t>MULAN REVIEW - Is It Worth It?</t>
        </is>
      </c>
      <c r="H1585" s="44" t="n">
        <v>0.03501157407407408</v>
      </c>
      <c r="I1585" s="45" t="n">
        <v>205344</v>
      </c>
      <c r="J1585" s="45" t="n">
        <v>7880</v>
      </c>
      <c r="K1585" s="45" t="n">
        <v>2514</v>
      </c>
      <c r="L1585" s="46" t="n"/>
      <c r="M1585" s="47" t="n"/>
      <c r="N1585" s="47" t="inlineStr">
        <is>
          <t>UCKZo4N0lVPccBkSiuyVh4yg</t>
        </is>
      </c>
      <c r="O1585" s="48" t="n">
        <v>44082.84375</v>
      </c>
      <c r="P1585" s="49" t="n">
        <v>44082</v>
      </c>
      <c r="Q1585" s="47" t="n">
        <v>1683</v>
      </c>
      <c r="R1585" s="47" t="inlineStr">
        <is>
          <t>No Video ID yet</t>
        </is>
      </c>
      <c r="S1585" s="49" t="n"/>
      <c r="T1585" s="49" t="n"/>
      <c r="U1585" s="47" t="inlineStr">
        <is>
          <t>Thanks again to Vincero for sponsoring today's video! Get 15% off your order SITE WIDE with free Worldwide shipping! Today J and Ben review Disney’s live action remake of Mulan! Is it worth the premium rental on Disney Plus? Is it better than the animated version? #SuperCarlinBrothers #Mulan #Disney</t>
        </is>
      </c>
      <c r="V1585" s="47">
        <f>IF(AND(P1585&gt;=Calendar!$K$2,P1585&lt;EDATE(Calendar!$K$2,1),OR(Calendar!$K$4="*",N1585=Calendar!$K$4)),P1585*100+COUNTIFS($P$6:$P$3267,P1585,$Q$6:$Q$3267,"&lt;="&amp;Q1585,$N$6:$N$3267,Calendar!$K$4),"")</f>
        <v/>
      </c>
      <c r="W1585" s="47">
        <f>IF(AND(B1585=Queue!$C$4,OR(Queue!$K$4="*",N1585=Queue!$K$4)),Q1585,"")</f>
        <v/>
      </c>
    </row>
    <row r="1586">
      <c r="A1586" s="38">
        <f>IF(M1586="","",HYPERLINK("https://www.youtube.com/watch?v="&amp;M1586,"▶"))</f>
        <v/>
      </c>
      <c r="B1586" s="39">
        <f>IF(C1586&lt;&gt;"",C1586,IF(P1586&lt;=IFERROR(INDEX(tblChannels[Watched Through],MATCH(N1586,tblChannels[Channel ID],0)),0),"Watched","Unwatched"))</f>
        <v/>
      </c>
      <c r="C1586" s="40" t="n"/>
      <c r="D1586" s="41" t="n"/>
      <c r="E1586" s="42" t="n">
        <v>44077.84722222222</v>
      </c>
      <c r="F1586" s="50" t="inlineStr">
        <is>
          <t>Super Carlin Brothers</t>
        </is>
      </c>
      <c r="G1586" t="inlineStr">
        <is>
          <t>J vs Ben: We FAILED All These Questions - REDEMPTION Edition</t>
        </is>
      </c>
      <c r="H1586" s="44" t="n">
        <v>0.01765046296296296</v>
      </c>
      <c r="I1586" s="45" t="n">
        <v>374758</v>
      </c>
      <c r="J1586" s="45" t="n">
        <v>14372</v>
      </c>
      <c r="K1586" s="45" t="n">
        <v>1468</v>
      </c>
      <c r="L1586" s="46" t="n"/>
      <c r="M1586" s="47" t="n"/>
      <c r="N1586" s="47" t="inlineStr">
        <is>
          <t>UCKZo4N0lVPccBkSiuyVh4yg</t>
        </is>
      </c>
      <c r="O1586" s="48" t="n">
        <v>44078.01388888889</v>
      </c>
      <c r="P1586" s="49" t="n">
        <v>44077</v>
      </c>
      <c r="Q1586" s="47" t="n">
        <v>1682</v>
      </c>
      <c r="R1586" s="47" t="inlineStr">
        <is>
          <t>No Video ID yet</t>
        </is>
      </c>
      <c r="S1586" s="49" t="n"/>
      <c r="T1586" s="49" t="n"/>
      <c r="U1586" s="47" t="inlineStr">
        <is>
          <t>Head to to and find out how you can get 3 months of VPN coverage for free! Go to to get a 1-month free trial of everything you need to start your skincare journey at home! Today J and Ben face off for Ultimate Harry Potter Trivia Redemption as they tackle only questions they have missed in previous quizzes! Who has learned from their mistakes and who shall fail again?! #SuperCarlinBrothers #HarryPotter #JvsBen</t>
        </is>
      </c>
      <c r="V1586" s="47">
        <f>IF(AND(P1586&gt;=Calendar!$K$2,P1586&lt;EDATE(Calendar!$K$2,1),OR(Calendar!$K$4="*",N1586=Calendar!$K$4)),P1586*100+COUNTIFS($P$6:$P$3267,P1586,$Q$6:$Q$3267,"&lt;="&amp;Q1586,$N$6:$N$3267,Calendar!$K$4),"")</f>
        <v/>
      </c>
      <c r="W1586" s="47">
        <f>IF(AND(B1586=Queue!$C$4,OR(Queue!$K$4="*",N1586=Queue!$K$4)),Q1586,"")</f>
        <v/>
      </c>
    </row>
    <row r="1587">
      <c r="A1587" s="38">
        <f>IF(M1587="","",HYPERLINK("https://www.youtube.com/watch?v="&amp;M1587,"▶"))</f>
        <v/>
      </c>
      <c r="B1587" s="39">
        <f>IF(C1587&lt;&gt;"",C1587,IF(P1587&lt;=IFERROR(INDEX(tblChannels[Watched Through],MATCH(N1587,tblChannels[Channel ID],0)),0),"Watched","Unwatched"))</f>
        <v/>
      </c>
      <c r="C1587" s="40" t="n"/>
      <c r="D1587" s="41" t="n"/>
      <c r="E1587" s="42" t="n">
        <v>44075.89444444444</v>
      </c>
      <c r="F1587" s="50" t="inlineStr">
        <is>
          <t>Super Carlin Brothers</t>
        </is>
      </c>
      <c r="G1587" t="inlineStr">
        <is>
          <t>Elsa Is A Goddess [Frozen Theory]</t>
        </is>
      </c>
      <c r="H1587" s="44" t="n">
        <v>0.009490740740740741</v>
      </c>
      <c r="I1587" s="45" t="n">
        <v>332227</v>
      </c>
      <c r="J1587" s="45" t="n">
        <v>15626</v>
      </c>
      <c r="K1587" s="45" t="n">
        <v>1585</v>
      </c>
      <c r="L1587" s="46" t="n"/>
      <c r="M1587" s="47" t="n"/>
      <c r="N1587" s="47" t="inlineStr">
        <is>
          <t>UCKZo4N0lVPccBkSiuyVh4yg</t>
        </is>
      </c>
      <c r="O1587" s="48" t="n">
        <v>44076.06111111111</v>
      </c>
      <c r="P1587" s="49" t="n">
        <v>44075</v>
      </c>
      <c r="Q1587" s="47" t="n">
        <v>1681</v>
      </c>
      <c r="R1587" s="47" t="inlineStr">
        <is>
          <t>No Video ID yet</t>
        </is>
      </c>
      <c r="S1587" s="49" t="n"/>
      <c r="T1587" s="49" t="n"/>
      <c r="U1587" s="47" t="inlineStr">
        <is>
          <t>Head to to and find out how you can get 3 months of VPN coverage for free! Today J dives into the Disneyverse to determine if Elsa’s role as the 5th spirit makes her a true blue goddess just like Te Fiti in Moana! #SuperCarlinBrothers #Frozen #Disney</t>
        </is>
      </c>
      <c r="V1587" s="47">
        <f>IF(AND(P1587&gt;=Calendar!$K$2,P1587&lt;EDATE(Calendar!$K$2,1),OR(Calendar!$K$4="*",N1587=Calendar!$K$4)),P1587*100+COUNTIFS($P$6:$P$3267,P1587,$Q$6:$Q$3267,"&lt;="&amp;Q1587,$N$6:$N$3267,Calendar!$K$4),"")</f>
        <v/>
      </c>
      <c r="W1587" s="47">
        <f>IF(AND(B1587=Queue!$C$4,OR(Queue!$K$4="*",N1587=Queue!$K$4)),Q1587,"")</f>
        <v/>
      </c>
    </row>
    <row r="1588">
      <c r="A1588" s="38">
        <f>IF(M1588="","",HYPERLINK("https://www.youtube.com/watch?v="&amp;M1588,"▶"))</f>
        <v/>
      </c>
      <c r="B1588" s="39">
        <f>IF(C1588&lt;&gt;"",C1588,IF(P1588&lt;=IFERROR(INDEX(tblChannels[Watched Through],MATCH(N1588,tblChannels[Channel ID],0)),0),"Watched","Unwatched"))</f>
        <v/>
      </c>
      <c r="C1588" s="40" t="n"/>
      <c r="D1588" s="41" t="n"/>
      <c r="E1588" s="42" t="n">
        <v>44070.75</v>
      </c>
      <c r="F1588" s="43" t="inlineStr">
        <is>
          <t>Popcorn Culture</t>
        </is>
      </c>
      <c r="G1588" t="inlineStr">
        <is>
          <t>36 - Knives are Mini Swords</t>
        </is>
      </c>
      <c r="H1588" s="44" t="n">
        <v>0.04400462962962963</v>
      </c>
      <c r="I1588" s="45" t="n">
        <v>4075</v>
      </c>
      <c r="J1588" s="45" t="n">
        <v>199</v>
      </c>
      <c r="K1588" s="45" t="n">
        <v>47</v>
      </c>
      <c r="L1588" s="46" t="n"/>
      <c r="M1588" s="47" t="n"/>
      <c r="N1588" s="47" t="inlineStr">
        <is>
          <t>UCHfIbq9thHPC8yrKjAdJgDA</t>
        </is>
      </c>
      <c r="O1588" s="48" t="n">
        <v>44070.91666666666</v>
      </c>
      <c r="P1588" s="49" t="n">
        <v>44070</v>
      </c>
      <c r="Q1588" s="47" t="n">
        <v>1680</v>
      </c>
      <c r="R1588" s="47" t="inlineStr">
        <is>
          <t>No Video ID yet</t>
        </is>
      </c>
      <c r="S1588" s="49" t="n"/>
      <c r="T1588" s="49" t="n"/>
      <c r="U1588" s="47" t="inlineStr">
        <is>
          <t>Ben and J discuss: Wikipedia, “Donny Basketballs”, Ambitious Foods, Poetry, Magnet Fishing, General Knowledge, and whether water has a flavor. Cave Spring Wikipedia Page (please don't change it): General Knowledge Info: General Knowledge Questions List: Water Flavor: Email your Acrostic Poem at popcornculturepod@gmail.com</t>
        </is>
      </c>
      <c r="V1588" s="47">
        <f>IF(AND(P1588&gt;=Calendar!$K$2,P1588&lt;EDATE(Calendar!$K$2,1),OR(Calendar!$K$4="*",N1588=Calendar!$K$4)),P1588*100+COUNTIFS($P$6:$P$3267,P1588,$Q$6:$Q$3267,"&lt;="&amp;Q1588,$N$6:$N$3267,Calendar!$K$4),"")</f>
        <v/>
      </c>
      <c r="W1588" s="47">
        <f>IF(AND(B1588=Queue!$C$4,OR(Queue!$K$4="*",N1588=Queue!$K$4)),Q1588,"")</f>
        <v/>
      </c>
    </row>
    <row r="1589">
      <c r="A1589" s="38">
        <f>IF(M1589="","",HYPERLINK("https://www.youtube.com/watch?v="&amp;M1589,"▶"))</f>
        <v/>
      </c>
      <c r="B1589" s="39">
        <f>IF(C1589&lt;&gt;"",C1589,IF(P1589&lt;=IFERROR(INDEX(tblChannels[Watched Through],MATCH(N1589,tblChannels[Channel ID],0)),0),"Watched","Unwatched"))</f>
        <v/>
      </c>
      <c r="C1589" s="40" t="n"/>
      <c r="D1589" s="41" t="n"/>
      <c r="E1589" s="42" t="n">
        <v>44070.67916666667</v>
      </c>
      <c r="F1589" s="50" t="inlineStr">
        <is>
          <t>Super Carlin Brothers</t>
        </is>
      </c>
      <c r="G1589" t="inlineStr">
        <is>
          <t>Ginny Should Have Been In Slytherin | Harry Potter Film Theory</t>
        </is>
      </c>
      <c r="H1589" s="44" t="n">
        <v>0.009479166666666667</v>
      </c>
      <c r="I1589" s="45" t="n">
        <v>868525</v>
      </c>
      <c r="J1589" s="45" t="n">
        <v>31901</v>
      </c>
      <c r="K1589" s="45" t="n">
        <v>5516</v>
      </c>
      <c r="L1589" s="46" t="n"/>
      <c r="M1589" s="47" t="n"/>
      <c r="N1589" s="47" t="inlineStr">
        <is>
          <t>UCKZo4N0lVPccBkSiuyVh4yg</t>
        </is>
      </c>
      <c r="O1589" s="48" t="n">
        <v>44070.84583333333</v>
      </c>
      <c r="P1589" s="49" t="n">
        <v>44070</v>
      </c>
      <c r="Q1589" s="47" t="n">
        <v>1679</v>
      </c>
      <c r="R1589" s="47" t="inlineStr">
        <is>
          <t>No Video ID yet</t>
        </is>
      </c>
      <c r="S1589" s="49" t="n"/>
      <c r="T1589" s="49" t="n"/>
      <c r="U1589" s="47" t="inlineStr">
        <is>
          <t>Hurry to to find out HOW LOW your Upstart rate can be! Today Ben dives into the Wizarding World of Harry Potter to discuss why Ginny Weasley should have been sorted into Slytherin!</t>
        </is>
      </c>
      <c r="V1589" s="47">
        <f>IF(AND(P1589&gt;=Calendar!$K$2,P1589&lt;EDATE(Calendar!$K$2,1),OR(Calendar!$K$4="*",N1589=Calendar!$K$4)),P1589*100+COUNTIFS($P$6:$P$3267,P1589,$Q$6:$Q$3267,"&lt;="&amp;Q1589,$N$6:$N$3267,Calendar!$K$4),"")</f>
        <v/>
      </c>
      <c r="W1589" s="47">
        <f>IF(AND(B1589=Queue!$C$4,OR(Queue!$K$4="*",N1589=Queue!$K$4)),Q1589,"")</f>
        <v/>
      </c>
    </row>
    <row r="1590">
      <c r="A1590" s="38">
        <f>IF(M1590="","",HYPERLINK("https://www.youtube.com/watch?v="&amp;M1590,"▶"))</f>
        <v/>
      </c>
      <c r="B1590" s="39">
        <f>IF(C1590&lt;&gt;"",C1590,IF(P1590&lt;=IFERROR(INDEX(tblChannels[Watched Through],MATCH(N1590,tblChannels[Channel ID],0)),0),"Watched","Unwatched"))</f>
        <v/>
      </c>
      <c r="C1590" s="40" t="n"/>
      <c r="D1590" s="41" t="n"/>
      <c r="E1590" s="42" t="n">
        <v>44070.25</v>
      </c>
      <c r="F1590" s="43" t="inlineStr">
        <is>
          <t>Popcorn Culture</t>
        </is>
      </c>
      <c r="G1590" t="inlineStr">
        <is>
          <t>35 - Doomedt</t>
        </is>
      </c>
      <c r="H1590" s="44" t="n">
        <v>0.04206018518518519</v>
      </c>
      <c r="I1590" s="45" t="n">
        <v>3098</v>
      </c>
      <c r="J1590" s="45" t="n">
        <v>147</v>
      </c>
      <c r="K1590" s="45" t="n">
        <v>29</v>
      </c>
      <c r="L1590" s="46" t="n"/>
      <c r="M1590" s="47" t="n"/>
      <c r="N1590" s="47" t="inlineStr">
        <is>
          <t>UCHfIbq9thHPC8yrKjAdJgDA</t>
        </is>
      </c>
      <c r="O1590" s="48" t="n">
        <v>44070.41666666666</v>
      </c>
      <c r="P1590" s="49" t="n">
        <v>44070</v>
      </c>
      <c r="Q1590" s="47" t="n">
        <v>1678</v>
      </c>
      <c r="R1590" s="47" t="inlineStr">
        <is>
          <t>No Video ID yet</t>
        </is>
      </c>
      <c r="S1590" s="49" t="n"/>
      <c r="T1590" s="49" t="n"/>
      <c r="U1590" s="47" t="inlineStr">
        <is>
          <t>Ben and J discuss: Sparks Nevada, acting classes, penmanship, food challenges, convenience stores, airplane food, trying new things is scary, and dramatic hair changes. Sparks Nevada: Formal Place Settings: Don’t Try Food Challenges: Email Ben that he should change up his hair at popcornculturepod@gmail.com</t>
        </is>
      </c>
      <c r="V1590" s="47">
        <f>IF(AND(P1590&gt;=Calendar!$K$2,P1590&lt;EDATE(Calendar!$K$2,1),OR(Calendar!$K$4="*",N1590=Calendar!$K$4)),P1590*100+COUNTIFS($P$6:$P$3267,P1590,$Q$6:$Q$3267,"&lt;="&amp;Q1590,$N$6:$N$3267,Calendar!$K$4),"")</f>
        <v/>
      </c>
      <c r="W1590" s="47">
        <f>IF(AND(B1590=Queue!$C$4,OR(Queue!$K$4="*",N1590=Queue!$K$4)),Q1590,"")</f>
        <v/>
      </c>
    </row>
    <row r="1591">
      <c r="A1591" s="38">
        <f>IF(M1591="","",HYPERLINK("https://www.youtube.com/watch?v="&amp;M1591,"▶"))</f>
        <v/>
      </c>
      <c r="B1591" s="39">
        <f>IF(C1591&lt;&gt;"",C1591,IF(P1591&lt;=IFERROR(INDEX(tblChannels[Watched Through],MATCH(N1591,tblChannels[Channel ID],0)),0),"Watched","Unwatched"))</f>
        <v/>
      </c>
      <c r="C1591" s="40" t="n"/>
      <c r="D1591" s="41" t="n"/>
      <c r="E1591" s="42" t="n">
        <v>44069.75</v>
      </c>
      <c r="F1591" s="43" t="inlineStr">
        <is>
          <t>Popcorn Culture</t>
        </is>
      </c>
      <c r="G1591" t="inlineStr">
        <is>
          <t>34 - Is Milk a Dinner Beverage?</t>
        </is>
      </c>
      <c r="H1591" s="44" t="n">
        <v>0.03299768518518519</v>
      </c>
      <c r="I1591" s="45" t="n">
        <v>2865</v>
      </c>
      <c r="J1591" s="45" t="n">
        <v>153</v>
      </c>
      <c r="K1591" s="45" t="n">
        <v>37</v>
      </c>
      <c r="L1591" s="46" t="n"/>
      <c r="M1591" s="47" t="n"/>
      <c r="N1591" s="47" t="inlineStr">
        <is>
          <t>UCHfIbq9thHPC8yrKjAdJgDA</t>
        </is>
      </c>
      <c r="O1591" s="48" t="n">
        <v>44069.91666666666</v>
      </c>
      <c r="P1591" s="49" t="n">
        <v>44069</v>
      </c>
      <c r="Q1591" s="47" t="n">
        <v>1677</v>
      </c>
      <c r="R1591" s="47" t="inlineStr">
        <is>
          <t>No Video ID yet</t>
        </is>
      </c>
      <c r="S1591" s="49" t="n"/>
      <c r="T1591" s="49" t="n"/>
      <c r="U1591" s="47" t="inlineStr">
        <is>
          <t>Ben and J discuss: multivitamins, food presentation, cup usage, personal props, ice saws, bourbon, how to not spook a horse, buying a farm, and returning the birthday love. Do Cravings Have Meaning?: 10 Principles of Intuitive Eating: Milk and Wine: Get Your Own Fred Cup: Ben made clear ice:</t>
        </is>
      </c>
      <c r="V1591" s="47">
        <f>IF(AND(P1591&gt;=Calendar!$K$2,P1591&lt;EDATE(Calendar!$K$2,1),OR(Calendar!$K$4="*",N1591=Calendar!$K$4)),P1591*100+COUNTIFS($P$6:$P$3267,P1591,$Q$6:$Q$3267,"&lt;="&amp;Q1591,$N$6:$N$3267,Calendar!$K$4),"")</f>
        <v/>
      </c>
      <c r="W1591" s="47">
        <f>IF(AND(B1591=Queue!$C$4,OR(Queue!$K$4="*",N1591=Queue!$K$4)),Q1591,"")</f>
        <v/>
      </c>
    </row>
    <row r="1592">
      <c r="A1592" s="38">
        <f>IF(M1592="","",HYPERLINK("https://www.youtube.com/watch?v="&amp;M1592,"▶"))</f>
        <v/>
      </c>
      <c r="B1592" s="39">
        <f>IF(C1592&lt;&gt;"",C1592,IF(P1592&lt;=IFERROR(INDEX(tblChannels[Watched Through],MATCH(N1592,tblChannels[Channel ID],0)),0),"Watched","Unwatched"))</f>
        <v/>
      </c>
      <c r="C1592" s="40" t="n"/>
      <c r="D1592" s="41" t="n"/>
      <c r="E1592" s="42" t="n">
        <v>44069.25</v>
      </c>
      <c r="F1592" s="43" t="inlineStr">
        <is>
          <t>Popcorn Culture</t>
        </is>
      </c>
      <c r="G1592" t="inlineStr">
        <is>
          <t>33 - Is a Cup a Hole?</t>
        </is>
      </c>
      <c r="H1592" s="44" t="n">
        <v>0.04420138888888889</v>
      </c>
      <c r="I1592" s="45" t="n">
        <v>3146</v>
      </c>
      <c r="J1592" s="45" t="n">
        <v>163</v>
      </c>
      <c r="K1592" s="45" t="n">
        <v>34</v>
      </c>
      <c r="L1592" s="46" t="n"/>
      <c r="M1592" s="47" t="n"/>
      <c r="N1592" s="47" t="inlineStr">
        <is>
          <t>UCHfIbq9thHPC8yrKjAdJgDA</t>
        </is>
      </c>
      <c r="O1592" s="48" t="n">
        <v>44069.41666666666</v>
      </c>
      <c r="P1592" s="49" t="n">
        <v>44069</v>
      </c>
      <c r="Q1592" s="47" t="n">
        <v>1676</v>
      </c>
      <c r="R1592" s="47" t="inlineStr">
        <is>
          <t>No Video ID yet</t>
        </is>
      </c>
      <c r="S1592" s="49" t="n"/>
      <c r="T1592" s="49" t="n"/>
      <c r="U1592" s="47" t="inlineStr">
        <is>
          <t>Ben and J discuss: the dog doo chronicles, making chores fun, teachable moments, forts, regional words, kid logic, simplified life, thing that get better with age, and sticker stress. Foam Washer on Ben’s Car: Regional Words Map: How Common is Your Name?:</t>
        </is>
      </c>
      <c r="V1592" s="47">
        <f>IF(AND(P1592&gt;=Calendar!$K$2,P1592&lt;EDATE(Calendar!$K$2,1),OR(Calendar!$K$4="*",N1592=Calendar!$K$4)),P1592*100+COUNTIFS($P$6:$P$3267,P1592,$Q$6:$Q$3267,"&lt;="&amp;Q1592,$N$6:$N$3267,Calendar!$K$4),"")</f>
        <v/>
      </c>
      <c r="W1592" s="47">
        <f>IF(AND(B1592=Queue!$C$4,OR(Queue!$K$4="*",N1592=Queue!$K$4)),Q1592,"")</f>
        <v/>
      </c>
    </row>
    <row r="1593">
      <c r="A1593" s="38">
        <f>IF(M1593="","",HYPERLINK("https://www.youtube.com/watch?v="&amp;M1593,"▶"))</f>
        <v/>
      </c>
      <c r="B1593" s="39">
        <f>IF(C1593&lt;&gt;"",C1593,IF(P1593&lt;=IFERROR(INDEX(tblChannels[Watched Through],MATCH(N1593,tblChannels[Channel ID],0)),0),"Watched","Unwatched"))</f>
        <v/>
      </c>
      <c r="C1593" s="40" t="n"/>
      <c r="D1593" s="41" t="n"/>
      <c r="E1593" s="42" t="n">
        <v>44068.75</v>
      </c>
      <c r="F1593" s="43" t="inlineStr">
        <is>
          <t>Popcorn Culture</t>
        </is>
      </c>
      <c r="G1593" t="inlineStr">
        <is>
          <t>32 - Bread is my new love language</t>
        </is>
      </c>
      <c r="H1593" s="44" t="n">
        <v>0.04038194444444444</v>
      </c>
      <c r="I1593" s="45" t="n">
        <v>3317</v>
      </c>
      <c r="J1593" s="45" t="n">
        <v>168</v>
      </c>
      <c r="K1593" s="45" t="n">
        <v>32</v>
      </c>
      <c r="L1593" s="46" t="n"/>
      <c r="M1593" s="47" t="n"/>
      <c r="N1593" s="47" t="inlineStr">
        <is>
          <t>UCHfIbq9thHPC8yrKjAdJgDA</t>
        </is>
      </c>
      <c r="O1593" s="48" t="n">
        <v>44068.91666666666</v>
      </c>
      <c r="P1593" s="49" t="n">
        <v>44068</v>
      </c>
      <c r="Q1593" s="47" t="n">
        <v>1675</v>
      </c>
      <c r="R1593" s="47" t="inlineStr">
        <is>
          <t>No Video ID yet</t>
        </is>
      </c>
      <c r="S1593" s="49" t="n"/>
      <c r="T1593" s="49" t="n"/>
      <c r="U1593" s="47" t="inlineStr">
        <is>
          <t>Ben and J discuss: spoonerisms, donuts, unprecedented agreement, carb-based joy, sequencing, deadlines, morning routines, ownership of your own interests, and mascots. Spoonerisms: Multitasking vs sequencing: Washington renaming: Team name popularity:</t>
        </is>
      </c>
      <c r="V1593" s="47">
        <f>IF(AND(P1593&gt;=Calendar!$K$2,P1593&lt;EDATE(Calendar!$K$2,1),OR(Calendar!$K$4="*",N1593=Calendar!$K$4)),P1593*100+COUNTIFS($P$6:$P$3267,P1593,$Q$6:$Q$3267,"&lt;="&amp;Q1593,$N$6:$N$3267,Calendar!$K$4),"")</f>
        <v/>
      </c>
      <c r="W1593" s="47">
        <f>IF(AND(B1593=Queue!$C$4,OR(Queue!$K$4="*",N1593=Queue!$K$4)),Q1593,"")</f>
        <v/>
      </c>
    </row>
    <row r="1594">
      <c r="A1594" s="38">
        <f>IF(M1594="","",HYPERLINK("https://www.youtube.com/watch?v="&amp;M1594,"▶"))</f>
        <v/>
      </c>
      <c r="B1594" s="39">
        <f>IF(C1594&lt;&gt;"",C1594,IF(P1594&lt;=IFERROR(INDEX(tblChannels[Watched Through],MATCH(N1594,tblChannels[Channel ID],0)),0),"Watched","Unwatched"))</f>
        <v/>
      </c>
      <c r="C1594" s="40" t="n"/>
      <c r="D1594" s="41" t="n"/>
      <c r="E1594" s="42" t="n">
        <v>44068.66180555556</v>
      </c>
      <c r="F1594" s="50" t="inlineStr">
        <is>
          <t>Super Carlin Brothers</t>
        </is>
      </c>
      <c r="G1594" t="inlineStr">
        <is>
          <t>How FAST Is Elsa's Horse? [Frozen Theory]</t>
        </is>
      </c>
      <c r="H1594" s="44" t="n">
        <v>0.007673611111111111</v>
      </c>
      <c r="I1594" s="45" t="n">
        <v>161347</v>
      </c>
      <c r="J1594" s="45" t="n">
        <v>8922</v>
      </c>
      <c r="K1594" s="45" t="n">
        <v>1021</v>
      </c>
      <c r="L1594" s="46" t="n"/>
      <c r="M1594" s="47" t="n"/>
      <c r="N1594" s="47" t="inlineStr">
        <is>
          <t>UCKZo4N0lVPccBkSiuyVh4yg</t>
        </is>
      </c>
      <c r="O1594" s="48" t="n">
        <v>44068.82847222222</v>
      </c>
      <c r="P1594" s="49" t="n">
        <v>44068</v>
      </c>
      <c r="Q1594" s="47" t="n">
        <v>1674</v>
      </c>
      <c r="R1594" s="47" t="inlineStr">
        <is>
          <t>No Video ID yet</t>
        </is>
      </c>
      <c r="S1594" s="49" t="n"/>
      <c r="T1594" s="49" t="n"/>
      <c r="U1594" s="47" t="inlineStr">
        <is>
          <t>Go to and use code SCB to get $75 off! Today J dives into the world of Disney's Frozen 2 to find out the true speed of Elsa's horse and if it can move faster than the speed of sound!</t>
        </is>
      </c>
      <c r="V1594" s="47">
        <f>IF(AND(P1594&gt;=Calendar!$K$2,P1594&lt;EDATE(Calendar!$K$2,1),OR(Calendar!$K$4="*",N1594=Calendar!$K$4)),P1594*100+COUNTIFS($P$6:$P$3267,P1594,$Q$6:$Q$3267,"&lt;="&amp;Q1594,$N$6:$N$3267,Calendar!$K$4),"")</f>
        <v/>
      </c>
      <c r="W1594" s="47">
        <f>IF(AND(B1594=Queue!$C$4,OR(Queue!$K$4="*",N1594=Queue!$K$4)),Q1594,"")</f>
        <v/>
      </c>
    </row>
    <row r="1595">
      <c r="A1595" s="38">
        <f>IF(M1595="","",HYPERLINK("https://www.youtube.com/watch?v="&amp;M1595,"▶"))</f>
        <v/>
      </c>
      <c r="B1595" s="39">
        <f>IF(C1595&lt;&gt;"",C1595,IF(P1595&lt;=IFERROR(INDEX(tblChannels[Watched Through],MATCH(N1595,tblChannels[Channel ID],0)),0),"Watched","Unwatched"))</f>
        <v/>
      </c>
      <c r="C1595" s="40" t="n"/>
      <c r="D1595" s="41" t="n"/>
      <c r="E1595" s="42" t="n">
        <v>44064.75</v>
      </c>
      <c r="F1595" s="43" t="inlineStr">
        <is>
          <t>Popcorn Culture</t>
        </is>
      </c>
      <c r="G1595" t="inlineStr">
        <is>
          <t>31 - We Could Own a Castle</t>
        </is>
      </c>
      <c r="H1595" s="44" t="n">
        <v>0.0433912037037037</v>
      </c>
      <c r="I1595" s="45" t="n">
        <v>3188</v>
      </c>
      <c r="J1595" s="45" t="n">
        <v>173</v>
      </c>
      <c r="K1595" s="45" t="n">
        <v>61</v>
      </c>
      <c r="L1595" s="46" t="n"/>
      <c r="M1595" s="47" t="n"/>
      <c r="N1595" s="47" t="inlineStr">
        <is>
          <t>UCHfIbq9thHPC8yrKjAdJgDA</t>
        </is>
      </c>
      <c r="O1595" s="48" t="n">
        <v>44064.91666666666</v>
      </c>
      <c r="P1595" s="49" t="n">
        <v>44064</v>
      </c>
      <c r="Q1595" s="47" t="n">
        <v>1673</v>
      </c>
      <c r="R1595" s="47" t="inlineStr">
        <is>
          <t>No Video ID yet</t>
        </is>
      </c>
      <c r="S1595" s="49" t="n"/>
      <c r="T1595" s="49" t="n"/>
      <c r="U1595" s="47" t="inlineStr">
        <is>
          <t>Ben and J discuss: banana peels, lawn care, Karen encounters, dealing with negative encounters with positive conversation, trying to have a good relationship with your neighbors, castles, and horse names. Banana Peel History: Please Pick Up Your Dog’s Poop: Could we own a castle?:</t>
        </is>
      </c>
      <c r="V1595" s="47">
        <f>IF(AND(P1595&gt;=Calendar!$K$2,P1595&lt;EDATE(Calendar!$K$2,1),OR(Calendar!$K$4="*",N1595=Calendar!$K$4)),P1595*100+COUNTIFS($P$6:$P$3267,P1595,$Q$6:$Q$3267,"&lt;="&amp;Q1595,$N$6:$N$3267,Calendar!$K$4),"")</f>
        <v/>
      </c>
      <c r="W1595" s="47">
        <f>IF(AND(B1595=Queue!$C$4,OR(Queue!$K$4="*",N1595=Queue!$K$4)),Q1595,"")</f>
        <v/>
      </c>
    </row>
    <row r="1596">
      <c r="A1596" s="38">
        <f>IF(M1596="","",HYPERLINK("https://www.youtube.com/watch?v="&amp;M1596,"▶"))</f>
        <v/>
      </c>
      <c r="B1596" s="39">
        <f>IF(C1596&lt;&gt;"",C1596,IF(P1596&lt;=IFERROR(INDEX(tblChannels[Watched Through],MATCH(N1596,tblChannels[Channel ID],0)),0),"Watched","Unwatched"))</f>
        <v/>
      </c>
      <c r="C1596" s="40" t="n"/>
      <c r="D1596" s="41" t="n"/>
      <c r="E1596" s="42" t="n">
        <v>44063.79375</v>
      </c>
      <c r="F1596" s="50" t="inlineStr">
        <is>
          <t>Super Carlin Brothers</t>
        </is>
      </c>
      <c r="G1596" t="inlineStr">
        <is>
          <t>The TRUTH About The Dam In Frozen 2</t>
        </is>
      </c>
      <c r="H1596" s="44" t="n">
        <v>0.008611111111111111</v>
      </c>
      <c r="I1596" s="45" t="n">
        <v>302849</v>
      </c>
      <c r="J1596" s="45" t="n">
        <v>13358</v>
      </c>
      <c r="K1596" s="45" t="n">
        <v>977</v>
      </c>
      <c r="L1596" s="46" t="n"/>
      <c r="M1596" s="47" t="n"/>
      <c r="N1596" s="47" t="inlineStr">
        <is>
          <t>UCKZo4N0lVPccBkSiuyVh4yg</t>
        </is>
      </c>
      <c r="O1596" s="48" t="n">
        <v>44063.96041666667</v>
      </c>
      <c r="P1596" s="49" t="n">
        <v>44063</v>
      </c>
      <c r="Q1596" s="47" t="n">
        <v>1672</v>
      </c>
      <c r="R1596" s="47" t="inlineStr">
        <is>
          <t>No Video ID yet</t>
        </is>
      </c>
      <c r="S1596" s="49" t="n"/>
      <c r="T1596" s="49" t="n"/>
      <c r="U1596" s="47" t="inlineStr">
        <is>
          <t>Hurry to to find out HOW LOW your Upstart rate can be! Today J dives into the world of Disney’s Frozen to discuss the Alta Dam Controversy and how it inspired the events of Frozen 2! Sources: Nonviolent Action Database:: Alta Controversey: Finnmark Act: #SuperCarlinBrothers #Disney #Frozen</t>
        </is>
      </c>
      <c r="V1596" s="47">
        <f>IF(AND(P1596&gt;=Calendar!$K$2,P1596&lt;EDATE(Calendar!$K$2,1),OR(Calendar!$K$4="*",N1596=Calendar!$K$4)),P1596*100+COUNTIFS($P$6:$P$3267,P1596,$Q$6:$Q$3267,"&lt;="&amp;Q1596,$N$6:$N$3267,Calendar!$K$4),"")</f>
        <v/>
      </c>
      <c r="W1596" s="47">
        <f>IF(AND(B1596=Queue!$C$4,OR(Queue!$K$4="*",N1596=Queue!$K$4)),Q1596,"")</f>
        <v/>
      </c>
    </row>
    <row r="1597">
      <c r="A1597" s="38">
        <f>IF(M1597="","",HYPERLINK("https://www.youtube.com/watch?v="&amp;M1597,"▶"))</f>
        <v/>
      </c>
      <c r="B1597" s="39">
        <f>IF(C1597&lt;&gt;"",C1597,IF(P1597&lt;=IFERROR(INDEX(tblChannels[Watched Through],MATCH(N1597,tblChannels[Channel ID],0)),0),"Watched","Unwatched"))</f>
        <v/>
      </c>
      <c r="C1597" s="40" t="n"/>
      <c r="D1597" s="41" t="n"/>
      <c r="E1597" s="42" t="n">
        <v>44061.82361111111</v>
      </c>
      <c r="F1597" s="50" t="inlineStr">
        <is>
          <t>Super Carlin Brothers</t>
        </is>
      </c>
      <c r="G1597" t="inlineStr">
        <is>
          <t>J vs Ben: ULTIMATE Marvel Cinematic Universe TRIVIA Quiz</t>
        </is>
      </c>
      <c r="H1597" s="44" t="n">
        <v>0.0153587962962963</v>
      </c>
      <c r="I1597" s="45" t="n">
        <v>234557</v>
      </c>
      <c r="J1597" s="45" t="n">
        <v>10370</v>
      </c>
      <c r="K1597" s="45" t="n">
        <v>1209</v>
      </c>
      <c r="L1597" s="46" t="n"/>
      <c r="M1597" s="47" t="n"/>
      <c r="N1597" s="47" t="inlineStr">
        <is>
          <t>UCKZo4N0lVPccBkSiuyVh4yg</t>
        </is>
      </c>
      <c r="O1597" s="48" t="n">
        <v>44061.99027777778</v>
      </c>
      <c r="P1597" s="49" t="n">
        <v>44061</v>
      </c>
      <c r="Q1597" s="47" t="n">
        <v>1671</v>
      </c>
      <c r="R1597" s="47" t="inlineStr">
        <is>
          <t>No Video ID yet</t>
        </is>
      </c>
      <c r="S1597" s="49" t="n"/>
      <c r="T1597" s="49" t="n"/>
      <c r="U1597" s="47" t="inlineStr">
        <is>
          <t>Get $5 off and 0 delivery fees on your 1st order of $15 or more when you download the DoorDash app and enter code JVSB! Go to for 10% off! Today J and Ben are facing off in the ULTIMATE Marvel Cinematic Universe Trivia quiz to see who knows more about our favorite superheroes…. Again! #SuperCarlinBrothers #marvel #JvsBen</t>
        </is>
      </c>
      <c r="V1597" s="47">
        <f>IF(AND(P1597&gt;=Calendar!$K$2,P1597&lt;EDATE(Calendar!$K$2,1),OR(Calendar!$K$4="*",N1597=Calendar!$K$4)),P1597*100+COUNTIFS($P$6:$P$3267,P1597,$Q$6:$Q$3267,"&lt;="&amp;Q1597,$N$6:$N$3267,Calendar!$K$4),"")</f>
        <v/>
      </c>
      <c r="W1597" s="47">
        <f>IF(AND(B1597=Queue!$C$4,OR(Queue!$K$4="*",N1597=Queue!$K$4)),Q1597,"")</f>
        <v/>
      </c>
    </row>
    <row r="1598">
      <c r="A1598" s="38">
        <f>IF(M1598="","",HYPERLINK("https://www.youtube.com/watch?v="&amp;M1598,"▶"))</f>
        <v/>
      </c>
      <c r="B1598" s="39">
        <f>IF(C1598&lt;&gt;"",C1598,IF(P1598&lt;=IFERROR(INDEX(tblChannels[Watched Through],MATCH(N1598,tblChannels[Channel ID],0)),0),"Watched","Unwatched"))</f>
        <v/>
      </c>
      <c r="C1598" s="40" t="n"/>
      <c r="D1598" s="41" t="n"/>
      <c r="E1598" s="42" t="n">
        <v>44057.86527777778</v>
      </c>
      <c r="F1598" s="50" t="inlineStr">
        <is>
          <t>Super Carlin Brothers</t>
        </is>
      </c>
      <c r="G1598" t="inlineStr">
        <is>
          <t>ALL FANDOMS Trivia Night LIVE STREAM!</t>
        </is>
      </c>
      <c r="H1598" s="44" t="n">
        <v>0.105162037037037</v>
      </c>
      <c r="I1598" s="45" t="n">
        <v>146436</v>
      </c>
      <c r="J1598" s="45" t="n">
        <v>2715</v>
      </c>
      <c r="K1598" s="45" t="n">
        <v>215</v>
      </c>
      <c r="L1598" s="46" t="n"/>
      <c r="M1598" s="47" t="n"/>
      <c r="N1598" s="47" t="inlineStr">
        <is>
          <t>UCKZo4N0lVPccBkSiuyVh4yg</t>
        </is>
      </c>
      <c r="O1598" s="48" t="n">
        <v>44058.03194444445</v>
      </c>
      <c r="P1598" s="49" t="n">
        <v>44057</v>
      </c>
      <c r="Q1598" s="47" t="n">
        <v>1670</v>
      </c>
      <c r="R1598" s="47" t="inlineStr">
        <is>
          <t>No Video ID yet</t>
        </is>
      </c>
      <c r="S1598" s="49" t="n"/>
      <c r="T1598" s="49" t="n"/>
      <c r="U1598" s="47" t="inlineStr">
        <is>
          <t>DO YOU HAVE WHAT IT TAKES TO BECOME THE CHAMPION OF ALL SIX FANDOMS?! - Tonight we test your knowledge of Disney, Pixar, Marvel, Star Wars, Harry Potter and Avatar: The Last Airbender! Winners email: secretcarlinbrothers@gmail.com with a screenshot of your winning score! HOW TO PLAY Kahoot with the Carlins! 1. Download the Kahoot app to your mobile device, or go to Kahoot.it to join the game! 2. Make sure you’re running the SCB Livestream on a different device or a different window than Kahoot! (We recommend having Kahoot on your phone and the stream on a computer or TV, but two tabs/windows on the same computer works as well!) 3. Shortly before we start the game, SCB will announce the game PIN. Enter the pin into your Kahoot App or at Kahoot.it 4. Enter a nickname for yourself and join the game! 5. Points are awarded for accuracy and speed, so make sure your live stream is caught up! You can skip ahead in the video, or set your video speed to 2x to catch up! (To increase video speed, click the settings gear near the bottom right corner (computer) or the 3 dots at the top right (mobile), then click "playback speed" and select a higher speed to catch up!) 6. Follow along with the st</t>
        </is>
      </c>
      <c r="V1598" s="47">
        <f>IF(AND(P1598&gt;=Calendar!$K$2,P1598&lt;EDATE(Calendar!$K$2,1),OR(Calendar!$K$4="*",N1598=Calendar!$K$4)),P1598*100+COUNTIFS($P$6:$P$3267,P1598,$Q$6:$Q$3267,"&lt;="&amp;Q1598,$N$6:$N$3267,Calendar!$K$4),"")</f>
        <v/>
      </c>
      <c r="W1598" s="47">
        <f>IF(AND(B1598=Queue!$C$4,OR(Queue!$K$4="*",N1598=Queue!$K$4)),Q1598,"")</f>
        <v/>
      </c>
    </row>
    <row r="1599">
      <c r="A1599" s="38">
        <f>IF(M1599="","",HYPERLINK("https://www.youtube.com/watch?v="&amp;M1599,"▶"))</f>
        <v/>
      </c>
      <c r="B1599" s="39">
        <f>IF(C1599&lt;&gt;"",C1599,IF(P1599&lt;=IFERROR(INDEX(tblChannels[Watched Through],MATCH(N1599,tblChannels[Channel ID],0)),0),"Watched","Unwatched"))</f>
        <v/>
      </c>
      <c r="C1599" s="40" t="n"/>
      <c r="D1599" s="41" t="n"/>
      <c r="E1599" s="42" t="n">
        <v>44056.66527777778</v>
      </c>
      <c r="F1599" s="50" t="inlineStr">
        <is>
          <t>Super Carlin Brothers</t>
        </is>
      </c>
      <c r="G1599" t="inlineStr">
        <is>
          <t>Frozen Theory: The Trolls Are The Real Villains</t>
        </is>
      </c>
      <c r="H1599" s="44" t="n">
        <v>0.01128472222222222</v>
      </c>
      <c r="I1599" s="45" t="n">
        <v>411516</v>
      </c>
      <c r="J1599" s="45" t="n">
        <v>17601</v>
      </c>
      <c r="K1599" s="45" t="n">
        <v>1911</v>
      </c>
      <c r="L1599" s="46" t="n"/>
      <c r="M1599" s="47" t="n"/>
      <c r="N1599" s="47" t="inlineStr">
        <is>
          <t>UCKZo4N0lVPccBkSiuyVh4yg</t>
        </is>
      </c>
      <c r="O1599" s="48" t="n">
        <v>44056.83194444444</v>
      </c>
      <c r="P1599" s="49" t="n">
        <v>44056</v>
      </c>
      <c r="Q1599" s="47" t="n">
        <v>1669</v>
      </c>
      <c r="R1599" s="47" t="inlineStr">
        <is>
          <t>No Video ID yet</t>
        </is>
      </c>
      <c r="S1599" s="49" t="n"/>
      <c r="T1599" s="49" t="n"/>
      <c r="U1599" s="47" t="inlineStr">
        <is>
          <t>Get 20% off your first monthly box when you sign up at and enter the code super at checkout! Today Ben dives into the world of Frozen to discuss how the trolls are the real villains and how Hans's plan makes no sense! #SuperCarlinBrothers #Frozen #Disney</t>
        </is>
      </c>
      <c r="V1599" s="47">
        <f>IF(AND(P1599&gt;=Calendar!$K$2,P1599&lt;EDATE(Calendar!$K$2,1),OR(Calendar!$K$4="*",N1599=Calendar!$K$4)),P1599*100+COUNTIFS($P$6:$P$3267,P1599,$Q$6:$Q$3267,"&lt;="&amp;Q1599,$N$6:$N$3267,Calendar!$K$4),"")</f>
        <v/>
      </c>
      <c r="W1599" s="47">
        <f>IF(AND(B1599=Queue!$C$4,OR(Queue!$K$4="*",N1599=Queue!$K$4)),Q1599,"")</f>
        <v/>
      </c>
    </row>
    <row r="1600">
      <c r="A1600" s="38">
        <f>IF(M1600="","",HYPERLINK("https://www.youtube.com/watch?v="&amp;M1600,"▶"))</f>
        <v/>
      </c>
      <c r="B1600" s="39">
        <f>IF(C1600&lt;&gt;"",C1600,IF(P1600&lt;=IFERROR(INDEX(tblChannels[Watched Through],MATCH(N1600,tblChannels[Channel ID],0)),0),"Watched","Unwatched"))</f>
        <v/>
      </c>
      <c r="C1600" s="40" t="n"/>
      <c r="D1600" s="41" t="n"/>
      <c r="E1600" s="42" t="n">
        <v>44054.51944444444</v>
      </c>
      <c r="F1600" s="50" t="inlineStr">
        <is>
          <t>Super Carlin Brothers</t>
        </is>
      </c>
      <c r="G1600" t="inlineStr">
        <is>
          <t>Natasha is ALIVE [Marvel Theory]</t>
        </is>
      </c>
      <c r="H1600" s="44" t="n">
        <v>0.01222222222222222</v>
      </c>
      <c r="I1600" s="45" t="n">
        <v>305381</v>
      </c>
      <c r="J1600" s="45" t="n">
        <v>15094</v>
      </c>
      <c r="K1600" s="45" t="n">
        <v>2257</v>
      </c>
      <c r="L1600" s="46" t="n"/>
      <c r="M1600" s="47" t="n"/>
      <c r="N1600" s="47" t="inlineStr">
        <is>
          <t>UCKZo4N0lVPccBkSiuyVh4yg</t>
        </is>
      </c>
      <c r="O1600" s="48" t="n">
        <v>44054.68611111111</v>
      </c>
      <c r="P1600" s="49" t="n">
        <v>44054</v>
      </c>
      <c r="Q1600" s="47" t="n">
        <v>1668</v>
      </c>
      <c r="R1600" s="47" t="inlineStr">
        <is>
          <t>No Video ID yet</t>
        </is>
      </c>
      <c r="S1600" s="49" t="n"/>
      <c r="T1600" s="49" t="n"/>
      <c r="U1600" s="47" t="inlineStr">
        <is>
          <t>Go to for 30% off! Today J dives in to the Marvel Cinematic Universe to discuss the fate of Natasha Romanov aka Black Widow. She heroically sacrificed herself in Endgame to save the universe.. But is it possible she is still alive?? Theory submitted by Brad Hart #SuperCarlinBrothers #marvel #BlackWidow</t>
        </is>
      </c>
      <c r="V1600" s="47">
        <f>IF(AND(P1600&gt;=Calendar!$K$2,P1600&lt;EDATE(Calendar!$K$2,1),OR(Calendar!$K$4="*",N1600=Calendar!$K$4)),P1600*100+COUNTIFS($P$6:$P$3267,P1600,$Q$6:$Q$3267,"&lt;="&amp;Q1600,$N$6:$N$3267,Calendar!$K$4),"")</f>
        <v/>
      </c>
      <c r="W1600" s="47">
        <f>IF(AND(B1600=Queue!$C$4,OR(Queue!$K$4="*",N1600=Queue!$K$4)),Q1600,"")</f>
        <v/>
      </c>
    </row>
    <row r="1601">
      <c r="A1601" s="38">
        <f>IF(M1601="","",HYPERLINK("https://www.youtube.com/watch?v="&amp;M1601,"▶"))</f>
        <v/>
      </c>
      <c r="B1601" s="39">
        <f>IF(C1601&lt;&gt;"",C1601,IF(P1601&lt;=IFERROR(INDEX(tblChannels[Watched Through],MATCH(N1601,tblChannels[Channel ID],0)),0),"Watched","Unwatched"))</f>
        <v/>
      </c>
      <c r="C1601" s="40" t="n"/>
      <c r="D1601" s="41" t="n"/>
      <c r="E1601" s="42" t="n">
        <v>44049.6875</v>
      </c>
      <c r="F1601" s="50" t="inlineStr">
        <is>
          <t>Super Carlin Brothers</t>
        </is>
      </c>
      <c r="G1601" t="inlineStr">
        <is>
          <t>J vs Ben: HARDEST Harry Potter Trivia Quiz EVER [Quiz Master Edition]</t>
        </is>
      </c>
      <c r="H1601" s="44" t="n">
        <v>0.0156712962962963</v>
      </c>
      <c r="I1601" s="45" t="n">
        <v>384376</v>
      </c>
      <c r="J1601" s="45" t="n">
        <v>12852</v>
      </c>
      <c r="K1601" s="45" t="n">
        <v>1098</v>
      </c>
      <c r="L1601" s="46" t="n"/>
      <c r="M1601" s="47" t="n"/>
      <c r="N1601" s="47" t="inlineStr">
        <is>
          <t>UCKZo4N0lVPccBkSiuyVh4yg</t>
        </is>
      </c>
      <c r="O1601" s="48" t="n">
        <v>44049.85416666666</v>
      </c>
      <c r="P1601" s="49" t="n">
        <v>44049</v>
      </c>
      <c r="Q1601" s="47" t="n">
        <v>1667</v>
      </c>
      <c r="R1601" s="47" t="inlineStr">
        <is>
          <t>No Video ID yet</t>
        </is>
      </c>
      <c r="S1601" s="49" t="n"/>
      <c r="T1601" s="49" t="n"/>
      <c r="U1601" s="47" t="inlineStr">
        <is>
          <t>Go to to get a 1-month free trial of everything you need to start your skincare journey at home! Today J and Ben face off once more to find out who knows the most about the Wizarding World of Harry Potter by answering questions submitted by our Quiz Masters</t>
        </is>
      </c>
      <c r="V1601" s="47">
        <f>IF(AND(P1601&gt;=Calendar!$K$2,P1601&lt;EDATE(Calendar!$K$2,1),OR(Calendar!$K$4="*",N1601=Calendar!$K$4)),P1601*100+COUNTIFS($P$6:$P$3267,P1601,$Q$6:$Q$3267,"&lt;="&amp;Q1601,$N$6:$N$3267,Calendar!$K$4),"")</f>
        <v/>
      </c>
      <c r="W1601" s="47">
        <f>IF(AND(B1601=Queue!$C$4,OR(Queue!$K$4="*",N1601=Queue!$K$4)),Q1601,"")</f>
        <v/>
      </c>
    </row>
    <row r="1602">
      <c r="A1602" s="38">
        <f>IF(M1602="","",HYPERLINK("https://www.youtube.com/watch?v="&amp;M1602,"▶"))</f>
        <v/>
      </c>
      <c r="B1602" s="39">
        <f>IF(C1602&lt;&gt;"",C1602,IF(P1602&lt;=IFERROR(INDEX(tblChannels[Watched Through],MATCH(N1602,tblChannels[Channel ID],0)),0),"Watched","Unwatched"))</f>
        <v/>
      </c>
      <c r="C1602" s="40" t="n"/>
      <c r="D1602" s="41" t="n"/>
      <c r="E1602" s="42" t="n">
        <v>44047.66458333333</v>
      </c>
      <c r="F1602" s="50" t="inlineStr">
        <is>
          <t>Super Carlin Brothers</t>
        </is>
      </c>
      <c r="G1602" t="inlineStr">
        <is>
          <t>Who Are The TRUE Original Benders? [Avatar: The Last Airbender Theory]</t>
        </is>
      </c>
      <c r="H1602" s="44" t="n">
        <v>0.009583333333333333</v>
      </c>
      <c r="I1602" s="45" t="n">
        <v>350060</v>
      </c>
      <c r="J1602" s="45" t="n">
        <v>16378</v>
      </c>
      <c r="K1602" s="45" t="n">
        <v>2002</v>
      </c>
      <c r="L1602" s="46" t="n"/>
      <c r="M1602" s="47" t="n"/>
      <c r="N1602" s="47" t="inlineStr">
        <is>
          <t>UCKZo4N0lVPccBkSiuyVh4yg</t>
        </is>
      </c>
      <c r="O1602" s="48" t="n">
        <v>44047.83125</v>
      </c>
      <c r="P1602" s="49" t="n">
        <v>44047</v>
      </c>
      <c r="Q1602" s="47" t="n">
        <v>1666</v>
      </c>
      <c r="R1602" s="47" t="inlineStr">
        <is>
          <t>No Video ID yet</t>
        </is>
      </c>
      <c r="S1602" s="49" t="n"/>
      <c r="T1602" s="49" t="n"/>
      <c r="U1602" s="47" t="inlineStr">
        <is>
          <t>Go to for 10% off! Today J dives off a Sky Bison and into the world of Avatar the Last Airbender to discuss the identity of the ORIGINAL BENDERS! Is it the Lion Turtles, the Badger Moles? The MOON? What about Oma and Shu?! #SuperCarlinBrothers #atla #avatarthelastairbender</t>
        </is>
      </c>
      <c r="V1602" s="47">
        <f>IF(AND(P1602&gt;=Calendar!$K$2,P1602&lt;EDATE(Calendar!$K$2,1),OR(Calendar!$K$4="*",N1602=Calendar!$K$4)),P1602*100+COUNTIFS($P$6:$P$3267,P1602,$Q$6:$Q$3267,"&lt;="&amp;Q1602,$N$6:$N$3267,Calendar!$K$4),"")</f>
        <v/>
      </c>
      <c r="W1602" s="47">
        <f>IF(AND(B1602=Queue!$C$4,OR(Queue!$K$4="*",N1602=Queue!$K$4)),Q1602,"")</f>
        <v/>
      </c>
    </row>
    <row r="1603">
      <c r="A1603" s="38">
        <f>IF(M1603="","",HYPERLINK("https://www.youtube.com/watch?v="&amp;M1603,"▶"))</f>
        <v/>
      </c>
      <c r="B1603" s="39">
        <f>IF(C1603&lt;&gt;"",C1603,IF(P1603&lt;=IFERROR(INDEX(tblChannels[Watched Through],MATCH(N1603,tblChannels[Channel ID],0)),0),"Watched","Unwatched"))</f>
        <v/>
      </c>
      <c r="C1603" s="40" t="n"/>
      <c r="D1603" s="41" t="n"/>
      <c r="E1603" s="42" t="n">
        <v>44042.68194444444</v>
      </c>
      <c r="F1603" s="50" t="inlineStr">
        <is>
          <t>Super Carlin Brothers</t>
        </is>
      </c>
      <c r="G1603" t="inlineStr">
        <is>
          <t>Newt’s Kelpie Is The Key To Victory [Fantastic Beast Theory]</t>
        </is>
      </c>
      <c r="H1603" s="44" t="n">
        <v>0.01259259259259259</v>
      </c>
      <c r="I1603" s="45" t="n">
        <v>296828</v>
      </c>
      <c r="J1603" s="45" t="n">
        <v>17141</v>
      </c>
      <c r="K1603" s="45" t="n">
        <v>2520</v>
      </c>
      <c r="L1603" s="46" t="n"/>
      <c r="M1603" s="47" t="n"/>
      <c r="N1603" s="47" t="inlineStr">
        <is>
          <t>UCKZo4N0lVPccBkSiuyVh4yg</t>
        </is>
      </c>
      <c r="O1603" s="48" t="n">
        <v>44042.84861111111</v>
      </c>
      <c r="P1603" s="49" t="n">
        <v>44042</v>
      </c>
      <c r="Q1603" s="47" t="n">
        <v>1665</v>
      </c>
      <c r="R1603" s="47" t="inlineStr">
        <is>
          <t>No Video ID yet</t>
        </is>
      </c>
      <c r="S1603" s="49" t="n"/>
      <c r="T1603" s="49" t="n"/>
      <c r="U1603" s="47" t="inlineStr">
        <is>
          <t>Today Ben dives into the Wizarding World of Harry Potter (on the back of a Kelpie) to try and figure out why Newt is the main character of Fantastic Beasts, and how HE will truly be the one to defeat Grindelwald!</t>
        </is>
      </c>
      <c r="V1603" s="47">
        <f>IF(AND(P1603&gt;=Calendar!$K$2,P1603&lt;EDATE(Calendar!$K$2,1),OR(Calendar!$K$4="*",N1603=Calendar!$K$4)),P1603*100+COUNTIFS($P$6:$P$3267,P1603,$Q$6:$Q$3267,"&lt;="&amp;Q1603,$N$6:$N$3267,Calendar!$K$4),"")</f>
        <v/>
      </c>
      <c r="W1603" s="47">
        <f>IF(AND(B1603=Queue!$C$4,OR(Queue!$K$4="*",N1603=Queue!$K$4)),Q1603,"")</f>
        <v/>
      </c>
    </row>
    <row r="1604">
      <c r="A1604" s="38">
        <f>IF(M1604="","",HYPERLINK("https://www.youtube.com/watch?v="&amp;M1604,"▶"))</f>
        <v/>
      </c>
      <c r="B1604" s="39">
        <f>IF(C1604&lt;&gt;"",C1604,IF(P1604&lt;=IFERROR(INDEX(tblChannels[Watched Through],MATCH(N1604,tblChannels[Channel ID],0)),0),"Watched","Unwatched"))</f>
        <v/>
      </c>
      <c r="C1604" s="40" t="n"/>
      <c r="D1604" s="41" t="n"/>
      <c r="E1604" s="42" t="n">
        <v>44040.79166666666</v>
      </c>
      <c r="F1604" s="50" t="inlineStr">
        <is>
          <t>Super Carlin Brothers</t>
        </is>
      </c>
      <c r="G1604" t="inlineStr">
        <is>
          <t>What Happened to Zuko’s Mom [Avatar The Last Airbender Explained]</t>
        </is>
      </c>
      <c r="H1604" s="44" t="n">
        <v>0.01203703703703704</v>
      </c>
      <c r="I1604" s="45" t="n">
        <v>354274</v>
      </c>
      <c r="J1604" s="45" t="n">
        <v>15782</v>
      </c>
      <c r="K1604" s="45" t="n">
        <v>1776</v>
      </c>
      <c r="L1604" s="46" t="n"/>
      <c r="M1604" s="47" t="n"/>
      <c r="N1604" s="47" t="inlineStr">
        <is>
          <t>UCKZo4N0lVPccBkSiuyVh4yg</t>
        </is>
      </c>
      <c r="O1604" s="48" t="n">
        <v>44040.95833333334</v>
      </c>
      <c r="P1604" s="49" t="n">
        <v>44040</v>
      </c>
      <c r="Q1604" s="47" t="n">
        <v>1664</v>
      </c>
      <c r="R1604" s="47" t="inlineStr">
        <is>
          <t>No Video ID yet</t>
        </is>
      </c>
      <c r="S1604" s="49" t="n"/>
      <c r="T1604" s="49" t="n"/>
      <c r="U1604" s="47" t="inlineStr">
        <is>
          <t>Looking for a straighter smile? Get started with $75 off by using code 'SCB' at Today J jumps off a flying bison into the world of Avatar: The Last Airbender to uncover one of Avatar’s largest mysteries ever: What happened to Zuko’s mom? #SuperCarlinBrothers #atla #AvatarTheLastAirbender</t>
        </is>
      </c>
      <c r="V1604" s="47">
        <f>IF(AND(P1604&gt;=Calendar!$K$2,P1604&lt;EDATE(Calendar!$K$2,1),OR(Calendar!$K$4="*",N1604=Calendar!$K$4)),P1604*100+COUNTIFS($P$6:$P$3267,P1604,$Q$6:$Q$3267,"&lt;="&amp;Q1604,$N$6:$N$3267,Calendar!$K$4),"")</f>
        <v/>
      </c>
      <c r="W1604" s="47">
        <f>IF(AND(B1604=Queue!$C$4,OR(Queue!$K$4="*",N1604=Queue!$K$4)),Q1604,"")</f>
        <v/>
      </c>
    </row>
    <row r="1605">
      <c r="A1605" s="38">
        <f>IF(M1605="","",HYPERLINK("https://www.youtube.com/watch?v="&amp;M1605,"▶"))</f>
        <v/>
      </c>
      <c r="B1605" s="39">
        <f>IF(C1605&lt;&gt;"",C1605,IF(P1605&lt;=IFERROR(INDEX(tblChannels[Watched Through],MATCH(N1605,tblChannels[Channel ID],0)),0),"Watched","Unwatched"))</f>
        <v/>
      </c>
      <c r="C1605" s="40" t="n"/>
      <c r="D1605" s="41" t="n"/>
      <c r="E1605" s="42" t="n">
        <v>44036.75</v>
      </c>
      <c r="F1605" s="43" t="inlineStr">
        <is>
          <t>Popcorn Culture</t>
        </is>
      </c>
      <c r="G1605" t="inlineStr">
        <is>
          <t>30 - Times Ben Almost Was Remarkable</t>
        </is>
      </c>
      <c r="H1605" s="44" t="n">
        <v>0.0446875</v>
      </c>
      <c r="I1605" s="45" t="n">
        <v>4342</v>
      </c>
      <c r="J1605" s="45" t="n">
        <v>191</v>
      </c>
      <c r="K1605" s="45" t="n">
        <v>32</v>
      </c>
      <c r="L1605" s="46" t="n"/>
      <c r="M1605" s="47" t="n"/>
      <c r="N1605" s="47" t="inlineStr">
        <is>
          <t>UCHfIbq9thHPC8yrKjAdJgDA</t>
        </is>
      </c>
      <c r="O1605" s="48" t="n">
        <v>44036.91666666666</v>
      </c>
      <c r="P1605" s="49" t="n">
        <v>44036</v>
      </c>
      <c r="Q1605" s="47" t="n">
        <v>1663</v>
      </c>
      <c r="R1605" s="47" t="inlineStr">
        <is>
          <t>No Video ID yet</t>
        </is>
      </c>
      <c r="S1605" s="49" t="n"/>
      <c r="T1605" s="49" t="n"/>
      <c r="U1605" s="47" t="inlineStr">
        <is>
          <t>Ben and J discuss: friends of your friends, MLMs, digging Holes, beanie babies, ebay, the movie theater principle, auctions, how Ben is actually the star of the Truman show, and garbage day. MLMs: James from Survivor: The History of Ty Beanie Babies: Ebay winnings: Box of Beanie Babies:</t>
        </is>
      </c>
      <c r="V1605" s="47">
        <f>IF(AND(P1605&gt;=Calendar!$K$2,P1605&lt;EDATE(Calendar!$K$2,1),OR(Calendar!$K$4="*",N1605=Calendar!$K$4)),P1605*100+COUNTIFS($P$6:$P$3267,P1605,$Q$6:$Q$3267,"&lt;="&amp;Q1605,$N$6:$N$3267,Calendar!$K$4),"")</f>
        <v/>
      </c>
      <c r="W1605" s="47">
        <f>IF(AND(B1605=Queue!$C$4,OR(Queue!$K$4="*",N1605=Queue!$K$4)),Q1605,"")</f>
        <v/>
      </c>
    </row>
    <row r="1606">
      <c r="A1606" s="38">
        <f>IF(M1606="","",HYPERLINK("https://www.youtube.com/watch?v="&amp;M1606,"▶"))</f>
        <v/>
      </c>
      <c r="B1606" s="39">
        <f>IF(C1606&lt;&gt;"",C1606,IF(P1606&lt;=IFERROR(INDEX(tblChannels[Watched Through],MATCH(N1606,tblChannels[Channel ID],0)),0),"Watched","Unwatched"))</f>
        <v/>
      </c>
      <c r="C1606" s="40" t="n"/>
      <c r="D1606" s="41" t="n"/>
      <c r="E1606" s="42" t="n">
        <v>44035.88541666666</v>
      </c>
      <c r="F1606" s="50" t="inlineStr">
        <is>
          <t>Super Carlin Brothers</t>
        </is>
      </c>
      <c r="G1606" t="inlineStr">
        <is>
          <t>J vs Ben: The ULTIMATE Disney Trivia Quiz</t>
        </is>
      </c>
      <c r="H1606" s="44" t="n">
        <v>0.02180555555555556</v>
      </c>
      <c r="I1606" s="45" t="n">
        <v>345218</v>
      </c>
      <c r="J1606" s="45" t="n">
        <v>11203</v>
      </c>
      <c r="K1606" s="45" t="n">
        <v>1626</v>
      </c>
      <c r="L1606" s="46" t="n"/>
      <c r="M1606" s="47" t="n"/>
      <c r="N1606" s="47" t="inlineStr">
        <is>
          <t>UCKZo4N0lVPccBkSiuyVh4yg</t>
        </is>
      </c>
      <c r="O1606" s="48" t="n">
        <v>44036.05208333334</v>
      </c>
      <c r="P1606" s="49" t="n">
        <v>44035</v>
      </c>
      <c r="Q1606" s="47" t="n">
        <v>1662</v>
      </c>
      <c r="R1606" s="47" t="inlineStr">
        <is>
          <t>No Video ID yet</t>
        </is>
      </c>
      <c r="S1606" s="49" t="n"/>
      <c r="T1606" s="49" t="n"/>
      <c r="U1606" s="47" t="inlineStr">
        <is>
          <t>Today J and Ben face off to find out who has the greatest general Disney knowledge - From Cinderella, to the Little Mermaid, to Winnie the Pooh this quiz has them all! #SuperCarlinBrothers #Disney #JvsBen</t>
        </is>
      </c>
      <c r="V1606" s="47">
        <f>IF(AND(P1606&gt;=Calendar!$K$2,P1606&lt;EDATE(Calendar!$K$2,1),OR(Calendar!$K$4="*",N1606=Calendar!$K$4)),P1606*100+COUNTIFS($P$6:$P$3267,P1606,$Q$6:$Q$3267,"&lt;="&amp;Q1606,$N$6:$N$3267,Calendar!$K$4),"")</f>
        <v/>
      </c>
      <c r="W1606" s="47">
        <f>IF(AND(B1606=Queue!$C$4,OR(Queue!$K$4="*",N1606=Queue!$K$4)),Q1606,"")</f>
        <v/>
      </c>
    </row>
    <row r="1607">
      <c r="A1607" s="38">
        <f>IF(M1607="","",HYPERLINK("https://www.youtube.com/watch?v="&amp;M1607,"▶"))</f>
        <v/>
      </c>
      <c r="B1607" s="39">
        <f>IF(C1607&lt;&gt;"",C1607,IF(P1607&lt;=IFERROR(INDEX(tblChannels[Watched Through],MATCH(N1607,tblChannels[Channel ID],0)),0),"Watched","Unwatched"))</f>
        <v/>
      </c>
      <c r="C1607" s="40" t="n"/>
      <c r="D1607" s="41" t="n"/>
      <c r="E1607" s="42" t="n">
        <v>44033.6875</v>
      </c>
      <c r="F1607" s="50" t="inlineStr">
        <is>
          <t>Super Carlin Brothers</t>
        </is>
      </c>
      <c r="G1607" t="inlineStr">
        <is>
          <t>Ty Lee Is An Air Nomad [Avatar: The Last Airbender Theory]</t>
        </is>
      </c>
      <c r="H1607" s="44" t="n">
        <v>0.01008101851851852</v>
      </c>
      <c r="I1607" s="45" t="n">
        <v>1666534</v>
      </c>
      <c r="J1607" s="45" t="n">
        <v>63733</v>
      </c>
      <c r="K1607" s="45" t="n">
        <v>7184</v>
      </c>
      <c r="L1607" s="46" t="n"/>
      <c r="M1607" s="47" t="n"/>
      <c r="N1607" s="47" t="inlineStr">
        <is>
          <t>UCKZo4N0lVPccBkSiuyVh4yg</t>
        </is>
      </c>
      <c r="O1607" s="48" t="n">
        <v>44033.85416666666</v>
      </c>
      <c r="P1607" s="49" t="n">
        <v>44033</v>
      </c>
      <c r="Q1607" s="47" t="n">
        <v>1661</v>
      </c>
      <c r="R1607" s="47" t="inlineStr">
        <is>
          <t>No Video ID yet</t>
        </is>
      </c>
      <c r="S1607" s="49" t="n"/>
      <c r="T1607" s="49" t="n"/>
      <c r="U1607" s="47" t="inlineStr">
        <is>
          <t>Head to to and find out how you can get 3 months of VPN coverage for free! Today J jumps off a flying bison into the world of Avatar: The Last Airbender to try and determine if Ty Lee of the Fire Nation is in fact a descendant of the Air Nomads! Special Thanks to Chris Wildi for suggesting this topic! #SuperCarlinBrothers #atla #AvatarTheLastAirbender</t>
        </is>
      </c>
      <c r="V1607" s="47">
        <f>IF(AND(P1607&gt;=Calendar!$K$2,P1607&lt;EDATE(Calendar!$K$2,1),OR(Calendar!$K$4="*",N1607=Calendar!$K$4)),P1607*100+COUNTIFS($P$6:$P$3267,P1607,$Q$6:$Q$3267,"&lt;="&amp;Q1607,$N$6:$N$3267,Calendar!$K$4),"")</f>
        <v/>
      </c>
      <c r="W1607" s="47">
        <f>IF(AND(B1607=Queue!$C$4,OR(Queue!$K$4="*",N1607=Queue!$K$4)),Q1607,"")</f>
        <v/>
      </c>
    </row>
    <row r="1608">
      <c r="A1608" s="38">
        <f>IF(M1608="","",HYPERLINK("https://www.youtube.com/watch?v="&amp;M1608,"▶"))</f>
        <v/>
      </c>
      <c r="B1608" s="39">
        <f>IF(C1608&lt;&gt;"",C1608,IF(P1608&lt;=IFERROR(INDEX(tblChannels[Watched Through],MATCH(N1608,tblChannels[Channel ID],0)),0),"Watched","Unwatched"))</f>
        <v/>
      </c>
      <c r="C1608" s="40" t="n"/>
      <c r="D1608" s="41" t="n"/>
      <c r="E1608" s="42" t="n">
        <v>44028.77916666667</v>
      </c>
      <c r="F1608" s="50" t="inlineStr">
        <is>
          <t>Super Carlin Brothers</t>
        </is>
      </c>
      <c r="G1608" t="inlineStr">
        <is>
          <t>Draco Malfoy's Patronus [Harry Potter Theory]</t>
        </is>
      </c>
      <c r="H1608" s="44" t="n">
        <v>0.0112037037037037</v>
      </c>
      <c r="I1608" s="45" t="n">
        <v>722573</v>
      </c>
      <c r="J1608" s="45" t="n">
        <v>27134</v>
      </c>
      <c r="K1608" s="45" t="n">
        <v>3840</v>
      </c>
      <c r="L1608" s="46" t="n"/>
      <c r="M1608" s="47" t="n"/>
      <c r="N1608" s="47" t="inlineStr">
        <is>
          <t>UCKZo4N0lVPccBkSiuyVh4yg</t>
        </is>
      </c>
      <c r="O1608" s="48" t="n">
        <v>44028.94583333333</v>
      </c>
      <c r="P1608" s="49" t="n">
        <v>44028</v>
      </c>
      <c r="Q1608" s="47" t="n">
        <v>1660</v>
      </c>
      <c r="R1608" s="47" t="inlineStr">
        <is>
          <t>No Video ID yet</t>
        </is>
      </c>
      <c r="S1608" s="49" t="n"/>
      <c r="T1608" s="49" t="n"/>
      <c r="U1608" s="47" t="inlineStr">
        <is>
          <t>Get 20% off your first monthly box when you sign up at and enter the code super at checkout! Today Ben dives into the Wizarding World of Harry Potter to try and determine the animal shape of Draco Malfoy’s Patronus!</t>
        </is>
      </c>
      <c r="V1608" s="47">
        <f>IF(AND(P1608&gt;=Calendar!$K$2,P1608&lt;EDATE(Calendar!$K$2,1),OR(Calendar!$K$4="*",N1608=Calendar!$K$4)),P1608*100+COUNTIFS($P$6:$P$3267,P1608,$Q$6:$Q$3267,"&lt;="&amp;Q1608,$N$6:$N$3267,Calendar!$K$4),"")</f>
        <v/>
      </c>
      <c r="W1608" s="47">
        <f>IF(AND(B1608=Queue!$C$4,OR(Queue!$K$4="*",N1608=Queue!$K$4)),Q1608,"")</f>
        <v/>
      </c>
    </row>
    <row r="1609">
      <c r="A1609" s="38">
        <f>IF(M1609="","",HYPERLINK("https://www.youtube.com/watch?v="&amp;M1609,"▶"))</f>
        <v/>
      </c>
      <c r="B1609" s="39">
        <f>IF(C1609&lt;&gt;"",C1609,IF(P1609&lt;=IFERROR(INDEX(tblChannels[Watched Through],MATCH(N1609,tblChannels[Channel ID],0)),0),"Watched","Unwatched"))</f>
        <v/>
      </c>
      <c r="C1609" s="40" t="n"/>
      <c r="D1609" s="41" t="n"/>
      <c r="E1609" s="42" t="n">
        <v>44026.68125</v>
      </c>
      <c r="F1609" s="50" t="inlineStr">
        <is>
          <t>Super Carlin Brothers</t>
        </is>
      </c>
      <c r="G1609" t="inlineStr">
        <is>
          <t>Why The Fire Nation Killed The Dragons [Avatar Theory]</t>
        </is>
      </c>
      <c r="H1609" s="44" t="n">
        <v>0.0106712962962963</v>
      </c>
      <c r="I1609" s="45" t="n">
        <v>783423</v>
      </c>
      <c r="J1609" s="45" t="n">
        <v>40609</v>
      </c>
      <c r="K1609" s="45" t="n">
        <v>8664</v>
      </c>
      <c r="L1609" s="46" t="n"/>
      <c r="M1609" s="47" t="n"/>
      <c r="N1609" s="47" t="inlineStr">
        <is>
          <t>UCKZo4N0lVPccBkSiuyVh4yg</t>
        </is>
      </c>
      <c r="O1609" s="48" t="n">
        <v>44026.84791666667</v>
      </c>
      <c r="P1609" s="49" t="n">
        <v>44026</v>
      </c>
      <c r="Q1609" s="47" t="n">
        <v>1659</v>
      </c>
      <c r="R1609" s="47" t="inlineStr">
        <is>
          <t>No Video ID yet</t>
        </is>
      </c>
      <c r="S1609" s="49" t="n"/>
      <c r="T1609" s="49" t="n"/>
      <c r="U1609" s="47" t="inlineStr">
        <is>
          <t>Today J dives into a BRAND NEW Fandom and the wonderful world Avatar: The Last Airbender to try and find out why the Fire Nation destroyed all the Dragons! #SuperCarlinBrothers #AvatarTheLastAirbender</t>
        </is>
      </c>
      <c r="V1609" s="47">
        <f>IF(AND(P1609&gt;=Calendar!$K$2,P1609&lt;EDATE(Calendar!$K$2,1),OR(Calendar!$K$4="*",N1609=Calendar!$K$4)),P1609*100+COUNTIFS($P$6:$P$3267,P1609,$Q$6:$Q$3267,"&lt;="&amp;Q1609,$N$6:$N$3267,Calendar!$K$4),"")</f>
        <v/>
      </c>
      <c r="W1609" s="47">
        <f>IF(AND(B1609=Queue!$C$4,OR(Queue!$K$4="*",N1609=Queue!$K$4)),Q1609,"")</f>
        <v/>
      </c>
    </row>
    <row r="1610">
      <c r="A1610" s="38">
        <f>IF(M1610="","",HYPERLINK("https://www.youtube.com/watch?v="&amp;M1610,"▶"))</f>
        <v/>
      </c>
      <c r="B1610" s="39">
        <f>IF(C1610&lt;&gt;"",C1610,IF(P1610&lt;=IFERROR(INDEX(tblChannels[Watched Through],MATCH(N1610,tblChannels[Channel ID],0)),0),"Watched","Unwatched"))</f>
        <v/>
      </c>
      <c r="C1610" s="40" t="n"/>
      <c r="D1610" s="41" t="n"/>
      <c r="E1610" s="42" t="n">
        <v>44022.87847222222</v>
      </c>
      <c r="F1610" s="50" t="inlineStr">
        <is>
          <t>Super Carlin Brothers</t>
        </is>
      </c>
      <c r="G1610" t="inlineStr">
        <is>
          <t>ALL FANDOMS Trivia Night LIVE STREAM!</t>
        </is>
      </c>
      <c r="H1610" s="44" t="n">
        <v>0.1182175925925926</v>
      </c>
      <c r="I1610" s="45" t="n">
        <v>523285</v>
      </c>
      <c r="J1610" s="45" t="n">
        <v>3851</v>
      </c>
      <c r="K1610" s="45" t="n">
        <v>302</v>
      </c>
      <c r="L1610" s="46" t="n"/>
      <c r="M1610" s="47" t="n"/>
      <c r="N1610" s="47" t="inlineStr">
        <is>
          <t>UCKZo4N0lVPccBkSiuyVh4yg</t>
        </is>
      </c>
      <c r="O1610" s="48" t="n">
        <v>44023.04513888889</v>
      </c>
      <c r="P1610" s="49" t="n">
        <v>44022</v>
      </c>
      <c r="Q1610" s="47" t="n">
        <v>1658</v>
      </c>
      <c r="R1610" s="47" t="inlineStr">
        <is>
          <t>No Video ID yet</t>
        </is>
      </c>
      <c r="S1610" s="49" t="n"/>
      <c r="T1610" s="49" t="n"/>
      <c r="U1610" s="47" t="inlineStr">
        <is>
          <t>DO YOU HAVE WHAT IT TAKES TO BECOME THE CHAMPION OF ALL FIVE FANDOMS?! - Tonight we test your knowledge of Disney, Pixar, Marvel, Star Wars &amp; Harry Potter! Winners email: secretcarlinbrothers@gmail.com with a screenshot of your winning score! HOW TO PLAY Kahoot with the Carlins! 1. Download the Kahoot app to your mobile device, or go to Kahoot.it to join the game! 2. Make sure you’re running the SCB Livestream on a different device or a different window than Kahoot! (We recommend having Kahoot on your phone and the stream on a computer or TV, but two tabs/windows on the same computer works as well!) 3. Shortly before we start the game, SCB will announce the game PIN. Enter the pin into your Kahoot App or at Kahoot.it 4. Enter a nickname for yourself and join the game! 5. Points are awarded for accuracy and speed, so make sure your live stream is caught up! You can skip ahead in the video, or set your video speed to 2x to catch up! (To increase video speed, click the settings gear near the bottom right corner (computer) or the 3 dots at the top right (mobile), then click "playback speed" and select a higher speed to catch up!) 6. Follow along with the stream and answer the questions</t>
        </is>
      </c>
      <c r="V1610" s="47">
        <f>IF(AND(P1610&gt;=Calendar!$K$2,P1610&lt;EDATE(Calendar!$K$2,1),OR(Calendar!$K$4="*",N1610=Calendar!$K$4)),P1610*100+COUNTIFS($P$6:$P$3267,P1610,$Q$6:$Q$3267,"&lt;="&amp;Q1610,$N$6:$N$3267,Calendar!$K$4),"")</f>
        <v/>
      </c>
      <c r="W1610" s="47">
        <f>IF(AND(B1610=Queue!$C$4,OR(Queue!$K$4="*",N1610=Queue!$K$4)),Q1610,"")</f>
        <v/>
      </c>
    </row>
    <row r="1611">
      <c r="A1611" s="38">
        <f>IF(M1611="","",HYPERLINK("https://www.youtube.com/watch?v="&amp;M1611,"▶"))</f>
        <v/>
      </c>
      <c r="B1611" s="39">
        <f>IF(C1611&lt;&gt;"",C1611,IF(P1611&lt;=IFERROR(INDEX(tblChannels[Watched Through],MATCH(N1611,tblChannels[Channel ID],0)),0),"Watched","Unwatched"))</f>
        <v/>
      </c>
      <c r="C1611" s="40" t="n"/>
      <c r="D1611" s="41" t="n"/>
      <c r="E1611" s="42" t="n">
        <v>44021.81319444445</v>
      </c>
      <c r="F1611" s="50" t="inlineStr">
        <is>
          <t>Super Carlin Brothers</t>
        </is>
      </c>
      <c r="G1611" t="inlineStr">
        <is>
          <t>J vs Ben: The HARDEST Death Eater Trivia Quiz EVER [Harry Potter Trivia]</t>
        </is>
      </c>
      <c r="H1611" s="44" t="n">
        <v>0.01480324074074074</v>
      </c>
      <c r="I1611" s="45" t="n">
        <v>474563</v>
      </c>
      <c r="J1611" s="45" t="n">
        <v>14421</v>
      </c>
      <c r="K1611" s="45" t="n">
        <v>1362</v>
      </c>
      <c r="L1611" s="46" t="n"/>
      <c r="M1611" s="47" t="n"/>
      <c r="N1611" s="47" t="inlineStr">
        <is>
          <t>UCKZo4N0lVPccBkSiuyVh4yg</t>
        </is>
      </c>
      <c r="O1611" s="48" t="n">
        <v>44021.97986111111</v>
      </c>
      <c r="P1611" s="49" t="n">
        <v>44021</v>
      </c>
      <c r="Q1611" s="47" t="n">
        <v>1657</v>
      </c>
      <c r="R1611" s="47" t="inlineStr">
        <is>
          <t>No Video ID yet</t>
        </is>
      </c>
      <c r="S1611" s="49" t="n"/>
      <c r="T1611" s="49" t="n"/>
      <c r="U1611" s="47" t="inlineStr">
        <is>
          <t>Use Code “SCB” for 10% off your order of Ridge Wallets Today J and Ben face off in the Ultimate Death Eater quiz to find out who knows Harry Potter’s most evil group of supporters the best! Press your dark mark and lets begin!! (actually don’t though.. That will summon a very bad being to your location..)</t>
        </is>
      </c>
      <c r="V1611" s="47">
        <f>IF(AND(P1611&gt;=Calendar!$K$2,P1611&lt;EDATE(Calendar!$K$2,1),OR(Calendar!$K$4="*",N1611=Calendar!$K$4)),P1611*100+COUNTIFS($P$6:$P$3267,P1611,$Q$6:$Q$3267,"&lt;="&amp;Q1611,$N$6:$N$3267,Calendar!$K$4),"")</f>
        <v/>
      </c>
      <c r="W1611" s="47">
        <f>IF(AND(B1611=Queue!$C$4,OR(Queue!$K$4="*",N1611=Queue!$K$4)),Q1611,"")</f>
        <v/>
      </c>
    </row>
    <row r="1612">
      <c r="A1612" s="38">
        <f>IF(M1612="","",HYPERLINK("https://www.youtube.com/watch?v="&amp;M1612,"▶"))</f>
        <v/>
      </c>
      <c r="B1612" s="39">
        <f>IF(C1612&lt;&gt;"",C1612,IF(P1612&lt;=IFERROR(INDEX(tblChannels[Watched Through],MATCH(N1612,tblChannels[Channel ID],0)),0),"Watched","Unwatched"))</f>
        <v/>
      </c>
      <c r="C1612" s="40" t="n"/>
      <c r="D1612" s="41" t="n"/>
      <c r="E1612" s="42" t="n">
        <v>44019.67916666667</v>
      </c>
      <c r="F1612" s="50" t="inlineStr">
        <is>
          <t>Super Carlin Brothers</t>
        </is>
      </c>
      <c r="G1612" t="inlineStr">
        <is>
          <t>The Truth About Disney’s Splash Mountain</t>
        </is>
      </c>
      <c r="H1612" s="44" t="n">
        <v>0.00832175925925926</v>
      </c>
      <c r="I1612" s="45" t="n">
        <v>263540</v>
      </c>
      <c r="J1612" s="45" t="n">
        <v>13446</v>
      </c>
      <c r="K1612" s="45" t="n">
        <v>2365</v>
      </c>
      <c r="L1612" s="46" t="n"/>
      <c r="M1612" s="47" t="n"/>
      <c r="N1612" s="47" t="inlineStr">
        <is>
          <t>UCKZo4N0lVPccBkSiuyVh4yg</t>
        </is>
      </c>
      <c r="O1612" s="48" t="n">
        <v>44019.84583333333</v>
      </c>
      <c r="P1612" s="49" t="n">
        <v>44019</v>
      </c>
      <c r="Q1612" s="47" t="n">
        <v>1656</v>
      </c>
      <c r="R1612" s="47" t="inlineStr">
        <is>
          <t>No Video ID yet</t>
        </is>
      </c>
      <c r="S1612" s="49" t="n"/>
      <c r="T1612" s="49" t="n"/>
      <c r="U1612" s="47" t="inlineStr">
        <is>
          <t>Today J dives into the Happiest Places on Earth, Disney World and Disneyland to discusses the history and future of Splash Mountain and its newly announced facelift to become a Princess and the Frog themed ride! #SuperCarlinBrothers #Disney #DisneyWorld</t>
        </is>
      </c>
      <c r="V1612" s="47">
        <f>IF(AND(P1612&gt;=Calendar!$K$2,P1612&lt;EDATE(Calendar!$K$2,1),OR(Calendar!$K$4="*",N1612=Calendar!$K$4)),P1612*100+COUNTIFS($P$6:$P$3267,P1612,$Q$6:$Q$3267,"&lt;="&amp;Q1612,$N$6:$N$3267,Calendar!$K$4),"")</f>
        <v/>
      </c>
      <c r="W1612" s="47">
        <f>IF(AND(B1612=Queue!$C$4,OR(Queue!$K$4="*",N1612=Queue!$K$4)),Q1612,"")</f>
        <v/>
      </c>
    </row>
    <row r="1613">
      <c r="A1613" s="38">
        <f>IF(M1613="","",HYPERLINK("https://www.youtube.com/watch?v="&amp;M1613,"▶"))</f>
        <v/>
      </c>
      <c r="B1613" s="39">
        <f>IF(C1613&lt;&gt;"",C1613,IF(P1613&lt;=IFERROR(INDEX(tblChannels[Watched Through],MATCH(N1613,tblChannels[Channel ID],0)),0),"Watched","Unwatched"))</f>
        <v/>
      </c>
      <c r="C1613" s="40" t="n"/>
      <c r="D1613" s="41" t="n"/>
      <c r="E1613" s="42" t="n">
        <v>44014.79861111111</v>
      </c>
      <c r="F1613" s="50" t="inlineStr">
        <is>
          <t>Super Carlin Brothers</t>
        </is>
      </c>
      <c r="G1613" t="inlineStr">
        <is>
          <t>Why Harry &amp; Hermione Should Be Together [Harry Potter Theory]</t>
        </is>
      </c>
      <c r="H1613" s="44" t="n">
        <v>0.01203703703703704</v>
      </c>
      <c r="I1613" s="45" t="n">
        <v>958742</v>
      </c>
      <c r="J1613" s="45" t="n">
        <v>36346</v>
      </c>
      <c r="K1613" s="45" t="n">
        <v>8491</v>
      </c>
      <c r="L1613" s="46" t="n"/>
      <c r="M1613" s="47" t="n"/>
      <c r="N1613" s="47" t="inlineStr">
        <is>
          <t>UCKZo4N0lVPccBkSiuyVh4yg</t>
        </is>
      </c>
      <c r="O1613" s="48" t="n">
        <v>44014.96527777778</v>
      </c>
      <c r="P1613" s="49" t="n">
        <v>44014</v>
      </c>
      <c r="Q1613" s="47" t="n">
        <v>1655</v>
      </c>
      <c r="R1613" s="47" t="inlineStr">
        <is>
          <t>No Video ID yet</t>
        </is>
      </c>
      <c r="S1613" s="49" t="n"/>
      <c r="T1613" s="49" t="n"/>
      <c r="U1613" s="47" t="inlineStr">
        <is>
          <t>Get started with Candid today and get $75 dollars off by going to Today Ben dives into the Wizarding World of Harry Potter to discuss why the always awesome but never romantic friendship between Harry and Hermione.</t>
        </is>
      </c>
      <c r="V1613" s="47">
        <f>IF(AND(P1613&gt;=Calendar!$K$2,P1613&lt;EDATE(Calendar!$K$2,1),OR(Calendar!$K$4="*",N1613=Calendar!$K$4)),P1613*100+COUNTIFS($P$6:$P$3267,P1613,$Q$6:$Q$3267,"&lt;="&amp;Q1613,$N$6:$N$3267,Calendar!$K$4),"")</f>
        <v/>
      </c>
      <c r="W1613" s="47">
        <f>IF(AND(B1613=Queue!$C$4,OR(Queue!$K$4="*",N1613=Queue!$K$4)),Q1613,"")</f>
        <v/>
      </c>
    </row>
    <row r="1614">
      <c r="A1614" s="38">
        <f>IF(M1614="","",HYPERLINK("https://www.youtube.com/watch?v="&amp;M1614,"▶"))</f>
        <v/>
      </c>
      <c r="B1614" s="39">
        <f>IF(C1614&lt;&gt;"",C1614,IF(P1614&lt;=IFERROR(INDEX(tblChannels[Watched Through],MATCH(N1614,tblChannels[Channel ID],0)),0),"Watched","Unwatched"))</f>
        <v/>
      </c>
      <c r="C1614" s="40" t="n"/>
      <c r="D1614" s="41" t="n"/>
      <c r="E1614" s="42" t="n">
        <v>44012.71180555555</v>
      </c>
      <c r="F1614" s="50" t="inlineStr">
        <is>
          <t>Super Carlin Brothers</t>
        </is>
      </c>
      <c r="G1614" t="inlineStr">
        <is>
          <t>Did Yzma Kill Kuzco’s Parents? [Disney Theory]</t>
        </is>
      </c>
      <c r="H1614" s="44" t="n">
        <v>0.009409722222222222</v>
      </c>
      <c r="I1614" s="45" t="n">
        <v>437350</v>
      </c>
      <c r="J1614" s="45" t="n">
        <v>19927</v>
      </c>
      <c r="K1614" s="45" t="n">
        <v>1904</v>
      </c>
      <c r="L1614" s="46" t="n"/>
      <c r="M1614" s="47" t="n"/>
      <c r="N1614" s="47" t="inlineStr">
        <is>
          <t>UCKZo4N0lVPccBkSiuyVh4yg</t>
        </is>
      </c>
      <c r="O1614" s="48" t="n">
        <v>44012.87847222222</v>
      </c>
      <c r="P1614" s="49" t="n">
        <v>44012</v>
      </c>
      <c r="Q1614" s="47" t="n">
        <v>1654</v>
      </c>
      <c r="R1614" s="47" t="inlineStr">
        <is>
          <t>No Video ID yet</t>
        </is>
      </c>
      <c r="S1614" s="49" t="n"/>
      <c r="T1614" s="49" t="n"/>
      <c r="U1614" s="47" t="inlineStr">
        <is>
          <t>Today J dives into the hilarious world of The Emperor’s New Groove to try and figure out HOW Kuzco ended up parentless and if the villainous Yzma had anything to do with it! This theory was inspired by this lovely post on reddit :: #SuperCarlinBrothers #Disney</t>
        </is>
      </c>
      <c r="V1614" s="47">
        <f>IF(AND(P1614&gt;=Calendar!$K$2,P1614&lt;EDATE(Calendar!$K$2,1),OR(Calendar!$K$4="*",N1614=Calendar!$K$4)),P1614*100+COUNTIFS($P$6:$P$3267,P1614,$Q$6:$Q$3267,"&lt;="&amp;Q1614,$N$6:$N$3267,Calendar!$K$4),"")</f>
        <v/>
      </c>
      <c r="W1614" s="47">
        <f>IF(AND(B1614=Queue!$C$4,OR(Queue!$K$4="*",N1614=Queue!$K$4)),Q1614,"")</f>
        <v/>
      </c>
    </row>
    <row r="1615">
      <c r="A1615" s="38">
        <f>IF(M1615="","",HYPERLINK("https://www.youtube.com/watch?v="&amp;M1615,"▶"))</f>
        <v/>
      </c>
      <c r="B1615" s="39">
        <f>IF(C1615&lt;&gt;"",C1615,IF(P1615&lt;=IFERROR(INDEX(tblChannels[Watched Through],MATCH(N1615,tblChannels[Channel ID],0)),0),"Watched","Unwatched"))</f>
        <v/>
      </c>
      <c r="C1615" s="40" t="n"/>
      <c r="D1615" s="41" t="n"/>
      <c r="E1615" s="42" t="n">
        <v>44011.61180555556</v>
      </c>
      <c r="F1615" s="43" t="inlineStr">
        <is>
          <t>Popcorn Culture</t>
        </is>
      </c>
      <c r="G1615" t="inlineStr">
        <is>
          <t>29 - Duck in a Cup</t>
        </is>
      </c>
      <c r="H1615" s="44" t="n">
        <v>0.04722222222222222</v>
      </c>
      <c r="I1615" s="45" t="n">
        <v>4944</v>
      </c>
      <c r="J1615" s="45" t="n">
        <v>219</v>
      </c>
      <c r="K1615" s="45" t="n">
        <v>54</v>
      </c>
      <c r="L1615" s="46" t="n"/>
      <c r="M1615" s="47" t="n"/>
      <c r="N1615" s="47" t="inlineStr">
        <is>
          <t>UCHfIbq9thHPC8yrKjAdJgDA</t>
        </is>
      </c>
      <c r="O1615" s="48" t="n">
        <v>44011.77847222222</v>
      </c>
      <c r="P1615" s="49" t="n">
        <v>44011</v>
      </c>
      <c r="Q1615" s="47" t="n">
        <v>1653</v>
      </c>
      <c r="R1615" s="47" t="inlineStr">
        <is>
          <t>No Video ID yet</t>
        </is>
      </c>
      <c r="S1615" s="49" t="n"/>
      <c r="T1615" s="49" t="n"/>
      <c r="U1615" s="47" t="inlineStr">
        <is>
          <t>Ben and J discuss: branding and product placement, tech problems, text-iquette, professional writing classes, buying anticipation, lightbulbs, purchase history, and smoothies. Data is Beautiful Most Used Websites: J’s List: Light bulbs: Bose Speakers: Sunglasses Holder: Rubber Bands: Rubber Ducks: Ben’s List: Matches: Blender:</t>
        </is>
      </c>
      <c r="V1615" s="47">
        <f>IF(AND(P1615&gt;=Calendar!$K$2,P1615&lt;EDATE(Calendar!$K$2,1),OR(Calendar!$K$4="*",N1615=Calendar!$K$4)),P1615*100+COUNTIFS($P$6:$P$3267,P1615,$Q$6:$Q$3267,"&lt;="&amp;Q1615,$N$6:$N$3267,Calendar!$K$4),"")</f>
        <v/>
      </c>
      <c r="W1615" s="47">
        <f>IF(AND(B1615=Queue!$C$4,OR(Queue!$K$4="*",N1615=Queue!$K$4)),Q1615,"")</f>
        <v/>
      </c>
    </row>
    <row r="1616">
      <c r="A1616" s="38">
        <f>IF(M1616="","",HYPERLINK("https://www.youtube.com/watch?v="&amp;M1616,"▶"))</f>
        <v/>
      </c>
      <c r="B1616" s="39">
        <f>IF(C1616&lt;&gt;"",C1616,IF(P1616&lt;=IFERROR(INDEX(tblChannels[Watched Through],MATCH(N1616,tblChannels[Channel ID],0)),0),"Watched","Unwatched"))</f>
        <v/>
      </c>
      <c r="C1616" s="40" t="n"/>
      <c r="D1616" s="41" t="n"/>
      <c r="E1616" s="42" t="n">
        <v>44008.86875</v>
      </c>
      <c r="F1616" s="50" t="inlineStr">
        <is>
          <t>Super Carlin Brothers</t>
        </is>
      </c>
      <c r="G1616" t="inlineStr">
        <is>
          <t>Our thoughts on JK Rowling &amp; Harry Potter Trivia Night LIVE STREAM!</t>
        </is>
      </c>
      <c r="H1616" s="44" t="n">
        <v>0.1048726851851852</v>
      </c>
      <c r="I1616" s="45" t="n">
        <v>291777</v>
      </c>
      <c r="J1616" s="45" t="n">
        <v>3525</v>
      </c>
      <c r="K1616" s="45" t="n">
        <v>433</v>
      </c>
      <c r="L1616" s="46" t="n"/>
      <c r="M1616" s="47" t="n"/>
      <c r="N1616" s="47" t="inlineStr">
        <is>
          <t>UCKZo4N0lVPccBkSiuyVh4yg</t>
        </is>
      </c>
      <c r="O1616" s="48" t="n">
        <v>44009.03541666667</v>
      </c>
      <c r="P1616" s="49" t="n">
        <v>44008</v>
      </c>
      <c r="Q1616" s="47" t="n">
        <v>1652</v>
      </c>
      <c r="R1616" s="47" t="inlineStr">
        <is>
          <t>No Video ID yet</t>
        </is>
      </c>
      <c r="S1616" s="49" t="n"/>
      <c r="T1616" s="49" t="n"/>
      <c r="U1616" s="47" t="inlineStr">
        <is>
          <t>I ⚡️HP Theory Shirts :: Proceeds to benefit The Trevor Project Winners email: secretcarlinbrothers@gmail.com Scroll down for instructions on how to play along! Create the Change Shirts ►► Carlin Brothers Candles ►► HOW TO PLAY Kahoot with the Carlins! 1. Download the Kahoot app to your mobile device, or go to Kahoot.it to join the game! 2. Make sure you’re running the SCB Livestream on a different device or a different window than Kahoot! (We recommend having Kahoot on your phone and the stream on a computer or TV, but two tabs/windows on the same computer works as well!) 3. Shortly before we start the game, SCB will announce the game PIN. Enter the pin into your Kahoot App or at Kahoot.it 4. Enter a nickname for yourself and join the game! 5. Points are awarded for accuracy and speed, so make sure your live stream is caught up! You can skip ahead in the video, or set your video speed to 2x to catch up! (To increase video speed, click the settings gear near the bottom right corner (computer) or the 3 dots at the top right (mobile), then click "playback speed" and select a higher speed to catch up!) 6. Follow along with the stream and answer the questions as they appear in the strea</t>
        </is>
      </c>
      <c r="V1616" s="47">
        <f>IF(AND(P1616&gt;=Calendar!$K$2,P1616&lt;EDATE(Calendar!$K$2,1),OR(Calendar!$K$4="*",N1616=Calendar!$K$4)),P1616*100+COUNTIFS($P$6:$P$3267,P1616,$Q$6:$Q$3267,"&lt;="&amp;Q1616,$N$6:$N$3267,Calendar!$K$4),"")</f>
        <v/>
      </c>
      <c r="W1616" s="47">
        <f>IF(AND(B1616=Queue!$C$4,OR(Queue!$K$4="*",N1616=Queue!$K$4)),Q1616,"")</f>
        <v/>
      </c>
    </row>
    <row r="1617">
      <c r="A1617" s="38">
        <f>IF(M1617="","",HYPERLINK("https://www.youtube.com/watch?v="&amp;M1617,"▶"))</f>
        <v/>
      </c>
      <c r="B1617" s="39">
        <f>IF(C1617&lt;&gt;"",C1617,IF(P1617&lt;=IFERROR(INDEX(tblChannels[Watched Through],MATCH(N1617,tblChannels[Channel ID],0)),0),"Watched","Unwatched"))</f>
        <v/>
      </c>
      <c r="C1617" s="40" t="n"/>
      <c r="D1617" s="41" t="n"/>
      <c r="E1617" s="42" t="n">
        <v>44007.81388888889</v>
      </c>
      <c r="F1617" s="50" t="inlineStr">
        <is>
          <t>Super Carlin Brothers</t>
        </is>
      </c>
      <c r="G1617" t="inlineStr">
        <is>
          <t>J vs Ben: ULTIMATE Malfoy Family Trivia Quiz [Harry Potter Trivia]</t>
        </is>
      </c>
      <c r="H1617" s="44" t="n">
        <v>0.01341435185185185</v>
      </c>
      <c r="I1617" s="45" t="n">
        <v>180297</v>
      </c>
      <c r="J1617" s="45" t="n">
        <v>8429</v>
      </c>
      <c r="K1617" s="45" t="n">
        <v>1457</v>
      </c>
      <c r="L1617" s="46" t="n"/>
      <c r="M1617" s="47" t="n"/>
      <c r="N1617" s="47" t="inlineStr">
        <is>
          <t>UCKZo4N0lVPccBkSiuyVh4yg</t>
        </is>
      </c>
      <c r="O1617" s="48" t="n">
        <v>44007.98055555556</v>
      </c>
      <c r="P1617" s="49" t="n">
        <v>44007</v>
      </c>
      <c r="Q1617" s="47" t="n">
        <v>1651</v>
      </c>
      <c r="R1617" s="47" t="inlineStr">
        <is>
          <t>No Video ID yet</t>
        </is>
      </c>
      <c r="S1617" s="49" t="n"/>
      <c r="T1617" s="49" t="n"/>
      <c r="U1617" s="47" t="inlineStr">
        <is>
          <t>Today J and Ben face off once more to determine who knows the most about the blondest family around: The Malfoys!</t>
        </is>
      </c>
      <c r="V1617" s="47">
        <f>IF(AND(P1617&gt;=Calendar!$K$2,P1617&lt;EDATE(Calendar!$K$2,1),OR(Calendar!$K$4="*",N1617=Calendar!$K$4)),P1617*100+COUNTIFS($P$6:$P$3267,P1617,$Q$6:$Q$3267,"&lt;="&amp;Q1617,$N$6:$N$3267,Calendar!$K$4),"")</f>
        <v/>
      </c>
      <c r="W1617" s="47">
        <f>IF(AND(B1617=Queue!$C$4,OR(Queue!$K$4="*",N1617=Queue!$K$4)),Q1617,"")</f>
        <v/>
      </c>
    </row>
    <row r="1618">
      <c r="A1618" s="38">
        <f>IF(M1618="","",HYPERLINK("https://www.youtube.com/watch?v="&amp;M1618,"▶"))</f>
        <v/>
      </c>
      <c r="B1618" s="39">
        <f>IF(C1618&lt;&gt;"",C1618,IF(P1618&lt;=IFERROR(INDEX(tblChannels[Watched Through],MATCH(N1618,tblChannels[Channel ID],0)),0),"Watched","Unwatched"))</f>
        <v/>
      </c>
      <c r="C1618" s="40" t="n"/>
      <c r="D1618" s="41" t="n"/>
      <c r="E1618" s="42" t="n">
        <v>44005.66666666666</v>
      </c>
      <c r="F1618" s="50" t="inlineStr">
        <is>
          <t>Super Carlin Brothers</t>
        </is>
      </c>
      <c r="G1618" t="inlineStr">
        <is>
          <t>Tina Is Master Of The Elder Wand [Harry Potter Theory]</t>
        </is>
      </c>
      <c r="H1618" s="44" t="n">
        <v>0.009456018518518518</v>
      </c>
      <c r="I1618" s="45" t="n">
        <v>318668</v>
      </c>
      <c r="J1618" s="45" t="n">
        <v>13199</v>
      </c>
      <c r="K1618" s="45" t="n">
        <v>2223</v>
      </c>
      <c r="L1618" s="46" t="n"/>
      <c r="M1618" s="47" t="n"/>
      <c r="N1618" s="47" t="inlineStr">
        <is>
          <t>UCKZo4N0lVPccBkSiuyVh4yg</t>
        </is>
      </c>
      <c r="O1618" s="48" t="n">
        <v>44005.83333333334</v>
      </c>
      <c r="P1618" s="49" t="n">
        <v>44005</v>
      </c>
      <c r="Q1618" s="47" t="n">
        <v>1650</v>
      </c>
      <c r="R1618" s="47" t="inlineStr">
        <is>
          <t>No Video ID yet</t>
        </is>
      </c>
      <c r="S1618" s="49" t="n"/>
      <c r="T1618" s="49" t="n"/>
      <c r="U1618" s="47" t="inlineStr">
        <is>
          <t>Thanks again to Vincero for sponsoring today's video! Get 20% off your order SITE WIDE with free Worldwide shipping! Today J dives into the wizarding world of Harry Potter to discuss a long suggested theory: Is Tina Goldstein the master of the Elder Wand? She does disarm Grindelwald.. But not with the disarming spell.. hmm?</t>
        </is>
      </c>
      <c r="V1618" s="47">
        <f>IF(AND(P1618&gt;=Calendar!$K$2,P1618&lt;EDATE(Calendar!$K$2,1),OR(Calendar!$K$4="*",N1618=Calendar!$K$4)),P1618*100+COUNTIFS($P$6:$P$3267,P1618,$Q$6:$Q$3267,"&lt;="&amp;Q1618,$N$6:$N$3267,Calendar!$K$4),"")</f>
        <v/>
      </c>
      <c r="W1618" s="47">
        <f>IF(AND(B1618=Queue!$C$4,OR(Queue!$K$4="*",N1618=Queue!$K$4)),Q1618,"")</f>
        <v/>
      </c>
    </row>
    <row r="1619">
      <c r="A1619" s="38">
        <f>IF(M1619="","",HYPERLINK("https://www.youtube.com/watch?v="&amp;M1619,"▶"))</f>
        <v/>
      </c>
      <c r="B1619" s="39">
        <f>IF(C1619&lt;&gt;"",C1619,IF(P1619&lt;=IFERROR(INDEX(tblChannels[Watched Through],MATCH(N1619,tblChannels[Channel ID],0)),0),"Watched","Unwatched"))</f>
        <v/>
      </c>
      <c r="C1619" s="40" t="n"/>
      <c r="D1619" s="41" t="n"/>
      <c r="E1619" s="42" t="n">
        <v>44001.25</v>
      </c>
      <c r="F1619" s="43" t="inlineStr">
        <is>
          <t>Popcorn Culture</t>
        </is>
      </c>
      <c r="G1619" t="inlineStr">
        <is>
          <t>28 - Is Everyone Let Down by Their Sports Teams?</t>
        </is>
      </c>
      <c r="H1619" s="44" t="n">
        <v>0.04542824074074074</v>
      </c>
      <c r="I1619" s="45" t="n">
        <v>4286</v>
      </c>
      <c r="J1619" s="45" t="n">
        <v>199</v>
      </c>
      <c r="K1619" s="45" t="n">
        <v>28</v>
      </c>
      <c r="L1619" s="46" t="n"/>
      <c r="M1619" s="47" t="n"/>
      <c r="N1619" s="47" t="inlineStr">
        <is>
          <t>UCHfIbq9thHPC8yrKjAdJgDA</t>
        </is>
      </c>
      <c r="O1619" s="48" t="n">
        <v>44001.41666666666</v>
      </c>
      <c r="P1619" s="49" t="n">
        <v>44001</v>
      </c>
      <c r="Q1619" s="47" t="n">
        <v>1649</v>
      </c>
      <c r="R1619" s="47" t="inlineStr">
        <is>
          <t>No Video ID yet</t>
        </is>
      </c>
      <c r="S1619" s="49" t="n"/>
      <c r="T1619" s="49" t="n"/>
      <c r="U1619" s="47" t="inlineStr">
        <is>
          <t>Ben and J discuss: soccer, basketball, being a sports fan, being let down as a sports fan, 30 Tips to Improve Yourself, waking up early, having confidence, and powerful music. 30 Tips to Improve Yourself: Nokia Phones Still Exist (Not Sponsored): What is Blood Doping: How long can you leave out milk?: Zombie Version 1: Zombie Version 2:</t>
        </is>
      </c>
      <c r="V1619" s="47">
        <f>IF(AND(P1619&gt;=Calendar!$K$2,P1619&lt;EDATE(Calendar!$K$2,1),OR(Calendar!$K$4="*",N1619=Calendar!$K$4)),P1619*100+COUNTIFS($P$6:$P$3267,P1619,$Q$6:$Q$3267,"&lt;="&amp;Q1619,$N$6:$N$3267,Calendar!$K$4),"")</f>
        <v/>
      </c>
      <c r="W1619" s="47">
        <f>IF(AND(B1619=Queue!$C$4,OR(Queue!$K$4="*",N1619=Queue!$K$4)),Q1619,"")</f>
        <v/>
      </c>
    </row>
    <row r="1620">
      <c r="A1620" s="38">
        <f>IF(M1620="","",HYPERLINK("https://www.youtube.com/watch?v="&amp;M1620,"▶"))</f>
        <v/>
      </c>
      <c r="B1620" s="39">
        <f>IF(C1620&lt;&gt;"",C1620,IF(P1620&lt;=IFERROR(INDEX(tblChannels[Watched Through],MATCH(N1620,tblChannels[Channel ID],0)),0),"Watched","Unwatched"))</f>
        <v/>
      </c>
      <c r="C1620" s="40" t="n"/>
      <c r="D1620" s="41" t="n"/>
      <c r="E1620" s="42" t="n">
        <v>44000.79930555556</v>
      </c>
      <c r="F1620" s="50" t="inlineStr">
        <is>
          <t>Super Carlin Brothers</t>
        </is>
      </c>
      <c r="G1620" t="inlineStr">
        <is>
          <t>Why Neville is ACTUALLY a Samurai [Harry Potter Theory]</t>
        </is>
      </c>
      <c r="H1620" s="44" t="n">
        <v>0.01159722222222222</v>
      </c>
      <c r="I1620" s="45" t="n">
        <v>359949</v>
      </c>
      <c r="J1620" s="45" t="n">
        <v>15305</v>
      </c>
      <c r="K1620" s="45" t="n">
        <v>2153</v>
      </c>
      <c r="L1620" s="46" t="n"/>
      <c r="M1620" s="47" t="n"/>
      <c r="N1620" s="47" t="inlineStr">
        <is>
          <t>UCKZo4N0lVPccBkSiuyVh4yg</t>
        </is>
      </c>
      <c r="O1620" s="48" t="n">
        <v>44000.96597222222</v>
      </c>
      <c r="P1620" s="49" t="n">
        <v>44000</v>
      </c>
      <c r="Q1620" s="47" t="n">
        <v>1648</v>
      </c>
      <c r="R1620" s="47" t="inlineStr">
        <is>
          <t>No Video ID yet</t>
        </is>
      </c>
      <c r="S1620" s="49" t="n"/>
      <c r="T1620" s="49" t="n"/>
      <c r="U1620" s="47" t="inlineStr">
        <is>
          <t>Get 20% off your first monthly box when you sign up at and enter the code ‘SUPER’ at checkout. Today Ben dives into the Wizarding World of Harry Potter to discuss everyone’s favorite Gryffindor: Neville Longbottom and tries to figure out his original wand core and wood PLUS why his second wand of Cherry and Unicorn actually makes him a SAMURAI!</t>
        </is>
      </c>
      <c r="V1620" s="47">
        <f>IF(AND(P1620&gt;=Calendar!$K$2,P1620&lt;EDATE(Calendar!$K$2,1),OR(Calendar!$K$4="*",N1620=Calendar!$K$4)),P1620*100+COUNTIFS($P$6:$P$3267,P1620,$Q$6:$Q$3267,"&lt;="&amp;Q1620,$N$6:$N$3267,Calendar!$K$4),"")</f>
        <v/>
      </c>
      <c r="W1620" s="47">
        <f>IF(AND(B1620=Queue!$C$4,OR(Queue!$K$4="*",N1620=Queue!$K$4)),Q1620,"")</f>
        <v/>
      </c>
    </row>
    <row r="1621">
      <c r="A1621" s="38">
        <f>IF(M1621="","",HYPERLINK("https://www.youtube.com/watch?v="&amp;M1621,"▶"))</f>
        <v/>
      </c>
      <c r="B1621" s="39">
        <f>IF(C1621&lt;&gt;"",C1621,IF(P1621&lt;=IFERROR(INDEX(tblChannels[Watched Through],MATCH(N1621,tblChannels[Channel ID],0)),0),"Watched","Unwatched"))</f>
        <v/>
      </c>
      <c r="C1621" s="40" t="n"/>
      <c r="D1621" s="41" t="n"/>
      <c r="E1621" s="42" t="n">
        <v>43999.25</v>
      </c>
      <c r="F1621" s="43" t="inlineStr">
        <is>
          <t>Popcorn Culture</t>
        </is>
      </c>
      <c r="G1621" t="inlineStr">
        <is>
          <t>27 - Send some love to the Caffeinator</t>
        </is>
      </c>
      <c r="H1621" s="44" t="n">
        <v>0.0424537037037037</v>
      </c>
      <c r="I1621" s="45" t="n">
        <v>3822</v>
      </c>
      <c r="J1621" s="45" t="n">
        <v>184</v>
      </c>
      <c r="K1621" s="45" t="n">
        <v>47</v>
      </c>
      <c r="L1621" s="46" t="n"/>
      <c r="M1621" s="47" t="n"/>
      <c r="N1621" s="47" t="inlineStr">
        <is>
          <t>UCHfIbq9thHPC8yrKjAdJgDA</t>
        </is>
      </c>
      <c r="O1621" s="48" t="n">
        <v>43999.41666666666</v>
      </c>
      <c r="P1621" s="49" t="n">
        <v>43999</v>
      </c>
      <c r="Q1621" s="47" t="n">
        <v>1647</v>
      </c>
      <c r="R1621" s="47" t="inlineStr">
        <is>
          <t>No Video ID yet</t>
        </is>
      </c>
      <c r="S1621" s="49" t="n"/>
      <c r="T1621" s="49" t="n"/>
      <c r="U1621" s="47" t="inlineStr">
        <is>
          <t>Ben and J discuss: pasta names, baby food, vacation snacks, Survivor, travel anxiety, how to say hello to cool people, “The Caffeinator”, how to blow your nose, cleaning up after your dogs, and composting. Pasta Types: Baby Led Weaning: Pecan Crusted Tilapia Recipe: The Caffeinator: Roomba Disaster:</t>
        </is>
      </c>
      <c r="V1621" s="47">
        <f>IF(AND(P1621&gt;=Calendar!$K$2,P1621&lt;EDATE(Calendar!$K$2,1),OR(Calendar!$K$4="*",N1621=Calendar!$K$4)),P1621*100+COUNTIFS($P$6:$P$3267,P1621,$Q$6:$Q$3267,"&lt;="&amp;Q1621,$N$6:$N$3267,Calendar!$K$4),"")</f>
        <v/>
      </c>
      <c r="W1621" s="47">
        <f>IF(AND(B1621=Queue!$C$4,OR(Queue!$K$4="*",N1621=Queue!$K$4)),Q1621,"")</f>
        <v/>
      </c>
    </row>
    <row r="1622">
      <c r="A1622" s="38">
        <f>IF(M1622="","",HYPERLINK("https://www.youtube.com/watch?v="&amp;M1622,"▶"))</f>
        <v/>
      </c>
      <c r="B1622" s="39">
        <f>IF(C1622&lt;&gt;"",C1622,IF(P1622&lt;=IFERROR(INDEX(tblChannels[Watched Through],MATCH(N1622,tblChannels[Channel ID],0)),0),"Watched","Unwatched"))</f>
        <v/>
      </c>
      <c r="C1622" s="40" t="n"/>
      <c r="D1622" s="41" t="n"/>
      <c r="E1622" s="42" t="n">
        <v>43998.85</v>
      </c>
      <c r="F1622" s="50" t="inlineStr">
        <is>
          <t>Super Carlin Brothers</t>
        </is>
      </c>
      <c r="G1622" t="inlineStr">
        <is>
          <t>The Knight Bus's BIG SECRET [Harry Potter Theory]</t>
        </is>
      </c>
      <c r="H1622" s="44" t="n">
        <v>0.008506944444444444</v>
      </c>
      <c r="I1622" s="45" t="n">
        <v>624970</v>
      </c>
      <c r="J1622" s="45" t="n">
        <v>26258</v>
      </c>
      <c r="K1622" s="45" t="n">
        <v>2927</v>
      </c>
      <c r="L1622" s="46" t="n"/>
      <c r="M1622" s="47" t="n"/>
      <c r="N1622" s="47" t="inlineStr">
        <is>
          <t>UCKZo4N0lVPccBkSiuyVh4yg</t>
        </is>
      </c>
      <c r="O1622" s="48" t="n">
        <v>43999.01666666667</v>
      </c>
      <c r="P1622" s="49" t="n">
        <v>43998</v>
      </c>
      <c r="Q1622" s="47" t="n">
        <v>1646</v>
      </c>
      <c r="R1622" s="47" t="inlineStr">
        <is>
          <t>No Video ID yet</t>
        </is>
      </c>
      <c r="S1622" s="49" t="n"/>
      <c r="T1622" s="49" t="n"/>
      <c r="U1622" s="47" t="inlineStr">
        <is>
          <t>Shiny Animal Shirts ►► Today J dives into the Wizarding World of Harry Potter to discuss the TRUTH about the Knight Bus and reveal its BIG Secret! #ChooFellOverFor</t>
        </is>
      </c>
      <c r="V1622" s="47">
        <f>IF(AND(P1622&gt;=Calendar!$K$2,P1622&lt;EDATE(Calendar!$K$2,1),OR(Calendar!$K$4="*",N1622=Calendar!$K$4)),P1622*100+COUNTIFS($P$6:$P$3267,P1622,$Q$6:$Q$3267,"&lt;="&amp;Q1622,$N$6:$N$3267,Calendar!$K$4),"")</f>
        <v/>
      </c>
      <c r="W1622" s="47">
        <f>IF(AND(B1622=Queue!$C$4,OR(Queue!$K$4="*",N1622=Queue!$K$4)),Q1622,"")</f>
        <v/>
      </c>
    </row>
    <row r="1623">
      <c r="A1623" s="38">
        <f>IF(M1623="","",HYPERLINK("https://www.youtube.com/watch?v="&amp;M1623,"▶"))</f>
        <v/>
      </c>
      <c r="B1623" s="39">
        <f>IF(C1623&lt;&gt;"",C1623,IF(P1623&lt;=IFERROR(INDEX(tblChannels[Watched Through],MATCH(N1623,tblChannels[Channel ID],0)),0),"Watched","Unwatched"))</f>
        <v/>
      </c>
      <c r="C1623" s="40" t="n"/>
      <c r="D1623" s="41" t="n"/>
      <c r="E1623" s="42" t="n">
        <v>43998.57847222222</v>
      </c>
      <c r="F1623" s="43" t="inlineStr">
        <is>
          <t>Popcorn Culture</t>
        </is>
      </c>
      <c r="G1623" t="inlineStr">
        <is>
          <t>26 - Foods that You Just Won’t Eat</t>
        </is>
      </c>
      <c r="H1623" s="44" t="n">
        <v>0.04342592592592592</v>
      </c>
      <c r="I1623" s="45" t="n">
        <v>4676</v>
      </c>
      <c r="J1623" s="45" t="n">
        <v>212</v>
      </c>
      <c r="K1623" s="45" t="n">
        <v>41</v>
      </c>
      <c r="L1623" s="46" t="n"/>
      <c r="M1623" s="47" t="n"/>
      <c r="N1623" s="47" t="inlineStr">
        <is>
          <t>UCHfIbq9thHPC8yrKjAdJgDA</t>
        </is>
      </c>
      <c r="O1623" s="48" t="n">
        <v>43998.74513888889</v>
      </c>
      <c r="P1623" s="49" t="n">
        <v>43998</v>
      </c>
      <c r="Q1623" s="47" t="n">
        <v>1645</v>
      </c>
      <c r="R1623" s="47" t="inlineStr">
        <is>
          <t>No Video ID yet</t>
        </is>
      </c>
      <c r="S1623" s="49" t="n"/>
      <c r="T1623" s="49" t="n"/>
      <c r="U1623" s="47" t="inlineStr">
        <is>
          <t>Ben and J discuss: sneezing and runny noses, Homework routines, peeing at the movies, end credits, high-pressure driving, hot dogs, foods that you won’t eat, and burrito hierarchy. Sneezing at the Sun: Is it dangerous to hold your pee?: The Great Burrito Debate:</t>
        </is>
      </c>
      <c r="V1623" s="47">
        <f>IF(AND(P1623&gt;=Calendar!$K$2,P1623&lt;EDATE(Calendar!$K$2,1),OR(Calendar!$K$4="*",N1623=Calendar!$K$4)),P1623*100+COUNTIFS($P$6:$P$3267,P1623,$Q$6:$Q$3267,"&lt;="&amp;Q1623,$N$6:$N$3267,Calendar!$K$4),"")</f>
        <v/>
      </c>
      <c r="W1623" s="47">
        <f>IF(AND(B1623=Queue!$C$4,OR(Queue!$K$4="*",N1623=Queue!$K$4)),Q1623,"")</f>
        <v/>
      </c>
    </row>
    <row r="1624">
      <c r="A1624" s="38">
        <f>IF(M1624="","",HYPERLINK("https://www.youtube.com/watch?v="&amp;M1624,"▶"))</f>
        <v/>
      </c>
      <c r="B1624" s="39">
        <f>IF(C1624&lt;&gt;"",C1624,IF(P1624&lt;=IFERROR(INDEX(tblChannels[Watched Through],MATCH(N1624,tblChannels[Channel ID],0)),0),"Watched","Unwatched"))</f>
        <v/>
      </c>
      <c r="C1624" s="40" t="n"/>
      <c r="D1624" s="41" t="n"/>
      <c r="E1624" s="42" t="n">
        <v>43994.78680555556</v>
      </c>
      <c r="F1624" s="50" t="inlineStr">
        <is>
          <t>Super Carlin Brothers</t>
        </is>
      </c>
      <c r="G1624" t="inlineStr">
        <is>
          <t>Disney Trivia Night LIVE STREAM!</t>
        </is>
      </c>
      <c r="H1624" s="44" t="n">
        <v>0.1085648148148148</v>
      </c>
      <c r="I1624" s="45" t="n">
        <v>164655</v>
      </c>
      <c r="J1624" s="45" t="n">
        <v>2869</v>
      </c>
      <c r="K1624" s="45" t="n">
        <v>231</v>
      </c>
      <c r="L1624" s="46" t="n"/>
      <c r="M1624" s="47" t="n"/>
      <c r="N1624" s="47" t="inlineStr">
        <is>
          <t>UCKZo4N0lVPccBkSiuyVh4yg</t>
        </is>
      </c>
      <c r="O1624" s="48" t="n">
        <v>43994.95347222222</v>
      </c>
      <c r="P1624" s="49" t="n">
        <v>43994</v>
      </c>
      <c r="Q1624" s="47" t="n">
        <v>1644</v>
      </c>
      <c r="R1624" s="47" t="inlineStr">
        <is>
          <t>No Video ID yet</t>
        </is>
      </c>
      <c r="S1624" s="49" t="n"/>
      <c r="T1624" s="49" t="n"/>
      <c r="U1624" s="47" t="inlineStr">
        <is>
          <t>Winners email: secretcarlinbrothers@gmail.com Scroll down for instructions on how to play along! Create the Change Shirts ►► Carlin Brothers Candles ►► HOW TO PLAY Kahoot with the Carlins! 1. Download the Kahoot app to your mobile device, or go to Kahoot.it to join the game! 2. Make sure you’re running the SCB Livestream on a different device or a different window than Kahoot! (We recommend having Kahoot on your phone and the stream on a computer or TV, but two tabs/windows on the same computer works as well!) 3. Shortly before we start the game, SCB will announce the game PIN. Enter the pin into your Kahoot App or at Kahoot.it 4. Enter a nickname for yourself and join the game! 5. Points are awarded for accuracy and speed, so make sure your live stream is caught up! You can skip ahead in the video, or set your video speed to 2x to catch up! (To increase video speed, click the settings gear near the bottom right corner (computer) or the 3 dots at the top right (mobile), then click "playback speed" and select a higher speed to catch up!) 6. Follow along with the stream and answer the questions as they appear in the stream! Choose the color and shape which corresponds with the correc</t>
        </is>
      </c>
      <c r="V1624" s="47">
        <f>IF(AND(P1624&gt;=Calendar!$K$2,P1624&lt;EDATE(Calendar!$K$2,1),OR(Calendar!$K$4="*",N1624=Calendar!$K$4)),P1624*100+COUNTIFS($P$6:$P$3267,P1624,$Q$6:$Q$3267,"&lt;="&amp;Q1624,$N$6:$N$3267,Calendar!$K$4),"")</f>
        <v/>
      </c>
      <c r="W1624" s="47">
        <f>IF(AND(B1624=Queue!$C$4,OR(Queue!$K$4="*",N1624=Queue!$K$4)),Q1624,"")</f>
        <v/>
      </c>
    </row>
    <row r="1625">
      <c r="A1625" s="38">
        <f>IF(M1625="","",HYPERLINK("https://www.youtube.com/watch?v="&amp;M1625,"▶"))</f>
        <v/>
      </c>
      <c r="B1625" s="39">
        <f>IF(C1625&lt;&gt;"",C1625,IF(P1625&lt;=IFERROR(INDEX(tblChannels[Watched Through],MATCH(N1625,tblChannels[Channel ID],0)),0),"Watched","Unwatched"))</f>
        <v/>
      </c>
      <c r="C1625" s="40" t="n"/>
      <c r="D1625" s="41" t="n"/>
      <c r="E1625" s="42" t="n">
        <v>43993.93402777778</v>
      </c>
      <c r="F1625" s="50" t="inlineStr">
        <is>
          <t>Super Carlin Brothers</t>
        </is>
      </c>
      <c r="G1625" t="inlineStr">
        <is>
          <t>J vs Ben: The HARDEST Disney Princess Trivia Quiz EVER</t>
        </is>
      </c>
      <c r="H1625" s="44" t="n">
        <v>0.02341435185185185</v>
      </c>
      <c r="I1625" s="45" t="n">
        <v>357763</v>
      </c>
      <c r="J1625" s="45" t="n">
        <v>13033</v>
      </c>
      <c r="K1625" s="45" t="n">
        <v>2306</v>
      </c>
      <c r="L1625" s="46" t="n"/>
      <c r="M1625" s="47" t="n"/>
      <c r="N1625" s="47" t="inlineStr">
        <is>
          <t>UCKZo4N0lVPccBkSiuyVh4yg</t>
        </is>
      </c>
      <c r="O1625" s="48" t="n">
        <v>43994.10069444445</v>
      </c>
      <c r="P1625" s="49" t="n">
        <v>43993</v>
      </c>
      <c r="Q1625" s="47" t="n">
        <v>1643</v>
      </c>
      <c r="R1625" s="47" t="inlineStr">
        <is>
          <t>No Video ID yet</t>
        </is>
      </c>
      <c r="S1625" s="49" t="n"/>
      <c r="T1625" s="49" t="n"/>
      <c r="U1625" s="47" t="inlineStr">
        <is>
          <t>Looking for a straighter smile? Get started with $75 off by using code 'SCB' at Video Sponsored by Ridge Wallet: Use Code “SCB” for 10% off your order” Play along with us: Today J and Ben face off to find out who knows more about the Disney Princesses as they take the HARDEST Disney Princess quiz they could find! #SuperCarlinBrothers #DisneyPrincess</t>
        </is>
      </c>
      <c r="V1625" s="47">
        <f>IF(AND(P1625&gt;=Calendar!$K$2,P1625&lt;EDATE(Calendar!$K$2,1),OR(Calendar!$K$4="*",N1625=Calendar!$K$4)),P1625*100+COUNTIFS($P$6:$P$3267,P1625,$Q$6:$Q$3267,"&lt;="&amp;Q1625,$N$6:$N$3267,Calendar!$K$4),"")</f>
        <v/>
      </c>
      <c r="W1625" s="47">
        <f>IF(AND(B1625=Queue!$C$4,OR(Queue!$K$4="*",N1625=Queue!$K$4)),Q1625,"")</f>
        <v/>
      </c>
    </row>
    <row r="1626">
      <c r="A1626" s="38">
        <f>IF(M1626="","",HYPERLINK("https://www.youtube.com/watch?v="&amp;M1626,"▶"))</f>
        <v/>
      </c>
      <c r="B1626" s="39">
        <f>IF(C1626&lt;&gt;"",C1626,IF(P1626&lt;=IFERROR(INDEX(tblChannels[Watched Through],MATCH(N1626,tblChannels[Channel ID],0)),0),"Watched","Unwatched"))</f>
        <v/>
      </c>
      <c r="C1626" s="40" t="n"/>
      <c r="D1626" s="41" t="n"/>
      <c r="E1626" s="42" t="n">
        <v>43991.91805555556</v>
      </c>
      <c r="F1626" s="50" t="inlineStr">
        <is>
          <t>Super Carlin Brothers</t>
        </is>
      </c>
      <c r="G1626" t="inlineStr">
        <is>
          <t>How Frozen 2 Recreates EVERY Disney Princess Movie</t>
        </is>
      </c>
      <c r="H1626" s="44" t="n">
        <v>0.009594907407407408</v>
      </c>
      <c r="I1626" s="45" t="n">
        <v>666347</v>
      </c>
      <c r="J1626" s="45" t="n">
        <v>30516</v>
      </c>
      <c r="K1626" s="45" t="n">
        <v>2358</v>
      </c>
      <c r="L1626" s="46" t="n"/>
      <c r="M1626" s="47" t="n"/>
      <c r="N1626" s="47" t="inlineStr">
        <is>
          <t>UCKZo4N0lVPccBkSiuyVh4yg</t>
        </is>
      </c>
      <c r="O1626" s="48" t="n">
        <v>43992.08472222222</v>
      </c>
      <c r="P1626" s="49" t="n">
        <v>43991</v>
      </c>
      <c r="Q1626" s="47" t="n">
        <v>1642</v>
      </c>
      <c r="R1626" s="47" t="inlineStr">
        <is>
          <t>No Video ID yet</t>
        </is>
      </c>
      <c r="S1626" s="49" t="n"/>
      <c r="T1626" s="49" t="n"/>
      <c r="U1626" s="47" t="inlineStr">
        <is>
          <t>Video Sponsored by Ridge Wallet: Use Code “SCB” for 10% off your order Today J dives into the world of Frozen and Disney Princesses to show how Frozen 2 creatively recreated EVERY Disney Princess movie from Snow White to Moana inside of its story! #SuperCarlinBrothers #Frozen #DisneyPrincess</t>
        </is>
      </c>
      <c r="V1626" s="47">
        <f>IF(AND(P1626&gt;=Calendar!$K$2,P1626&lt;EDATE(Calendar!$K$2,1),OR(Calendar!$K$4="*",N1626=Calendar!$K$4)),P1626*100+COUNTIFS($P$6:$P$3267,P1626,$Q$6:$Q$3267,"&lt;="&amp;Q1626,$N$6:$N$3267,Calendar!$K$4),"")</f>
        <v/>
      </c>
      <c r="W1626" s="47">
        <f>IF(AND(B1626=Queue!$C$4,OR(Queue!$K$4="*",N1626=Queue!$K$4)),Q1626,"")</f>
        <v/>
      </c>
    </row>
    <row r="1627">
      <c r="A1627" s="38">
        <f>IF(M1627="","",HYPERLINK("https://www.youtube.com/watch?v="&amp;M1627,"▶"))</f>
        <v/>
      </c>
      <c r="B1627" s="39">
        <f>IF(C1627&lt;&gt;"",C1627,IF(P1627&lt;=IFERROR(INDEX(tblChannels[Watched Through],MATCH(N1627,tblChannels[Channel ID],0)),0),"Watched","Unwatched"))</f>
        <v/>
      </c>
      <c r="C1627" s="40" t="n"/>
      <c r="D1627" s="41" t="n"/>
      <c r="E1627" s="42" t="n">
        <v>43987.77222222222</v>
      </c>
      <c r="F1627" s="50" t="inlineStr">
        <is>
          <t>Super Carlin Brothers</t>
        </is>
      </c>
      <c r="G1627" t="inlineStr">
        <is>
          <t>Harry Potter Trivia Night LIVE STREAM!</t>
        </is>
      </c>
      <c r="H1627" s="44" t="n">
        <v>0.09461805555555555</v>
      </c>
      <c r="I1627" s="45" t="n">
        <v>165029</v>
      </c>
      <c r="J1627" s="45" t="n">
        <v>3192</v>
      </c>
      <c r="K1627" s="45" t="n">
        <v>176</v>
      </c>
      <c r="L1627" s="46" t="n"/>
      <c r="M1627" s="47" t="n"/>
      <c r="N1627" s="47" t="inlineStr">
        <is>
          <t>UCKZo4N0lVPccBkSiuyVh4yg</t>
        </is>
      </c>
      <c r="O1627" s="48" t="n">
        <v>43987.93888888889</v>
      </c>
      <c r="P1627" s="49" t="n">
        <v>43987</v>
      </c>
      <c r="Q1627" s="47" t="n">
        <v>1641</v>
      </c>
      <c r="R1627" s="47" t="inlineStr">
        <is>
          <t>No Video ID yet</t>
        </is>
      </c>
      <c r="S1627" s="49" t="n"/>
      <c r="T1627" s="49" t="n"/>
      <c r="U1627" s="47" t="inlineStr">
        <is>
          <t>Kahoot Issues Feedback►► Create the Change Shirts ►► Carlin Brothers Candles ►► HOW TO PLAY Kahoot with the Carlins! 1. Download the Kahoot app to your mobile device, or go to Kahoot.it to join the game! 2. Make sure you’re running the SCB Livestream on a different device or a different window than Kahoot! (We recommend having Kahoot on your phone and the stream on a computer or TV, but two tabs/windows on the same computer works as well!) 3. Shortly before we start the game, SCB will announce the game PIN. Enter the pin into your Kahoot App or at Kahoot.it 4. Enter a nickname for yourself and join the game! 5. Points are awarded for accuracy and speed, so make sure your live stream is caught up! You can skip ahead in the video, or set your video speed to 2x to catch up! (To increase video speed, click the settings gear near the bottom right corner (computer) or the 3 dots at the top right (mobile), then click "playback speed" and select a higher speed to catch up!) 6. Follow along with the stream and answer the questions as they appear in the stream! Choose the color and shape which corresponds with the correct answer. Note: Answer buttons will appear on your screen 2-3 seconds be</t>
        </is>
      </c>
      <c r="V1627" s="47">
        <f>IF(AND(P1627&gt;=Calendar!$K$2,P1627&lt;EDATE(Calendar!$K$2,1),OR(Calendar!$K$4="*",N1627=Calendar!$K$4)),P1627*100+COUNTIFS($P$6:$P$3267,P1627,$Q$6:$Q$3267,"&lt;="&amp;Q1627,$N$6:$N$3267,Calendar!$K$4),"")</f>
        <v/>
      </c>
      <c r="W1627" s="47">
        <f>IF(AND(B1627=Queue!$C$4,OR(Queue!$K$4="*",N1627=Queue!$K$4)),Q1627,"")</f>
        <v/>
      </c>
    </row>
    <row r="1628">
      <c r="A1628" s="38">
        <f>IF(M1628="","",HYPERLINK("https://www.youtube.com/watch?v="&amp;M1628,"▶"))</f>
        <v/>
      </c>
      <c r="B1628" s="39">
        <f>IF(C1628&lt;&gt;"",C1628,IF(P1628&lt;=IFERROR(INDEX(tblChannels[Watched Through],MATCH(N1628,tblChannels[Channel ID],0)),0),"Watched","Unwatched"))</f>
        <v/>
      </c>
      <c r="C1628" s="40" t="n"/>
      <c r="D1628" s="41" t="n"/>
      <c r="E1628" s="42" t="n">
        <v>43986.77013888889</v>
      </c>
      <c r="F1628" s="50" t="inlineStr">
        <is>
          <t>Super Carlin Brothers</t>
        </is>
      </c>
      <c r="G1628" t="inlineStr">
        <is>
          <t>Why Snape Was Forced To Teach Potions [Harry Potter Theory]</t>
        </is>
      </c>
      <c r="H1628" s="44" t="n">
        <v>0.0102662037037037</v>
      </c>
      <c r="I1628" s="45" t="n">
        <v>1541426</v>
      </c>
      <c r="J1628" s="45" t="n">
        <v>44283</v>
      </c>
      <c r="K1628" s="45" t="n">
        <v>3573</v>
      </c>
      <c r="L1628" s="46" t="n"/>
      <c r="M1628" s="47" t="n"/>
      <c r="N1628" s="47" t="inlineStr">
        <is>
          <t>UCKZo4N0lVPccBkSiuyVh4yg</t>
        </is>
      </c>
      <c r="O1628" s="48" t="n">
        <v>43986.93680555555</v>
      </c>
      <c r="P1628" s="49" t="n">
        <v>43986</v>
      </c>
      <c r="Q1628" s="47" t="n">
        <v>1640</v>
      </c>
      <c r="R1628" s="47" t="inlineStr">
        <is>
          <t>No Video ID yet</t>
        </is>
      </c>
      <c r="S1628" s="49" t="n"/>
      <c r="T1628" s="49" t="n"/>
      <c r="U1628" s="47" t="inlineStr">
        <is>
          <t>Give a pair when you buy a pair, and get 20% off your first purchase at Today Ben dives into the Wizarding World of Harry Potter to unveil WHY Snape is forced to teach potions year after year despite being MORE than qualified to teach Defense Against the Dark Arts, especially when you consider some of the folks who were actually hired..</t>
        </is>
      </c>
      <c r="V1628" s="47">
        <f>IF(AND(P1628&gt;=Calendar!$K$2,P1628&lt;EDATE(Calendar!$K$2,1),OR(Calendar!$K$4="*",N1628=Calendar!$K$4)),P1628*100+COUNTIFS($P$6:$P$3267,P1628,$Q$6:$Q$3267,"&lt;="&amp;Q1628,$N$6:$N$3267,Calendar!$K$4),"")</f>
        <v/>
      </c>
      <c r="W1628" s="47">
        <f>IF(AND(B1628=Queue!$C$4,OR(Queue!$K$4="*",N1628=Queue!$K$4)),Q1628,"")</f>
        <v/>
      </c>
    </row>
    <row r="1629">
      <c r="A1629" s="38">
        <f>IF(M1629="","",HYPERLINK("https://www.youtube.com/watch?v="&amp;M1629,"▶"))</f>
        <v/>
      </c>
      <c r="B1629" s="39">
        <f>IF(C1629&lt;&gt;"",C1629,IF(P1629&lt;=IFERROR(INDEX(tblChannels[Watched Through],MATCH(N1629,tblChannels[Channel ID],0)),0),"Watched","Unwatched"))</f>
        <v/>
      </c>
      <c r="C1629" s="40" t="n"/>
      <c r="D1629" s="41" t="n"/>
      <c r="E1629" s="42" t="n">
        <v>43986.72361111111</v>
      </c>
      <c r="F1629" s="43" t="inlineStr">
        <is>
          <t>Popcorn Culture</t>
        </is>
      </c>
      <c r="G1629" t="inlineStr">
        <is>
          <t>25 - The Danger of Shuffle</t>
        </is>
      </c>
      <c r="H1629" s="44" t="n">
        <v>0.04428240740740741</v>
      </c>
      <c r="I1629" s="45" t="n">
        <v>5130</v>
      </c>
      <c r="J1629" s="45" t="n">
        <v>246</v>
      </c>
      <c r="K1629" s="45" t="n">
        <v>61</v>
      </c>
      <c r="L1629" s="46" t="n"/>
      <c r="M1629" s="47" t="n"/>
      <c r="N1629" s="47" t="inlineStr">
        <is>
          <t>UCHfIbq9thHPC8yrKjAdJgDA</t>
        </is>
      </c>
      <c r="O1629" s="48" t="n">
        <v>43986.89027777778</v>
      </c>
      <c r="P1629" s="49" t="n">
        <v>43986</v>
      </c>
      <c r="Q1629" s="47" t="n">
        <v>1639</v>
      </c>
      <c r="R1629" s="47" t="inlineStr">
        <is>
          <t>No Video ID yet</t>
        </is>
      </c>
      <c r="S1629" s="49" t="n"/>
      <c r="T1629" s="49" t="n"/>
      <c r="U1629" s="47" t="inlineStr">
        <is>
          <t>Ben and J discuss: talk shows, Tik Tok, YouTube watching habits, kid’s TV, creepy animation styles, bowling, beach country music, CDs, music tastes, and shuffle playlists. Spongebob Marching Band: What is a CD?: Ben’s Shuffle Playlist: J’s Shuffle Playlist:</t>
        </is>
      </c>
      <c r="V1629" s="47">
        <f>IF(AND(P1629&gt;=Calendar!$K$2,P1629&lt;EDATE(Calendar!$K$2,1),OR(Calendar!$K$4="*",N1629=Calendar!$K$4)),P1629*100+COUNTIFS($P$6:$P$3267,P1629,$Q$6:$Q$3267,"&lt;="&amp;Q1629,$N$6:$N$3267,Calendar!$K$4),"")</f>
        <v/>
      </c>
      <c r="W1629" s="47">
        <f>IF(AND(B1629=Queue!$C$4,OR(Queue!$K$4="*",N1629=Queue!$K$4)),Q1629,"")</f>
        <v/>
      </c>
    </row>
    <row r="1630">
      <c r="A1630" s="38">
        <f>IF(M1630="","",HYPERLINK("https://www.youtube.com/watch?v="&amp;M1630,"▶"))</f>
        <v/>
      </c>
      <c r="B1630" s="39">
        <f>IF(C1630&lt;&gt;"",C1630,IF(P1630&lt;=IFERROR(INDEX(tblChannels[Watched Through],MATCH(N1630,tblChannels[Channel ID],0)),0),"Watched","Unwatched"))</f>
        <v/>
      </c>
      <c r="C1630" s="40" t="n"/>
      <c r="D1630" s="41" t="n"/>
      <c r="E1630" s="42" t="n">
        <v>43980.88194444445</v>
      </c>
      <c r="F1630" s="50" t="inlineStr">
        <is>
          <t>Super Carlin Brothers</t>
        </is>
      </c>
      <c r="G1630" t="inlineStr">
        <is>
          <t>Harry Potter Trivia Night LIVE STREAM!</t>
        </is>
      </c>
      <c r="H1630" s="44" t="n">
        <v>0.1177314814814815</v>
      </c>
      <c r="I1630" s="45" t="n">
        <v>406512</v>
      </c>
      <c r="J1630" s="45" t="n">
        <v>3727</v>
      </c>
      <c r="K1630" s="45" t="n">
        <v>277</v>
      </c>
      <c r="L1630" s="46" t="n"/>
      <c r="M1630" s="47" t="n"/>
      <c r="N1630" s="47" t="inlineStr">
        <is>
          <t>UCKZo4N0lVPccBkSiuyVh4yg</t>
        </is>
      </c>
      <c r="O1630" s="48" t="n">
        <v>43981.04861111111</v>
      </c>
      <c r="P1630" s="49" t="n">
        <v>43980</v>
      </c>
      <c r="Q1630" s="47" t="n">
        <v>1638</v>
      </c>
      <c r="R1630" s="47" t="inlineStr">
        <is>
          <t>No Video ID yet</t>
        </is>
      </c>
      <c r="S1630" s="49" t="n"/>
      <c r="T1630" s="49" t="n"/>
      <c r="U1630" s="47" t="inlineStr">
        <is>
          <t xml:space="preserve">Carlin Brothers Candles ►► HOW TO PLAY Kahoot with the Carlins! 1. Download the Kahoot app to your mobile device, or go to Kahoot.it to join the game! 2. Make sure you’re running the SCB Livestream on a different device or a different window than Kahoot! (We recommend having Kahoot on your phone and the stream on a computer or TV, but two tabs/windows on the same computer works as well!) 3. Shortly before we start the game, SCB will announce the game PIN. Enter the pin into your Kahoot App or at Kahoot.it 4. Enter a nickname for yourself and join the game! 5. Points are awarded for accuracy and speed, so make sure your live stream is caught up! You can skip ahead in the video, or set your video speed to 2x to catch up! (To increase video speed, click the settings gear near the bottom right corner (computer) or the 3 dots at the top right (mobile), then click "playback speed" and select a higher speed to catch up!) 6. Follow along with the stream and answer the questions as they appear in the stream! Choose the color and shape which corresponds with the correct answer. Note: Answer buttons will appear on your screen 2-3 seconds before the answer choices appear on the stream. If you </t>
        </is>
      </c>
      <c r="V1630" s="47">
        <f>IF(AND(P1630&gt;=Calendar!$K$2,P1630&lt;EDATE(Calendar!$K$2,1),OR(Calendar!$K$4="*",N1630=Calendar!$K$4)),P1630*100+COUNTIFS($P$6:$P$3267,P1630,$Q$6:$Q$3267,"&lt;="&amp;Q1630,$N$6:$N$3267,Calendar!$K$4),"")</f>
        <v/>
      </c>
      <c r="W1630" s="47">
        <f>IF(AND(B1630=Queue!$C$4,OR(Queue!$K$4="*",N1630=Queue!$K$4)),Q1630,"")</f>
        <v/>
      </c>
    </row>
    <row r="1631">
      <c r="A1631" s="38">
        <f>IF(M1631="","",HYPERLINK("https://www.youtube.com/watch?v="&amp;M1631,"▶"))</f>
        <v/>
      </c>
      <c r="B1631" s="39">
        <f>IF(C1631&lt;&gt;"",C1631,IF(P1631&lt;=IFERROR(INDEX(tblChannels[Watched Through],MATCH(N1631,tblChannels[Channel ID],0)),0),"Watched","Unwatched"))</f>
        <v/>
      </c>
      <c r="C1631" s="40" t="n"/>
      <c r="D1631" s="41" t="n"/>
      <c r="E1631" s="42" t="n">
        <v>43980.41319444445</v>
      </c>
      <c r="F1631" s="50" t="inlineStr">
        <is>
          <t>Super Carlin Brothers</t>
        </is>
      </c>
      <c r="G1631" t="inlineStr">
        <is>
          <t>J vs Ben: The ULTIMATE Harry Potter Divination Trivia Quiz</t>
        </is>
      </c>
      <c r="H1631" s="44" t="n">
        <v>0.02131944444444444</v>
      </c>
      <c r="I1631" s="45" t="n">
        <v>407705</v>
      </c>
      <c r="J1631" s="45" t="n">
        <v>13130</v>
      </c>
      <c r="K1631" s="45" t="n">
        <v>2998</v>
      </c>
      <c r="L1631" s="46" t="n"/>
      <c r="M1631" s="47" t="n"/>
      <c r="N1631" s="47" t="inlineStr">
        <is>
          <t>UCKZo4N0lVPccBkSiuyVh4yg</t>
        </is>
      </c>
      <c r="O1631" s="48" t="n">
        <v>43980.57986111111</v>
      </c>
      <c r="P1631" s="49" t="n">
        <v>43980</v>
      </c>
      <c r="Q1631" s="47" t="n">
        <v>1637</v>
      </c>
      <c r="R1631" s="47" t="inlineStr">
        <is>
          <t>No Video ID yet</t>
        </is>
      </c>
      <c r="S1631" s="49" t="n"/>
      <c r="T1631" s="49" t="n"/>
      <c r="U1631" s="47" t="inlineStr">
        <is>
          <t>Check out Vincero Watches and get up to 20% off and Free Shipping on the PERFECT Father's Day Gift Today: Play along with us: Today J and Ben face off to see who know’s more about the the unseen future of the wizarding world as they take the ULTIMATE Harry Potter Divination Trivia Quiz Video edited by: Scott Niswander #SuperCarlinBrothers #HarryPotter #JvsBen</t>
        </is>
      </c>
      <c r="V1631" s="47">
        <f>IF(AND(P1631&gt;=Calendar!$K$2,P1631&lt;EDATE(Calendar!$K$2,1),OR(Calendar!$K$4="*",N1631=Calendar!$K$4)),P1631*100+COUNTIFS($P$6:$P$3267,P1631,$Q$6:$Q$3267,"&lt;="&amp;Q1631,$N$6:$N$3267,Calendar!$K$4),"")</f>
        <v/>
      </c>
      <c r="W1631" s="47">
        <f>IF(AND(B1631=Queue!$C$4,OR(Queue!$K$4="*",N1631=Queue!$K$4)),Q1631,"")</f>
        <v/>
      </c>
    </row>
    <row r="1632">
      <c r="A1632" s="38">
        <f>IF(M1632="","",HYPERLINK("https://www.youtube.com/watch?v="&amp;M1632,"▶"))</f>
        <v/>
      </c>
      <c r="B1632" s="39">
        <f>IF(C1632&lt;&gt;"",C1632,IF(P1632&lt;=IFERROR(INDEX(tblChannels[Watched Through],MATCH(N1632,tblChannels[Channel ID],0)),0),"Watched","Unwatched"))</f>
        <v/>
      </c>
      <c r="C1632" s="40" t="n"/>
      <c r="D1632" s="41" t="n"/>
      <c r="E1632" s="42" t="n">
        <v>43977.73125</v>
      </c>
      <c r="F1632" s="50" t="inlineStr">
        <is>
          <t>Super Carlin Brothers</t>
        </is>
      </c>
      <c r="G1632" t="inlineStr">
        <is>
          <t>Dumbledore’s Big Plan: The Half-Blood Prince [Harry Potter Film Theory]</t>
        </is>
      </c>
      <c r="H1632" s="44" t="n">
        <v>0.01255787037037037</v>
      </c>
      <c r="I1632" s="45" t="n">
        <v>860236</v>
      </c>
      <c r="J1632" s="45" t="n">
        <v>28413</v>
      </c>
      <c r="K1632" s="45" t="n">
        <v>1779</v>
      </c>
      <c r="L1632" s="46" t="n"/>
      <c r="M1632" s="47" t="n"/>
      <c r="N1632" s="47" t="inlineStr">
        <is>
          <t>UCKZo4N0lVPccBkSiuyVh4yg</t>
        </is>
      </c>
      <c r="O1632" s="48" t="n">
        <v>43977.89791666667</v>
      </c>
      <c r="P1632" s="49" t="n">
        <v>43977</v>
      </c>
      <c r="Q1632" s="47" t="n">
        <v>1636</v>
      </c>
      <c r="R1632" s="47" t="inlineStr">
        <is>
          <t>No Video ID yet</t>
        </is>
      </c>
      <c r="S1632" s="49" t="n"/>
      <c r="T1632" s="49" t="n"/>
      <c r="U1632" s="47" t="inlineStr">
        <is>
          <t>Today J dives into the Wizarding World of Harry Potter for Part Six of Dumbledores Big Plan - The Half-Blood Prince.</t>
        </is>
      </c>
      <c r="V1632" s="47">
        <f>IF(AND(P1632&gt;=Calendar!$K$2,P1632&lt;EDATE(Calendar!$K$2,1),OR(Calendar!$K$4="*",N1632=Calendar!$K$4)),P1632*100+COUNTIFS($P$6:$P$3267,P1632,$Q$6:$Q$3267,"&lt;="&amp;Q1632,$N$6:$N$3267,Calendar!$K$4),"")</f>
        <v/>
      </c>
      <c r="W1632" s="47">
        <f>IF(AND(B1632=Queue!$C$4,OR(Queue!$K$4="*",N1632=Queue!$K$4)),Q1632,"")</f>
        <v/>
      </c>
    </row>
    <row r="1633">
      <c r="A1633" s="38">
        <f>IF(M1633="","",HYPERLINK("https://www.youtube.com/watch?v="&amp;M1633,"▶"))</f>
        <v/>
      </c>
      <c r="B1633" s="39">
        <f>IF(C1633&lt;&gt;"",C1633,IF(P1633&lt;=IFERROR(INDEX(tblChannels[Watched Through],MATCH(N1633,tblChannels[Channel ID],0)),0),"Watched","Unwatched"))</f>
        <v/>
      </c>
      <c r="C1633" s="40" t="n"/>
      <c r="D1633" s="41" t="n"/>
      <c r="E1633" s="42" t="n">
        <v>43973.86875</v>
      </c>
      <c r="F1633" s="50" t="inlineStr">
        <is>
          <t>Super Carlin Brothers</t>
        </is>
      </c>
      <c r="G1633" t="inlineStr">
        <is>
          <t>Harry Potter Trivia Night LIVE STREAM!</t>
        </is>
      </c>
      <c r="H1633" s="44" t="n">
        <v>0.1041319444444444</v>
      </c>
      <c r="I1633" s="45" t="n">
        <v>326236</v>
      </c>
      <c r="J1633" s="45" t="n">
        <v>4021</v>
      </c>
      <c r="K1633" s="45" t="n">
        <v>265</v>
      </c>
      <c r="L1633" s="46" t="n"/>
      <c r="M1633" s="47" t="n"/>
      <c r="N1633" s="47" t="inlineStr">
        <is>
          <t>UCKZo4N0lVPccBkSiuyVh4yg</t>
        </is>
      </c>
      <c r="O1633" s="48" t="n">
        <v>43974.03541666667</v>
      </c>
      <c r="P1633" s="49" t="n">
        <v>43973</v>
      </c>
      <c r="Q1633" s="47" t="n">
        <v>1635</v>
      </c>
      <c r="R1633" s="47" t="inlineStr">
        <is>
          <t>No Video ID yet</t>
        </is>
      </c>
      <c r="S1633" s="49" t="n"/>
      <c r="T1633" s="49" t="n"/>
      <c r="U1633" s="47" t="inlineStr">
        <is>
          <t>Play along with the Trivia Quizzes: Round 1: Round 2: HOW TO PLAY Kahoot with the Carlins! 1. Download the Kahoot app to your mobile device, or go to Kahoot.it to join the game! 2. Make sure you’re running the SCB Livestream on a different device or a different window than Kahoot! (We recommend having Kahoot on your phone and the stream on a computer or TV, but two tabs/windows on the same computer works as well!) 3. Shortly before we start the game, SCB will announce the game PIN. Enter the pin into your Kahoot App or at Kahoot.it 4. Enter a nickname for yourself and join the game! 5. Points are awarded for accuracy and speed, so make sure your live stream is caught up! You can skip ahead in the video, or set your video speed to 2x to catch up! (To increase video speed, click the settings gear near the bottom right corner (computer) or the 3 dots at the top right (mobile), then click "playback speed" and select a higher speed to catch up!) 6. Follow along with the stream and answer the questions as they appear in the stream! Choose the color and shape which corresponds with the correct answer. Note: Answer buttons will appear on your screen 2-3 seconds before the answer choices ap</t>
        </is>
      </c>
      <c r="V1633" s="47">
        <f>IF(AND(P1633&gt;=Calendar!$K$2,P1633&lt;EDATE(Calendar!$K$2,1),OR(Calendar!$K$4="*",N1633=Calendar!$K$4)),P1633*100+COUNTIFS($P$6:$P$3267,P1633,$Q$6:$Q$3267,"&lt;="&amp;Q1633,$N$6:$N$3267,Calendar!$K$4),"")</f>
        <v/>
      </c>
      <c r="W1633" s="47">
        <f>IF(AND(B1633=Queue!$C$4,OR(Queue!$K$4="*",N1633=Queue!$K$4)),Q1633,"")</f>
        <v/>
      </c>
    </row>
    <row r="1634">
      <c r="A1634" s="38">
        <f>IF(M1634="","",HYPERLINK("https://www.youtube.com/watch?v="&amp;M1634,"▶"))</f>
        <v/>
      </c>
      <c r="B1634" s="39">
        <f>IF(C1634&lt;&gt;"",C1634,IF(P1634&lt;=IFERROR(INDEX(tblChannels[Watched Through],MATCH(N1634,tblChannels[Channel ID],0)),0),"Watched","Unwatched"))</f>
        <v/>
      </c>
      <c r="C1634" s="40" t="n"/>
      <c r="D1634" s="41" t="n"/>
      <c r="E1634" s="42" t="n">
        <v>43973.52708333333</v>
      </c>
      <c r="F1634" s="43" t="inlineStr">
        <is>
          <t>Popcorn Culture</t>
        </is>
      </c>
      <c r="G1634" t="inlineStr">
        <is>
          <t>24 - Strangely Private Conversations</t>
        </is>
      </c>
      <c r="H1634" s="44" t="n">
        <v>0.04335648148148148</v>
      </c>
      <c r="I1634" s="45" t="n">
        <v>7406</v>
      </c>
      <c r="J1634" s="45" t="n">
        <v>265</v>
      </c>
      <c r="K1634" s="45" t="n">
        <v>66</v>
      </c>
      <c r="L1634" s="46" t="n"/>
      <c r="M1634" s="47" t="n"/>
      <c r="N1634" s="47" t="inlineStr">
        <is>
          <t>UCHfIbq9thHPC8yrKjAdJgDA</t>
        </is>
      </c>
      <c r="O1634" s="48" t="n">
        <v>43973.69375</v>
      </c>
      <c r="P1634" s="49" t="n">
        <v>43973</v>
      </c>
      <c r="Q1634" s="47" t="n">
        <v>1634</v>
      </c>
      <c r="R1634" s="47" t="inlineStr">
        <is>
          <t>No Video ID yet</t>
        </is>
      </c>
      <c r="S1634" s="49" t="n"/>
      <c r="T1634" s="49" t="n"/>
      <c r="U1634" s="47" t="inlineStr">
        <is>
          <t>Ben and J discuss: small luxuries, personal scents, strangely private conversations, strong opinions about weak things, the “Collector’s Notion”, stationary bikes, drinking water, work systems, and words for “farts”. Carlin Brothers Coffee: The Power of Scent in Attraction: My Miami Chalice Coral: Peloton (race pack):</t>
        </is>
      </c>
      <c r="V1634" s="47">
        <f>IF(AND(P1634&gt;=Calendar!$K$2,P1634&lt;EDATE(Calendar!$K$2,1),OR(Calendar!$K$4="*",N1634=Calendar!$K$4)),P1634*100+COUNTIFS($P$6:$P$3267,P1634,$Q$6:$Q$3267,"&lt;="&amp;Q1634,$N$6:$N$3267,Calendar!$K$4),"")</f>
        <v/>
      </c>
      <c r="W1634" s="47">
        <f>IF(AND(B1634=Queue!$C$4,OR(Queue!$K$4="*",N1634=Queue!$K$4)),Q1634,"")</f>
        <v/>
      </c>
    </row>
    <row r="1635">
      <c r="A1635" s="38">
        <f>IF(M1635="","",HYPERLINK("https://www.youtube.com/watch?v="&amp;M1635,"▶"))</f>
        <v/>
      </c>
      <c r="B1635" s="39">
        <f>IF(C1635&lt;&gt;"",C1635,IF(P1635&lt;=IFERROR(INDEX(tblChannels[Watched Through],MATCH(N1635,tblChannels[Channel ID],0)),0),"Watched","Unwatched"))</f>
        <v/>
      </c>
      <c r="C1635" s="40" t="n"/>
      <c r="D1635" s="41" t="n"/>
      <c r="E1635" s="42" t="n">
        <v>43972.625</v>
      </c>
      <c r="F1635" s="50" t="inlineStr">
        <is>
          <t>Super Carlin Brothers</t>
        </is>
      </c>
      <c r="G1635" t="inlineStr">
        <is>
          <t>Why Was Wormtail In Gryffindor? [Harry Potter Explained]</t>
        </is>
      </c>
      <c r="H1635" s="44" t="n">
        <v>0.007418981481481481</v>
      </c>
      <c r="I1635" s="45" t="n">
        <v>584193</v>
      </c>
      <c r="J1635" s="45" t="n">
        <v>23146</v>
      </c>
      <c r="K1635" s="45" t="n">
        <v>2618</v>
      </c>
      <c r="L1635" s="46" t="n"/>
      <c r="M1635" s="47" t="n"/>
      <c r="N1635" s="47" t="inlineStr">
        <is>
          <t>UCKZo4N0lVPccBkSiuyVh4yg</t>
        </is>
      </c>
      <c r="O1635" s="48" t="n">
        <v>43972.79166666666</v>
      </c>
      <c r="P1635" s="49" t="n">
        <v>43972</v>
      </c>
      <c r="Q1635" s="47" t="n">
        <v>1633</v>
      </c>
      <c r="R1635" s="47" t="inlineStr">
        <is>
          <t>No Video ID yet</t>
        </is>
      </c>
      <c r="S1635" s="49" t="n"/>
      <c r="T1635" s="49" t="n"/>
      <c r="U1635" s="47" t="inlineStr">
        <is>
          <t>Today Ben dives into the Wizarding World of Harry Potter to answer an age old question: Why was Peter Pettigrew AKA Wormtail sorted into Gryffindor?!</t>
        </is>
      </c>
      <c r="V1635" s="47">
        <f>IF(AND(P1635&gt;=Calendar!$K$2,P1635&lt;EDATE(Calendar!$K$2,1),OR(Calendar!$K$4="*",N1635=Calendar!$K$4)),P1635*100+COUNTIFS($P$6:$P$3267,P1635,$Q$6:$Q$3267,"&lt;="&amp;Q1635,$N$6:$N$3267,Calendar!$K$4),"")</f>
        <v/>
      </c>
      <c r="W1635" s="47">
        <f>IF(AND(B1635=Queue!$C$4,OR(Queue!$K$4="*",N1635=Queue!$K$4)),Q1635,"")</f>
        <v/>
      </c>
    </row>
    <row r="1636">
      <c r="A1636" s="38">
        <f>IF(M1636="","",HYPERLINK("https://www.youtube.com/watch?v="&amp;M1636,"▶"))</f>
        <v/>
      </c>
      <c r="B1636" s="39">
        <f>IF(C1636&lt;&gt;"",C1636,IF(P1636&lt;=IFERROR(INDEX(tblChannels[Watched Through],MATCH(N1636,tblChannels[Channel ID],0)),0),"Watched","Unwatched"))</f>
        <v/>
      </c>
      <c r="C1636" s="40" t="n"/>
      <c r="D1636" s="41" t="n"/>
      <c r="E1636" s="42" t="n">
        <v>43970.73263888889</v>
      </c>
      <c r="F1636" s="50" t="inlineStr">
        <is>
          <t>Super Carlin Brothers</t>
        </is>
      </c>
      <c r="G1636" t="inlineStr">
        <is>
          <t>Dumbledore’s Big Plan: The Order of the Phoenix [Harry Potter Film Theory]</t>
        </is>
      </c>
      <c r="H1636" s="44" t="n">
        <v>0.0125462962962963</v>
      </c>
      <c r="I1636" s="45" t="n">
        <v>927795</v>
      </c>
      <c r="J1636" s="45" t="n">
        <v>28999</v>
      </c>
      <c r="K1636" s="45" t="n">
        <v>1942</v>
      </c>
      <c r="L1636" s="46" t="n"/>
      <c r="M1636" s="47" t="n"/>
      <c r="N1636" s="47" t="inlineStr">
        <is>
          <t>UCKZo4N0lVPccBkSiuyVh4yg</t>
        </is>
      </c>
      <c r="O1636" s="48" t="n">
        <v>43970.89930555555</v>
      </c>
      <c r="P1636" s="49" t="n">
        <v>43970</v>
      </c>
      <c r="Q1636" s="47" t="n">
        <v>1632</v>
      </c>
      <c r="R1636" s="47" t="inlineStr">
        <is>
          <t>No Video ID yet</t>
        </is>
      </c>
      <c r="S1636" s="49" t="n"/>
      <c r="T1636" s="49" t="n"/>
      <c r="U1636" s="47" t="inlineStr">
        <is>
          <t>Today J dives into the Wizarding World of Harry Potter for Part Five of Dumbledore's Big Plan - The Order of the Phoenix. Order of the Phoenix illustrations ::</t>
        </is>
      </c>
      <c r="V1636" s="47">
        <f>IF(AND(P1636&gt;=Calendar!$K$2,P1636&lt;EDATE(Calendar!$K$2,1),OR(Calendar!$K$4="*",N1636=Calendar!$K$4)),P1636*100+COUNTIFS($P$6:$P$3267,P1636,$Q$6:$Q$3267,"&lt;="&amp;Q1636,$N$6:$N$3267,Calendar!$K$4),"")</f>
        <v/>
      </c>
      <c r="W1636" s="47">
        <f>IF(AND(B1636=Queue!$C$4,OR(Queue!$K$4="*",N1636=Queue!$K$4)),Q1636,"")</f>
        <v/>
      </c>
    </row>
    <row r="1637">
      <c r="A1637" s="38">
        <f>IF(M1637="","",HYPERLINK("https://www.youtube.com/watch?v="&amp;M1637,"▶"))</f>
        <v/>
      </c>
      <c r="B1637" s="39">
        <f>IF(C1637&lt;&gt;"",C1637,IF(P1637&lt;=IFERROR(INDEX(tblChannels[Watched Through],MATCH(N1637,tblChannels[Channel ID],0)),0),"Watched","Unwatched"))</f>
        <v/>
      </c>
      <c r="C1637" s="40" t="n"/>
      <c r="D1637" s="41" t="n"/>
      <c r="E1637" s="42" t="n">
        <v>43966.87152777778</v>
      </c>
      <c r="F1637" s="50" t="inlineStr">
        <is>
          <t>Super Carlin Brothers</t>
        </is>
      </c>
      <c r="G1637" t="inlineStr">
        <is>
          <t>Harry Potter Trivia Night LIVE STREAM!</t>
        </is>
      </c>
      <c r="H1637" s="44" t="n">
        <v>0.09495370370370371</v>
      </c>
      <c r="I1637" s="45" t="n">
        <v>375311</v>
      </c>
      <c r="J1637" s="45" t="n">
        <v>5673</v>
      </c>
      <c r="K1637" s="45" t="n">
        <v>374</v>
      </c>
      <c r="L1637" s="46" t="n"/>
      <c r="M1637" s="47" t="n"/>
      <c r="N1637" s="47" t="inlineStr">
        <is>
          <t>UCKZo4N0lVPccBkSiuyVh4yg</t>
        </is>
      </c>
      <c r="O1637" s="48" t="n">
        <v>43967.03819444445</v>
      </c>
      <c r="P1637" s="49" t="n">
        <v>43966</v>
      </c>
      <c r="Q1637" s="47" t="n">
        <v>1631</v>
      </c>
      <c r="R1637" s="47" t="inlineStr">
        <is>
          <t>No Video ID yet</t>
        </is>
      </c>
      <c r="S1637" s="49" t="n"/>
      <c r="T1637" s="49" t="n"/>
      <c r="U1637" s="47" t="inlineStr">
        <is>
          <t>Play the trivia quiz along with us: HOW TO PLAY Kahoot with the Carlins! 1. Download the Kahoot app to your mobile device, or go to Kahoot.it to join the game! 2. Make sure you’re running the SCB Livestream on a different device or a different window than Kahoot! (We recommend having Kahoot on your phone and the stream on a computer or TV, but two tabs/windows on the same computer works as well!) 3. Shortly before we start the game, SCB will announce the game PIN. Enter the pin into your Kahoot App or at Kahoot.it 4. Enter a nickname for yourself and join the game! 5. Points are awarded for accuracy and speed, so make sure your live stream is caught up! You can skip ahead in the video, or set your video speed to 2x to catch up! (To increase video speed, click the settings gear near the bottom right corner (computer) or the 3 dots at the top right (mobile), then click "playback speed" and select a higher speed to catch up!) 6. Follow along with the stream and answer the questions as they appear in the stream! Choose the color and shape which corresponds with the correct answer. Note: Answer buttons will appear on your screen 2-3 seconds before the answer choices appear on the stream</t>
        </is>
      </c>
      <c r="V1637" s="47">
        <f>IF(AND(P1637&gt;=Calendar!$K$2,P1637&lt;EDATE(Calendar!$K$2,1),OR(Calendar!$K$4="*",N1637=Calendar!$K$4)),P1637*100+COUNTIFS($P$6:$P$3267,P1637,$Q$6:$Q$3267,"&lt;="&amp;Q1637,$N$6:$N$3267,Calendar!$K$4),"")</f>
        <v/>
      </c>
      <c r="W1637" s="47">
        <f>IF(AND(B1637=Queue!$C$4,OR(Queue!$K$4="*",N1637=Queue!$K$4)),Q1637,"")</f>
        <v/>
      </c>
    </row>
    <row r="1638">
      <c r="A1638" s="38">
        <f>IF(M1638="","",HYPERLINK("https://www.youtube.com/watch?v="&amp;M1638,"▶"))</f>
        <v/>
      </c>
      <c r="B1638" s="39">
        <f>IF(C1638&lt;&gt;"",C1638,IF(P1638&lt;=IFERROR(INDEX(tblChannels[Watched Through],MATCH(N1638,tblChannels[Channel ID],0)),0),"Watched","Unwatched"))</f>
        <v/>
      </c>
      <c r="C1638" s="40" t="n"/>
      <c r="D1638" s="41" t="n"/>
      <c r="E1638" s="42" t="n">
        <v>43966.25</v>
      </c>
      <c r="F1638" s="43" t="inlineStr">
        <is>
          <t>Popcorn Culture</t>
        </is>
      </c>
      <c r="G1638" t="inlineStr">
        <is>
          <t>23 - Things I Used to Spend Time Thinking About</t>
        </is>
      </c>
      <c r="H1638" s="44" t="n">
        <v>0.04331018518518519</v>
      </c>
      <c r="I1638" s="45" t="n">
        <v>5190</v>
      </c>
      <c r="J1638" s="45" t="n">
        <v>246</v>
      </c>
      <c r="K1638" s="45" t="n">
        <v>43</v>
      </c>
      <c r="L1638" s="46" t="n"/>
      <c r="M1638" s="47" t="n"/>
      <c r="N1638" s="47" t="inlineStr">
        <is>
          <t>UCHfIbq9thHPC8yrKjAdJgDA</t>
        </is>
      </c>
      <c r="O1638" s="48" t="n">
        <v>43966.41666666666</v>
      </c>
      <c r="P1638" s="49" t="n">
        <v>43966</v>
      </c>
      <c r="Q1638" s="47" t="n">
        <v>1630</v>
      </c>
      <c r="R1638" s="47" t="inlineStr">
        <is>
          <t>No Video ID yet</t>
        </is>
      </c>
      <c r="S1638" s="49" t="n"/>
      <c r="T1638" s="49" t="n"/>
      <c r="U1638" s="47" t="inlineStr">
        <is>
          <t>Ben and J discuss: social media, screen name origin stories, laundry, birth order, clothing as an expression of self, video games, Dad Carlin playing basketball, the 10,000 hour rule, learning to drive, and video games.</t>
        </is>
      </c>
      <c r="V1638" s="47">
        <f>IF(AND(P1638&gt;=Calendar!$K$2,P1638&lt;EDATE(Calendar!$K$2,1),OR(Calendar!$K$4="*",N1638=Calendar!$K$4)),P1638*100+COUNTIFS($P$6:$P$3267,P1638,$Q$6:$Q$3267,"&lt;="&amp;Q1638,$N$6:$N$3267,Calendar!$K$4),"")</f>
        <v/>
      </c>
      <c r="W1638" s="47">
        <f>IF(AND(B1638=Queue!$C$4,OR(Queue!$K$4="*",N1638=Queue!$K$4)),Q1638,"")</f>
        <v/>
      </c>
    </row>
    <row r="1639">
      <c r="A1639" s="38">
        <f>IF(M1639="","",HYPERLINK("https://www.youtube.com/watch?v="&amp;M1639,"▶"))</f>
        <v/>
      </c>
      <c r="B1639" s="39">
        <f>IF(C1639&lt;&gt;"",C1639,IF(P1639&lt;=IFERROR(INDEX(tblChannels[Watched Through],MATCH(N1639,tblChannels[Channel ID],0)),0),"Watched","Unwatched"))</f>
        <v/>
      </c>
      <c r="C1639" s="40" t="n"/>
      <c r="D1639" s="41" t="n"/>
      <c r="E1639" s="42" t="n">
        <v>43965.73055555556</v>
      </c>
      <c r="F1639" s="50" t="inlineStr">
        <is>
          <t>Super Carlin Brothers</t>
        </is>
      </c>
      <c r="G1639" t="inlineStr">
        <is>
          <t>J vs Ben: The ULTIMATE Weasley Family Quiz [Harry Potter Trivia]</t>
        </is>
      </c>
      <c r="H1639" s="44" t="n">
        <v>0.02391203703703704</v>
      </c>
      <c r="I1639" s="45" t="n">
        <v>877886</v>
      </c>
      <c r="J1639" s="45" t="n">
        <v>18451</v>
      </c>
      <c r="K1639" s="45" t="n">
        <v>2237</v>
      </c>
      <c r="L1639" s="46" t="n"/>
      <c r="M1639" s="47" t="n"/>
      <c r="N1639" s="47" t="inlineStr">
        <is>
          <t>UCKZo4N0lVPccBkSiuyVh4yg</t>
        </is>
      </c>
      <c r="O1639" s="48" t="n">
        <v>43965.89722222222</v>
      </c>
      <c r="P1639" s="49" t="n">
        <v>43965</v>
      </c>
      <c r="Q1639" s="47" t="n">
        <v>1629</v>
      </c>
      <c r="R1639" s="47" t="inlineStr">
        <is>
          <t>No Video ID yet</t>
        </is>
      </c>
      <c r="S1639" s="49" t="n"/>
      <c r="T1639" s="49" t="n"/>
      <c r="U1639" s="47" t="inlineStr">
        <is>
          <t>Today J and Ben face off in the Ultimate Weasley Harry Potter trivia quiz to find out who knows the most red haired family in the wizarding world the best!</t>
        </is>
      </c>
      <c r="V1639" s="47">
        <f>IF(AND(P1639&gt;=Calendar!$K$2,P1639&lt;EDATE(Calendar!$K$2,1),OR(Calendar!$K$4="*",N1639=Calendar!$K$4)),P1639*100+COUNTIFS($P$6:$P$3267,P1639,$Q$6:$Q$3267,"&lt;="&amp;Q1639,$N$6:$N$3267,Calendar!$K$4),"")</f>
        <v/>
      </c>
      <c r="W1639" s="47">
        <f>IF(AND(B1639=Queue!$C$4,OR(Queue!$K$4="*",N1639=Queue!$K$4)),Q1639,"")</f>
        <v/>
      </c>
    </row>
    <row r="1640">
      <c r="A1640" s="38">
        <f>IF(M1640="","",HYPERLINK("https://www.youtube.com/watch?v="&amp;M1640,"▶"))</f>
        <v/>
      </c>
      <c r="B1640" s="39">
        <f>IF(C1640&lt;&gt;"",C1640,IF(P1640&lt;=IFERROR(INDEX(tblChannels[Watched Through],MATCH(N1640,tblChannels[Channel ID],0)),0),"Watched","Unwatched"))</f>
        <v/>
      </c>
      <c r="C1640" s="40" t="n"/>
      <c r="D1640" s="41" t="n"/>
      <c r="E1640" s="42" t="n">
        <v>43963.65069444444</v>
      </c>
      <c r="F1640" s="50" t="inlineStr">
        <is>
          <t>Super Carlin Brothers</t>
        </is>
      </c>
      <c r="G1640" t="inlineStr">
        <is>
          <t>Dumbledore’s Big Plan: The Goblet of Fire [Harry Potter Film Theory]</t>
        </is>
      </c>
      <c r="H1640" s="44" t="n">
        <v>0.01287037037037037</v>
      </c>
      <c r="I1640" s="45" t="n">
        <v>996415</v>
      </c>
      <c r="J1640" s="45" t="n">
        <v>31000</v>
      </c>
      <c r="K1640" s="45" t="n">
        <v>2317</v>
      </c>
      <c r="L1640" s="46" t="n"/>
      <c r="M1640" s="47" t="n"/>
      <c r="N1640" s="47" t="inlineStr">
        <is>
          <t>UCKZo4N0lVPccBkSiuyVh4yg</t>
        </is>
      </c>
      <c r="O1640" s="48" t="n">
        <v>43963.81736111111</v>
      </c>
      <c r="P1640" s="49" t="n">
        <v>43963</v>
      </c>
      <c r="Q1640" s="47" t="n">
        <v>1628</v>
      </c>
      <c r="R1640" s="47" t="inlineStr">
        <is>
          <t>No Video ID yet</t>
        </is>
      </c>
      <c r="S1640" s="49" t="n"/>
      <c r="T1640" s="49" t="n"/>
      <c r="U1640" s="47" t="inlineStr">
        <is>
          <t>Get 20% off your first monthly box when you sign up at and enter the code super at checkout. Today J dives into the Wizarding World of Harry Potter for Part Four of Dumbledores Big Plan - The Goblet of Fire</t>
        </is>
      </c>
      <c r="V1640" s="47">
        <f>IF(AND(P1640&gt;=Calendar!$K$2,P1640&lt;EDATE(Calendar!$K$2,1),OR(Calendar!$K$4="*",N1640=Calendar!$K$4)),P1640*100+COUNTIFS($P$6:$P$3267,P1640,$Q$6:$Q$3267,"&lt;="&amp;Q1640,$N$6:$N$3267,Calendar!$K$4),"")</f>
        <v/>
      </c>
      <c r="W1640" s="47">
        <f>IF(AND(B1640=Queue!$C$4,OR(Queue!$K$4="*",N1640=Queue!$K$4)),Q1640,"")</f>
        <v/>
      </c>
    </row>
    <row r="1641">
      <c r="A1641" s="38">
        <f>IF(M1641="","",HYPERLINK("https://www.youtube.com/watch?v="&amp;M1641,"▶"))</f>
        <v/>
      </c>
      <c r="B1641" s="39">
        <f>IF(C1641&lt;&gt;"",C1641,IF(P1641&lt;=IFERROR(INDEX(tblChannels[Watched Through],MATCH(N1641,tblChannels[Channel ID],0)),0),"Watched","Unwatched"))</f>
        <v/>
      </c>
      <c r="C1641" s="40" t="n"/>
      <c r="D1641" s="41" t="n"/>
      <c r="E1641" s="42" t="n">
        <v>43959.83958333333</v>
      </c>
      <c r="F1641" s="50" t="inlineStr">
        <is>
          <t>Super Carlin Brothers</t>
        </is>
      </c>
      <c r="G1641" t="inlineStr">
        <is>
          <t>Theory Talk LIVE STREAM</t>
        </is>
      </c>
      <c r="H1641" s="44" t="n">
        <v>0.08120370370370371</v>
      </c>
      <c r="I1641" s="45" t="n">
        <v>230539</v>
      </c>
      <c r="J1641" s="45" t="n">
        <v>3634</v>
      </c>
      <c r="K1641" s="45" t="n">
        <v>344</v>
      </c>
      <c r="L1641" s="46" t="n"/>
      <c r="M1641" s="47" t="n"/>
      <c r="N1641" s="47" t="inlineStr">
        <is>
          <t>UCKZo4N0lVPccBkSiuyVh4yg</t>
        </is>
      </c>
      <c r="O1641" s="48" t="n">
        <v>43960.00625</v>
      </c>
      <c r="P1641" s="49" t="n">
        <v>43959</v>
      </c>
      <c r="Q1641" s="47" t="n">
        <v>1627</v>
      </c>
      <c r="R1641" s="47" t="inlineStr">
        <is>
          <t>No Video ID yet</t>
        </is>
      </c>
      <c r="S1641" s="49" t="n"/>
      <c r="T1641" s="49" t="n"/>
      <c r="U1641" s="47" t="inlineStr">
        <is>
          <t>Animal Foil SHIRTS :: Just hanging out talking Dumbledore's BIG Plan for Prisoner of Azkaban &amp; Goblet of FIre PLUS we are testing out a new game you guys can play with us! Feeding America :: Find your local Food Bank ::</t>
        </is>
      </c>
      <c r="V1641" s="47">
        <f>IF(AND(P1641&gt;=Calendar!$K$2,P1641&lt;EDATE(Calendar!$K$2,1),OR(Calendar!$K$4="*",N1641=Calendar!$K$4)),P1641*100+COUNTIFS($P$6:$P$3267,P1641,$Q$6:$Q$3267,"&lt;="&amp;Q1641,$N$6:$N$3267,Calendar!$K$4),"")</f>
        <v/>
      </c>
      <c r="W1641" s="47">
        <f>IF(AND(B1641=Queue!$C$4,OR(Queue!$K$4="*",N1641=Queue!$K$4)),Q1641,"")</f>
        <v/>
      </c>
    </row>
    <row r="1642">
      <c r="A1642" s="38">
        <f>IF(M1642="","",HYPERLINK("https://www.youtube.com/watch?v="&amp;M1642,"▶"))</f>
        <v/>
      </c>
      <c r="B1642" s="39">
        <f>IF(C1642&lt;&gt;"",C1642,IF(P1642&lt;=IFERROR(INDEX(tblChannels[Watched Through],MATCH(N1642,tblChannels[Channel ID],0)),0),"Watched","Unwatched"))</f>
        <v/>
      </c>
      <c r="C1642" s="40" t="n"/>
      <c r="D1642" s="41" t="n"/>
      <c r="E1642" s="42" t="n">
        <v>43959.25</v>
      </c>
      <c r="F1642" s="43" t="inlineStr">
        <is>
          <t>Popcorn Culture</t>
        </is>
      </c>
      <c r="G1642" t="inlineStr">
        <is>
          <t>22 - So Many Camping Stories</t>
        </is>
      </c>
      <c r="H1642" s="44" t="n">
        <v>0.0371412037037037</v>
      </c>
      <c r="I1642" s="45" t="n">
        <v>4844</v>
      </c>
      <c r="J1642" s="45" t="n">
        <v>246</v>
      </c>
      <c r="K1642" s="45" t="n">
        <v>35</v>
      </c>
      <c r="L1642" s="46" t="n"/>
      <c r="M1642" s="47" t="n"/>
      <c r="N1642" s="47" t="inlineStr">
        <is>
          <t>UCHfIbq9thHPC8yrKjAdJgDA</t>
        </is>
      </c>
      <c r="O1642" s="48" t="n">
        <v>43959.41666666666</v>
      </c>
      <c r="P1642" s="49" t="n">
        <v>43959</v>
      </c>
      <c r="Q1642" s="47" t="n">
        <v>1626</v>
      </c>
      <c r="R1642" s="47" t="inlineStr">
        <is>
          <t>No Video ID yet</t>
        </is>
      </c>
      <c r="S1642" s="49" t="n"/>
      <c r="T1642" s="49" t="n"/>
      <c r="U1642" s="47" t="inlineStr">
        <is>
          <t>Ben and J discuss: speedcubing, Hot Wheels, collecting, canoe camping, adventures with GMA, hiking, Waffle House, and Tyler mowing the lawn! Lakester: Treasure Hunt: Ben Telling the Coyote Story on the Vlog: J Telling the Fire Socks Story on Jonkerlin:</t>
        </is>
      </c>
      <c r="V1642" s="47">
        <f>IF(AND(P1642&gt;=Calendar!$K$2,P1642&lt;EDATE(Calendar!$K$2,1),OR(Calendar!$K$4="*",N1642=Calendar!$K$4)),P1642*100+COUNTIFS($P$6:$P$3267,P1642,$Q$6:$Q$3267,"&lt;="&amp;Q1642,$N$6:$N$3267,Calendar!$K$4),"")</f>
        <v/>
      </c>
      <c r="W1642" s="47">
        <f>IF(AND(B1642=Queue!$C$4,OR(Queue!$K$4="*",N1642=Queue!$K$4)),Q1642,"")</f>
        <v/>
      </c>
    </row>
    <row r="1643">
      <c r="A1643" s="38">
        <f>IF(M1643="","",HYPERLINK("https://www.youtube.com/watch?v="&amp;M1643,"▶"))</f>
        <v/>
      </c>
      <c r="B1643" s="39">
        <f>IF(C1643&lt;&gt;"",C1643,IF(P1643&lt;=IFERROR(INDEX(tblChannels[Watched Through],MATCH(N1643,tblChannels[Channel ID],0)),0),"Watched","Unwatched"))</f>
        <v/>
      </c>
      <c r="C1643" s="40" t="n"/>
      <c r="D1643" s="41" t="n"/>
      <c r="E1643" s="42" t="n">
        <v>43958.59097222222</v>
      </c>
      <c r="F1643" s="50" t="inlineStr">
        <is>
          <t>Super Carlin Brothers</t>
        </is>
      </c>
      <c r="G1643" t="inlineStr">
        <is>
          <t>How Harry Summoned Fawkes [Harry Potter Theory]</t>
        </is>
      </c>
      <c r="H1643" s="44" t="n">
        <v>0.008020833333333333</v>
      </c>
      <c r="I1643" s="45" t="n">
        <v>297833</v>
      </c>
      <c r="J1643" s="45" t="n">
        <v>14329</v>
      </c>
      <c r="K1643" s="45" t="n">
        <v>1325</v>
      </c>
      <c r="L1643" s="46" t="n"/>
      <c r="M1643" s="47" t="n"/>
      <c r="N1643" s="47" t="inlineStr">
        <is>
          <t>UCKZo4N0lVPccBkSiuyVh4yg</t>
        </is>
      </c>
      <c r="O1643" s="48" t="n">
        <v>43958.75763888889</v>
      </c>
      <c r="P1643" s="49" t="n">
        <v>43958</v>
      </c>
      <c r="Q1643" s="47" t="n">
        <v>1625</v>
      </c>
      <c r="R1643" s="47" t="inlineStr">
        <is>
          <t>No Video ID yet</t>
        </is>
      </c>
      <c r="S1643" s="49" t="n"/>
      <c r="T1643" s="49" t="n"/>
      <c r="U1643" s="47" t="inlineStr">
        <is>
          <t>Today Ben dives into the Wizarding World of Harry Potter to discuss one of the longest standing mysteries of the Chamber of Secrets: How did Harry Summon Fawkes to him!? Yea he was loyal to Dumbledore BUT WHAT DOES THAT MEAN?! HOW DOES THAT WORK!? Edited by: Jonathan Carlin</t>
        </is>
      </c>
      <c r="V1643" s="47">
        <f>IF(AND(P1643&gt;=Calendar!$K$2,P1643&lt;EDATE(Calendar!$K$2,1),OR(Calendar!$K$4="*",N1643=Calendar!$K$4)),P1643*100+COUNTIFS($P$6:$P$3267,P1643,$Q$6:$Q$3267,"&lt;="&amp;Q1643,$N$6:$N$3267,Calendar!$K$4),"")</f>
        <v/>
      </c>
      <c r="W1643" s="47">
        <f>IF(AND(B1643=Queue!$C$4,OR(Queue!$K$4="*",N1643=Queue!$K$4)),Q1643,"")</f>
        <v/>
      </c>
    </row>
    <row r="1644">
      <c r="A1644" s="38">
        <f>IF(M1644="","",HYPERLINK("https://www.youtube.com/watch?v="&amp;M1644,"▶"))</f>
        <v/>
      </c>
      <c r="B1644" s="39">
        <f>IF(C1644&lt;&gt;"",C1644,IF(P1644&lt;=IFERROR(INDEX(tblChannels[Watched Through],MATCH(N1644,tblChannels[Channel ID],0)),0),"Watched","Unwatched"))</f>
        <v/>
      </c>
      <c r="C1644" s="40" t="n"/>
      <c r="D1644" s="41" t="n"/>
      <c r="E1644" s="42" t="n">
        <v>43957.54444444444</v>
      </c>
      <c r="F1644" s="43" t="inlineStr">
        <is>
          <t>Popcorn Culture</t>
        </is>
      </c>
      <c r="G1644" t="inlineStr">
        <is>
          <t>21 - Growing Up With A Gravel Driveway Builds Character</t>
        </is>
      </c>
      <c r="H1644" s="44" t="n">
        <v>0.04011574074074074</v>
      </c>
      <c r="I1644" s="45" t="n">
        <v>4660</v>
      </c>
      <c r="J1644" s="45" t="n">
        <v>216</v>
      </c>
      <c r="K1644" s="45" t="n">
        <v>46</v>
      </c>
      <c r="L1644" s="46" t="n"/>
      <c r="M1644" s="47" t="n"/>
      <c r="N1644" s="47" t="inlineStr">
        <is>
          <t>UCHfIbq9thHPC8yrKjAdJgDA</t>
        </is>
      </c>
      <c r="O1644" s="48" t="n">
        <v>43957.71111111111</v>
      </c>
      <c r="P1644" s="49" t="n">
        <v>43957</v>
      </c>
      <c r="Q1644" s="47" t="n">
        <v>1624</v>
      </c>
      <c r="R1644" s="47" t="inlineStr">
        <is>
          <t>No Video ID yet</t>
        </is>
      </c>
      <c r="S1644" s="49" t="n"/>
      <c r="T1644" s="49" t="n"/>
      <c r="U1644" s="47" t="inlineStr">
        <is>
          <t>Ben and J discuss: beanbag chairs, cement vs concrete, basketball, having three children, words that only your family has, podcast catchphrases, quarantine updates, tik tok, and why it’s a bad idea to prank your office manager who writes your show notes. Love Sac Photo: Ben’s concrete project: When do you listen to the Pop?: Vote for the One True Host on Patreon:</t>
        </is>
      </c>
      <c r="V1644" s="47">
        <f>IF(AND(P1644&gt;=Calendar!$K$2,P1644&lt;EDATE(Calendar!$K$2,1),OR(Calendar!$K$4="*",N1644=Calendar!$K$4)),P1644*100+COUNTIFS($P$6:$P$3267,P1644,$Q$6:$Q$3267,"&lt;="&amp;Q1644,$N$6:$N$3267,Calendar!$K$4),"")</f>
        <v/>
      </c>
      <c r="W1644" s="47">
        <f>IF(AND(B1644=Queue!$C$4,OR(Queue!$K$4="*",N1644=Queue!$K$4)),Q1644,"")</f>
        <v/>
      </c>
    </row>
    <row r="1645">
      <c r="A1645" s="38">
        <f>IF(M1645="","",HYPERLINK("https://www.youtube.com/watch?v="&amp;M1645,"▶"))</f>
        <v/>
      </c>
      <c r="B1645" s="39">
        <f>IF(C1645&lt;&gt;"",C1645,IF(P1645&lt;=IFERROR(INDEX(tblChannels[Watched Through],MATCH(N1645,tblChannels[Channel ID],0)),0),"Watched","Unwatched"))</f>
        <v/>
      </c>
      <c r="C1645" s="40" t="n"/>
      <c r="D1645" s="41" t="n"/>
      <c r="E1645" s="42" t="n">
        <v>43956.63541666666</v>
      </c>
      <c r="F1645" s="50" t="inlineStr">
        <is>
          <t>Super Carlin Brothers</t>
        </is>
      </c>
      <c r="G1645" t="inlineStr">
        <is>
          <t>Dumbledore’s Big Plan: The Prisoner of Azkaban [Harry Potter Film Theory]</t>
        </is>
      </c>
      <c r="H1645" s="44" t="n">
        <v>0.01255787037037037</v>
      </c>
      <c r="I1645" s="45" t="n">
        <v>1085586</v>
      </c>
      <c r="J1645" s="45" t="n">
        <v>33406</v>
      </c>
      <c r="K1645" s="45" t="n">
        <v>2459</v>
      </c>
      <c r="L1645" s="46" t="n"/>
      <c r="M1645" s="47" t="n"/>
      <c r="N1645" s="47" t="inlineStr">
        <is>
          <t>UCKZo4N0lVPccBkSiuyVh4yg</t>
        </is>
      </c>
      <c r="O1645" s="48" t="n">
        <v>43956.80208333334</v>
      </c>
      <c r="P1645" s="49" t="n">
        <v>43956</v>
      </c>
      <c r="Q1645" s="47" t="n">
        <v>1623</v>
      </c>
      <c r="R1645" s="47" t="inlineStr">
        <is>
          <t>No Video ID yet</t>
        </is>
      </c>
      <c r="S1645" s="49" t="n"/>
      <c r="T1645" s="49" t="n"/>
      <c r="U1645" s="47" t="inlineStr">
        <is>
          <t>Foil Animal Shirts :: Today J dives into the Wizarding World of Harry Potter for Part Three of Dumbledores Big Plan - The Prisoner of Azkaban</t>
        </is>
      </c>
      <c r="V1645" s="47">
        <f>IF(AND(P1645&gt;=Calendar!$K$2,P1645&lt;EDATE(Calendar!$K$2,1),OR(Calendar!$K$4="*",N1645=Calendar!$K$4)),P1645*100+COUNTIFS($P$6:$P$3267,P1645,$Q$6:$Q$3267,"&lt;="&amp;Q1645,$N$6:$N$3267,Calendar!$K$4),"")</f>
        <v/>
      </c>
      <c r="W1645" s="47">
        <f>IF(AND(B1645=Queue!$C$4,OR(Queue!$K$4="*",N1645=Queue!$K$4)),Q1645,"")</f>
        <v/>
      </c>
    </row>
    <row r="1646">
      <c r="A1646" s="38">
        <f>IF(M1646="","",HYPERLINK("https://www.youtube.com/watch?v="&amp;M1646,"▶"))</f>
        <v/>
      </c>
      <c r="B1646" s="39">
        <f>IF(C1646&lt;&gt;"",C1646,IF(P1646&lt;=IFERROR(INDEX(tblChannels[Watched Through],MATCH(N1646,tblChannels[Channel ID],0)),0),"Watched","Unwatched"))</f>
        <v/>
      </c>
      <c r="C1646" s="40" t="n"/>
      <c r="D1646" s="41" t="n"/>
      <c r="E1646" s="42" t="n">
        <v>43956.60277777778</v>
      </c>
      <c r="F1646" s="43" t="inlineStr">
        <is>
          <t>Popcorn Culture</t>
        </is>
      </c>
      <c r="G1646" t="inlineStr">
        <is>
          <t>20 - Are Skateboards Cooler than Scooters</t>
        </is>
      </c>
      <c r="H1646" s="44" t="n">
        <v>0.04612268518518518</v>
      </c>
      <c r="I1646" s="45" t="n">
        <v>4791</v>
      </c>
      <c r="J1646" s="45" t="n">
        <v>228</v>
      </c>
      <c r="K1646" s="45" t="n">
        <v>43</v>
      </c>
      <c r="L1646" s="46" t="n"/>
      <c r="M1646" s="47" t="n"/>
      <c r="N1646" s="47" t="inlineStr">
        <is>
          <t>UCHfIbq9thHPC8yrKjAdJgDA</t>
        </is>
      </c>
      <c r="O1646" s="48" t="n">
        <v>43956.76944444444</v>
      </c>
      <c r="P1646" s="49" t="n">
        <v>43956</v>
      </c>
      <c r="Q1646" s="47" t="n">
        <v>1622</v>
      </c>
      <c r="R1646" s="47" t="inlineStr">
        <is>
          <t>No Video ID yet</t>
        </is>
      </c>
      <c r="S1646" s="49" t="n"/>
      <c r="T1646" s="49" t="n"/>
      <c r="U1646" s="47" t="inlineStr">
        <is>
          <t>Get 15% off your entire order by going to Ben and J discuss: childhood modes of transportation, walking steps, home renovations, shoes, discussion forums, pouring concrete, lawn mowing, and Rubik's cubes. Vincero Watches: Vote for the One True Host on Patreon:</t>
        </is>
      </c>
      <c r="V1646" s="47">
        <f>IF(AND(P1646&gt;=Calendar!$K$2,P1646&lt;EDATE(Calendar!$K$2,1),OR(Calendar!$K$4="*",N1646=Calendar!$K$4)),P1646*100+COUNTIFS($P$6:$P$3267,P1646,$Q$6:$Q$3267,"&lt;="&amp;Q1646,$N$6:$N$3267,Calendar!$K$4),"")</f>
        <v/>
      </c>
      <c r="W1646" s="47">
        <f>IF(AND(B1646=Queue!$C$4,OR(Queue!$K$4="*",N1646=Queue!$K$4)),Q1646,"")</f>
        <v/>
      </c>
    </row>
    <row r="1647">
      <c r="A1647" s="38">
        <f>IF(M1647="","",HYPERLINK("https://www.youtube.com/watch?v="&amp;M1647,"▶"))</f>
        <v/>
      </c>
      <c r="B1647" s="39">
        <f>IF(C1647&lt;&gt;"",C1647,IF(P1647&lt;=IFERROR(INDEX(tblChannels[Watched Through],MATCH(N1647,tblChannels[Channel ID],0)),0),"Watched","Unwatched"))</f>
        <v/>
      </c>
      <c r="C1647" s="40" t="n"/>
      <c r="D1647" s="41" t="n"/>
      <c r="E1647" s="42" t="n">
        <v>43952.85208333333</v>
      </c>
      <c r="F1647" s="50" t="inlineStr">
        <is>
          <t>Super Carlin Brothers</t>
        </is>
      </c>
      <c r="G1647" t="inlineStr">
        <is>
          <t>Theory Talk LIVE STREAM</t>
        </is>
      </c>
      <c r="H1647" s="44" t="n">
        <v>0.08480324074074073</v>
      </c>
      <c r="I1647" s="45" t="n">
        <v>132537</v>
      </c>
      <c r="J1647" s="45" t="n">
        <v>3584</v>
      </c>
      <c r="K1647" s="45" t="n">
        <v>374</v>
      </c>
      <c r="L1647" s="46" t="n"/>
      <c r="M1647" s="47" t="n"/>
      <c r="N1647" s="47" t="inlineStr">
        <is>
          <t>UCKZo4N0lVPccBkSiuyVh4yg</t>
        </is>
      </c>
      <c r="O1647" s="48" t="n">
        <v>43953.01875</v>
      </c>
      <c r="P1647" s="49" t="n">
        <v>43952</v>
      </c>
      <c r="Q1647" s="47" t="n">
        <v>1621</v>
      </c>
      <c r="R1647" s="47" t="inlineStr">
        <is>
          <t>No Video ID yet</t>
        </is>
      </c>
      <c r="S1647" s="49" t="n"/>
      <c r="T1647" s="49" t="n"/>
      <c r="U1647" s="47" t="inlineStr">
        <is>
          <t>Animal Foil SHIRTS :: Just hanging out talking Dumbledore's BIG Plan for Chamber of Secrets &amp; Prisoner of Azkaban PLUS the Disneyverse and MORE! Feeding America :: Find your local Food Bank ::</t>
        </is>
      </c>
      <c r="V1647" s="47">
        <f>IF(AND(P1647&gt;=Calendar!$K$2,P1647&lt;EDATE(Calendar!$K$2,1),OR(Calendar!$K$4="*",N1647=Calendar!$K$4)),P1647*100+COUNTIFS($P$6:$P$3267,P1647,$Q$6:$Q$3267,"&lt;="&amp;Q1647,$N$6:$N$3267,Calendar!$K$4),"")</f>
        <v/>
      </c>
      <c r="W1647" s="47">
        <f>IF(AND(B1647=Queue!$C$4,OR(Queue!$K$4="*",N1647=Queue!$K$4)),Q1647,"")</f>
        <v/>
      </c>
    </row>
    <row r="1648">
      <c r="A1648" s="38">
        <f>IF(M1648="","",HYPERLINK("https://www.youtube.com/watch?v="&amp;M1648,"▶"))</f>
        <v/>
      </c>
      <c r="B1648" s="39">
        <f>IF(C1648&lt;&gt;"",C1648,IF(P1648&lt;=IFERROR(INDEX(tblChannels[Watched Through],MATCH(N1648,tblChannels[Channel ID],0)),0),"Watched","Unwatched"))</f>
        <v/>
      </c>
      <c r="C1648" s="40" t="n"/>
      <c r="D1648" s="41" t="n"/>
      <c r="E1648" s="42" t="n">
        <v>43951.81388888889</v>
      </c>
      <c r="F1648" s="50" t="inlineStr">
        <is>
          <t>Super Carlin Brothers</t>
        </is>
      </c>
      <c r="G1648" t="inlineStr">
        <is>
          <t>J vs Ben: ULTIMATE Potions Harry Potter Trivia Quiz</t>
        </is>
      </c>
      <c r="H1648" s="44" t="n">
        <v>0.01600694444444445</v>
      </c>
      <c r="I1648" s="45" t="n">
        <v>437702</v>
      </c>
      <c r="J1648" s="45" t="n">
        <v>14407</v>
      </c>
      <c r="K1648" s="45" t="n">
        <v>1677</v>
      </c>
      <c r="L1648" s="46" t="n"/>
      <c r="M1648" s="47" t="n"/>
      <c r="N1648" s="47" t="inlineStr">
        <is>
          <t>UCKZo4N0lVPccBkSiuyVh4yg</t>
        </is>
      </c>
      <c r="O1648" s="48" t="n">
        <v>43951.98055555556</v>
      </c>
      <c r="P1648" s="49" t="n">
        <v>43951</v>
      </c>
      <c r="Q1648" s="47" t="n">
        <v>1620</v>
      </c>
      <c r="R1648" s="47" t="inlineStr">
        <is>
          <t>No Video ID yet</t>
        </is>
      </c>
      <c r="S1648" s="49" t="n"/>
      <c r="T1648" s="49" t="n"/>
      <c r="U1648" s="47" t="inlineStr">
        <is>
          <t>Today J and Ben face off once more to test their Harry Potter Trivia and find out who knows the most about Potions in the wizarding world! #JvsBen #SuperCarlinBrothers #HarryPotter arlin Brothers Coffee ►►</t>
        </is>
      </c>
      <c r="V1648" s="47">
        <f>IF(AND(P1648&gt;=Calendar!$K$2,P1648&lt;EDATE(Calendar!$K$2,1),OR(Calendar!$K$4="*",N1648=Calendar!$K$4)),P1648*100+COUNTIFS($P$6:$P$3267,P1648,$Q$6:$Q$3267,"&lt;="&amp;Q1648,$N$6:$N$3267,Calendar!$K$4),"")</f>
        <v/>
      </c>
      <c r="W1648" s="47">
        <f>IF(AND(B1648=Queue!$C$4,OR(Queue!$K$4="*",N1648=Queue!$K$4)),Q1648,"")</f>
        <v/>
      </c>
    </row>
    <row r="1649">
      <c r="A1649" s="38">
        <f>IF(M1649="","",HYPERLINK("https://www.youtube.com/watch?v="&amp;M1649,"▶"))</f>
        <v/>
      </c>
      <c r="B1649" s="39">
        <f>IF(C1649&lt;&gt;"",C1649,IF(P1649&lt;=IFERROR(INDEX(tblChannels[Watched Through],MATCH(N1649,tblChannels[Channel ID],0)),0),"Watched","Unwatched"))</f>
        <v/>
      </c>
      <c r="C1649" s="40" t="n"/>
      <c r="D1649" s="41" t="n"/>
      <c r="E1649" s="42" t="n">
        <v>43949.75069444445</v>
      </c>
      <c r="F1649" s="50" t="inlineStr">
        <is>
          <t>Super Carlin Brothers</t>
        </is>
      </c>
      <c r="G1649" t="inlineStr">
        <is>
          <t>Dumbledore’s Big Plan: The Chamber of Secrets [Harry Potter Film Theory]</t>
        </is>
      </c>
      <c r="H1649" s="44" t="n">
        <v>0.01197916666666667</v>
      </c>
      <c r="I1649" s="45" t="n">
        <v>1233265</v>
      </c>
      <c r="J1649" s="45" t="n">
        <v>36230</v>
      </c>
      <c r="K1649" s="45" t="n">
        <v>2566</v>
      </c>
      <c r="L1649" s="46" t="n"/>
      <c r="M1649" s="47" t="n"/>
      <c r="N1649" s="47" t="inlineStr">
        <is>
          <t>UCKZo4N0lVPccBkSiuyVh4yg</t>
        </is>
      </c>
      <c r="O1649" s="48" t="n">
        <v>43949.91736111111</v>
      </c>
      <c r="P1649" s="49" t="n">
        <v>43949</v>
      </c>
      <c r="Q1649" s="47" t="n">
        <v>1619</v>
      </c>
      <c r="R1649" s="47" t="inlineStr">
        <is>
          <t>No Video ID yet</t>
        </is>
      </c>
      <c r="S1649" s="49" t="n"/>
      <c r="T1649" s="49" t="n"/>
      <c r="U1649" s="47" t="inlineStr">
        <is>
          <t>Get 15% off your entire order OR 20% off order $200 or more by going to Today J dives into the Wizarding World of Harry Potter for Part Two of Dumbledores Big Plan - The Chamber of Secrets</t>
        </is>
      </c>
      <c r="V1649" s="47">
        <f>IF(AND(P1649&gt;=Calendar!$K$2,P1649&lt;EDATE(Calendar!$K$2,1),OR(Calendar!$K$4="*",N1649=Calendar!$K$4)),P1649*100+COUNTIFS($P$6:$P$3267,P1649,$Q$6:$Q$3267,"&lt;="&amp;Q1649,$N$6:$N$3267,Calendar!$K$4),"")</f>
        <v/>
      </c>
      <c r="W1649" s="47">
        <f>IF(AND(B1649=Queue!$C$4,OR(Queue!$K$4="*",N1649=Queue!$K$4)),Q1649,"")</f>
        <v/>
      </c>
    </row>
    <row r="1650">
      <c r="A1650" s="38">
        <f>IF(M1650="","",HYPERLINK("https://www.youtube.com/watch?v="&amp;M1650,"▶"))</f>
        <v/>
      </c>
      <c r="B1650" s="39">
        <f>IF(C1650&lt;&gt;"",C1650,IF(P1650&lt;=IFERROR(INDEX(tblChannels[Watched Through],MATCH(N1650,tblChannels[Channel ID],0)),0),"Watched","Unwatched"))</f>
        <v/>
      </c>
      <c r="C1650" s="40" t="n"/>
      <c r="D1650" s="41" t="n"/>
      <c r="E1650" s="42" t="n">
        <v>43945.93541666667</v>
      </c>
      <c r="F1650" s="50" t="inlineStr">
        <is>
          <t>Super Carlin Brothers</t>
        </is>
      </c>
      <c r="G1650" t="inlineStr">
        <is>
          <t>Theory Talk LIVE STREAM</t>
        </is>
      </c>
      <c r="H1650" s="44" t="n">
        <v>0.08721064814814815</v>
      </c>
      <c r="I1650" s="45" t="n">
        <v>164532</v>
      </c>
      <c r="J1650" s="45" t="n">
        <v>4945</v>
      </c>
      <c r="K1650" s="45" t="n">
        <v>508</v>
      </c>
      <c r="L1650" s="46" t="n"/>
      <c r="M1650" s="47" t="n"/>
      <c r="N1650" s="47" t="inlineStr">
        <is>
          <t>UCKZo4N0lVPccBkSiuyVh4yg</t>
        </is>
      </c>
      <c r="O1650" s="48" t="n">
        <v>43946.10208333333</v>
      </c>
      <c r="P1650" s="49" t="n">
        <v>43945</v>
      </c>
      <c r="Q1650" s="47" t="n">
        <v>1618</v>
      </c>
      <c r="R1650" s="47" t="inlineStr">
        <is>
          <t>No Video ID yet</t>
        </is>
      </c>
      <c r="S1650" s="49" t="n"/>
      <c r="T1650" s="49" t="n"/>
      <c r="U1650" s="47" t="inlineStr">
        <is>
          <t>Just hanging out talking Dumbledore's BIG Plan and the Disneyverse with all of you!</t>
        </is>
      </c>
      <c r="V1650" s="47">
        <f>IF(AND(P1650&gt;=Calendar!$K$2,P1650&lt;EDATE(Calendar!$K$2,1),OR(Calendar!$K$4="*",N1650=Calendar!$K$4)),P1650*100+COUNTIFS($P$6:$P$3267,P1650,$Q$6:$Q$3267,"&lt;="&amp;Q1650,$N$6:$N$3267,Calendar!$K$4),"")</f>
        <v/>
      </c>
      <c r="W1650" s="47">
        <f>IF(AND(B1650=Queue!$C$4,OR(Queue!$K$4="*",N1650=Queue!$K$4)),Q1650,"")</f>
        <v/>
      </c>
    </row>
    <row r="1651">
      <c r="A1651" s="38">
        <f>IF(M1651="","",HYPERLINK("https://www.youtube.com/watch?v="&amp;M1651,"▶"))</f>
        <v/>
      </c>
      <c r="B1651" s="39">
        <f>IF(C1651&lt;&gt;"",C1651,IF(P1651&lt;=IFERROR(INDEX(tblChannels[Watched Through],MATCH(N1651,tblChannels[Channel ID],0)),0),"Watched","Unwatched"))</f>
        <v/>
      </c>
      <c r="C1651" s="40" t="n"/>
      <c r="D1651" s="41" t="n"/>
      <c r="E1651" s="42" t="n">
        <v>43944.76597222222</v>
      </c>
      <c r="F1651" s="50" t="inlineStr">
        <is>
          <t>Super Carlin Brothers</t>
        </is>
      </c>
      <c r="G1651" t="inlineStr">
        <is>
          <t>The Disneyverse Theory</t>
        </is>
      </c>
      <c r="H1651" s="44" t="n">
        <v>0.01024305555555556</v>
      </c>
      <c r="I1651" s="45" t="n">
        <v>847968</v>
      </c>
      <c r="J1651" s="45" t="n">
        <v>34645</v>
      </c>
      <c r="K1651" s="45" t="n">
        <v>4674</v>
      </c>
      <c r="L1651" s="46" t="n"/>
      <c r="M1651" s="47" t="n"/>
      <c r="N1651" s="47" t="inlineStr">
        <is>
          <t>UCKZo4N0lVPccBkSiuyVh4yg</t>
        </is>
      </c>
      <c r="O1651" s="48" t="n">
        <v>43944.93263888889</v>
      </c>
      <c r="P1651" s="49" t="n">
        <v>43944</v>
      </c>
      <c r="Q1651" s="47" t="n">
        <v>1617</v>
      </c>
      <c r="R1651" s="47" t="inlineStr">
        <is>
          <t>No Video ID yet</t>
        </is>
      </c>
      <c r="S1651" s="49" t="n"/>
      <c r="T1651" s="49" t="n"/>
      <c r="U1651" s="47" t="inlineStr">
        <is>
          <t>You can get started with Candid with $75 off of by using code SCB at Today Ben dives into the world of Disney to discuss the possibility that Disney has been secretly building a joint universe between Frozen, Tangled, Wreck-It-Ralph, Zootopia, Moana and Big Hero 6! #Disney #SuperCarlinBrothers</t>
        </is>
      </c>
      <c r="V1651" s="47">
        <f>IF(AND(P1651&gt;=Calendar!$K$2,P1651&lt;EDATE(Calendar!$K$2,1),OR(Calendar!$K$4="*",N1651=Calendar!$K$4)),P1651*100+COUNTIFS($P$6:$P$3267,P1651,$Q$6:$Q$3267,"&lt;="&amp;Q1651,$N$6:$N$3267,Calendar!$K$4),"")</f>
        <v/>
      </c>
      <c r="W1651" s="47">
        <f>IF(AND(B1651=Queue!$C$4,OR(Queue!$K$4="*",N1651=Queue!$K$4)),Q1651,"")</f>
        <v/>
      </c>
    </row>
    <row r="1652">
      <c r="A1652" s="38">
        <f>IF(M1652="","",HYPERLINK("https://www.youtube.com/watch?v="&amp;M1652,"▶"))</f>
        <v/>
      </c>
      <c r="B1652" s="39">
        <f>IF(C1652&lt;&gt;"",C1652,IF(P1652&lt;=IFERROR(INDEX(tblChannels[Watched Through],MATCH(N1652,tblChannels[Channel ID],0)),0),"Watched","Unwatched"))</f>
        <v/>
      </c>
      <c r="C1652" s="40" t="n"/>
      <c r="D1652" s="41" t="n"/>
      <c r="E1652" s="42" t="n">
        <v>43942.77222222222</v>
      </c>
      <c r="F1652" s="50" t="inlineStr">
        <is>
          <t>Super Carlin Brothers</t>
        </is>
      </c>
      <c r="G1652" t="inlineStr">
        <is>
          <t>Dumbledore's BIG Plan: The Philosopher's Stone [Harry Potter Film Theory]</t>
        </is>
      </c>
      <c r="H1652" s="44" t="n">
        <v>0.01431712962962963</v>
      </c>
      <c r="I1652" s="45" t="n">
        <v>1891222</v>
      </c>
      <c r="J1652" s="45" t="n">
        <v>52201</v>
      </c>
      <c r="K1652" s="45" t="n">
        <v>4179</v>
      </c>
      <c r="L1652" s="46" t="n"/>
      <c r="M1652" s="47" t="n"/>
      <c r="N1652" s="47" t="inlineStr">
        <is>
          <t>UCKZo4N0lVPccBkSiuyVh4yg</t>
        </is>
      </c>
      <c r="O1652" s="48" t="n">
        <v>43942.93888888889</v>
      </c>
      <c r="P1652" s="49" t="n">
        <v>43942</v>
      </c>
      <c r="Q1652" s="47" t="n">
        <v>1616</v>
      </c>
      <c r="R1652" s="47" t="inlineStr">
        <is>
          <t>No Video ID yet</t>
        </is>
      </c>
      <c r="S1652" s="49" t="n"/>
      <c r="T1652" s="49" t="n"/>
      <c r="U1652" s="47" t="inlineStr">
        <is>
          <t>Today J dives into the Wizarding World of Harry Potter to reveal the insane depths of Dumbledore's big plan for Harry Potter and defeating Lord Voldemort.</t>
        </is>
      </c>
      <c r="V1652" s="47">
        <f>IF(AND(P1652&gt;=Calendar!$K$2,P1652&lt;EDATE(Calendar!$K$2,1),OR(Calendar!$K$4="*",N1652=Calendar!$K$4)),P1652*100+COUNTIFS($P$6:$P$3267,P1652,$Q$6:$Q$3267,"&lt;="&amp;Q1652,$N$6:$N$3267,Calendar!$K$4),"")</f>
        <v/>
      </c>
      <c r="W1652" s="47">
        <f>IF(AND(B1652=Queue!$C$4,OR(Queue!$K$4="*",N1652=Queue!$K$4)),Q1652,"")</f>
        <v/>
      </c>
    </row>
    <row r="1653">
      <c r="A1653" s="38">
        <f>IF(M1653="","",HYPERLINK("https://www.youtube.com/watch?v="&amp;M1653,"▶"))</f>
        <v/>
      </c>
      <c r="B1653" s="39">
        <f>IF(C1653&lt;&gt;"",C1653,IF(P1653&lt;=IFERROR(INDEX(tblChannels[Watched Through],MATCH(N1653,tblChannels[Channel ID],0)),0),"Watched","Unwatched"))</f>
        <v/>
      </c>
      <c r="C1653" s="40" t="n"/>
      <c r="D1653" s="41" t="n"/>
      <c r="E1653" s="42" t="n">
        <v>43939.89166666667</v>
      </c>
      <c r="F1653" s="43" t="inlineStr">
        <is>
          <t>Popcorn Culture</t>
        </is>
      </c>
      <c r="G1653" t="inlineStr">
        <is>
          <t>19 - What is it like being a YouTuber?</t>
        </is>
      </c>
      <c r="H1653" s="44" t="n">
        <v>0.03842592592592593</v>
      </c>
      <c r="I1653" s="45" t="n">
        <v>5445</v>
      </c>
      <c r="J1653" s="45" t="n">
        <v>248</v>
      </c>
      <c r="K1653" s="45" t="n">
        <v>17</v>
      </c>
      <c r="L1653" s="46" t="n"/>
      <c r="M1653" s="47" t="n"/>
      <c r="N1653" s="47" t="inlineStr">
        <is>
          <t>UCHfIbq9thHPC8yrKjAdJgDA</t>
        </is>
      </c>
      <c r="O1653" s="48" t="n">
        <v>43940.05833333333</v>
      </c>
      <c r="P1653" s="49" t="n">
        <v>43939</v>
      </c>
      <c r="Q1653" s="47" t="n">
        <v>1615</v>
      </c>
      <c r="R1653" s="47" t="inlineStr">
        <is>
          <t>No Video ID yet</t>
        </is>
      </c>
      <c r="S1653" s="49" t="n"/>
      <c r="T1653" s="49" t="n"/>
      <c r="U1653" s="47" t="inlineStr">
        <is>
          <t>Ben and J discuss: Playing Favorites, Self-Identification, Being a YouTuber, Diablo 2, Acting, Characters, Job Titles, Thumbnail Design, Burnout, and Listener Stories. Check out Scott from NerdSync: Vote for the One True Host on Patreon:</t>
        </is>
      </c>
      <c r="V1653" s="47">
        <f>IF(AND(P1653&gt;=Calendar!$K$2,P1653&lt;EDATE(Calendar!$K$2,1),OR(Calendar!$K$4="*",N1653=Calendar!$K$4)),P1653*100+COUNTIFS($P$6:$P$3267,P1653,$Q$6:$Q$3267,"&lt;="&amp;Q1653,$N$6:$N$3267,Calendar!$K$4),"")</f>
        <v/>
      </c>
      <c r="W1653" s="47">
        <f>IF(AND(B1653=Queue!$C$4,OR(Queue!$K$4="*",N1653=Queue!$K$4)),Q1653,"")</f>
        <v/>
      </c>
    </row>
    <row r="1654">
      <c r="A1654" s="38">
        <f>IF(M1654="","",HYPERLINK("https://www.youtube.com/watch?v="&amp;M1654,"▶"))</f>
        <v/>
      </c>
      <c r="B1654" s="39">
        <f>IF(C1654&lt;&gt;"",C1654,IF(P1654&lt;=IFERROR(INDEX(tblChannels[Watched Through],MATCH(N1654,tblChannels[Channel ID],0)),0),"Watched","Unwatched"))</f>
        <v/>
      </c>
      <c r="C1654" s="40" t="n"/>
      <c r="D1654" s="41" t="n"/>
      <c r="E1654" s="42" t="n">
        <v>43938.92777777778</v>
      </c>
      <c r="F1654" s="53" t="inlineStr">
        <is>
          <t>Jonathan Carlin</t>
        </is>
      </c>
      <c r="G1654" t="inlineStr">
        <is>
          <t>Q&amp;A with Beth and J! (and the twins)</t>
        </is>
      </c>
      <c r="H1654" s="44" t="n">
        <v>0.0415162037037037</v>
      </c>
      <c r="I1654" s="45" t="n">
        <v>45507</v>
      </c>
      <c r="J1654" s="45" t="n">
        <v>1793</v>
      </c>
      <c r="K1654" s="45" t="n">
        <v>180</v>
      </c>
      <c r="L1654" s="46" t="n"/>
      <c r="M1654" s="47" t="n"/>
      <c r="N1654" s="47" t="inlineStr">
        <is>
          <t>UCYPKFe86e6nm4TVUYKLsFUQ</t>
        </is>
      </c>
      <c r="O1654" s="48" t="n">
        <v>43939.09444444445</v>
      </c>
      <c r="P1654" s="49" t="n">
        <v>43938</v>
      </c>
      <c r="Q1654" s="47" t="n">
        <v>1614</v>
      </c>
      <c r="R1654" s="47" t="inlineStr">
        <is>
          <t>No Video ID yet</t>
        </is>
      </c>
      <c r="S1654" s="49" t="n"/>
      <c r="T1654" s="49" t="n"/>
      <c r="U1654" s="47" t="inlineStr">
        <is>
          <t>Beth and J just hanging out and chatting with you guys about the ups and downs of raising newborn twins and a toddler during the quarantine.</t>
        </is>
      </c>
      <c r="V1654" s="47">
        <f>IF(AND(P1654&gt;=Calendar!$K$2,P1654&lt;EDATE(Calendar!$K$2,1),OR(Calendar!$K$4="*",N1654=Calendar!$K$4)),P1654*100+COUNTIFS($P$6:$P$3267,P1654,$Q$6:$Q$3267,"&lt;="&amp;Q1654,$N$6:$N$3267,Calendar!$K$4),"")</f>
        <v/>
      </c>
      <c r="W1654" s="47">
        <f>IF(AND(B1654=Queue!$C$4,OR(Queue!$K$4="*",N1654=Queue!$K$4)),Q1654,"")</f>
        <v/>
      </c>
    </row>
    <row r="1655">
      <c r="A1655" s="38">
        <f>IF(M1655="","",HYPERLINK("https://www.youtube.com/watch?v="&amp;M1655,"▶"))</f>
        <v/>
      </c>
      <c r="B1655" s="39">
        <f>IF(C1655&lt;&gt;"",C1655,IF(P1655&lt;=IFERROR(INDEX(tblChannels[Watched Through],MATCH(N1655,tblChannels[Channel ID],0)),0),"Watched","Unwatched"))</f>
        <v/>
      </c>
      <c r="C1655" s="40" t="n"/>
      <c r="D1655" s="41" t="n"/>
      <c r="E1655" s="42" t="n">
        <v>43937.77708333333</v>
      </c>
      <c r="F1655" s="50" t="inlineStr">
        <is>
          <t>Super Carlin Brothers</t>
        </is>
      </c>
      <c r="G1655" t="inlineStr">
        <is>
          <t>J vs Ben: ULTIMATE Summer Sorcerer Harry Potter TRIVIA Quiz</t>
        </is>
      </c>
      <c r="H1655" s="44" t="n">
        <v>0.01203703703703704</v>
      </c>
      <c r="I1655" s="45" t="n">
        <v>378521</v>
      </c>
      <c r="J1655" s="45" t="n">
        <v>14466</v>
      </c>
      <c r="K1655" s="45" t="n">
        <v>1810</v>
      </c>
      <c r="L1655" s="46" t="n"/>
      <c r="M1655" s="47" t="n"/>
      <c r="N1655" s="47" t="inlineStr">
        <is>
          <t>UCKZo4N0lVPccBkSiuyVh4yg</t>
        </is>
      </c>
      <c r="O1655" s="48" t="n">
        <v>43937.94375</v>
      </c>
      <c r="P1655" s="49" t="n">
        <v>43937</v>
      </c>
      <c r="Q1655" s="47" t="n">
        <v>1613</v>
      </c>
      <c r="R1655" s="47" t="inlineStr">
        <is>
          <t>No Video ID yet</t>
        </is>
      </c>
      <c r="S1655" s="49" t="n"/>
      <c r="T1655" s="49" t="n"/>
      <c r="U1655" s="47" t="inlineStr">
        <is>
          <t>Today J and Ben face off in the Ultimate Wizard Summer showdown to see who knows more about what antics Harry gets up to during his time off from Hogwarts!</t>
        </is>
      </c>
      <c r="V1655" s="47">
        <f>IF(AND(P1655&gt;=Calendar!$K$2,P1655&lt;EDATE(Calendar!$K$2,1),OR(Calendar!$K$4="*",N1655=Calendar!$K$4)),P1655*100+COUNTIFS($P$6:$P$3267,P1655,$Q$6:$Q$3267,"&lt;="&amp;Q1655,$N$6:$N$3267,Calendar!$K$4),"")</f>
        <v/>
      </c>
      <c r="W1655" s="47">
        <f>IF(AND(B1655=Queue!$C$4,OR(Queue!$K$4="*",N1655=Queue!$K$4)),Q1655,"")</f>
        <v/>
      </c>
    </row>
    <row r="1656">
      <c r="A1656" s="38">
        <f>IF(M1656="","",HYPERLINK("https://www.youtube.com/watch?v="&amp;M1656,"▶"))</f>
        <v/>
      </c>
      <c r="B1656" s="39">
        <f>IF(C1656&lt;&gt;"",C1656,IF(P1656&lt;=IFERROR(INDEX(tblChannels[Watched Through],MATCH(N1656,tblChannels[Channel ID],0)),0),"Watched","Unwatched"))</f>
        <v/>
      </c>
      <c r="C1656" s="40" t="n"/>
      <c r="D1656" s="41" t="n"/>
      <c r="E1656" s="42" t="n">
        <v>43937.375</v>
      </c>
      <c r="F1656" s="43" t="inlineStr">
        <is>
          <t>Popcorn Culture</t>
        </is>
      </c>
      <c r="G1656" t="inlineStr">
        <is>
          <t>18 - It's Hard to be Cool at Middle School Dances</t>
        </is>
      </c>
      <c r="H1656" s="44" t="n">
        <v>0.03849537037037037</v>
      </c>
      <c r="I1656" s="45" t="n">
        <v>5582</v>
      </c>
      <c r="J1656" s="45" t="n">
        <v>239</v>
      </c>
      <c r="K1656" s="45" t="n">
        <v>43</v>
      </c>
      <c r="L1656" s="46" t="n"/>
      <c r="M1656" s="47" t="n"/>
      <c r="N1656" s="47" t="inlineStr">
        <is>
          <t>UCHfIbq9thHPC8yrKjAdJgDA</t>
        </is>
      </c>
      <c r="O1656" s="48" t="n">
        <v>43937.54166666666</v>
      </c>
      <c r="P1656" s="49" t="n">
        <v>43937</v>
      </c>
      <c r="Q1656" s="47" t="n">
        <v>1612</v>
      </c>
      <c r="R1656" s="47" t="inlineStr">
        <is>
          <t>No Video ID yet</t>
        </is>
      </c>
      <c r="S1656" s="49" t="n"/>
      <c r="T1656" s="49" t="n"/>
      <c r="U1656" s="47" t="inlineStr">
        <is>
          <t>Ben and J discuss: streaming, global changes from Covid, learning to dance, weddings, middle school dances, being “cool”, the Popcast, movie theaters, streaming services, Tiger King, and aquariums.</t>
        </is>
      </c>
      <c r="V1656" s="47">
        <f>IF(AND(P1656&gt;=Calendar!$K$2,P1656&lt;EDATE(Calendar!$K$2,1),OR(Calendar!$K$4="*",N1656=Calendar!$K$4)),P1656*100+COUNTIFS($P$6:$P$3267,P1656,$Q$6:$Q$3267,"&lt;="&amp;Q1656,$N$6:$N$3267,Calendar!$K$4),"")</f>
        <v/>
      </c>
      <c r="W1656" s="47">
        <f>IF(AND(B1656=Queue!$C$4,OR(Queue!$K$4="*",N1656=Queue!$K$4)),Q1656,"")</f>
        <v/>
      </c>
    </row>
    <row r="1657">
      <c r="A1657" s="38">
        <f>IF(M1657="","",HYPERLINK("https://www.youtube.com/watch?v="&amp;M1657,"▶"))</f>
        <v/>
      </c>
      <c r="B1657" s="39">
        <f>IF(C1657&lt;&gt;"",C1657,IF(P1657&lt;=IFERROR(INDEX(tblChannels[Watched Through],MATCH(N1657,tblChannels[Channel ID],0)),0),"Watched","Unwatched"))</f>
        <v/>
      </c>
      <c r="C1657" s="40" t="n"/>
      <c r="D1657" s="41" t="n"/>
      <c r="E1657" s="42" t="n">
        <v>43935.70972222222</v>
      </c>
      <c r="F1657" s="50" t="inlineStr">
        <is>
          <t>Super Carlin Brothers</t>
        </is>
      </c>
      <c r="G1657" t="inlineStr">
        <is>
          <t>Arendelle SHOULD Have Been Destroyed [Frozen Theory]</t>
        </is>
      </c>
      <c r="H1657" s="44" t="n">
        <v>0.009305555555555555</v>
      </c>
      <c r="I1657" s="45" t="n">
        <v>331397</v>
      </c>
      <c r="J1657" s="45" t="n">
        <v>16057</v>
      </c>
      <c r="K1657" s="45" t="n">
        <v>2062</v>
      </c>
      <c r="L1657" s="46" t="n"/>
      <c r="M1657" s="47" t="n"/>
      <c r="N1657" s="47" t="inlineStr">
        <is>
          <t>UCKZo4N0lVPccBkSiuyVh4yg</t>
        </is>
      </c>
      <c r="O1657" s="48" t="n">
        <v>43935.87638888889</v>
      </c>
      <c r="P1657" s="49" t="n">
        <v>43935</v>
      </c>
      <c r="Q1657" s="47" t="n">
        <v>1611</v>
      </c>
      <c r="R1657" s="47" t="inlineStr">
        <is>
          <t>No Video ID yet</t>
        </is>
      </c>
      <c r="S1657" s="49" t="n"/>
      <c r="T1657" s="49" t="n"/>
      <c r="U1657" s="47" t="inlineStr">
        <is>
          <t>Today J dives into the world of Disney's Frozen to discuss whether or not Arendelle, the city ruled by Anna and Elsa should have been destroyed at the end of the movie!</t>
        </is>
      </c>
      <c r="V1657" s="47">
        <f>IF(AND(P1657&gt;=Calendar!$K$2,P1657&lt;EDATE(Calendar!$K$2,1),OR(Calendar!$K$4="*",N1657=Calendar!$K$4)),P1657*100+COUNTIFS($P$6:$P$3267,P1657,$Q$6:$Q$3267,"&lt;="&amp;Q1657,$N$6:$N$3267,Calendar!$K$4),"")</f>
        <v/>
      </c>
      <c r="W1657" s="47">
        <f>IF(AND(B1657=Queue!$C$4,OR(Queue!$K$4="*",N1657=Queue!$K$4)),Q1657,"")</f>
        <v/>
      </c>
    </row>
    <row r="1658">
      <c r="A1658" s="38">
        <f>IF(M1658="","",HYPERLINK("https://www.youtube.com/watch?v="&amp;M1658,"▶"))</f>
        <v/>
      </c>
      <c r="B1658" s="39">
        <f>IF(C1658&lt;&gt;"",C1658,IF(P1658&lt;=IFERROR(INDEX(tblChannels[Watched Through],MATCH(N1658,tblChannels[Channel ID],0)),0),"Watched","Unwatched"))</f>
        <v/>
      </c>
      <c r="C1658" s="40" t="n"/>
      <c r="D1658" s="41" t="n"/>
      <c r="E1658" s="42" t="n">
        <v>43935.47708333333</v>
      </c>
      <c r="F1658" s="43" t="inlineStr">
        <is>
          <t>Popcorn Culture</t>
        </is>
      </c>
      <c r="G1658" t="inlineStr">
        <is>
          <t>17 - Things That I Thought Made Me Interesting</t>
        </is>
      </c>
      <c r="H1658" s="44" t="n">
        <v>0.0415625</v>
      </c>
      <c r="I1658" s="45" t="n">
        <v>5699</v>
      </c>
      <c r="J1658" s="45" t="n">
        <v>255</v>
      </c>
      <c r="K1658" s="45" t="n">
        <v>33</v>
      </c>
      <c r="L1658" s="46" t="n"/>
      <c r="M1658" s="47" t="n"/>
      <c r="N1658" s="47" t="inlineStr">
        <is>
          <t>UCHfIbq9thHPC8yrKjAdJgDA</t>
        </is>
      </c>
      <c r="O1658" s="48" t="n">
        <v>43935.64375</v>
      </c>
      <c r="P1658" s="49" t="n">
        <v>43935</v>
      </c>
      <c r="Q1658" s="47" t="n">
        <v>1610</v>
      </c>
      <c r="R1658" s="47" t="inlineStr">
        <is>
          <t>No Video ID yet</t>
        </is>
      </c>
      <c r="S1658" s="49" t="n"/>
      <c r="T1658" s="49" t="n"/>
      <c r="U1658" s="47" t="inlineStr">
        <is>
          <t>Ben and J discuss: speed bumps, loud cars, social distancing, talking to the void, bubblegum, ordering pizza, Things that I thought made me interesting, flip flops, sound systems, car noise, and college orientation. Steve Prefontaine Shoes: Who is Steve Prefontaine: How Gum is Made: Support the Pop Patreon:</t>
        </is>
      </c>
      <c r="V1658" s="47">
        <f>IF(AND(P1658&gt;=Calendar!$K$2,P1658&lt;EDATE(Calendar!$K$2,1),OR(Calendar!$K$4="*",N1658=Calendar!$K$4)),P1658*100+COUNTIFS($P$6:$P$3267,P1658,$Q$6:$Q$3267,"&lt;="&amp;Q1658,$N$6:$N$3267,Calendar!$K$4),"")</f>
        <v/>
      </c>
      <c r="W1658" s="47">
        <f>IF(AND(B1658=Queue!$C$4,OR(Queue!$K$4="*",N1658=Queue!$K$4)),Q1658,"")</f>
        <v/>
      </c>
    </row>
    <row r="1659">
      <c r="A1659" s="38">
        <f>IF(M1659="","",HYPERLINK("https://www.youtube.com/watch?v="&amp;M1659,"▶"))</f>
        <v/>
      </c>
      <c r="B1659" s="39">
        <f>IF(C1659&lt;&gt;"",C1659,IF(P1659&lt;=IFERROR(INDEX(tblChannels[Watched Through],MATCH(N1659,tblChannels[Channel ID],0)),0),"Watched","Unwatched"))</f>
        <v/>
      </c>
      <c r="C1659" s="40" t="n"/>
      <c r="D1659" s="41" t="n"/>
      <c r="E1659" s="42" t="n">
        <v>43930.73125</v>
      </c>
      <c r="F1659" s="50" t="inlineStr">
        <is>
          <t>Super Carlin Brothers</t>
        </is>
      </c>
      <c r="G1659" t="inlineStr">
        <is>
          <t>Top 7 Predictions For How Fantastic Beasts Will End [Harry Potter Theory]</t>
        </is>
      </c>
      <c r="H1659" s="44" t="n">
        <v>0.01292824074074074</v>
      </c>
      <c r="I1659" s="45" t="n">
        <v>613893</v>
      </c>
      <c r="J1659" s="45" t="n">
        <v>19168</v>
      </c>
      <c r="K1659" s="45" t="n">
        <v>1970</v>
      </c>
      <c r="L1659" s="46" t="n"/>
      <c r="M1659" s="47" t="n"/>
      <c r="N1659" s="47" t="inlineStr">
        <is>
          <t>UCKZo4N0lVPccBkSiuyVh4yg</t>
        </is>
      </c>
      <c r="O1659" s="48" t="n">
        <v>43930.89791666667</v>
      </c>
      <c r="P1659" s="49" t="n">
        <v>43930</v>
      </c>
      <c r="Q1659" s="47" t="n">
        <v>1609</v>
      </c>
      <c r="R1659" s="47" t="inlineStr">
        <is>
          <t>No Video ID yet</t>
        </is>
      </c>
      <c r="S1659" s="49" t="n"/>
      <c r="T1659" s="49" t="n"/>
      <c r="U1659" s="47" t="inlineStr">
        <is>
          <t>Today Ben dives into the Wizarding World of Harry Potter and Fantastic Beasts to countdown the top 7 predictions for how the rest of the series will shake out! Will Hagrid show up? Voldemort? Is Queenie doomed?</t>
        </is>
      </c>
      <c r="V1659" s="47">
        <f>IF(AND(P1659&gt;=Calendar!$K$2,P1659&lt;EDATE(Calendar!$K$2,1),OR(Calendar!$K$4="*",N1659=Calendar!$K$4)),P1659*100+COUNTIFS($P$6:$P$3267,P1659,$Q$6:$Q$3267,"&lt;="&amp;Q1659,$N$6:$N$3267,Calendar!$K$4),"")</f>
        <v/>
      </c>
      <c r="W1659" s="47">
        <f>IF(AND(B1659=Queue!$C$4,OR(Queue!$K$4="*",N1659=Queue!$K$4)),Q1659,"")</f>
        <v/>
      </c>
    </row>
    <row r="1660">
      <c r="A1660" s="38">
        <f>IF(M1660="","",HYPERLINK("https://www.youtube.com/watch?v="&amp;M1660,"▶"))</f>
        <v/>
      </c>
      <c r="B1660" s="39">
        <f>IF(C1660&lt;&gt;"",C1660,IF(P1660&lt;=IFERROR(INDEX(tblChannels[Watched Through],MATCH(N1660,tblChannels[Channel ID],0)),0),"Watched","Unwatched"))</f>
        <v/>
      </c>
      <c r="C1660" s="40" t="n"/>
      <c r="D1660" s="41" t="n"/>
      <c r="E1660" s="42" t="n">
        <v>43929.47569444445</v>
      </c>
      <c r="F1660" s="53" t="inlineStr">
        <is>
          <t>Jonathan Carlin</t>
        </is>
      </c>
      <c r="G1660" t="inlineStr">
        <is>
          <t>THE TWINS COME HOME!</t>
        </is>
      </c>
      <c r="H1660" s="44" t="n">
        <v>0.00863425925925926</v>
      </c>
      <c r="I1660" s="45" t="n">
        <v>61496</v>
      </c>
      <c r="J1660" s="45" t="n">
        <v>4228</v>
      </c>
      <c r="K1660" s="45" t="n">
        <v>564</v>
      </c>
      <c r="L1660" s="46" t="n"/>
      <c r="M1660" s="47" t="n"/>
      <c r="N1660" s="47" t="inlineStr">
        <is>
          <t>UCYPKFe86e6nm4TVUYKLsFUQ</t>
        </is>
      </c>
      <c r="O1660" s="48" t="n">
        <v>43929.64236111111</v>
      </c>
      <c r="P1660" s="49" t="n">
        <v>43929</v>
      </c>
      <c r="Q1660" s="47" t="n">
        <v>1608</v>
      </c>
      <c r="R1660" s="47" t="inlineStr">
        <is>
          <t>No Video ID yet</t>
        </is>
      </c>
      <c r="S1660" s="49" t="n"/>
      <c r="T1660" s="49" t="n"/>
      <c r="U1660" s="47" t="inlineStr">
        <is>
          <t>This week J and Beth prepare for the arrival of Nick and Nate at the house and the SCB crew bids a fond farewell to Seamus!</t>
        </is>
      </c>
      <c r="V1660" s="47">
        <f>IF(AND(P1660&gt;=Calendar!$K$2,P1660&lt;EDATE(Calendar!$K$2,1),OR(Calendar!$K$4="*",N1660=Calendar!$K$4)),P1660*100+COUNTIFS($P$6:$P$3267,P1660,$Q$6:$Q$3267,"&lt;="&amp;Q1660,$N$6:$N$3267,Calendar!$K$4),"")</f>
        <v/>
      </c>
      <c r="W1660" s="47">
        <f>IF(AND(B1660=Queue!$C$4,OR(Queue!$K$4="*",N1660=Queue!$K$4)),Q1660,"")</f>
        <v/>
      </c>
    </row>
    <row r="1661">
      <c r="A1661" s="38">
        <f>IF(M1661="","",HYPERLINK("https://www.youtube.com/watch?v="&amp;M1661,"▶"))</f>
        <v/>
      </c>
      <c r="B1661" s="39">
        <f>IF(C1661&lt;&gt;"",C1661,IF(P1661&lt;=IFERROR(INDEX(tblChannels[Watched Through],MATCH(N1661,tblChannels[Channel ID],0)),0),"Watched","Unwatched"))</f>
        <v/>
      </c>
      <c r="C1661" s="40" t="n"/>
      <c r="D1661" s="41" t="n"/>
      <c r="E1661" s="42" t="n">
        <v>43928.70972222222</v>
      </c>
      <c r="F1661" s="50" t="inlineStr">
        <is>
          <t>Super Carlin Brothers</t>
        </is>
      </c>
      <c r="G1661" t="inlineStr">
        <is>
          <t>Why Dementors ACTUALLY Affect Harry So Much [Harry Potter Theory]</t>
        </is>
      </c>
      <c r="H1661" s="44" t="n">
        <v>0.0071875</v>
      </c>
      <c r="I1661" s="45" t="n">
        <v>398904</v>
      </c>
      <c r="J1661" s="45" t="n">
        <v>19198</v>
      </c>
      <c r="K1661" s="45" t="n">
        <v>1769</v>
      </c>
      <c r="L1661" s="46" t="n"/>
      <c r="M1661" s="47" t="n"/>
      <c r="N1661" s="47" t="inlineStr">
        <is>
          <t>UCKZo4N0lVPccBkSiuyVh4yg</t>
        </is>
      </c>
      <c r="O1661" s="48" t="n">
        <v>43928.87638888889</v>
      </c>
      <c r="P1661" s="49" t="n">
        <v>43928</v>
      </c>
      <c r="Q1661" s="47" t="n">
        <v>1607</v>
      </c>
      <c r="R1661" s="47" t="inlineStr">
        <is>
          <t>No Video ID yet</t>
        </is>
      </c>
      <c r="S1661" s="49" t="n"/>
      <c r="T1661" s="49" t="n"/>
      <c r="U1661" s="47" t="inlineStr">
        <is>
          <t>Today J dives into the Wizarding world of Harry Potter to try and solve a long standing mystery: Why Dementors actually affect harry so much more than the rest of the students at Hogwarts?</t>
        </is>
      </c>
      <c r="V1661" s="47">
        <f>IF(AND(P1661&gt;=Calendar!$K$2,P1661&lt;EDATE(Calendar!$K$2,1),OR(Calendar!$K$4="*",N1661=Calendar!$K$4)),P1661*100+COUNTIFS($P$6:$P$3267,P1661,$Q$6:$Q$3267,"&lt;="&amp;Q1661,$N$6:$N$3267,Calendar!$K$4),"")</f>
        <v/>
      </c>
      <c r="W1661" s="47">
        <f>IF(AND(B1661=Queue!$C$4,OR(Queue!$K$4="*",N1661=Queue!$K$4)),Q1661,"")</f>
        <v/>
      </c>
    </row>
    <row r="1662">
      <c r="A1662" s="38">
        <f>IF(M1662="","",HYPERLINK("https://www.youtube.com/watch?v="&amp;M1662,"▶"))</f>
        <v/>
      </c>
      <c r="B1662" s="39">
        <f>IF(C1662&lt;&gt;"",C1662,IF(P1662&lt;=IFERROR(INDEX(tblChannels[Watched Through],MATCH(N1662,tblChannels[Channel ID],0)),0),"Watched","Unwatched"))</f>
        <v/>
      </c>
      <c r="C1662" s="40" t="n"/>
      <c r="D1662" s="41" t="n"/>
      <c r="E1662" s="42" t="n">
        <v>43925.77777777778</v>
      </c>
      <c r="F1662" s="52" t="inlineStr">
        <is>
          <t>Super Carlin Gaming</t>
        </is>
      </c>
      <c r="G1662" t="inlineStr">
        <is>
          <t>Can I Beat Pokemon LeafGreen with A SINGLE VULPIX? 🔥[Pokemon Challenge]</t>
        </is>
      </c>
      <c r="H1662" s="44" t="n">
        <v>0.02172453703703704</v>
      </c>
      <c r="I1662" s="45" t="n">
        <v>56239</v>
      </c>
      <c r="J1662" s="45" t="n">
        <v>2583</v>
      </c>
      <c r="K1662" s="45" t="n">
        <v>473</v>
      </c>
      <c r="L1662" s="46" t="n"/>
      <c r="M1662" s="47" t="n"/>
      <c r="N1662" s="47" t="inlineStr">
        <is>
          <t>UCor_9jRnNNZVzTuQ92PKsaQ</t>
        </is>
      </c>
      <c r="O1662" s="48" t="n">
        <v>43925.94444444445</v>
      </c>
      <c r="P1662" s="49" t="n">
        <v>43925</v>
      </c>
      <c r="Q1662" s="47" t="n">
        <v>1606</v>
      </c>
      <c r="R1662" s="47" t="inlineStr">
        <is>
          <t>No Video ID yet</t>
        </is>
      </c>
      <c r="S1662" s="49" t="n"/>
      <c r="T1662" s="49" t="n"/>
      <c r="U1662" s="47" t="inlineStr">
        <is>
          <t>J returns to the world of Pokemon to find out if he can beat Pokemon LeafGreen with a SINGLE Vulpix and no items in this brand new pokemon challenge!</t>
        </is>
      </c>
      <c r="V1662" s="47">
        <f>IF(AND(P1662&gt;=Calendar!$K$2,P1662&lt;EDATE(Calendar!$K$2,1),OR(Calendar!$K$4="*",N1662=Calendar!$K$4)),P1662*100+COUNTIFS($P$6:$P$3267,P1662,$Q$6:$Q$3267,"&lt;="&amp;Q1662,$N$6:$N$3267,Calendar!$K$4),"")</f>
        <v/>
      </c>
      <c r="W1662" s="47">
        <f>IF(AND(B1662=Queue!$C$4,OR(Queue!$K$4="*",N1662=Queue!$K$4)),Q1662,"")</f>
        <v/>
      </c>
    </row>
    <row r="1663">
      <c r="A1663" s="38">
        <f>IF(M1663="","",HYPERLINK("https://www.youtube.com/watch?v="&amp;M1663,"▶"))</f>
        <v/>
      </c>
      <c r="B1663" s="39">
        <f>IF(C1663&lt;&gt;"",C1663,IF(P1663&lt;=IFERROR(INDEX(tblChannels[Watched Through],MATCH(N1663,tblChannels[Channel ID],0)),0),"Watched","Unwatched"))</f>
        <v/>
      </c>
      <c r="C1663" s="40" t="n"/>
      <c r="D1663" s="41" t="n"/>
      <c r="E1663" s="42" t="n">
        <v>43923.80277777778</v>
      </c>
      <c r="F1663" s="50" t="inlineStr">
        <is>
          <t>Super Carlin Brothers</t>
        </is>
      </c>
      <c r="G1663" t="inlineStr">
        <is>
          <t>J vs Ben: The MEGA Harry Potter TRIVIA Quiz</t>
        </is>
      </c>
      <c r="H1663" s="44" t="n">
        <v>0.03295138888888889</v>
      </c>
      <c r="I1663" s="45" t="n">
        <v>1639075</v>
      </c>
      <c r="J1663" s="45" t="n">
        <v>26004</v>
      </c>
      <c r="K1663" s="45" t="n">
        <v>3421</v>
      </c>
      <c r="L1663" s="46" t="n"/>
      <c r="M1663" s="47" t="n"/>
      <c r="N1663" s="47" t="inlineStr">
        <is>
          <t>UCKZo4N0lVPccBkSiuyVh4yg</t>
        </is>
      </c>
      <c r="O1663" s="48" t="n">
        <v>43923.96944444445</v>
      </c>
      <c r="P1663" s="49" t="n">
        <v>43923</v>
      </c>
      <c r="Q1663" s="47" t="n">
        <v>1605</v>
      </c>
      <c r="R1663" s="47" t="inlineStr">
        <is>
          <t>No Video ID yet</t>
        </is>
      </c>
      <c r="S1663" s="49" t="n"/>
      <c r="T1663" s="49" t="n"/>
      <c r="U1663" s="47" t="inlineStr">
        <is>
          <t>Special thanks to all of our amazing patrons for submitting such excellent questions for today’s quiz! Today J and Ben face off to see how knows the most about any and EVERY area of Harry Potter and answer questions posed by their patrons!</t>
        </is>
      </c>
      <c r="V1663" s="47">
        <f>IF(AND(P1663&gt;=Calendar!$K$2,P1663&lt;EDATE(Calendar!$K$2,1),OR(Calendar!$K$4="*",N1663=Calendar!$K$4)),P1663*100+COUNTIFS($P$6:$P$3267,P1663,$Q$6:$Q$3267,"&lt;="&amp;Q1663,$N$6:$N$3267,Calendar!$K$4),"")</f>
        <v/>
      </c>
      <c r="W1663" s="47">
        <f>IF(AND(B1663=Queue!$C$4,OR(Queue!$K$4="*",N1663=Queue!$K$4)),Q1663,"")</f>
        <v/>
      </c>
    </row>
    <row r="1664">
      <c r="A1664" s="38">
        <f>IF(M1664="","",HYPERLINK("https://www.youtube.com/watch?v="&amp;M1664,"▶"))</f>
        <v/>
      </c>
      <c r="B1664" s="39">
        <f>IF(C1664&lt;&gt;"",C1664,IF(P1664&lt;=IFERROR(INDEX(tblChannels[Watched Through],MATCH(N1664,tblChannels[Channel ID],0)),0),"Watched","Unwatched"))</f>
        <v/>
      </c>
      <c r="C1664" s="40" t="n"/>
      <c r="D1664" s="41" t="n"/>
      <c r="E1664" s="42" t="n">
        <v>43923.375</v>
      </c>
      <c r="F1664" s="43" t="inlineStr">
        <is>
          <t>Popcorn Culture</t>
        </is>
      </c>
      <c r="G1664" t="inlineStr">
        <is>
          <t>16 - Harry Potter and Starting Super Carlin Brothers</t>
        </is>
      </c>
      <c r="H1664" s="44" t="n">
        <v>0.0467824074074074</v>
      </c>
      <c r="I1664" s="45" t="n">
        <v>9267</v>
      </c>
      <c r="J1664" s="45" t="n">
        <v>338</v>
      </c>
      <c r="K1664" s="45" t="n">
        <v>83</v>
      </c>
      <c r="L1664" s="46" t="n"/>
      <c r="M1664" s="47" t="n"/>
      <c r="N1664" s="47" t="inlineStr">
        <is>
          <t>UCHfIbq9thHPC8yrKjAdJgDA</t>
        </is>
      </c>
      <c r="O1664" s="48" t="n">
        <v>43923.54166666666</v>
      </c>
      <c r="P1664" s="49" t="n">
        <v>43923</v>
      </c>
      <c r="Q1664" s="47" t="n">
        <v>1604</v>
      </c>
      <c r="R1664" s="47" t="inlineStr">
        <is>
          <t>No Video ID yet</t>
        </is>
      </c>
      <c r="S1664" s="49" t="n"/>
      <c r="T1664" s="49" t="n"/>
      <c r="U1664" s="47" t="inlineStr">
        <is>
          <t>Ben and J discuss: The Emperor’s New Groove, plot holes, Harry Potter, snowball gifts, active reading, audiobooks, yard work, people pleasing, intent vs impact, SCB year 1, Covid-19, work from home, and wearing shoes at home. Show notes: Editor’s Note about Covid/Corona: latest data lead to the conclusion that you are NOT immune to Covid if you’ve already had it. Please stay safe! Support the Pop Patreon: Email us about your audiobook times: mailto: popcornculturepod@gmail.com At home rollercoaster: Submit Your Corny Jokes!:</t>
        </is>
      </c>
      <c r="V1664" s="47">
        <f>IF(AND(P1664&gt;=Calendar!$K$2,P1664&lt;EDATE(Calendar!$K$2,1),OR(Calendar!$K$4="*",N1664=Calendar!$K$4)),P1664*100+COUNTIFS($P$6:$P$3267,P1664,$Q$6:$Q$3267,"&lt;="&amp;Q1664,$N$6:$N$3267,Calendar!$K$4),"")</f>
        <v/>
      </c>
      <c r="W1664" s="47">
        <f>IF(AND(B1664=Queue!$C$4,OR(Queue!$K$4="*",N1664=Queue!$K$4)),Q1664,"")</f>
        <v/>
      </c>
    </row>
    <row r="1665">
      <c r="A1665" s="38">
        <f>IF(M1665="","",HYPERLINK("https://www.youtube.com/watch?v="&amp;M1665,"▶"))</f>
        <v/>
      </c>
      <c r="B1665" s="39">
        <f>IF(C1665&lt;&gt;"",C1665,IF(P1665&lt;=IFERROR(INDEX(tblChannels[Watched Through],MATCH(N1665,tblChannels[Channel ID],0)),0),"Watched","Unwatched"))</f>
        <v/>
      </c>
      <c r="C1665" s="40" t="n"/>
      <c r="D1665" s="41" t="n"/>
      <c r="E1665" s="42" t="n">
        <v>43921.63541666666</v>
      </c>
      <c r="F1665" s="50" t="inlineStr">
        <is>
          <t>Super Carlin Brothers</t>
        </is>
      </c>
      <c r="G1665" t="inlineStr">
        <is>
          <t>The Pixar Theory SONG | SuperCarlinBrothers Songify Remix by  Schmoyoho</t>
        </is>
      </c>
      <c r="H1665" s="44" t="n">
        <v>0.002395833333333333</v>
      </c>
      <c r="I1665" s="45" t="n">
        <v>339789</v>
      </c>
      <c r="J1665" s="45" t="n">
        <v>16084</v>
      </c>
      <c r="K1665" s="45" t="n">
        <v>1698</v>
      </c>
      <c r="L1665" s="46" t="n"/>
      <c r="M1665" s="47" t="n"/>
      <c r="N1665" s="47" t="inlineStr">
        <is>
          <t>UCKZo4N0lVPccBkSiuyVh4yg</t>
        </is>
      </c>
      <c r="O1665" s="48" t="n">
        <v>43921.80208333334</v>
      </c>
      <c r="P1665" s="49" t="n">
        <v>43921</v>
      </c>
      <c r="Q1665" s="47" t="n">
        <v>1603</v>
      </c>
      <c r="R1665" s="47" t="inlineStr">
        <is>
          <t>No Video ID yet</t>
        </is>
      </c>
      <c r="S1665" s="49" t="n"/>
      <c r="T1665" s="49" t="n"/>
      <c r="U1665" s="47" t="inlineStr">
        <is>
          <t>The Pixar Theory Song available for purchase and/or listen here :: Schmoyoho Channel ► The Pixar Theory.One GIANT timeline, one HUGE story.. and now IT'S A SONG!! Thank you so much to the wonderful Gregory Brothers who made this remix for us! Check it out and give them some love!</t>
        </is>
      </c>
      <c r="V1665" s="47">
        <f>IF(AND(P1665&gt;=Calendar!$K$2,P1665&lt;EDATE(Calendar!$K$2,1),OR(Calendar!$K$4="*",N1665=Calendar!$K$4)),P1665*100+COUNTIFS($P$6:$P$3267,P1665,$Q$6:$Q$3267,"&lt;="&amp;Q1665,$N$6:$N$3267,Calendar!$K$4),"")</f>
        <v/>
      </c>
      <c r="W1665" s="47">
        <f>IF(AND(B1665=Queue!$C$4,OR(Queue!$K$4="*",N1665=Queue!$K$4)),Q1665,"")</f>
        <v/>
      </c>
    </row>
    <row r="1666">
      <c r="A1666" s="38">
        <f>IF(M1666="","",HYPERLINK("https://www.youtube.com/watch?v="&amp;M1666,"▶"))</f>
        <v/>
      </c>
      <c r="B1666" s="39">
        <f>IF(C1666&lt;&gt;"",C1666,IF(P1666&lt;=IFERROR(INDEX(tblChannels[Watched Through],MATCH(N1666,tblChannels[Channel ID],0)),0),"Watched","Unwatched"))</f>
        <v/>
      </c>
      <c r="C1666" s="40" t="n"/>
      <c r="D1666" s="41" t="n"/>
      <c r="E1666" s="42" t="n">
        <v>43920.5875</v>
      </c>
      <c r="F1666" s="53" t="inlineStr">
        <is>
          <t>Jonathan Carlin</t>
        </is>
      </c>
      <c r="G1666" t="inlineStr">
        <is>
          <t>The Quarantine Begins!</t>
        </is>
      </c>
      <c r="H1666" s="44" t="n">
        <v>0.007442129629629629</v>
      </c>
      <c r="I1666" s="45" t="n">
        <v>53441</v>
      </c>
      <c r="J1666" s="45" t="n">
        <v>3201</v>
      </c>
      <c r="K1666" s="45" t="n">
        <v>469</v>
      </c>
      <c r="L1666" s="46" t="n"/>
      <c r="M1666" s="47" t="n"/>
      <c r="N1666" s="47" t="inlineStr">
        <is>
          <t>UCYPKFe86e6nm4TVUYKLsFUQ</t>
        </is>
      </c>
      <c r="O1666" s="48" t="n">
        <v>43920.75416666667</v>
      </c>
      <c r="P1666" s="49" t="n">
        <v>43920</v>
      </c>
      <c r="Q1666" s="47" t="n">
        <v>1602</v>
      </c>
      <c r="R1666" s="47" t="inlineStr">
        <is>
          <t>No Video ID yet</t>
        </is>
      </c>
      <c r="S1666" s="49" t="n"/>
      <c r="T1666" s="49" t="n"/>
      <c r="U1666" s="47" t="inlineStr">
        <is>
          <t>This week Seamus tries his FIRST EVER Peanut Butter and Jelly Sandwich and the SCB offices start working from home and practice social distancing.</t>
        </is>
      </c>
      <c r="V1666" s="47">
        <f>IF(AND(P1666&gt;=Calendar!$K$2,P1666&lt;EDATE(Calendar!$K$2,1),OR(Calendar!$K$4="*",N1666=Calendar!$K$4)),P1666*100+COUNTIFS($P$6:$P$3267,P1666,$Q$6:$Q$3267,"&lt;="&amp;Q1666,$N$6:$N$3267,Calendar!$K$4),"")</f>
        <v/>
      </c>
      <c r="W1666" s="47">
        <f>IF(AND(B1666=Queue!$C$4,OR(Queue!$K$4="*",N1666=Queue!$K$4)),Q1666,"")</f>
        <v/>
      </c>
    </row>
    <row r="1667">
      <c r="A1667" s="38">
        <f>IF(M1667="","",HYPERLINK("https://www.youtube.com/watch?v="&amp;M1667,"▶"))</f>
        <v/>
      </c>
      <c r="B1667" s="39">
        <f>IF(C1667&lt;&gt;"",C1667,IF(P1667&lt;=IFERROR(INDEX(tblChannels[Watched Through],MATCH(N1667,tblChannels[Channel ID],0)),0),"Watched","Unwatched"))</f>
        <v/>
      </c>
      <c r="C1667" s="40" t="n"/>
      <c r="D1667" s="41" t="n"/>
      <c r="E1667" s="42" t="n">
        <v>43916.75833333333</v>
      </c>
      <c r="F1667" s="50" t="inlineStr">
        <is>
          <t>Super Carlin Brothers</t>
        </is>
      </c>
      <c r="G1667" t="inlineStr">
        <is>
          <t>Monsters Inc and the MISSING A-113 Easter Egg</t>
        </is>
      </c>
      <c r="H1667" s="44" t="n">
        <v>0.008993055555555556</v>
      </c>
      <c r="I1667" s="45" t="n">
        <v>502185</v>
      </c>
      <c r="J1667" s="45" t="n">
        <v>18607</v>
      </c>
      <c r="K1667" s="45" t="n">
        <v>3107</v>
      </c>
      <c r="L1667" s="46" t="n"/>
      <c r="M1667" s="47" t="n"/>
      <c r="N1667" s="47" t="inlineStr">
        <is>
          <t>UCKZo4N0lVPccBkSiuyVh4yg</t>
        </is>
      </c>
      <c r="O1667" s="48" t="n">
        <v>43916.925</v>
      </c>
      <c r="P1667" s="49" t="n">
        <v>43916</v>
      </c>
      <c r="Q1667" s="47" t="n">
        <v>1601</v>
      </c>
      <c r="R1667" s="47" t="inlineStr">
        <is>
          <t>No Video ID yet</t>
        </is>
      </c>
      <c r="S1667" s="49" t="n"/>
      <c r="T1667" s="49" t="n"/>
      <c r="U1667" s="47" t="inlineStr">
        <is>
          <t>You can get started with Candid with $75 off of by using code SCB at Today Ben dives into the world of Pixar to try and unearth a the missing A113 Easter Egg from Monsters Inc! Does it exist? Can it be found? #SuperCarlinBrothers #Pixar</t>
        </is>
      </c>
      <c r="V1667" s="47">
        <f>IF(AND(P1667&gt;=Calendar!$K$2,P1667&lt;EDATE(Calendar!$K$2,1),OR(Calendar!$K$4="*",N1667=Calendar!$K$4)),P1667*100+COUNTIFS($P$6:$P$3267,P1667,$Q$6:$Q$3267,"&lt;="&amp;Q1667,$N$6:$N$3267,Calendar!$K$4),"")</f>
        <v/>
      </c>
      <c r="W1667" s="47">
        <f>IF(AND(B1667=Queue!$C$4,OR(Queue!$K$4="*",N1667=Queue!$K$4)),Q1667,"")</f>
        <v/>
      </c>
    </row>
    <row r="1668">
      <c r="A1668" s="38">
        <f>IF(M1668="","",HYPERLINK("https://www.youtube.com/watch?v="&amp;M1668,"▶"))</f>
        <v/>
      </c>
      <c r="B1668" s="39">
        <f>IF(C1668&lt;&gt;"",C1668,IF(P1668&lt;=IFERROR(INDEX(tblChannels[Watched Through],MATCH(N1668,tblChannels[Channel ID],0)),0),"Watched","Unwatched"))</f>
        <v/>
      </c>
      <c r="C1668" s="40" t="n"/>
      <c r="D1668" s="41" t="n"/>
      <c r="E1668" s="42" t="n">
        <v>43914.65</v>
      </c>
      <c r="F1668" s="50" t="inlineStr">
        <is>
          <t>Super Carlin Brothers</t>
        </is>
      </c>
      <c r="G1668" t="inlineStr">
        <is>
          <t>THE TWINS ARE BORN! - J Becomes a Dad! (again)</t>
        </is>
      </c>
      <c r="H1668" s="44" t="n">
        <v>0.01152777777777778</v>
      </c>
      <c r="I1668" s="45" t="n">
        <v>126348</v>
      </c>
      <c r="J1668" s="45" t="n">
        <v>9009</v>
      </c>
      <c r="K1668" s="45" t="n">
        <v>1022</v>
      </c>
      <c r="L1668" s="46" t="n"/>
      <c r="M1668" s="47" t="n"/>
      <c r="N1668" s="47" t="inlineStr">
        <is>
          <t>UCKZo4N0lVPccBkSiuyVh4yg</t>
        </is>
      </c>
      <c r="O1668" s="48" t="n">
        <v>43914.81666666667</v>
      </c>
      <c r="P1668" s="49" t="n">
        <v>43914</v>
      </c>
      <c r="Q1668" s="47" t="n">
        <v>1600</v>
      </c>
      <c r="R1668" s="47" t="inlineStr">
        <is>
          <t>No Video ID yet</t>
        </is>
      </c>
      <c r="S1668" s="49" t="n"/>
      <c r="T1668" s="49" t="n"/>
      <c r="U1668" s="47" t="inlineStr">
        <is>
          <t>Welcome to the world Nick &amp; Nate! Today J dives into the world of parenthood to discover what its like to be the father of three sons!</t>
        </is>
      </c>
      <c r="V1668" s="47">
        <f>IF(AND(P1668&gt;=Calendar!$K$2,P1668&lt;EDATE(Calendar!$K$2,1),OR(Calendar!$K$4="*",N1668=Calendar!$K$4)),P1668*100+COUNTIFS($P$6:$P$3267,P1668,$Q$6:$Q$3267,"&lt;="&amp;Q1668,$N$6:$N$3267,Calendar!$K$4),"")</f>
        <v/>
      </c>
      <c r="W1668" s="47">
        <f>IF(AND(B1668=Queue!$C$4,OR(Queue!$K$4="*",N1668=Queue!$K$4)),Q1668,"")</f>
        <v/>
      </c>
    </row>
    <row r="1669">
      <c r="A1669" s="38">
        <f>IF(M1669="","",HYPERLINK("https://www.youtube.com/watch?v="&amp;M1669,"▶"))</f>
        <v/>
      </c>
      <c r="B1669" s="39">
        <f>IF(C1669&lt;&gt;"",C1669,IF(P1669&lt;=IFERROR(INDEX(tblChannels[Watched Through],MATCH(N1669,tblChannels[Channel ID],0)),0),"Watched","Unwatched"))</f>
        <v/>
      </c>
      <c r="C1669" s="40" t="n"/>
      <c r="D1669" s="41" t="n"/>
      <c r="E1669" s="42" t="n">
        <v>43913.41666666666</v>
      </c>
      <c r="F1669" s="53" t="inlineStr">
        <is>
          <t>Jonathan Carlin</t>
        </is>
      </c>
      <c r="G1669" t="inlineStr">
        <is>
          <t>Holding Both Twins For The First Time!</t>
        </is>
      </c>
      <c r="H1669" s="44" t="n">
        <v>0.005960648148148148</v>
      </c>
      <c r="I1669" s="45" t="n">
        <v>47061</v>
      </c>
      <c r="J1669" s="45" t="n">
        <v>3208</v>
      </c>
      <c r="K1669" s="45" t="n">
        <v>255</v>
      </c>
      <c r="L1669" s="46" t="n"/>
      <c r="M1669" s="47" t="n"/>
      <c r="N1669" s="47" t="inlineStr">
        <is>
          <t>UCYPKFe86e6nm4TVUYKLsFUQ</t>
        </is>
      </c>
      <c r="O1669" s="48" t="n">
        <v>43913.58333333334</v>
      </c>
      <c r="P1669" s="49" t="n">
        <v>43913</v>
      </c>
      <c r="Q1669" s="47" t="n">
        <v>1599</v>
      </c>
      <c r="R1669" s="47" t="inlineStr">
        <is>
          <t>No Video ID yet</t>
        </is>
      </c>
      <c r="S1669" s="49" t="n"/>
      <c r="T1669" s="49" t="n"/>
      <c r="U1669" s="47" t="inlineStr">
        <is>
          <t>Three weeks into their NICU stay J is finally able to hold both of his new sons at the same time. Also Seamus and Mr. Bob start a country western band!</t>
        </is>
      </c>
      <c r="V1669" s="47">
        <f>IF(AND(P1669&gt;=Calendar!$K$2,P1669&lt;EDATE(Calendar!$K$2,1),OR(Calendar!$K$4="*",N1669=Calendar!$K$4)),P1669*100+COUNTIFS($P$6:$P$3267,P1669,$Q$6:$Q$3267,"&lt;="&amp;Q1669,$N$6:$N$3267,Calendar!$K$4),"")</f>
        <v/>
      </c>
      <c r="W1669" s="47">
        <f>IF(AND(B1669=Queue!$C$4,OR(Queue!$K$4="*",N1669=Queue!$K$4)),Q1669,"")</f>
        <v/>
      </c>
    </row>
    <row r="1670">
      <c r="A1670" s="38">
        <f>IF(M1670="","",HYPERLINK("https://www.youtube.com/watch?v="&amp;M1670,"▶"))</f>
        <v/>
      </c>
      <c r="B1670" s="39">
        <f>IF(C1670&lt;&gt;"",C1670,IF(P1670&lt;=IFERROR(INDEX(tblChannels[Watched Through],MATCH(N1670,tblChannels[Channel ID],0)),0),"Watched","Unwatched"))</f>
        <v/>
      </c>
      <c r="C1670" s="40" t="n"/>
      <c r="D1670" s="41" t="n"/>
      <c r="E1670" s="42" t="n">
        <v>43909.54166666666</v>
      </c>
      <c r="F1670" s="50" t="inlineStr">
        <is>
          <t>Super Carlin Brothers</t>
        </is>
      </c>
      <c r="G1670" t="inlineStr">
        <is>
          <t>J vs Ben: ULTIMATE Arthur &amp; Molly Weasley Quiz [Harry Potter Trivia]</t>
        </is>
      </c>
      <c r="H1670" s="44" t="n">
        <v>0.01583333333333333</v>
      </c>
      <c r="I1670" s="45" t="n">
        <v>252451</v>
      </c>
      <c r="J1670" s="45" t="n">
        <v>9899</v>
      </c>
      <c r="K1670" s="45" t="n">
        <v>1449</v>
      </c>
      <c r="L1670" s="46" t="n"/>
      <c r="M1670" s="47" t="n"/>
      <c r="N1670" s="47" t="inlineStr">
        <is>
          <t>UCKZo4N0lVPccBkSiuyVh4yg</t>
        </is>
      </c>
      <c r="O1670" s="48" t="n">
        <v>43909.70833333334</v>
      </c>
      <c r="P1670" s="49" t="n">
        <v>43909</v>
      </c>
      <c r="Q1670" s="47" t="n">
        <v>1598</v>
      </c>
      <c r="R1670" s="47" t="inlineStr">
        <is>
          <t>No Video ID yet</t>
        </is>
      </c>
      <c r="S1670" s="49" t="n"/>
      <c r="T1670" s="49" t="n"/>
      <c r="U1670" s="47" t="inlineStr">
        <is>
          <t>Use Code “SCB” for 10% off your order of Ridge Wallets Play along with us! :: Today J and Ben take on the Hardest Molly and Arthur Weasley Quiz on the internet to find out who knows the most about Harry Potters most adorable couple! Edited by: Scott Niswander</t>
        </is>
      </c>
      <c r="V1670" s="47">
        <f>IF(AND(P1670&gt;=Calendar!$K$2,P1670&lt;EDATE(Calendar!$K$2,1),OR(Calendar!$K$4="*",N1670=Calendar!$K$4)),P1670*100+COUNTIFS($P$6:$P$3267,P1670,$Q$6:$Q$3267,"&lt;="&amp;Q1670,$N$6:$N$3267,Calendar!$K$4),"")</f>
        <v/>
      </c>
      <c r="W1670" s="47">
        <f>IF(AND(B1670=Queue!$C$4,OR(Queue!$K$4="*",N1670=Queue!$K$4)),Q1670,"")</f>
        <v/>
      </c>
    </row>
    <row r="1671">
      <c r="A1671" s="38">
        <f>IF(M1671="","",HYPERLINK("https://www.youtube.com/watch?v="&amp;M1671,"▶"))</f>
        <v/>
      </c>
      <c r="B1671" s="39">
        <f>IF(C1671&lt;&gt;"",C1671,IF(P1671&lt;=IFERROR(INDEX(tblChannels[Watched Through],MATCH(N1671,tblChannels[Channel ID],0)),0),"Watched","Unwatched"))</f>
        <v/>
      </c>
      <c r="C1671" s="40" t="n"/>
      <c r="D1671" s="41" t="n"/>
      <c r="E1671" s="42" t="n">
        <v>43908.48055555556</v>
      </c>
      <c r="F1671" s="52" t="inlineStr">
        <is>
          <t>Super Carlin Gaming</t>
        </is>
      </c>
      <c r="G1671" t="inlineStr">
        <is>
          <t>Hogwarts Founders LIGHT EVERYTHING ON FIRE in SIMS 4 | Episode #11</t>
        </is>
      </c>
      <c r="H1671" s="44" t="n">
        <v>0.02090277777777778</v>
      </c>
      <c r="I1671" s="45" t="n">
        <v>28601</v>
      </c>
      <c r="J1671" s="45" t="n">
        <v>1185</v>
      </c>
      <c r="K1671" s="45" t="n">
        <v>287</v>
      </c>
      <c r="L1671" s="46" t="n"/>
      <c r="M1671" s="47" t="n"/>
      <c r="N1671" s="47" t="inlineStr">
        <is>
          <t>UCor_9jRnNNZVzTuQ92PKsaQ</t>
        </is>
      </c>
      <c r="O1671" s="48" t="n">
        <v>43908.64722222222</v>
      </c>
      <c r="P1671" s="49" t="n">
        <v>43908</v>
      </c>
      <c r="Q1671" s="47" t="n">
        <v>1597</v>
      </c>
      <c r="R1671" s="47" t="inlineStr">
        <is>
          <t>No Video ID yet</t>
        </is>
      </c>
      <c r="S1671" s="49" t="n"/>
      <c r="T1671" s="49" t="n"/>
      <c r="U1671" s="47" t="inlineStr">
        <is>
          <t>J and Ben continue the founding of Hogwarts with Godric Gryffindor, Rowena Ravenclaw, Helga Hufflepuff and Salazar Slytherin! The Weasleys move into the Burrow, the Founders throw another successful party, and then decide to torment a visitor for funsies. #Sims4 #HarryPotter #LetsPlay #PrettyObvious</t>
        </is>
      </c>
      <c r="V1671" s="47">
        <f>IF(AND(P1671&gt;=Calendar!$K$2,P1671&lt;EDATE(Calendar!$K$2,1),OR(Calendar!$K$4="*",N1671=Calendar!$K$4)),P1671*100+COUNTIFS($P$6:$P$3267,P1671,$Q$6:$Q$3267,"&lt;="&amp;Q1671,$N$6:$N$3267,Calendar!$K$4),"")</f>
        <v/>
      </c>
      <c r="W1671" s="47">
        <f>IF(AND(B1671=Queue!$C$4,OR(Queue!$K$4="*",N1671=Queue!$K$4)),Q1671,"")</f>
        <v/>
      </c>
    </row>
    <row r="1672">
      <c r="A1672" s="38">
        <f>IF(M1672="","",HYPERLINK("https://www.youtube.com/watch?v="&amp;M1672,"▶"))</f>
        <v/>
      </c>
      <c r="B1672" s="39">
        <f>IF(C1672&lt;&gt;"",C1672,IF(P1672&lt;=IFERROR(INDEX(tblChannels[Watched Through],MATCH(N1672,tblChannels[Channel ID],0)),0),"Watched","Unwatched"))</f>
        <v/>
      </c>
      <c r="C1672" s="40" t="n"/>
      <c r="D1672" s="41" t="n"/>
      <c r="E1672" s="42" t="n">
        <v>43907.8375</v>
      </c>
      <c r="F1672" s="50" t="inlineStr">
        <is>
          <t>Super Carlin Brothers</t>
        </is>
      </c>
      <c r="G1672" t="inlineStr">
        <is>
          <t>What Is Voldemort’s Patronus? [Harry Potter Theory]</t>
        </is>
      </c>
      <c r="H1672" s="44" t="n">
        <v>0.008657407407407407</v>
      </c>
      <c r="I1672" s="45" t="n">
        <v>695314</v>
      </c>
      <c r="J1672" s="45" t="n">
        <v>25476</v>
      </c>
      <c r="K1672" s="45" t="n">
        <v>3505</v>
      </c>
      <c r="L1672" s="46" t="n"/>
      <c r="M1672" s="47" t="n"/>
      <c r="N1672" s="47" t="inlineStr">
        <is>
          <t>UCKZo4N0lVPccBkSiuyVh4yg</t>
        </is>
      </c>
      <c r="O1672" s="48" t="n">
        <v>43908.00416666667</v>
      </c>
      <c r="P1672" s="49" t="n">
        <v>43907</v>
      </c>
      <c r="Q1672" s="47" t="n">
        <v>1596</v>
      </c>
      <c r="R1672" s="47" t="inlineStr">
        <is>
          <t>No Video ID yet</t>
        </is>
      </c>
      <c r="S1672" s="49" t="n"/>
      <c r="T1672" s="49" t="n"/>
      <c r="U1672" s="47" t="inlineStr">
        <is>
          <t>Hurry to to find out HOW LOW your Upstart rate is. Today J dives into the Wizarding World of Harry Potter to try and determine what Voldemort’s patronus might be.. If he could indeed cast one #TheOneWhoEatsHoney Edited by: Scott Niswander Sources ::</t>
        </is>
      </c>
      <c r="V1672" s="47">
        <f>IF(AND(P1672&gt;=Calendar!$K$2,P1672&lt;EDATE(Calendar!$K$2,1),OR(Calendar!$K$4="*",N1672=Calendar!$K$4)),P1672*100+COUNTIFS($P$6:$P$3267,P1672,$Q$6:$Q$3267,"&lt;="&amp;Q1672,$N$6:$N$3267,Calendar!$K$4),"")</f>
        <v/>
      </c>
      <c r="W1672" s="47">
        <f>IF(AND(B1672=Queue!$C$4,OR(Queue!$K$4="*",N1672=Queue!$K$4)),Q1672,"")</f>
        <v/>
      </c>
    </row>
    <row r="1673">
      <c r="A1673" s="38">
        <f>IF(M1673="","",HYPERLINK("https://www.youtube.com/watch?v="&amp;M1673,"▶"))</f>
        <v/>
      </c>
      <c r="B1673" s="39">
        <f>IF(C1673&lt;&gt;"",C1673,IF(P1673&lt;=IFERROR(INDEX(tblChannels[Watched Through],MATCH(N1673,tblChannels[Channel ID],0)),0),"Watched","Unwatched"))</f>
        <v/>
      </c>
      <c r="C1673" s="40" t="n"/>
      <c r="D1673" s="41" t="n"/>
      <c r="E1673" s="42" t="n">
        <v>43906.62986111111</v>
      </c>
      <c r="F1673" s="43" t="inlineStr">
        <is>
          <t>Popcorn Culture</t>
        </is>
      </c>
      <c r="G1673" t="inlineStr">
        <is>
          <t>14 - Nails on a Chalk Board, Monster Trucks, and Innate Fears</t>
        </is>
      </c>
      <c r="H1673" s="44" t="n">
        <v>0.03262731481481482</v>
      </c>
      <c r="I1673" s="45" t="n">
        <v>5006</v>
      </c>
      <c r="J1673" s="45" t="n">
        <v>219</v>
      </c>
      <c r="K1673" s="45" t="n">
        <v>38</v>
      </c>
      <c r="L1673" s="46" t="n"/>
      <c r="M1673" s="47" t="n"/>
      <c r="N1673" s="47" t="inlineStr">
        <is>
          <t>UCHfIbq9thHPC8yrKjAdJgDA</t>
        </is>
      </c>
      <c r="O1673" s="48" t="n">
        <v>43906.79652777778</v>
      </c>
      <c r="P1673" s="49" t="n">
        <v>43906</v>
      </c>
      <c r="Q1673" s="47" t="n">
        <v>1595</v>
      </c>
      <c r="R1673" s="47" t="inlineStr">
        <is>
          <t>No Video ID yet</t>
        </is>
      </c>
      <c r="S1673" s="49" t="n"/>
      <c r="T1673" s="49" t="n"/>
      <c r="U1673" s="47" t="inlineStr">
        <is>
          <t>Ben and J discuss: fingernails on a chalkboard, innate fears, Monster trucks, human memory cache, original thoughts, Power Rangers, rock climbing, instant karma, and pants. Innate Fears: Vlog Link - J forgot his pants: Discuss the Podcast on Discord:</t>
        </is>
      </c>
      <c r="V1673" s="47">
        <f>IF(AND(P1673&gt;=Calendar!$K$2,P1673&lt;EDATE(Calendar!$K$2,1),OR(Calendar!$K$4="*",N1673=Calendar!$K$4)),P1673*100+COUNTIFS($P$6:$P$3267,P1673,$Q$6:$Q$3267,"&lt;="&amp;Q1673,$N$6:$N$3267,Calendar!$K$4),"")</f>
        <v/>
      </c>
      <c r="W1673" s="47">
        <f>IF(AND(B1673=Queue!$C$4,OR(Queue!$K$4="*",N1673=Queue!$K$4)),Q1673,"")</f>
        <v/>
      </c>
    </row>
    <row r="1674">
      <c r="A1674" s="38">
        <f>IF(M1674="","",HYPERLINK("https://www.youtube.com/watch?v="&amp;M1674,"▶"))</f>
        <v/>
      </c>
      <c r="B1674" s="39">
        <f>IF(C1674&lt;&gt;"",C1674,IF(P1674&lt;=IFERROR(INDEX(tblChannels[Watched Through],MATCH(N1674,tblChannels[Channel ID],0)),0),"Watched","Unwatched"))</f>
        <v/>
      </c>
      <c r="C1674" s="40" t="n"/>
      <c r="D1674" s="41" t="n"/>
      <c r="E1674" s="42" t="n">
        <v>43906.44236111111</v>
      </c>
      <c r="F1674" s="53" t="inlineStr">
        <is>
          <t>Jonathan Carlin</t>
        </is>
      </c>
      <c r="G1674" t="inlineStr">
        <is>
          <t>Luke &amp; Seamus Learn to Ride a Bike</t>
        </is>
      </c>
      <c r="H1674" s="44" t="n">
        <v>0.01049768518518518</v>
      </c>
      <c r="I1674" s="45" t="n">
        <v>55099</v>
      </c>
      <c r="J1674" s="45" t="n">
        <v>3432</v>
      </c>
      <c r="K1674" s="45" t="n">
        <v>438</v>
      </c>
      <c r="L1674" s="46" t="n"/>
      <c r="M1674" s="47" t="n"/>
      <c r="N1674" s="47" t="inlineStr">
        <is>
          <t>UCYPKFe86e6nm4TVUYKLsFUQ</t>
        </is>
      </c>
      <c r="O1674" s="48" t="n">
        <v>43906.60902777778</v>
      </c>
      <c r="P1674" s="49" t="n">
        <v>43906</v>
      </c>
      <c r="Q1674" s="47" t="n">
        <v>1594</v>
      </c>
      <c r="R1674" s="47" t="inlineStr">
        <is>
          <t>No Video ID yet</t>
        </is>
      </c>
      <c r="S1674" s="49" t="n"/>
      <c r="T1674" s="49" t="n"/>
      <c r="U1674" s="47" t="inlineStr">
        <is>
          <t>This week Luke tries out his strider bike for the first time, while Seamus puts the saying "It's like riding a bike" to the test. We also test boiled vs kettle tea water and check in with the twins in the NICU.</t>
        </is>
      </c>
      <c r="V1674" s="47">
        <f>IF(AND(P1674&gt;=Calendar!$K$2,P1674&lt;EDATE(Calendar!$K$2,1),OR(Calendar!$K$4="*",N1674=Calendar!$K$4)),P1674*100+COUNTIFS($P$6:$P$3267,P1674,$Q$6:$Q$3267,"&lt;="&amp;Q1674,$N$6:$N$3267,Calendar!$K$4),"")</f>
        <v/>
      </c>
      <c r="W1674" s="47">
        <f>IF(AND(B1674=Queue!$C$4,OR(Queue!$K$4="*",N1674=Queue!$K$4)),Q1674,"")</f>
        <v/>
      </c>
    </row>
    <row r="1675">
      <c r="A1675" s="38">
        <f>IF(M1675="","",HYPERLINK("https://www.youtube.com/watch?v="&amp;M1675,"▶"))</f>
        <v/>
      </c>
      <c r="B1675" s="39">
        <f>IF(C1675&lt;&gt;"",C1675,IF(P1675&lt;=IFERROR(INDEX(tblChannels[Watched Through],MATCH(N1675,tblChannels[Channel ID],0)),0),"Watched","Unwatched"))</f>
        <v/>
      </c>
      <c r="C1675" s="40" t="n"/>
      <c r="D1675" s="41" t="n"/>
      <c r="E1675" s="42" t="n">
        <v>43904.39583333334</v>
      </c>
      <c r="F1675" s="43" t="inlineStr">
        <is>
          <t>Popcorn Culture</t>
        </is>
      </c>
      <c r="G1675" t="inlineStr">
        <is>
          <t>13 - Bungee Jumping and Pokémon Cards</t>
        </is>
      </c>
      <c r="H1675" s="44" t="n">
        <v>0.03851851851851852</v>
      </c>
      <c r="I1675" s="45" t="n">
        <v>5426</v>
      </c>
      <c r="J1675" s="45" t="n">
        <v>229</v>
      </c>
      <c r="K1675" s="45" t="n">
        <v>37</v>
      </c>
      <c r="L1675" s="46" t="n"/>
      <c r="M1675" s="47" t="n"/>
      <c r="N1675" s="47" t="inlineStr">
        <is>
          <t>UCHfIbq9thHPC8yrKjAdJgDA</t>
        </is>
      </c>
      <c r="O1675" s="48" t="n">
        <v>43904.5625</v>
      </c>
      <c r="P1675" s="49" t="n">
        <v>43904</v>
      </c>
      <c r="Q1675" s="47" t="n">
        <v>1593</v>
      </c>
      <c r="R1675" s="47" t="inlineStr">
        <is>
          <t>No Video ID yet</t>
        </is>
      </c>
      <c r="S1675" s="49" t="n"/>
      <c r="T1675" s="49" t="n"/>
      <c r="U1675" s="47" t="inlineStr">
        <is>
          <t>Ben and J discuss: fart noises, colors, claustrophobia, SCUBA diving, bungee jumping, Photosynthesis, Trading Card Games, Ben’s entrepreneurial spirit, Pokémon cards, Hot Wheels, “extreme” sports and esports, video game bots, and battle royale bowling. Ben Photos Nevis Bungee jump: Not-Ben Video of Nevis Bungee Jump: Reddit post, skiing video: Mario Kart Series Link: Discuss the Podcast on Discord:</t>
        </is>
      </c>
      <c r="V1675" s="47">
        <f>IF(AND(P1675&gt;=Calendar!$K$2,P1675&lt;EDATE(Calendar!$K$2,1),OR(Calendar!$K$4="*",N1675=Calendar!$K$4)),P1675*100+COUNTIFS($P$6:$P$3267,P1675,$Q$6:$Q$3267,"&lt;="&amp;Q1675,$N$6:$N$3267,Calendar!$K$4),"")</f>
        <v/>
      </c>
      <c r="W1675" s="47">
        <f>IF(AND(B1675=Queue!$C$4,OR(Queue!$K$4="*",N1675=Queue!$K$4)),Q1675,"")</f>
        <v/>
      </c>
    </row>
    <row r="1676">
      <c r="A1676" s="38">
        <f>IF(M1676="","",HYPERLINK("https://www.youtube.com/watch?v="&amp;M1676,"▶"))</f>
        <v/>
      </c>
      <c r="B1676" s="39">
        <f>IF(C1676&lt;&gt;"",C1676,IF(P1676&lt;=IFERROR(INDEX(tblChannels[Watched Through],MATCH(N1676,tblChannels[Channel ID],0)),0),"Watched","Unwatched"))</f>
        <v/>
      </c>
      <c r="C1676" s="40" t="n"/>
      <c r="D1676" s="41" t="n"/>
      <c r="E1676" s="42" t="n">
        <v>43902.95555555556</v>
      </c>
      <c r="F1676" s="50" t="inlineStr">
        <is>
          <t>Super Carlin Brothers</t>
        </is>
      </c>
      <c r="G1676" t="inlineStr">
        <is>
          <t>Queenie is Snape's Grandmother?! feat. Seamus Gorman [Harry Potter Theory]</t>
        </is>
      </c>
      <c r="H1676" s="44" t="n">
        <v>0.009710648148148149</v>
      </c>
      <c r="I1676" s="45" t="n">
        <v>1092254</v>
      </c>
      <c r="J1676" s="45" t="n">
        <v>45594</v>
      </c>
      <c r="K1676" s="45" t="n">
        <v>3078</v>
      </c>
      <c r="L1676" s="46" t="n"/>
      <c r="M1676" s="47" t="n"/>
      <c r="N1676" s="47" t="inlineStr">
        <is>
          <t>UCKZo4N0lVPccBkSiuyVh4yg</t>
        </is>
      </c>
      <c r="O1676" s="48" t="n">
        <v>43903.12222222222</v>
      </c>
      <c r="P1676" s="49" t="n">
        <v>43902</v>
      </c>
      <c r="Q1676" s="47" t="n">
        <v>1592</v>
      </c>
      <c r="R1676" s="47" t="inlineStr">
        <is>
          <t>No Video ID yet</t>
        </is>
      </c>
      <c r="S1676" s="49" t="n"/>
      <c r="T1676" s="49" t="n"/>
      <c r="U1676" s="47" t="inlineStr">
        <is>
          <t>You can get started with Candid with $75 off of by using code SCB at Today Ben and Seamus dive into the Wizarding World of Harry Potter to try and determine if Queenie Goldstien from Fantastic Beasts is actually the grandmother of Severus Snape!</t>
        </is>
      </c>
      <c r="V1676" s="47">
        <f>IF(AND(P1676&gt;=Calendar!$K$2,P1676&lt;EDATE(Calendar!$K$2,1),OR(Calendar!$K$4="*",N1676=Calendar!$K$4)),P1676*100+COUNTIFS($P$6:$P$3267,P1676,$Q$6:$Q$3267,"&lt;="&amp;Q1676,$N$6:$N$3267,Calendar!$K$4),"")</f>
        <v/>
      </c>
      <c r="W1676" s="47">
        <f>IF(AND(B1676=Queue!$C$4,OR(Queue!$K$4="*",N1676=Queue!$K$4)),Q1676,"")</f>
        <v/>
      </c>
    </row>
    <row r="1677">
      <c r="A1677" s="38">
        <f>IF(M1677="","",HYPERLINK("https://www.youtube.com/watch?v="&amp;M1677,"▶"))</f>
        <v/>
      </c>
      <c r="B1677" s="39">
        <f>IF(C1677&lt;&gt;"",C1677,IF(P1677&lt;=IFERROR(INDEX(tblChannels[Watched Through],MATCH(N1677,tblChannels[Channel ID],0)),0),"Watched","Unwatched"))</f>
        <v/>
      </c>
      <c r="C1677" s="40" t="n"/>
      <c r="D1677" s="41" t="n"/>
      <c r="E1677" s="42" t="n">
        <v>43902.58333333334</v>
      </c>
      <c r="F1677" s="43" t="inlineStr">
        <is>
          <t>Popcorn Culture</t>
        </is>
      </c>
      <c r="G1677" t="inlineStr">
        <is>
          <t>12 - Horoscopes, First Memories, and How To Name A Child</t>
        </is>
      </c>
      <c r="H1677" s="44" t="n">
        <v>0.04123842592592593</v>
      </c>
      <c r="I1677" s="45" t="n">
        <v>6149</v>
      </c>
      <c r="J1677" s="45" t="n">
        <v>231</v>
      </c>
      <c r="K1677" s="45" t="n">
        <v>49</v>
      </c>
      <c r="L1677" s="46" t="n"/>
      <c r="M1677" s="47" t="n"/>
      <c r="N1677" s="47" t="inlineStr">
        <is>
          <t>UCHfIbq9thHPC8yrKjAdJgDA</t>
        </is>
      </c>
      <c r="O1677" s="48" t="n">
        <v>43902.75</v>
      </c>
      <c r="P1677" s="49" t="n">
        <v>43902</v>
      </c>
      <c r="Q1677" s="47" t="n">
        <v>1591</v>
      </c>
      <c r="R1677" s="47" t="inlineStr">
        <is>
          <t>No Video ID yet</t>
        </is>
      </c>
      <c r="S1677" s="49" t="n"/>
      <c r="T1677" s="49" t="n"/>
      <c r="U1677" s="47" t="inlineStr">
        <is>
          <t>Ben and J discuss: patience, life-changing news, how to name a child, zodiac signs, horoscopes, first memories, the Mandela effect, vlogging, other near-death experiences, narwhals and jackalopes, great white sharks, cornbread, and interesting bonus content. Twins born on different dates: Grizzly Umbrellas: The Mandela Effect: Deep Blue the Giant Shark: Discuss the Podcast on Discord:</t>
        </is>
      </c>
      <c r="V1677" s="47">
        <f>IF(AND(P1677&gt;=Calendar!$K$2,P1677&lt;EDATE(Calendar!$K$2,1),OR(Calendar!$K$4="*",N1677=Calendar!$K$4)),P1677*100+COUNTIFS($P$6:$P$3267,P1677,$Q$6:$Q$3267,"&lt;="&amp;Q1677,$N$6:$N$3267,Calendar!$K$4),"")</f>
        <v/>
      </c>
      <c r="W1677" s="47">
        <f>IF(AND(B1677=Queue!$C$4,OR(Queue!$K$4="*",N1677=Queue!$K$4)),Q1677,"")</f>
        <v/>
      </c>
    </row>
    <row r="1678">
      <c r="A1678" s="38">
        <f>IF(M1678="","",HYPERLINK("https://www.youtube.com/watch?v="&amp;M1678,"▶"))</f>
        <v/>
      </c>
      <c r="B1678" s="39">
        <f>IF(C1678&lt;&gt;"",C1678,IF(P1678&lt;=IFERROR(INDEX(tblChannels[Watched Through],MATCH(N1678,tblChannels[Channel ID],0)),0),"Watched","Unwatched"))</f>
        <v/>
      </c>
      <c r="C1678" s="40" t="n"/>
      <c r="D1678" s="41" t="n"/>
      <c r="E1678" s="42" t="n">
        <v>43901.44305555556</v>
      </c>
      <c r="F1678" s="52" t="inlineStr">
        <is>
          <t>Super Carlin Gaming</t>
        </is>
      </c>
      <c r="G1678" t="inlineStr">
        <is>
          <t>WE OPEN AN ENTIRE POKEMON SWORD &amp; SHIELD BOOSTER BOX</t>
        </is>
      </c>
      <c r="H1678" s="44" t="n">
        <v>0.009282407407407408</v>
      </c>
      <c r="I1678" s="45" t="n">
        <v>12640</v>
      </c>
      <c r="J1678" s="45" t="n">
        <v>1421</v>
      </c>
      <c r="K1678" s="45" t="n">
        <v>205</v>
      </c>
      <c r="L1678" s="46" t="n"/>
      <c r="M1678" s="47" t="n"/>
      <c r="N1678" s="47" t="inlineStr">
        <is>
          <t>UCor_9jRnNNZVzTuQ92PKsaQ</t>
        </is>
      </c>
      <c r="O1678" s="48" t="n">
        <v>43901.60972222222</v>
      </c>
      <c r="P1678" s="49" t="n">
        <v>43901</v>
      </c>
      <c r="Q1678" s="47" t="n">
        <v>1590</v>
      </c>
      <c r="R1678" s="47" t="inlineStr">
        <is>
          <t>No Video ID yet</t>
        </is>
      </c>
      <c r="S1678" s="49" t="n"/>
      <c r="T1678" s="49" t="n"/>
      <c r="U1678" s="47" t="inlineStr">
        <is>
          <t>This week J and Ben dip their toe into the world of the Pokemon Trading Card game and open an entire Sword &amp; Shield Booster Box with the hopes the value inside will pass the value on the outside!</t>
        </is>
      </c>
      <c r="V1678" s="47">
        <f>IF(AND(P1678&gt;=Calendar!$K$2,P1678&lt;EDATE(Calendar!$K$2,1),OR(Calendar!$K$4="*",N1678=Calendar!$K$4)),P1678*100+COUNTIFS($P$6:$P$3267,P1678,$Q$6:$Q$3267,"&lt;="&amp;Q1678,$N$6:$N$3267,Calendar!$K$4),"")</f>
        <v/>
      </c>
      <c r="W1678" s="47">
        <f>IF(AND(B1678=Queue!$C$4,OR(Queue!$K$4="*",N1678=Queue!$K$4)),Q1678,"")</f>
        <v/>
      </c>
    </row>
    <row r="1679">
      <c r="A1679" s="38">
        <f>IF(M1679="","",HYPERLINK("https://www.youtube.com/watch?v="&amp;M1679,"▶"))</f>
        <v/>
      </c>
      <c r="B1679" s="39">
        <f>IF(C1679&lt;&gt;"",C1679,IF(P1679&lt;=IFERROR(INDEX(tblChannels[Watched Through],MATCH(N1679,tblChannels[Channel ID],0)),0),"Watched","Unwatched"))</f>
        <v/>
      </c>
      <c r="C1679" s="40" t="n"/>
      <c r="D1679" s="41" t="n"/>
      <c r="E1679" s="42" t="n">
        <v>43900.81180555555</v>
      </c>
      <c r="F1679" s="50" t="inlineStr">
        <is>
          <t>Super Carlin Brothers</t>
        </is>
      </c>
      <c r="G1679" t="inlineStr">
        <is>
          <t>How Onward Fits Into The Pixar Theory</t>
        </is>
      </c>
      <c r="H1679" s="44" t="n">
        <v>0.008206018518518519</v>
      </c>
      <c r="I1679" s="45" t="n">
        <v>1100675</v>
      </c>
      <c r="J1679" s="45" t="n">
        <v>42172</v>
      </c>
      <c r="K1679" s="45" t="n">
        <v>3601</v>
      </c>
      <c r="L1679" s="46" t="n"/>
      <c r="M1679" s="47" t="n"/>
      <c r="N1679" s="47" t="inlineStr">
        <is>
          <t>UCKZo4N0lVPccBkSiuyVh4yg</t>
        </is>
      </c>
      <c r="O1679" s="48" t="n">
        <v>43900.97847222222</v>
      </c>
      <c r="P1679" s="49" t="n">
        <v>43900</v>
      </c>
      <c r="Q1679" s="47" t="n">
        <v>1589</v>
      </c>
      <c r="R1679" s="47" t="inlineStr">
        <is>
          <t>No Video ID yet</t>
        </is>
      </c>
      <c r="S1679" s="49" t="n"/>
      <c r="T1679" s="49" t="n"/>
      <c r="U1679" s="47" t="inlineStr">
        <is>
          <t>Today J dives into the wider Pixar universe to reveal the AMAZING way in which Onward fits into the Pixar theory! #Disney #Pixar #Onward</t>
        </is>
      </c>
      <c r="V1679" s="47">
        <f>IF(AND(P1679&gt;=Calendar!$K$2,P1679&lt;EDATE(Calendar!$K$2,1),OR(Calendar!$K$4="*",N1679=Calendar!$K$4)),P1679*100+COUNTIFS($P$6:$P$3267,P1679,$Q$6:$Q$3267,"&lt;="&amp;Q1679,$N$6:$N$3267,Calendar!$K$4),"")</f>
        <v/>
      </c>
      <c r="W1679" s="47">
        <f>IF(AND(B1679=Queue!$C$4,OR(Queue!$K$4="*",N1679=Queue!$K$4)),Q1679,"")</f>
        <v/>
      </c>
    </row>
    <row r="1680">
      <c r="A1680" s="38">
        <f>IF(M1680="","",HYPERLINK("https://www.youtube.com/watch?v="&amp;M1680,"▶"))</f>
        <v/>
      </c>
      <c r="B1680" s="39">
        <f>IF(C1680&lt;&gt;"",C1680,IF(P1680&lt;=IFERROR(INDEX(tblChannels[Watched Through],MATCH(N1680,tblChannels[Channel ID],0)),0),"Watched","Unwatched"))</f>
        <v/>
      </c>
      <c r="C1680" s="40" t="n"/>
      <c r="D1680" s="41" t="n"/>
      <c r="E1680" s="42" t="n">
        <v>43900.62361111111</v>
      </c>
      <c r="F1680" s="43" t="inlineStr">
        <is>
          <t>Popcorn Culture</t>
        </is>
      </c>
      <c r="G1680" t="inlineStr">
        <is>
          <t>11 - Times We Probably Should Have Died</t>
        </is>
      </c>
      <c r="H1680" s="44" t="n">
        <v>0.0425</v>
      </c>
      <c r="I1680" s="45" t="n">
        <v>7081</v>
      </c>
      <c r="J1680" s="45" t="n">
        <v>305</v>
      </c>
      <c r="K1680" s="45" t="n">
        <v>137</v>
      </c>
      <c r="L1680" s="46" t="n"/>
      <c r="M1680" s="47" t="n"/>
      <c r="N1680" s="47" t="inlineStr">
        <is>
          <t>UCHfIbq9thHPC8yrKjAdJgDA</t>
        </is>
      </c>
      <c r="O1680" s="48" t="n">
        <v>43900.79027777778</v>
      </c>
      <c r="P1680" s="49" t="n">
        <v>43900</v>
      </c>
      <c r="Q1680" s="47" t="n">
        <v>1588</v>
      </c>
      <c r="R1680" s="47" t="inlineStr">
        <is>
          <t>No Video ID yet</t>
        </is>
      </c>
      <c r="S1680" s="49" t="n"/>
      <c r="T1680" s="49" t="n"/>
      <c r="U1680" s="47" t="inlineStr">
        <is>
          <t>Ben and J discuss: the physics of sound, rain resistance, chilly willies, favorite candies, skiing, fishing, times we probably should have died, regional phrases, LAN parties, fringe friends, word crutches, and Airplane! How Fans cool people Map of names for grocery carts Maps of soft drink names Check out our Pilot friend Submit Your Corny Jokes!: Discuss the Podcast on Discord:</t>
        </is>
      </c>
      <c r="V1680" s="47">
        <f>IF(AND(P1680&gt;=Calendar!$K$2,P1680&lt;EDATE(Calendar!$K$2,1),OR(Calendar!$K$4="*",N1680=Calendar!$K$4)),P1680*100+COUNTIFS($P$6:$P$3267,P1680,$Q$6:$Q$3267,"&lt;="&amp;Q1680,$N$6:$N$3267,Calendar!$K$4),"")</f>
        <v/>
      </c>
      <c r="W1680" s="47">
        <f>IF(AND(B1680=Queue!$C$4,OR(Queue!$K$4="*",N1680=Queue!$K$4)),Q1680,"")</f>
        <v/>
      </c>
    </row>
    <row r="1681">
      <c r="A1681" s="38">
        <f>IF(M1681="","",HYPERLINK("https://www.youtube.com/watch?v="&amp;M1681,"▶"))</f>
        <v/>
      </c>
      <c r="B1681" s="39">
        <f>IF(C1681&lt;&gt;"",C1681,IF(P1681&lt;=IFERROR(INDEX(tblChannels[Watched Through],MATCH(N1681,tblChannels[Channel ID],0)),0),"Watched","Unwatched"))</f>
        <v/>
      </c>
      <c r="C1681" s="40" t="n"/>
      <c r="D1681" s="41" t="n"/>
      <c r="E1681" s="42" t="n">
        <v>43899.45486111111</v>
      </c>
      <c r="F1681" s="53" t="inlineStr">
        <is>
          <t>Jonathan Carlin</t>
        </is>
      </c>
      <c r="G1681" t="inlineStr">
        <is>
          <t>The Twins Are Born</t>
        </is>
      </c>
      <c r="H1681" s="44" t="n">
        <v>0.0109837962962963</v>
      </c>
      <c r="I1681" s="45" t="n">
        <v>88484</v>
      </c>
      <c r="J1681" s="45" t="n">
        <v>7517</v>
      </c>
      <c r="K1681" s="45" t="n">
        <v>1067</v>
      </c>
      <c r="L1681" s="46" t="n"/>
      <c r="M1681" s="47" t="n"/>
      <c r="N1681" s="47" t="inlineStr">
        <is>
          <t>UCYPKFe86e6nm4TVUYKLsFUQ</t>
        </is>
      </c>
      <c r="O1681" s="48" t="n">
        <v>43899.62152777778</v>
      </c>
      <c r="P1681" s="49" t="n">
        <v>43899</v>
      </c>
      <c r="Q1681" s="47" t="n">
        <v>1587</v>
      </c>
      <c r="R1681" s="47" t="inlineStr">
        <is>
          <t>No Video ID yet</t>
        </is>
      </c>
      <c r="S1681" s="49" t="n"/>
      <c r="T1681" s="49" t="n"/>
      <c r="U1681" s="47" t="inlineStr">
        <is>
          <t>This week J and Beth meet their new twin sons: Nicholas Martin Carlin and Nathan John Carlin Welcome to the world boys!</t>
        </is>
      </c>
      <c r="V1681" s="47">
        <f>IF(AND(P1681&gt;=Calendar!$K$2,P1681&lt;EDATE(Calendar!$K$2,1),OR(Calendar!$K$4="*",N1681=Calendar!$K$4)),P1681*100+COUNTIFS($P$6:$P$3267,P1681,$Q$6:$Q$3267,"&lt;="&amp;Q1681,$N$6:$N$3267,Calendar!$K$4),"")</f>
        <v/>
      </c>
      <c r="W1681" s="47">
        <f>IF(AND(B1681=Queue!$C$4,OR(Queue!$K$4="*",N1681=Queue!$K$4)),Q1681,"")</f>
        <v/>
      </c>
    </row>
    <row r="1682">
      <c r="A1682" s="38">
        <f>IF(M1682="","",HYPERLINK("https://www.youtube.com/watch?v="&amp;M1682,"▶"))</f>
        <v/>
      </c>
      <c r="B1682" s="39">
        <f>IF(C1682&lt;&gt;"",C1682,IF(P1682&lt;=IFERROR(INDEX(tblChannels[Watched Through],MATCH(N1682,tblChannels[Channel ID],0)),0),"Watched","Unwatched"))</f>
        <v/>
      </c>
      <c r="C1682" s="40" t="n"/>
      <c r="D1682" s="41" t="n"/>
      <c r="E1682" s="42" t="n">
        <v>43895.69861111111</v>
      </c>
      <c r="F1682" s="50" t="inlineStr">
        <is>
          <t>Super Carlin Brothers</t>
        </is>
      </c>
      <c r="G1682" t="inlineStr">
        <is>
          <t>REVIEW: Pixar's Onward</t>
        </is>
      </c>
      <c r="H1682" s="44" t="n">
        <v>0.02892361111111111</v>
      </c>
      <c r="I1682" s="45" t="n">
        <v>236851</v>
      </c>
      <c r="J1682" s="45" t="n">
        <v>9166</v>
      </c>
      <c r="K1682" s="45" t="n">
        <v>1745</v>
      </c>
      <c r="L1682" s="46" t="n"/>
      <c r="M1682" s="47" t="n"/>
      <c r="N1682" s="47" t="inlineStr">
        <is>
          <t>UCKZo4N0lVPccBkSiuyVh4yg</t>
        </is>
      </c>
      <c r="O1682" s="48" t="n">
        <v>43895.90694444445</v>
      </c>
      <c r="P1682" s="49" t="n">
        <v>43895</v>
      </c>
      <c r="Q1682" s="47" t="n">
        <v>1586</v>
      </c>
      <c r="R1682" s="47" t="inlineStr">
        <is>
          <t>No Video ID yet</t>
        </is>
      </c>
      <c r="S1682" s="49" t="n"/>
      <c r="T1682" s="49" t="n"/>
      <c r="U1682" s="47" t="inlineStr">
        <is>
          <t>Hurry to to find out HOW LOW your Upstart rate is! Today J and Ben dive into the Pixar Universe to discuss the latest Pixar original movie: Onward and give it their critical review #Disney #Pixar #Onward</t>
        </is>
      </c>
      <c r="V1682" s="47">
        <f>IF(AND(P1682&gt;=Calendar!$K$2,P1682&lt;EDATE(Calendar!$K$2,1),OR(Calendar!$K$4="*",N1682=Calendar!$K$4)),P1682*100+COUNTIFS($P$6:$P$3267,P1682,$Q$6:$Q$3267,"&lt;="&amp;Q1682,$N$6:$N$3267,Calendar!$K$4),"")</f>
        <v/>
      </c>
      <c r="W1682" s="47">
        <f>IF(AND(B1682=Queue!$C$4,OR(Queue!$K$4="*",N1682=Queue!$K$4)),Q1682,"")</f>
        <v/>
      </c>
    </row>
    <row r="1683">
      <c r="A1683" s="38">
        <f>IF(M1683="","",HYPERLINK("https://www.youtube.com/watch?v="&amp;M1683,"▶"))</f>
        <v/>
      </c>
      <c r="B1683" s="39">
        <f>IF(C1683&lt;&gt;"",C1683,IF(P1683&lt;=IFERROR(INDEX(tblChannels[Watched Through],MATCH(N1683,tblChannels[Channel ID],0)),0),"Watched","Unwatched"))</f>
        <v/>
      </c>
      <c r="C1683" s="40" t="n"/>
      <c r="D1683" s="41" t="n"/>
      <c r="E1683" s="42" t="n">
        <v>43894.55486111111</v>
      </c>
      <c r="F1683" s="52" t="inlineStr">
        <is>
          <t>Super Carlin Gaming</t>
        </is>
      </c>
      <c r="G1683" t="inlineStr">
        <is>
          <t>Hogwarts Founders and The APPLE ESCAPADE  in SIMS 4 | Episode #10</t>
        </is>
      </c>
      <c r="H1683" s="44" t="n">
        <v>0.02428240740740741</v>
      </c>
      <c r="I1683" s="45" t="n">
        <v>25592</v>
      </c>
      <c r="J1683" s="45" t="n">
        <v>1015</v>
      </c>
      <c r="K1683" s="45" t="n">
        <v>293</v>
      </c>
      <c r="L1683" s="46" t="n"/>
      <c r="M1683" s="47" t="n"/>
      <c r="N1683" s="47" t="inlineStr">
        <is>
          <t>UCor_9jRnNNZVzTuQ92PKsaQ</t>
        </is>
      </c>
      <c r="O1683" s="48" t="n">
        <v>43894.76319444444</v>
      </c>
      <c r="P1683" s="49" t="n">
        <v>43894</v>
      </c>
      <c r="Q1683" s="47" t="n">
        <v>1585</v>
      </c>
      <c r="R1683" s="47" t="inlineStr">
        <is>
          <t>No Video ID yet</t>
        </is>
      </c>
      <c r="S1683" s="49" t="n"/>
      <c r="T1683" s="49" t="n"/>
      <c r="U1683" s="47" t="inlineStr">
        <is>
          <t>J and Ben continue the founding of Hogwarts with Godric Gryffindor, Rowena Ravenclaw, Helga Hufflepuff and Salazar Slytherin! Malfoy Manor enters the Wizarding World, the Chamber of Sprinkles receives a much needed addition, and Rowena goes on a grand adventure to (finally) find apples. #Sims4 #HarryPotter #LetsPlay</t>
        </is>
      </c>
      <c r="V1683" s="47">
        <f>IF(AND(P1683&gt;=Calendar!$K$2,P1683&lt;EDATE(Calendar!$K$2,1),OR(Calendar!$K$4="*",N1683=Calendar!$K$4)),P1683*100+COUNTIFS($P$6:$P$3267,P1683,$Q$6:$Q$3267,"&lt;="&amp;Q1683,$N$6:$N$3267,Calendar!$K$4),"")</f>
        <v/>
      </c>
      <c r="W1683" s="47">
        <f>IF(AND(B1683=Queue!$C$4,OR(Queue!$K$4="*",N1683=Queue!$K$4)),Q1683,"")</f>
        <v/>
      </c>
    </row>
    <row r="1684">
      <c r="A1684" s="38">
        <f>IF(M1684="","",HYPERLINK("https://www.youtube.com/watch?v="&amp;M1684,"▶"))</f>
        <v/>
      </c>
      <c r="B1684" s="39">
        <f>IF(C1684&lt;&gt;"",C1684,IF(P1684&lt;=IFERROR(INDEX(tblChannels[Watched Through],MATCH(N1684,tblChannels[Channel ID],0)),0),"Watched","Unwatched"))</f>
        <v/>
      </c>
      <c r="C1684" s="40" t="n"/>
      <c r="D1684" s="41" t="n"/>
      <c r="E1684" s="42" t="n">
        <v>43893.64097222222</v>
      </c>
      <c r="F1684" s="50" t="inlineStr">
        <is>
          <t>Super Carlin Brothers</t>
        </is>
      </c>
      <c r="G1684" t="inlineStr">
        <is>
          <t>J vs Ben: ULTIMATE Minerva McGonagall TRIVIA Quiz</t>
        </is>
      </c>
      <c r="H1684" s="44" t="n">
        <v>0.01378472222222222</v>
      </c>
      <c r="I1684" s="45" t="n">
        <v>286776</v>
      </c>
      <c r="J1684" s="45" t="n">
        <v>11235</v>
      </c>
      <c r="K1684" s="45" t="n">
        <v>1643</v>
      </c>
      <c r="L1684" s="46" t="n"/>
      <c r="M1684" s="47" t="n"/>
      <c r="N1684" s="47" t="inlineStr">
        <is>
          <t>UCKZo4N0lVPccBkSiuyVh4yg</t>
        </is>
      </c>
      <c r="O1684" s="48" t="n">
        <v>43893.84930555556</v>
      </c>
      <c r="P1684" s="49" t="n">
        <v>43893</v>
      </c>
      <c r="Q1684" s="47" t="n">
        <v>1584</v>
      </c>
      <c r="R1684" s="47" t="inlineStr">
        <is>
          <t>No Video ID yet</t>
        </is>
      </c>
      <c r="S1684" s="49" t="n"/>
      <c r="T1684" s="49" t="n"/>
      <c r="U1684" s="47" t="inlineStr">
        <is>
          <t>Today J and Ben face off once more to see how knows the Head of Gryffindor House: Minerva McGonagall the BEST?! #JvsBen #HarryPotter #WizardingWorld</t>
        </is>
      </c>
      <c r="V1684" s="47">
        <f>IF(AND(P1684&gt;=Calendar!$K$2,P1684&lt;EDATE(Calendar!$K$2,1),OR(Calendar!$K$4="*",N1684=Calendar!$K$4)),P1684*100+COUNTIFS($P$6:$P$3267,P1684,$Q$6:$Q$3267,"&lt;="&amp;Q1684,$N$6:$N$3267,Calendar!$K$4),"")</f>
        <v/>
      </c>
      <c r="W1684" s="47">
        <f>IF(AND(B1684=Queue!$C$4,OR(Queue!$K$4="*",N1684=Queue!$K$4)),Q1684,"")</f>
        <v/>
      </c>
    </row>
    <row r="1685">
      <c r="A1685" s="38">
        <f>IF(M1685="","",HYPERLINK("https://www.youtube.com/watch?v="&amp;M1685,"▶"))</f>
        <v/>
      </c>
      <c r="B1685" s="39">
        <f>IF(C1685&lt;&gt;"",C1685,IF(P1685&lt;=IFERROR(INDEX(tblChannels[Watched Through],MATCH(N1685,tblChannels[Channel ID],0)),0),"Watched","Unwatched"))</f>
        <v/>
      </c>
      <c r="C1685" s="40" t="n"/>
      <c r="D1685" s="41" t="n"/>
      <c r="E1685" s="42" t="n">
        <v>43892.41666666666</v>
      </c>
      <c r="F1685" s="53" t="inlineStr">
        <is>
          <t>Jonathan Carlin</t>
        </is>
      </c>
      <c r="G1685" t="inlineStr">
        <is>
          <t>We Learn How to SABER a Champagne Bottle!</t>
        </is>
      </c>
      <c r="H1685" s="44" t="n">
        <v>0.007696759259259259</v>
      </c>
      <c r="I1685" s="45" t="n">
        <v>28726</v>
      </c>
      <c r="J1685" s="45" t="n">
        <v>2048</v>
      </c>
      <c r="K1685" s="45" t="n">
        <v>273</v>
      </c>
      <c r="L1685" s="46" t="n"/>
      <c r="M1685" s="47" t="n"/>
      <c r="N1685" s="47" t="inlineStr">
        <is>
          <t>UCYPKFe86e6nm4TVUYKLsFUQ</t>
        </is>
      </c>
      <c r="O1685" s="48" t="n">
        <v>43892.625</v>
      </c>
      <c r="P1685" s="49" t="n">
        <v>43892</v>
      </c>
      <c r="Q1685" s="47" t="n">
        <v>1583</v>
      </c>
      <c r="R1685" s="47" t="inlineStr">
        <is>
          <t>No Video ID yet</t>
        </is>
      </c>
      <c r="S1685" s="49" t="n"/>
      <c r="T1685" s="49" t="n"/>
      <c r="U1685" s="47" t="inlineStr">
        <is>
          <t>This week J and the SCB crew learn how to saber a champagne bottle, Beth makes chocolate cake, and Luke bakes muffins!</t>
        </is>
      </c>
      <c r="V1685" s="47">
        <f>IF(AND(P1685&gt;=Calendar!$K$2,P1685&lt;EDATE(Calendar!$K$2,1),OR(Calendar!$K$4="*",N1685=Calendar!$K$4)),P1685*100+COUNTIFS($P$6:$P$3267,P1685,$Q$6:$Q$3267,"&lt;="&amp;Q1685,$N$6:$N$3267,Calendar!$K$4),"")</f>
        <v/>
      </c>
      <c r="W1685" s="47">
        <f>IF(AND(B1685=Queue!$C$4,OR(Queue!$K$4="*",N1685=Queue!$K$4)),Q1685,"")</f>
        <v/>
      </c>
    </row>
    <row r="1686">
      <c r="A1686" s="38">
        <f>IF(M1686="","",HYPERLINK("https://www.youtube.com/watch?v="&amp;M1686,"▶"))</f>
        <v/>
      </c>
      <c r="B1686" s="39">
        <f>IF(C1686&lt;&gt;"",C1686,IF(P1686&lt;=IFERROR(INDEX(tblChannels[Watched Through],MATCH(N1686,tblChannels[Channel ID],0)),0),"Watched","Unwatched"))</f>
        <v/>
      </c>
      <c r="C1686" s="40" t="n"/>
      <c r="D1686" s="41" t="n"/>
      <c r="E1686" s="42" t="n">
        <v>43888.60277777778</v>
      </c>
      <c r="F1686" s="50" t="inlineStr">
        <is>
          <t>Super Carlin Brothers</t>
        </is>
      </c>
      <c r="G1686" t="inlineStr">
        <is>
          <t>Aberforth's Goats EXPLAINED [Harry Potter Theory]</t>
        </is>
      </c>
      <c r="H1686" s="44" t="n">
        <v>0.009976851851851851</v>
      </c>
      <c r="I1686" s="45" t="n">
        <v>518289</v>
      </c>
      <c r="J1686" s="45" t="n">
        <v>21048</v>
      </c>
      <c r="K1686" s="45" t="n">
        <v>3179</v>
      </c>
      <c r="L1686" s="46" t="n"/>
      <c r="M1686" s="47" t="n"/>
      <c r="N1686" s="47" t="inlineStr">
        <is>
          <t>UCKZo4N0lVPccBkSiuyVh4yg</t>
        </is>
      </c>
      <c r="O1686" s="48" t="n">
        <v>43888.81111111111</v>
      </c>
      <c r="P1686" s="49" t="n">
        <v>43888</v>
      </c>
      <c r="Q1686" s="47" t="n">
        <v>1582</v>
      </c>
      <c r="R1686" s="47" t="inlineStr">
        <is>
          <t>No Video ID yet</t>
        </is>
      </c>
      <c r="S1686" s="49" t="n"/>
      <c r="T1686" s="49" t="n"/>
      <c r="U1686" s="47" t="inlineStr">
        <is>
          <t>You can get started with Candid with $75 off of by using code SCB at Today Ben dives into the Wizarding World of Harry Potter to FINALLY unravel the mystery behind Aberforth Dumbledore's obsession with goats! #HarryPotter #SuperCarlinBrothers #WizardingWorld</t>
        </is>
      </c>
      <c r="V1686" s="47">
        <f>IF(AND(P1686&gt;=Calendar!$K$2,P1686&lt;EDATE(Calendar!$K$2,1),OR(Calendar!$K$4="*",N1686=Calendar!$K$4)),P1686*100+COUNTIFS($P$6:$P$3267,P1686,$Q$6:$Q$3267,"&lt;="&amp;Q1686,$N$6:$N$3267,Calendar!$K$4),"")</f>
        <v/>
      </c>
      <c r="W1686" s="47">
        <f>IF(AND(B1686=Queue!$C$4,OR(Queue!$K$4="*",N1686=Queue!$K$4)),Q1686,"")</f>
        <v/>
      </c>
    </row>
    <row r="1687">
      <c r="A1687" s="38">
        <f>IF(M1687="","",HYPERLINK("https://www.youtube.com/watch?v="&amp;M1687,"▶"))</f>
        <v/>
      </c>
      <c r="B1687" s="39">
        <f>IF(C1687&lt;&gt;"",C1687,IF(P1687&lt;=IFERROR(INDEX(tblChannels[Watched Through],MATCH(N1687,tblChannels[Channel ID],0)),0),"Watched","Unwatched"))</f>
        <v/>
      </c>
      <c r="C1687" s="40" t="n"/>
      <c r="D1687" s="41" t="n"/>
      <c r="E1687" s="42" t="n">
        <v>43888.48402777778</v>
      </c>
      <c r="F1687" s="52" t="inlineStr">
        <is>
          <t>Super Carlin Gaming</t>
        </is>
      </c>
      <c r="G1687" t="inlineStr">
        <is>
          <t>Hogwarts Founders and The Chamber of SPRINKLES in SIMS 4 | Episode #9</t>
        </is>
      </c>
      <c r="H1687" s="44" t="n">
        <v>0.01875</v>
      </c>
      <c r="I1687" s="45" t="n">
        <v>26602</v>
      </c>
      <c r="J1687" s="45" t="n">
        <v>1008</v>
      </c>
      <c r="K1687" s="45" t="n">
        <v>238</v>
      </c>
      <c r="L1687" s="46" t="n"/>
      <c r="M1687" s="47" t="n"/>
      <c r="N1687" s="47" t="inlineStr">
        <is>
          <t>UCor_9jRnNNZVzTuQ92PKsaQ</t>
        </is>
      </c>
      <c r="O1687" s="48" t="n">
        <v>43888.69236111111</v>
      </c>
      <c r="P1687" s="49" t="n">
        <v>43888</v>
      </c>
      <c r="Q1687" s="47" t="n">
        <v>1581</v>
      </c>
      <c r="R1687" s="47" t="inlineStr">
        <is>
          <t>No Video ID yet</t>
        </is>
      </c>
      <c r="S1687" s="49" t="n"/>
      <c r="T1687" s="49" t="n"/>
      <c r="U1687" s="47" t="inlineStr">
        <is>
          <t>J and Ben continue the founding of Hogwarts with Godric Gryffindor, Rowena Ravenclaw, Helga Hufflepuff and Salazar Slytherin! The Lovegoods and plentiful Gilderoys enter the world, and Hogwarts Castle gets a much needed addition. #Sims4 #HarryPotter #LetsPlay C O F F E E ➜</t>
        </is>
      </c>
      <c r="V1687" s="47">
        <f>IF(AND(P1687&gt;=Calendar!$K$2,P1687&lt;EDATE(Calendar!$K$2,1),OR(Calendar!$K$4="*",N1687=Calendar!$K$4)),P1687*100+COUNTIFS($P$6:$P$3267,P1687,$Q$6:$Q$3267,"&lt;="&amp;Q1687,$N$6:$N$3267,Calendar!$K$4),"")</f>
        <v/>
      </c>
      <c r="W1687" s="47">
        <f>IF(AND(B1687=Queue!$C$4,OR(Queue!$K$4="*",N1687=Queue!$K$4)),Q1687,"")</f>
        <v/>
      </c>
    </row>
    <row r="1688">
      <c r="A1688" s="38">
        <f>IF(M1688="","",HYPERLINK("https://www.youtube.com/watch?v="&amp;M1688,"▶"))</f>
        <v/>
      </c>
      <c r="B1688" s="39">
        <f>IF(C1688&lt;&gt;"",C1688,IF(P1688&lt;=IFERROR(INDEX(tblChannels[Watched Through],MATCH(N1688,tblChannels[Channel ID],0)),0),"Watched","Unwatched"))</f>
        <v/>
      </c>
      <c r="C1688" s="40" t="n"/>
      <c r="D1688" s="41" t="n"/>
      <c r="E1688" s="42" t="n">
        <v>43886.57083333333</v>
      </c>
      <c r="F1688" s="50" t="inlineStr">
        <is>
          <t>Super Carlin Brothers</t>
        </is>
      </c>
      <c r="G1688" t="inlineStr">
        <is>
          <t>Why Couldn't Harry See The Thestrals? [Harry Potter Theory]</t>
        </is>
      </c>
      <c r="H1688" s="44" t="n">
        <v>0.008206018518518519</v>
      </c>
      <c r="I1688" s="45" t="n">
        <v>923384</v>
      </c>
      <c r="J1688" s="45" t="n">
        <v>30080</v>
      </c>
      <c r="K1688" s="45" t="n">
        <v>3370</v>
      </c>
      <c r="L1688" s="46" t="n"/>
      <c r="M1688" s="47" t="n"/>
      <c r="N1688" s="47" t="inlineStr">
        <is>
          <t>UCKZo4N0lVPccBkSiuyVh4yg</t>
        </is>
      </c>
      <c r="O1688" s="48" t="n">
        <v>43886.77916666667</v>
      </c>
      <c r="P1688" s="49" t="n">
        <v>43886</v>
      </c>
      <c r="Q1688" s="47" t="n">
        <v>1580</v>
      </c>
      <c r="R1688" s="47" t="inlineStr">
        <is>
          <t>No Video ID yet</t>
        </is>
      </c>
      <c r="S1688" s="49" t="n"/>
      <c r="T1688" s="49" t="n"/>
      <c r="U1688" s="47" t="inlineStr">
        <is>
          <t>Today J dives into the Wizarding World of Harry Potter to try and explain one of the weirdest plot holes in Harry Potter - Why can't Harry see thestrals until Cedric dies.. and why cant he see them RIGHT after he dies? #HarryPotter #SuperCarlinBrothers #Theory</t>
        </is>
      </c>
      <c r="V1688" s="47">
        <f>IF(AND(P1688&gt;=Calendar!$K$2,P1688&lt;EDATE(Calendar!$K$2,1),OR(Calendar!$K$4="*",N1688=Calendar!$K$4)),P1688*100+COUNTIFS($P$6:$P$3267,P1688,$Q$6:$Q$3267,"&lt;="&amp;Q1688,$N$6:$N$3267,Calendar!$K$4),"")</f>
        <v/>
      </c>
      <c r="W1688" s="47">
        <f>IF(AND(B1688=Queue!$C$4,OR(Queue!$K$4="*",N1688=Queue!$K$4)),Q1688,"")</f>
        <v/>
      </c>
    </row>
    <row r="1689">
      <c r="A1689" s="38">
        <f>IF(M1689="","",HYPERLINK("https://www.youtube.com/watch?v="&amp;M1689,"▶"))</f>
        <v/>
      </c>
      <c r="B1689" s="39">
        <f>IF(C1689&lt;&gt;"",C1689,IF(P1689&lt;=IFERROR(INDEX(tblChannels[Watched Through],MATCH(N1689,tblChannels[Channel ID],0)),0),"Watched","Unwatched"))</f>
        <v/>
      </c>
      <c r="C1689" s="40" t="n"/>
      <c r="D1689" s="41" t="n"/>
      <c r="E1689" s="42" t="n">
        <v>43885.59652777778</v>
      </c>
      <c r="F1689" s="53" t="inlineStr">
        <is>
          <t>Jonathan Carlin</t>
        </is>
      </c>
      <c r="G1689" t="inlineStr">
        <is>
          <t>Saying Goodbye to the Old House</t>
        </is>
      </c>
      <c r="H1689" s="44" t="n">
        <v>0.01023148148148148</v>
      </c>
      <c r="I1689" s="45" t="n">
        <v>48968</v>
      </c>
      <c r="J1689" s="45" t="n">
        <v>2784</v>
      </c>
      <c r="K1689" s="45" t="n">
        <v>314</v>
      </c>
      <c r="L1689" s="46" t="n"/>
      <c r="M1689" s="47" t="n"/>
      <c r="N1689" s="47" t="inlineStr">
        <is>
          <t>UCYPKFe86e6nm4TVUYKLsFUQ</t>
        </is>
      </c>
      <c r="O1689" s="48" t="n">
        <v>43885.80486111111</v>
      </c>
      <c r="P1689" s="49" t="n">
        <v>43885</v>
      </c>
      <c r="Q1689" s="47" t="n">
        <v>1579</v>
      </c>
      <c r="R1689" s="47" t="inlineStr">
        <is>
          <t>No Video ID yet</t>
        </is>
      </c>
      <c r="S1689" s="49" t="n"/>
      <c r="T1689" s="49" t="n"/>
      <c r="U1689" s="47" t="inlineStr">
        <is>
          <t>This week the Carlin clan celebrates ystävänpäivä and J says good bye the old house, while preparing the new one for the twins!</t>
        </is>
      </c>
      <c r="V1689" s="47">
        <f>IF(AND(P1689&gt;=Calendar!$K$2,P1689&lt;EDATE(Calendar!$K$2,1),OR(Calendar!$K$4="*",N1689=Calendar!$K$4)),P1689*100+COUNTIFS($P$6:$P$3267,P1689,$Q$6:$Q$3267,"&lt;="&amp;Q1689,$N$6:$N$3267,Calendar!$K$4),"")</f>
        <v/>
      </c>
      <c r="W1689" s="47">
        <f>IF(AND(B1689=Queue!$C$4,OR(Queue!$K$4="*",N1689=Queue!$K$4)),Q1689,"")</f>
        <v/>
      </c>
    </row>
    <row r="1690">
      <c r="A1690" s="38">
        <f>IF(M1690="","",HYPERLINK("https://www.youtube.com/watch?v="&amp;M1690,"▶"))</f>
        <v/>
      </c>
      <c r="B1690" s="39">
        <f>IF(C1690&lt;&gt;"",C1690,IF(P1690&lt;=IFERROR(INDEX(tblChannels[Watched Through],MATCH(N1690,tblChannels[Channel ID],0)),0),"Watched","Unwatched"))</f>
        <v/>
      </c>
      <c r="C1690" s="40" t="n"/>
      <c r="D1690" s="41" t="n"/>
      <c r="E1690" s="42" t="n">
        <v>43881.76458333333</v>
      </c>
      <c r="F1690" s="50" t="inlineStr">
        <is>
          <t>Super Carlin Brothers</t>
        </is>
      </c>
      <c r="G1690" t="inlineStr">
        <is>
          <t>OUR FAIRY TALE DISNEY WEDDING</t>
        </is>
      </c>
      <c r="H1690" s="44" t="n">
        <v>0.01216435185185185</v>
      </c>
      <c r="I1690" s="45" t="n">
        <v>320075</v>
      </c>
      <c r="J1690" s="45" t="n">
        <v>26102</v>
      </c>
      <c r="K1690" s="45" t="n">
        <v>3184</v>
      </c>
      <c r="L1690" s="46" t="n"/>
      <c r="M1690" s="47" t="n"/>
      <c r="N1690" s="47" t="inlineStr">
        <is>
          <t>UCKZo4N0lVPccBkSiuyVh4yg</t>
        </is>
      </c>
      <c r="O1690" s="48" t="n">
        <v>43881.97291666667</v>
      </c>
      <c r="P1690" s="49" t="n">
        <v>43881</v>
      </c>
      <c r="Q1690" s="47" t="n">
        <v>1578</v>
      </c>
      <c r="R1690" s="47" t="inlineStr">
        <is>
          <t>No Video ID yet</t>
        </is>
      </c>
      <c r="S1690" s="49" t="n"/>
      <c r="T1690" s="49" t="n"/>
      <c r="U1690" s="47" t="inlineStr">
        <is>
          <t>Want your own Fairy Tale Wedding? Inquire here :: Today we celebrate Ben and Alyce’s love for one another, their beautiful wedding and amazing celebration at Disney World. Follow Ben and Alyce on Instagram! @scb_ben - @achaynes - #DisneyWorld #DisneyWedding #Disney #FairyTaleWedding</t>
        </is>
      </c>
      <c r="V1690" s="47">
        <f>IF(AND(P1690&gt;=Calendar!$K$2,P1690&lt;EDATE(Calendar!$K$2,1),OR(Calendar!$K$4="*",N1690=Calendar!$K$4)),P1690*100+COUNTIFS($P$6:$P$3267,P1690,$Q$6:$Q$3267,"&lt;="&amp;Q1690,$N$6:$N$3267,Calendar!$K$4),"")</f>
        <v/>
      </c>
      <c r="W1690" s="47">
        <f>IF(AND(B1690=Queue!$C$4,OR(Queue!$K$4="*",N1690=Queue!$K$4)),Q1690,"")</f>
        <v/>
      </c>
    </row>
    <row r="1691">
      <c r="A1691" s="38">
        <f>IF(M1691="","",HYPERLINK("https://www.youtube.com/watch?v="&amp;M1691,"▶"))</f>
        <v/>
      </c>
      <c r="B1691" s="39">
        <f>IF(C1691&lt;&gt;"",C1691,IF(P1691&lt;=IFERROR(INDEX(tblChannels[Watched Through],MATCH(N1691,tblChannels[Channel ID],0)),0),"Watched","Unwatched"))</f>
        <v/>
      </c>
      <c r="C1691" s="40" t="n"/>
      <c r="D1691" s="41" t="n"/>
      <c r="E1691" s="42" t="n">
        <v>43880.45486111111</v>
      </c>
      <c r="F1691" s="52" t="inlineStr">
        <is>
          <t>Super Carlin Gaming</t>
        </is>
      </c>
      <c r="G1691" t="inlineStr">
        <is>
          <t>Hogwarts Founders Meet GILDEROY in SIMS 4 | Episode #8</t>
        </is>
      </c>
      <c r="H1691" s="44" t="n">
        <v>0.02298611111111111</v>
      </c>
      <c r="I1691" s="45" t="n">
        <v>27691</v>
      </c>
      <c r="J1691" s="45" t="n">
        <v>1112</v>
      </c>
      <c r="K1691" s="45" t="n">
        <v>219</v>
      </c>
      <c r="L1691" s="46" t="n"/>
      <c r="M1691" s="47" t="n"/>
      <c r="N1691" s="47" t="inlineStr">
        <is>
          <t>UCor_9jRnNNZVzTuQ92PKsaQ</t>
        </is>
      </c>
      <c r="O1691" s="48" t="n">
        <v>43880.66319444445</v>
      </c>
      <c r="P1691" s="49" t="n">
        <v>43880</v>
      </c>
      <c r="Q1691" s="47" t="n">
        <v>1577</v>
      </c>
      <c r="R1691" s="47" t="inlineStr">
        <is>
          <t>No Video ID yet</t>
        </is>
      </c>
      <c r="S1691" s="49" t="n"/>
      <c r="T1691" s="49" t="n"/>
      <c r="U1691" s="47" t="inlineStr">
        <is>
          <t>J and Ben continue the founding of Hogwarts with Godric Gryffindor, Rowena Ravenclaw, Helga Hufflepuff and Salazar Slytherin! The founders fight to save their castle from a raging fire and Helga gets up close &amp; personal with Gilderoy Lockhart. #Sims4 #HarryPotter #LetsPlay</t>
        </is>
      </c>
      <c r="V1691" s="47">
        <f>IF(AND(P1691&gt;=Calendar!$K$2,P1691&lt;EDATE(Calendar!$K$2,1),OR(Calendar!$K$4="*",N1691=Calendar!$K$4)),P1691*100+COUNTIFS($P$6:$P$3267,P1691,$Q$6:$Q$3267,"&lt;="&amp;Q1691,$N$6:$N$3267,Calendar!$K$4),"")</f>
        <v/>
      </c>
      <c r="W1691" s="47">
        <f>IF(AND(B1691=Queue!$C$4,OR(Queue!$K$4="*",N1691=Queue!$K$4)),Q1691,"")</f>
        <v/>
      </c>
    </row>
    <row r="1692">
      <c r="A1692" s="38">
        <f>IF(M1692="","",HYPERLINK("https://www.youtube.com/watch?v="&amp;M1692,"▶"))</f>
        <v/>
      </c>
      <c r="B1692" s="39">
        <f>IF(C1692&lt;&gt;"",C1692,IF(P1692&lt;=IFERROR(INDEX(tblChannels[Watched Through],MATCH(N1692,tblChannels[Channel ID],0)),0),"Watched","Unwatched"))</f>
        <v/>
      </c>
      <c r="C1692" s="40" t="n"/>
      <c r="D1692" s="41" t="n"/>
      <c r="E1692" s="42" t="n">
        <v>43879.80902777778</v>
      </c>
      <c r="F1692" s="50" t="inlineStr">
        <is>
          <t>Super Carlin Brothers</t>
        </is>
      </c>
      <c r="G1692" t="inlineStr">
        <is>
          <t>Dumbledore Is Death [Harry Potter Theory]</t>
        </is>
      </c>
      <c r="H1692" s="44" t="n">
        <v>0.009293981481481481</v>
      </c>
      <c r="I1692" s="45" t="n">
        <v>786928</v>
      </c>
      <c r="J1692" s="45" t="n">
        <v>27764</v>
      </c>
      <c r="K1692" s="45" t="n">
        <v>1745</v>
      </c>
      <c r="L1692" s="46" t="n"/>
      <c r="M1692" s="47" t="n"/>
      <c r="N1692" s="47" t="inlineStr">
        <is>
          <t>UCKZo4N0lVPccBkSiuyVh4yg</t>
        </is>
      </c>
      <c r="O1692" s="48" t="n">
        <v>43880.01736111111</v>
      </c>
      <c r="P1692" s="49" t="n">
        <v>43879</v>
      </c>
      <c r="Q1692" s="47" t="n">
        <v>1576</v>
      </c>
      <c r="R1692" s="47" t="inlineStr">
        <is>
          <t>No Video ID yet</t>
        </is>
      </c>
      <c r="S1692" s="49" t="n"/>
      <c r="T1692" s="49" t="n"/>
      <c r="U1692" s="47" t="inlineStr">
        <is>
          <t>Get 20% off your first monthly box when you sign up at and enter the code “SUPER” at checkout. Today J dives into the Wizarding World of Harry Potter to revisit and expand upon the theory that Dumbledore is DEATH and that Harry, Voldemort and Snape represent the three brothers.</t>
        </is>
      </c>
      <c r="V1692" s="47">
        <f>IF(AND(P1692&gt;=Calendar!$K$2,P1692&lt;EDATE(Calendar!$K$2,1),OR(Calendar!$K$4="*",N1692=Calendar!$K$4)),P1692*100+COUNTIFS($P$6:$P$3267,P1692,$Q$6:$Q$3267,"&lt;="&amp;Q1692,$N$6:$N$3267,Calendar!$K$4),"")</f>
        <v/>
      </c>
      <c r="W1692" s="47">
        <f>IF(AND(B1692=Queue!$C$4,OR(Queue!$K$4="*",N1692=Queue!$K$4)),Q1692,"")</f>
        <v/>
      </c>
    </row>
    <row r="1693">
      <c r="A1693" s="38">
        <f>IF(M1693="","",HYPERLINK("https://www.youtube.com/watch?v="&amp;M1693,"▶"))</f>
        <v/>
      </c>
      <c r="B1693" s="39">
        <f>IF(C1693&lt;&gt;"",C1693,IF(P1693&lt;=IFERROR(INDEX(tblChannels[Watched Through],MATCH(N1693,tblChannels[Channel ID],0)),0),"Watched","Unwatched"))</f>
        <v/>
      </c>
      <c r="C1693" s="40" t="n"/>
      <c r="D1693" s="41" t="n"/>
      <c r="E1693" s="42" t="n">
        <v>43878.45833333334</v>
      </c>
      <c r="F1693" s="53" t="inlineStr">
        <is>
          <t>Jonathan Carlin</t>
        </is>
      </c>
      <c r="G1693" t="inlineStr">
        <is>
          <t>The Twin Countdown IS REAL!</t>
        </is>
      </c>
      <c r="H1693" s="44" t="n">
        <v>0.007222222222222222</v>
      </c>
      <c r="I1693" s="45" t="n">
        <v>67527</v>
      </c>
      <c r="J1693" s="45" t="n">
        <v>5154</v>
      </c>
      <c r="K1693" s="45" t="n">
        <v>765</v>
      </c>
      <c r="L1693" s="46" t="n"/>
      <c r="M1693" s="47" t="n"/>
      <c r="N1693" s="47" t="inlineStr">
        <is>
          <t>UCYPKFe86e6nm4TVUYKLsFUQ</t>
        </is>
      </c>
      <c r="O1693" s="48" t="n">
        <v>43878.66666666666</v>
      </c>
      <c r="P1693" s="49" t="n">
        <v>43878</v>
      </c>
      <c r="Q1693" s="47" t="n">
        <v>1575</v>
      </c>
      <c r="R1693" s="47" t="inlineStr">
        <is>
          <t>No Video ID yet</t>
        </is>
      </c>
      <c r="S1693" s="49" t="n"/>
      <c r="T1693" s="49" t="n"/>
      <c r="U1693" s="47" t="inlineStr">
        <is>
          <t>Good to see you again! Much has happened including a new house! Thank for hanging in there while I took a quick break, stepping away for a few months was very helpful! This week J checks in with the rest of the SCB crew including some new faces, and discusses what it's like preparing for the next stage of parenthood.</t>
        </is>
      </c>
      <c r="V1693" s="47">
        <f>IF(AND(P1693&gt;=Calendar!$K$2,P1693&lt;EDATE(Calendar!$K$2,1),OR(Calendar!$K$4="*",N1693=Calendar!$K$4)),P1693*100+COUNTIFS($P$6:$P$3267,P1693,$Q$6:$Q$3267,"&lt;="&amp;Q1693,$N$6:$N$3267,Calendar!$K$4),"")</f>
        <v/>
      </c>
      <c r="W1693" s="47">
        <f>IF(AND(B1693=Queue!$C$4,OR(Queue!$K$4="*",N1693=Queue!$K$4)),Q1693,"")</f>
        <v/>
      </c>
    </row>
    <row r="1694">
      <c r="A1694" s="38">
        <f>IF(M1694="","",HYPERLINK("https://www.youtube.com/watch?v="&amp;M1694,"▶"))</f>
        <v/>
      </c>
      <c r="B1694" s="39">
        <f>IF(C1694&lt;&gt;"",C1694,IF(P1694&lt;=IFERROR(INDEX(tblChannels[Watched Through],MATCH(N1694,tblChannels[Channel ID],0)),0),"Watched","Unwatched"))</f>
        <v/>
      </c>
      <c r="C1694" s="40" t="n"/>
      <c r="D1694" s="41" t="n"/>
      <c r="E1694" s="42" t="n">
        <v>43875.57638888889</v>
      </c>
      <c r="F1694" s="43" t="inlineStr">
        <is>
          <t>Popcorn Culture</t>
        </is>
      </c>
      <c r="G1694" t="inlineStr">
        <is>
          <t>10 - Chainsaws, Regional Speech, and Ystavanpaiva Day</t>
        </is>
      </c>
      <c r="H1694" s="44" t="n">
        <v>0.0430787037037037</v>
      </c>
      <c r="I1694" s="45" t="n">
        <v>6667</v>
      </c>
      <c r="J1694" s="45" t="n">
        <v>263</v>
      </c>
      <c r="K1694" s="45" t="n">
        <v>91</v>
      </c>
      <c r="L1694" s="46" t="n"/>
      <c r="M1694" s="47" t="n"/>
      <c r="N1694" s="47" t="inlineStr">
        <is>
          <t>UCHfIbq9thHPC8yrKjAdJgDA</t>
        </is>
      </c>
      <c r="O1694" s="48" t="n">
        <v>43875.78472222222</v>
      </c>
      <c r="P1694" s="49" t="n">
        <v>43875</v>
      </c>
      <c r="Q1694" s="47" t="n">
        <v>1574</v>
      </c>
      <c r="R1694" s="47" t="inlineStr">
        <is>
          <t>No Video ID yet</t>
        </is>
      </c>
      <c r="S1694" s="49" t="n"/>
      <c r="T1694" s="49" t="n"/>
      <c r="U1694" s="47" t="inlineStr">
        <is>
          <t>Ben and J discuss: homophones, regional speech, “Sir” and “Ma’am”, chainsaws, many definitions of “manly”, Ystavanpaiva Day, french fries, can crushers, burger joint hierarchy, meet and greets, reality show feedback and truth, and game shows. Can Crusher: Check out Seamus Gorman: Submit Your Corny Jokes!: Discuss the Podcast on Discord:</t>
        </is>
      </c>
      <c r="V1694" s="47">
        <f>IF(AND(P1694&gt;=Calendar!$K$2,P1694&lt;EDATE(Calendar!$K$2,1),OR(Calendar!$K$4="*",N1694=Calendar!$K$4)),P1694*100+COUNTIFS($P$6:$P$3267,P1694,$Q$6:$Q$3267,"&lt;="&amp;Q1694,$N$6:$N$3267,Calendar!$K$4),"")</f>
        <v/>
      </c>
      <c r="W1694" s="47">
        <f>IF(AND(B1694=Queue!$C$4,OR(Queue!$K$4="*",N1694=Queue!$K$4)),Q1694,"")</f>
        <v/>
      </c>
    </row>
    <row r="1695">
      <c r="A1695" s="38">
        <f>IF(M1695="","",HYPERLINK("https://www.youtube.com/watch?v="&amp;M1695,"▶"))</f>
        <v/>
      </c>
      <c r="B1695" s="39">
        <f>IF(C1695&lt;&gt;"",C1695,IF(P1695&lt;=IFERROR(INDEX(tblChannels[Watched Through],MATCH(N1695,tblChannels[Channel ID],0)),0),"Watched","Unwatched"))</f>
        <v/>
      </c>
      <c r="C1695" s="40" t="n"/>
      <c r="D1695" s="41" t="n"/>
      <c r="E1695" s="42" t="n">
        <v>43874.64236111111</v>
      </c>
      <c r="F1695" s="50" t="inlineStr">
        <is>
          <t>Super Carlin Brothers</t>
        </is>
      </c>
      <c r="G1695" t="inlineStr">
        <is>
          <t>J vs Ben: ULTIMATE Gilderoy Lockhart TRIVIA Quiz</t>
        </is>
      </c>
      <c r="H1695" s="44" t="n">
        <v>0.01643518518518518</v>
      </c>
      <c r="I1695" s="45" t="n">
        <v>473151</v>
      </c>
      <c r="J1695" s="45" t="n">
        <v>12971</v>
      </c>
      <c r="K1695" s="45" t="n">
        <v>1206</v>
      </c>
      <c r="L1695" s="46" t="n"/>
      <c r="M1695" s="47" t="n"/>
      <c r="N1695" s="47" t="inlineStr">
        <is>
          <t>UCKZo4N0lVPccBkSiuyVh4yg</t>
        </is>
      </c>
      <c r="O1695" s="48" t="n">
        <v>43874.85069444445</v>
      </c>
      <c r="P1695" s="49" t="n">
        <v>43874</v>
      </c>
      <c r="Q1695" s="47" t="n">
        <v>1573</v>
      </c>
      <c r="R1695" s="47" t="inlineStr">
        <is>
          <t>No Video ID yet</t>
        </is>
      </c>
      <c r="S1695" s="49" t="n"/>
      <c r="T1695" s="49" t="n"/>
      <c r="U1695" s="47" t="inlineStr">
        <is>
          <t>Get your special access to the Wizarding World with a Gold Subscription here: Today J and Ben face off in the hardest Gilderoy Lockhart quiz online to see who know the most about the greatest wizard of all time… according to himself. (But he doesnt talk about that)</t>
        </is>
      </c>
      <c r="V1695" s="47">
        <f>IF(AND(P1695&gt;=Calendar!$K$2,P1695&lt;EDATE(Calendar!$K$2,1),OR(Calendar!$K$4="*",N1695=Calendar!$K$4)),P1695*100+COUNTIFS($P$6:$P$3267,P1695,$Q$6:$Q$3267,"&lt;="&amp;Q1695,$N$6:$N$3267,Calendar!$K$4),"")</f>
        <v/>
      </c>
      <c r="W1695" s="47">
        <f>IF(AND(B1695=Queue!$C$4,OR(Queue!$K$4="*",N1695=Queue!$K$4)),Q1695,"")</f>
        <v/>
      </c>
    </row>
    <row r="1696">
      <c r="A1696" s="38">
        <f>IF(M1696="","",HYPERLINK("https://www.youtube.com/watch?v="&amp;M1696,"▶"))</f>
        <v/>
      </c>
      <c r="B1696" s="39">
        <f>IF(C1696&lt;&gt;"",C1696,IF(P1696&lt;=IFERROR(INDEX(tblChannels[Watched Through],MATCH(N1696,tblChannels[Channel ID],0)),0),"Watched","Unwatched"))</f>
        <v/>
      </c>
      <c r="C1696" s="40" t="n"/>
      <c r="D1696" s="41" t="n"/>
      <c r="E1696" s="42" t="n">
        <v>43873.40902777778</v>
      </c>
      <c r="F1696" s="52" t="inlineStr">
        <is>
          <t>Super Carlin Gaming</t>
        </is>
      </c>
      <c r="G1696" t="inlineStr">
        <is>
          <t>Hogwarts Founders Throw a RAGER in SIMS 4 | Episode #7</t>
        </is>
      </c>
      <c r="H1696" s="44" t="n">
        <v>0.02861111111111111</v>
      </c>
      <c r="I1696" s="45" t="n">
        <v>48334</v>
      </c>
      <c r="J1696" s="45" t="n">
        <v>1498</v>
      </c>
      <c r="K1696" s="45" t="n">
        <v>221</v>
      </c>
      <c r="L1696" s="46" t="n"/>
      <c r="M1696" s="47" t="n"/>
      <c r="N1696" s="47" t="inlineStr">
        <is>
          <t>UCor_9jRnNNZVzTuQ92PKsaQ</t>
        </is>
      </c>
      <c r="O1696" s="48" t="n">
        <v>43873.61736111111</v>
      </c>
      <c r="P1696" s="49" t="n">
        <v>43873</v>
      </c>
      <c r="Q1696" s="47" t="n">
        <v>1572</v>
      </c>
      <c r="R1696" s="47" t="inlineStr">
        <is>
          <t>No Video ID yet</t>
        </is>
      </c>
      <c r="S1696" s="49" t="n"/>
      <c r="T1696" s="49" t="n"/>
      <c r="U1696" s="47" t="inlineStr">
        <is>
          <t>J and Ben continue the founding of Hogwarts with Godric Gryffindor, Rowena Ravenclaw, Helga Hufflepuff and Salazar Slytherin! The founders throw an insane party and Salazar has a shopping spree in the Magical Realm. #Sims4 #HarryPotter #LetsPlay</t>
        </is>
      </c>
      <c r="V1696" s="47">
        <f>IF(AND(P1696&gt;=Calendar!$K$2,P1696&lt;EDATE(Calendar!$K$2,1),OR(Calendar!$K$4="*",N1696=Calendar!$K$4)),P1696*100+COUNTIFS($P$6:$P$3267,P1696,$Q$6:$Q$3267,"&lt;="&amp;Q1696,$N$6:$N$3267,Calendar!$K$4),"")</f>
        <v/>
      </c>
      <c r="W1696" s="47">
        <f>IF(AND(B1696=Queue!$C$4,OR(Queue!$K$4="*",N1696=Queue!$K$4)),Q1696,"")</f>
        <v/>
      </c>
    </row>
    <row r="1697">
      <c r="A1697" s="38">
        <f>IF(M1697="","",HYPERLINK("https://www.youtube.com/watch?v="&amp;M1697,"▶"))</f>
        <v/>
      </c>
      <c r="B1697" s="39">
        <f>IF(C1697&lt;&gt;"",C1697,IF(P1697&lt;=IFERROR(INDEX(tblChannels[Watched Through],MATCH(N1697,tblChannels[Channel ID],0)),0),"Watched","Unwatched"))</f>
        <v/>
      </c>
      <c r="C1697" s="40" t="n"/>
      <c r="D1697" s="41" t="n"/>
      <c r="E1697" s="42" t="n">
        <v>43872.70833333334</v>
      </c>
      <c r="F1697" s="50" t="inlineStr">
        <is>
          <t>Super Carlin Brothers</t>
        </is>
      </c>
      <c r="G1697" t="inlineStr">
        <is>
          <t>Why the Horcrux in Harry Wasn't Destroyed by the Basilisk [Harry Potter Explained]</t>
        </is>
      </c>
      <c r="H1697" s="44" t="n">
        <v>0.007662037037037037</v>
      </c>
      <c r="I1697" s="45" t="n">
        <v>772478</v>
      </c>
      <c r="J1697" s="45" t="n">
        <v>23889</v>
      </c>
      <c r="K1697" s="45" t="n">
        <v>2640</v>
      </c>
      <c r="L1697" s="46" t="n"/>
      <c r="M1697" s="47" t="n"/>
      <c r="N1697" s="47" t="inlineStr">
        <is>
          <t>UCKZo4N0lVPccBkSiuyVh4yg</t>
        </is>
      </c>
      <c r="O1697" s="48" t="n">
        <v>43872.91666666666</v>
      </c>
      <c r="P1697" s="49" t="n">
        <v>43872</v>
      </c>
      <c r="Q1697" s="47" t="n">
        <v>1571</v>
      </c>
      <c r="R1697" s="47" t="inlineStr">
        <is>
          <t>No Video ID yet</t>
        </is>
      </c>
      <c r="S1697" s="49" t="n"/>
      <c r="T1697" s="49" t="n"/>
      <c r="U1697" s="47" t="inlineStr">
        <is>
          <t>Get started today with $75 off by using code SCB at Today J dives into the Wizarding World of Harry Potter to determine why the Basilisk didnt destroy the horcrux inside Harry in Chamber of Secrets even though everything else its venom touches perishes instantly!</t>
        </is>
      </c>
      <c r="V1697" s="47">
        <f>IF(AND(P1697&gt;=Calendar!$K$2,P1697&lt;EDATE(Calendar!$K$2,1),OR(Calendar!$K$4="*",N1697=Calendar!$K$4)),P1697*100+COUNTIFS($P$6:$P$3267,P1697,$Q$6:$Q$3267,"&lt;="&amp;Q1697,$N$6:$N$3267,Calendar!$K$4),"")</f>
        <v/>
      </c>
      <c r="W1697" s="47">
        <f>IF(AND(B1697=Queue!$C$4,OR(Queue!$K$4="*",N1697=Queue!$K$4)),Q1697,"")</f>
        <v/>
      </c>
    </row>
    <row r="1698">
      <c r="A1698" s="38">
        <f>IF(M1698="","",HYPERLINK("https://www.youtube.com/watch?v="&amp;M1698,"▶"))</f>
        <v/>
      </c>
      <c r="B1698" s="39">
        <f>IF(C1698&lt;&gt;"",C1698,IF(P1698&lt;=IFERROR(INDEX(tblChannels[Watched Through],MATCH(N1698,tblChannels[Channel ID],0)),0),"Watched","Unwatched"))</f>
        <v/>
      </c>
      <c r="C1698" s="40" t="n"/>
      <c r="D1698" s="41" t="n"/>
      <c r="E1698" s="42" t="n">
        <v>43872.53472222222</v>
      </c>
      <c r="F1698" s="43" t="inlineStr">
        <is>
          <t>Popcorn Culture</t>
        </is>
      </c>
      <c r="G1698" t="inlineStr">
        <is>
          <t>9 - Speeding Tickets and Reality TV</t>
        </is>
      </c>
      <c r="H1698" s="44" t="n">
        <v>0.03907407407407407</v>
      </c>
      <c r="I1698" s="45" t="n">
        <v>5933</v>
      </c>
      <c r="J1698" s="45" t="n">
        <v>260</v>
      </c>
      <c r="K1698" s="45" t="n">
        <v>36</v>
      </c>
      <c r="L1698" s="46" t="n"/>
      <c r="M1698" s="47" t="n"/>
      <c r="N1698" s="47" t="inlineStr">
        <is>
          <t>UCHfIbq9thHPC8yrKjAdJgDA</t>
        </is>
      </c>
      <c r="O1698" s="48" t="n">
        <v>43872.74305555555</v>
      </c>
      <c r="P1698" s="49" t="n">
        <v>43872</v>
      </c>
      <c r="Q1698" s="47" t="n">
        <v>1570</v>
      </c>
      <c r="R1698" s="47" t="inlineStr">
        <is>
          <t>No Video ID yet</t>
        </is>
      </c>
      <c r="S1698" s="49" t="n"/>
      <c r="T1698" s="49" t="n"/>
      <c r="U1698" s="47" t="inlineStr">
        <is>
          <t>Ben and J discuss: streaming, talking to yourself, being good at your job, speeding tickets, board game feedback, The Bachelor, manufactured entertainment, reality TV, and six degrees of separation. Awkward Bachelor Date Part 1 and Part 2: and Email us your reality TV stories!: mailto:popcornculturepod@gmail.com Discuss the Podcast on Discord:</t>
        </is>
      </c>
      <c r="V1698" s="47">
        <f>IF(AND(P1698&gt;=Calendar!$K$2,P1698&lt;EDATE(Calendar!$K$2,1),OR(Calendar!$K$4="*",N1698=Calendar!$K$4)),P1698*100+COUNTIFS($P$6:$P$3267,P1698,$Q$6:$Q$3267,"&lt;="&amp;Q1698,$N$6:$N$3267,Calendar!$K$4),"")</f>
        <v/>
      </c>
      <c r="W1698" s="47">
        <f>IF(AND(B1698=Queue!$C$4,OR(Queue!$K$4="*",N1698=Queue!$K$4)),Q1698,"")</f>
        <v/>
      </c>
    </row>
    <row r="1699">
      <c r="A1699" s="38">
        <f>IF(M1699="","",HYPERLINK("https://www.youtube.com/watch?v="&amp;M1699,"▶"))</f>
        <v/>
      </c>
      <c r="B1699" s="39">
        <f>IF(C1699&lt;&gt;"",C1699,IF(P1699&lt;=IFERROR(INDEX(tblChannels[Watched Through],MATCH(N1699,tblChannels[Channel ID],0)),0),"Watched","Unwatched"))</f>
        <v/>
      </c>
      <c r="C1699" s="40" t="n"/>
      <c r="D1699" s="41" t="n"/>
      <c r="E1699" s="42" t="n">
        <v>43867.83472222222</v>
      </c>
      <c r="F1699" s="50" t="inlineStr">
        <is>
          <t>Super Carlin Brothers</t>
        </is>
      </c>
      <c r="G1699" t="inlineStr">
        <is>
          <t>Salazar Slytherin Is STILL Alive?! [Harry Potter Theory]</t>
        </is>
      </c>
      <c r="H1699" s="44" t="n">
        <v>0.009756944444444445</v>
      </c>
      <c r="I1699" s="45" t="n">
        <v>966315</v>
      </c>
      <c r="J1699" s="45" t="n">
        <v>28015</v>
      </c>
      <c r="K1699" s="45" t="n">
        <v>2298</v>
      </c>
      <c r="L1699" s="46" t="n"/>
      <c r="M1699" s="47" t="n"/>
      <c r="N1699" s="47" t="inlineStr">
        <is>
          <t>UCKZo4N0lVPccBkSiuyVh4yg</t>
        </is>
      </c>
      <c r="O1699" s="48" t="n">
        <v>43868.04305555556</v>
      </c>
      <c r="P1699" s="49" t="n">
        <v>43867</v>
      </c>
      <c r="Q1699" s="47" t="n">
        <v>1569</v>
      </c>
      <c r="R1699" s="47" t="inlineStr">
        <is>
          <t>No Video ID yet</t>
        </is>
      </c>
      <c r="S1699" s="49" t="n"/>
      <c r="T1699" s="49" t="n"/>
      <c r="U1699" s="47" t="inlineStr">
        <is>
          <t>Do you need that last minute Valentines Day Idea?! Be sure to check out for 15% off your entire order! Today Ben dives into the Wizarding World of Harry Potter to discuss a new theory about how Salazar Slytherin, founding member of Hogwarts, may have cheated death and survived into the future!</t>
        </is>
      </c>
      <c r="V1699" s="47">
        <f>IF(AND(P1699&gt;=Calendar!$K$2,P1699&lt;EDATE(Calendar!$K$2,1),OR(Calendar!$K$4="*",N1699=Calendar!$K$4)),P1699*100+COUNTIFS($P$6:$P$3267,P1699,$Q$6:$Q$3267,"&lt;="&amp;Q1699,$N$6:$N$3267,Calendar!$K$4),"")</f>
        <v/>
      </c>
      <c r="W1699" s="47">
        <f>IF(AND(B1699=Queue!$C$4,OR(Queue!$K$4="*",N1699=Queue!$K$4)),Q1699,"")</f>
        <v/>
      </c>
    </row>
    <row r="1700">
      <c r="A1700" s="38">
        <f>IF(M1700="","",HYPERLINK("https://www.youtube.com/watch?v="&amp;M1700,"▶"))</f>
        <v/>
      </c>
      <c r="B1700" s="39">
        <f>IF(C1700&lt;&gt;"",C1700,IF(P1700&lt;=IFERROR(INDEX(tblChannels[Watched Through],MATCH(N1700,tblChannels[Channel ID],0)),0),"Watched","Unwatched"))</f>
        <v/>
      </c>
      <c r="C1700" s="40" t="n"/>
      <c r="D1700" s="41" t="n"/>
      <c r="E1700" s="42" t="n">
        <v>43867.72222222222</v>
      </c>
      <c r="F1700" s="43" t="inlineStr">
        <is>
          <t>Popcorn Culture</t>
        </is>
      </c>
      <c r="G1700" t="inlineStr">
        <is>
          <t>Episode 8 - Fangirling, Board Games, and the Produce Pirate!</t>
        </is>
      </c>
      <c r="H1700" s="44" t="n">
        <v>0.0490162037037037</v>
      </c>
      <c r="I1700" s="45" t="n">
        <v>6359</v>
      </c>
      <c r="J1700" s="45" t="n">
        <v>253</v>
      </c>
      <c r="K1700" s="45" t="n">
        <v>46</v>
      </c>
      <c r="L1700" s="46" t="n"/>
      <c r="M1700" s="47" t="n"/>
      <c r="N1700" s="47" t="inlineStr">
        <is>
          <t>UCHfIbq9thHPC8yrKjAdJgDA</t>
        </is>
      </c>
      <c r="O1700" s="48" t="n">
        <v>43867.93055555555</v>
      </c>
      <c r="P1700" s="49" t="n">
        <v>43867</v>
      </c>
      <c r="Q1700" s="47" t="n">
        <v>1568</v>
      </c>
      <c r="R1700" s="47" t="inlineStr">
        <is>
          <t>No Video ID yet</t>
        </is>
      </c>
      <c r="S1700" s="49" t="n"/>
      <c r="T1700" s="49" t="n"/>
      <c r="U1700" s="47" t="inlineStr">
        <is>
          <t>Ben and J discuss: fandoms, Fan-boying vs. Fan-girling, embarrassing interactions, meeting famous people, the Dodgeball Effect, board game strategy, and "Produce Pirates." Lake Effects imdb (sadly, J does not appear in the imdb credits): Discuss the Podcast on Discord:</t>
        </is>
      </c>
      <c r="V1700" s="47">
        <f>IF(AND(P1700&gt;=Calendar!$K$2,P1700&lt;EDATE(Calendar!$K$2,1),OR(Calendar!$K$4="*",N1700=Calendar!$K$4)),P1700*100+COUNTIFS($P$6:$P$3267,P1700,$Q$6:$Q$3267,"&lt;="&amp;Q1700,$N$6:$N$3267,Calendar!$K$4),"")</f>
        <v/>
      </c>
      <c r="W1700" s="47">
        <f>IF(AND(B1700=Queue!$C$4,OR(Queue!$K$4="*",N1700=Queue!$K$4)),Q1700,"")</f>
        <v/>
      </c>
    </row>
    <row r="1701">
      <c r="A1701" s="38">
        <f>IF(M1701="","",HYPERLINK("https://www.youtube.com/watch?v="&amp;M1701,"▶"))</f>
        <v/>
      </c>
      <c r="B1701" s="39">
        <f>IF(C1701&lt;&gt;"",C1701,IF(P1701&lt;=IFERROR(INDEX(tblChannels[Watched Through],MATCH(N1701,tblChannels[Channel ID],0)),0),"Watched","Unwatched"))</f>
        <v/>
      </c>
      <c r="C1701" s="40" t="n"/>
      <c r="D1701" s="41" t="n"/>
      <c r="E1701" s="42" t="n">
        <v>43865.87847222222</v>
      </c>
      <c r="F1701" s="50" t="inlineStr">
        <is>
          <t>Super Carlin Brothers</t>
        </is>
      </c>
      <c r="G1701" t="inlineStr">
        <is>
          <t>Why Crimes of Grindelwald Failed According to Pixar</t>
        </is>
      </c>
      <c r="H1701" s="44" t="n">
        <v>0.01322916666666667</v>
      </c>
      <c r="I1701" s="45" t="n">
        <v>620199</v>
      </c>
      <c r="J1701" s="45" t="n">
        <v>21039</v>
      </c>
      <c r="K1701" s="45" t="n">
        <v>4459</v>
      </c>
      <c r="L1701" s="46" t="n"/>
      <c r="M1701" s="47" t="n"/>
      <c r="N1701" s="47" t="inlineStr">
        <is>
          <t>UCKZo4N0lVPccBkSiuyVh4yg</t>
        </is>
      </c>
      <c r="O1701" s="48" t="n">
        <v>43866.08680555555</v>
      </c>
      <c r="P1701" s="49" t="n">
        <v>43865</v>
      </c>
      <c r="Q1701" s="47" t="n">
        <v>1567</v>
      </c>
      <c r="R1701" s="47" t="inlineStr">
        <is>
          <t>No Video ID yet</t>
        </is>
      </c>
      <c r="S1701" s="49" t="n"/>
      <c r="T1701" s="49" t="n"/>
      <c r="U1701" s="47" t="inlineStr">
        <is>
          <t>Hurry to to find out HOW LOW your Upstart rate is Pixar’s 22 Rules of Storytelling ::</t>
        </is>
      </c>
      <c r="V1701" s="47">
        <f>IF(AND(P1701&gt;=Calendar!$K$2,P1701&lt;EDATE(Calendar!$K$2,1),OR(Calendar!$K$4="*",N1701=Calendar!$K$4)),P1701*100+COUNTIFS($P$6:$P$3267,P1701,$Q$6:$Q$3267,"&lt;="&amp;Q1701,$N$6:$N$3267,Calendar!$K$4),"")</f>
        <v/>
      </c>
      <c r="W1701" s="47">
        <f>IF(AND(B1701=Queue!$C$4,OR(Queue!$K$4="*",N1701=Queue!$K$4)),Q1701,"")</f>
        <v/>
      </c>
    </row>
    <row r="1702">
      <c r="A1702" s="38">
        <f>IF(M1702="","",HYPERLINK("https://www.youtube.com/watch?v="&amp;M1702,"▶"))</f>
        <v/>
      </c>
      <c r="B1702" s="39">
        <f>IF(C1702&lt;&gt;"",C1702,IF(P1702&lt;=IFERROR(INDEX(tblChannels[Watched Through],MATCH(N1702,tblChannels[Channel ID],0)),0),"Watched","Unwatched"))</f>
        <v/>
      </c>
      <c r="C1702" s="40" t="n"/>
      <c r="D1702" s="41" t="n"/>
      <c r="E1702" s="42" t="n">
        <v>43860.93611111111</v>
      </c>
      <c r="F1702" s="50" t="inlineStr">
        <is>
          <t>Super Carlin Brothers</t>
        </is>
      </c>
      <c r="G1702" t="inlineStr">
        <is>
          <t>The Reylo Controversy Explained</t>
        </is>
      </c>
      <c r="H1702" s="44" t="n">
        <v>0.0118287037037037</v>
      </c>
      <c r="I1702" s="45" t="n">
        <v>188968</v>
      </c>
      <c r="J1702" s="45" t="n">
        <v>10950</v>
      </c>
      <c r="K1702" s="45" t="n">
        <v>2256</v>
      </c>
      <c r="L1702" s="46" t="n"/>
      <c r="M1702" s="47" t="n"/>
      <c r="N1702" s="47" t="inlineStr">
        <is>
          <t>UCKZo4N0lVPccBkSiuyVh4yg</t>
        </is>
      </c>
      <c r="O1702" s="48" t="n">
        <v>43861.14444444444</v>
      </c>
      <c r="P1702" s="49" t="n">
        <v>43860</v>
      </c>
      <c r="Q1702" s="47" t="n">
        <v>1566</v>
      </c>
      <c r="R1702" s="47" t="inlineStr">
        <is>
          <t>No Video ID yet</t>
        </is>
      </c>
      <c r="S1702" s="49" t="n"/>
      <c r="T1702" s="49" t="n"/>
      <c r="U1702" s="47" t="inlineStr">
        <is>
          <t>Would you guys like to see us tackle other topics like this?! Today Ben dives into the world of the Star Wars to fandom to discuss the unusual and twisting path of the Reylo controversy.</t>
        </is>
      </c>
      <c r="V1702" s="47">
        <f>IF(AND(P1702&gt;=Calendar!$K$2,P1702&lt;EDATE(Calendar!$K$2,1),OR(Calendar!$K$4="*",N1702=Calendar!$K$4)),P1702*100+COUNTIFS($P$6:$P$3267,P1702,$Q$6:$Q$3267,"&lt;="&amp;Q1702,$N$6:$N$3267,Calendar!$K$4),"")</f>
        <v/>
      </c>
      <c r="W1702" s="47">
        <f>IF(AND(B1702=Queue!$C$4,OR(Queue!$K$4="*",N1702=Queue!$K$4)),Q1702,"")</f>
        <v/>
      </c>
    </row>
    <row r="1703">
      <c r="A1703" s="38">
        <f>IF(M1703="","",HYPERLINK("https://www.youtube.com/watch?v="&amp;M1703,"▶"))</f>
        <v/>
      </c>
      <c r="B1703" s="39">
        <f>IF(C1703&lt;&gt;"",C1703,IF(P1703&lt;=IFERROR(INDEX(tblChannels[Watched Through],MATCH(N1703,tblChannels[Channel ID],0)),0),"Watched","Unwatched"))</f>
        <v/>
      </c>
      <c r="C1703" s="40" t="n"/>
      <c r="D1703" s="41" t="n"/>
      <c r="E1703" s="42" t="n">
        <v>43858.78472222222</v>
      </c>
      <c r="F1703" s="50" t="inlineStr">
        <is>
          <t>Super Carlin Brothers</t>
        </is>
      </c>
      <c r="G1703" t="inlineStr">
        <is>
          <t>The Philosopher’s Stone Created Aurelius Dumbledore [Harry Potter Theory]</t>
        </is>
      </c>
      <c r="H1703" s="44" t="n">
        <v>0.01019675925925926</v>
      </c>
      <c r="I1703" s="45" t="n">
        <v>872904</v>
      </c>
      <c r="J1703" s="45" t="n">
        <v>36883</v>
      </c>
      <c r="K1703" s="45" t="n">
        <v>3473</v>
      </c>
      <c r="L1703" s="46" t="n"/>
      <c r="M1703" s="47" t="n"/>
      <c r="N1703" s="47" t="inlineStr">
        <is>
          <t>UCKZo4N0lVPccBkSiuyVh4yg</t>
        </is>
      </c>
      <c r="O1703" s="48" t="n">
        <v>43858.99305555555</v>
      </c>
      <c r="P1703" s="49" t="n">
        <v>43858</v>
      </c>
      <c r="Q1703" s="47" t="n">
        <v>1565</v>
      </c>
      <c r="R1703" s="47" t="inlineStr">
        <is>
          <t>No Video ID yet</t>
        </is>
      </c>
      <c r="S1703" s="49" t="n"/>
      <c r="T1703" s="49" t="n"/>
      <c r="U1703" s="47" t="inlineStr">
        <is>
          <t>Get a free stock today by going to Today J dives into the Wizarding World of Harry Potter and Fantastic Beasts to discuss one of its biggest active mysteries: Where did Credence aka Aurelius Dumbledore come from? How can Dumbledore have a brother he knows nothing about? Why did the Phoenix appear to him? What did it have to do with the Philosophers Stone?</t>
        </is>
      </c>
      <c r="V1703" s="47">
        <f>IF(AND(P1703&gt;=Calendar!$K$2,P1703&lt;EDATE(Calendar!$K$2,1),OR(Calendar!$K$4="*",N1703=Calendar!$K$4)),P1703*100+COUNTIFS($P$6:$P$3267,P1703,$Q$6:$Q$3267,"&lt;="&amp;Q1703,$N$6:$N$3267,Calendar!$K$4),"")</f>
        <v/>
      </c>
      <c r="W1703" s="47">
        <f>IF(AND(B1703=Queue!$C$4,OR(Queue!$K$4="*",N1703=Queue!$K$4)),Q1703,"")</f>
        <v/>
      </c>
    </row>
    <row r="1704">
      <c r="A1704" s="38">
        <f>IF(M1704="","",HYPERLINK("https://www.youtube.com/watch?v="&amp;M1704,"▶"))</f>
        <v/>
      </c>
      <c r="B1704" s="39">
        <f>IF(C1704&lt;&gt;"",C1704,IF(P1704&lt;=IFERROR(INDEX(tblChannels[Watched Through],MATCH(N1704,tblChannels[Channel ID],0)),0),"Watched","Unwatched"))</f>
        <v/>
      </c>
      <c r="C1704" s="40" t="n"/>
      <c r="D1704" s="41" t="n"/>
      <c r="E1704" s="42" t="n">
        <v>43858.4875</v>
      </c>
      <c r="F1704" s="43" t="inlineStr">
        <is>
          <t>Popcorn Culture</t>
        </is>
      </c>
      <c r="G1704" t="inlineStr">
        <is>
          <t>7 - The Oscars, Survivor, and Grapefruit</t>
        </is>
      </c>
      <c r="H1704" s="44" t="n">
        <v>0.04446759259259259</v>
      </c>
      <c r="I1704" s="45" t="n">
        <v>6210</v>
      </c>
      <c r="J1704" s="45" t="n">
        <v>248</v>
      </c>
      <c r="K1704" s="45" t="n">
        <v>65</v>
      </c>
      <c r="L1704" s="46" t="n"/>
      <c r="M1704" s="47" t="n"/>
      <c r="N1704" s="47" t="inlineStr">
        <is>
          <t>UCHfIbq9thHPC8yrKjAdJgDA</t>
        </is>
      </c>
      <c r="O1704" s="48" t="n">
        <v>43858.69583333333</v>
      </c>
      <c r="P1704" s="49" t="n">
        <v>43858</v>
      </c>
      <c r="Q1704" s="47" t="n">
        <v>1564</v>
      </c>
      <c r="R1704" s="47" t="inlineStr">
        <is>
          <t>No Video ID yet</t>
        </is>
      </c>
      <c r="S1704" s="49" t="n"/>
      <c r="T1704" s="49" t="n"/>
      <c r="U1704" s="47" t="inlineStr">
        <is>
          <t>Ben and J discuss: Survivor, Luke, Introducing people to new things, fandom and hobby competition, Blinded by the Light, Disney Magic/Tragic Recap, The Oscars, Animated Movies, Blockbuster Films, Grapefruit and Candy Preference Results. UPDATES: We realized Frozen was not actually nominated for Best Picture. We had bad information. Also: SHAWSHANK IS A GEM. We disagree with ourselves saying Forrest Gump obviously should have won. Disney Magic/Tragic Stories: List of Oscar-Winning Films: Candy Graphs: Email us your fandom stories!: mailto:popcornculturepod@gmail.com Discuss the Podcast on Discord:</t>
        </is>
      </c>
      <c r="V1704" s="47">
        <f>IF(AND(P1704&gt;=Calendar!$K$2,P1704&lt;EDATE(Calendar!$K$2,1),OR(Calendar!$K$4="*",N1704=Calendar!$K$4)),P1704*100+COUNTIFS($P$6:$P$3267,P1704,$Q$6:$Q$3267,"&lt;="&amp;Q1704,$N$6:$N$3267,Calendar!$K$4),"")</f>
        <v/>
      </c>
      <c r="W1704" s="47">
        <f>IF(AND(B1704=Queue!$C$4,OR(Queue!$K$4="*",N1704=Queue!$K$4)),Q1704,"")</f>
        <v/>
      </c>
    </row>
    <row r="1705">
      <c r="A1705" s="38">
        <f>IF(M1705="","",HYPERLINK("https://www.youtube.com/watch?v="&amp;M1705,"▶"))</f>
        <v/>
      </c>
      <c r="B1705" s="39">
        <f>IF(C1705&lt;&gt;"",C1705,IF(P1705&lt;=IFERROR(INDEX(tblChannels[Watched Through],MATCH(N1705,tblChannels[Channel ID],0)),0),"Watched","Unwatched"))</f>
        <v/>
      </c>
      <c r="C1705" s="40" t="n"/>
      <c r="D1705" s="41" t="n"/>
      <c r="E1705" s="42" t="n">
        <v>43853.78333333333</v>
      </c>
      <c r="F1705" s="50" t="inlineStr">
        <is>
          <t>Super Carlin Brothers</t>
        </is>
      </c>
      <c r="G1705" t="inlineStr">
        <is>
          <t>Percy Weasley Had A Time Turner [Harry Potter Theory]</t>
        </is>
      </c>
      <c r="H1705" s="44" t="n">
        <v>0.01003472222222222</v>
      </c>
      <c r="I1705" s="45" t="n">
        <v>858839</v>
      </c>
      <c r="J1705" s="45" t="n">
        <v>24432</v>
      </c>
      <c r="K1705" s="45" t="n">
        <v>2693</v>
      </c>
      <c r="L1705" s="46" t="n"/>
      <c r="M1705" s="47" t="n"/>
      <c r="N1705" s="47" t="inlineStr">
        <is>
          <t>UCKZo4N0lVPccBkSiuyVh4yg</t>
        </is>
      </c>
      <c r="O1705" s="48" t="n">
        <v>43853.99166666667</v>
      </c>
      <c r="P1705" s="49" t="n">
        <v>43853</v>
      </c>
      <c r="Q1705" s="47" t="n">
        <v>1563</v>
      </c>
      <c r="R1705" s="47" t="inlineStr">
        <is>
          <t>No Video ID yet</t>
        </is>
      </c>
      <c r="S1705" s="49" t="n"/>
      <c r="T1705" s="49" t="n"/>
      <c r="U1705" s="47" t="inlineStr">
        <is>
          <t>You can get started with Candid with $75 off of by using code SCB at Today Ben dives into the Wizarding World of Harry Potter to try and determine how on Earth Percy Weasley was able to procure 12 OWL’s when there is simply not enough time in the day!</t>
        </is>
      </c>
      <c r="V1705" s="47">
        <f>IF(AND(P1705&gt;=Calendar!$K$2,P1705&lt;EDATE(Calendar!$K$2,1),OR(Calendar!$K$4="*",N1705=Calendar!$K$4)),P1705*100+COUNTIFS($P$6:$P$3267,P1705,$Q$6:$Q$3267,"&lt;="&amp;Q1705,$N$6:$N$3267,Calendar!$K$4),"")</f>
        <v/>
      </c>
      <c r="W1705" s="47">
        <f>IF(AND(B1705=Queue!$C$4,OR(Queue!$K$4="*",N1705=Queue!$K$4)),Q1705,"")</f>
        <v/>
      </c>
    </row>
    <row r="1706">
      <c r="A1706" s="38">
        <f>IF(M1706="","",HYPERLINK("https://www.youtube.com/watch?v="&amp;M1706,"▶"))</f>
        <v/>
      </c>
      <c r="B1706" s="39">
        <f>IF(C1706&lt;&gt;"",C1706,IF(P1706&lt;=IFERROR(INDEX(tblChannels[Watched Through],MATCH(N1706,tblChannels[Channel ID],0)),0),"Watched","Unwatched"))</f>
        <v/>
      </c>
      <c r="C1706" s="40" t="n"/>
      <c r="D1706" s="41" t="n"/>
      <c r="E1706" s="42" t="n">
        <v>43851.71180555555</v>
      </c>
      <c r="F1706" s="50" t="inlineStr">
        <is>
          <t>Super Carlin Brothers</t>
        </is>
      </c>
      <c r="G1706" t="inlineStr">
        <is>
          <t>J vs Ben: HARDEST Luna Lovegood TRIVIA Quiz</t>
        </is>
      </c>
      <c r="H1706" s="44" t="n">
        <v>0.01422453703703704</v>
      </c>
      <c r="I1706" s="45" t="n">
        <v>396710</v>
      </c>
      <c r="J1706" s="45" t="n">
        <v>12306</v>
      </c>
      <c r="K1706" s="45" t="n">
        <v>1541</v>
      </c>
      <c r="L1706" s="46" t="n"/>
      <c r="M1706" s="47" t="n"/>
      <c r="N1706" s="47" t="inlineStr">
        <is>
          <t>UCKZo4N0lVPccBkSiuyVh4yg</t>
        </is>
      </c>
      <c r="O1706" s="48" t="n">
        <v>43851.92013888889</v>
      </c>
      <c r="P1706" s="49" t="n">
        <v>43851</v>
      </c>
      <c r="Q1706" s="47" t="n">
        <v>1562</v>
      </c>
      <c r="R1706" s="47" t="inlineStr">
        <is>
          <t>No Video ID yet</t>
        </is>
      </c>
      <c r="S1706" s="49" t="n"/>
      <c r="T1706" s="49" t="n"/>
      <c r="U1706" s="47" t="inlineStr">
        <is>
          <t>Play along with us: Today J and Ben face off in the Ultimate Luna Lovegood quiz to see who knows everyones favorite Ravenclaw the best!</t>
        </is>
      </c>
      <c r="V1706" s="47">
        <f>IF(AND(P1706&gt;=Calendar!$K$2,P1706&lt;EDATE(Calendar!$K$2,1),OR(Calendar!$K$4="*",N1706=Calendar!$K$4)),P1706*100+COUNTIFS($P$6:$P$3267,P1706,$Q$6:$Q$3267,"&lt;="&amp;Q1706,$N$6:$N$3267,Calendar!$K$4),"")</f>
        <v/>
      </c>
      <c r="W1706" s="47">
        <f>IF(AND(B1706=Queue!$C$4,OR(Queue!$K$4="*",N1706=Queue!$K$4)),Q1706,"")</f>
        <v/>
      </c>
    </row>
    <row r="1707">
      <c r="A1707" s="38">
        <f>IF(M1707="","",HYPERLINK("https://www.youtube.com/watch?v="&amp;M1707,"▶"))</f>
        <v/>
      </c>
      <c r="B1707" s="39">
        <f>IF(C1707&lt;&gt;"",C1707,IF(P1707&lt;=IFERROR(INDEX(tblChannels[Watched Through],MATCH(N1707,tblChannels[Channel ID],0)),0),"Watched","Unwatched"))</f>
        <v/>
      </c>
      <c r="C1707" s="40" t="n"/>
      <c r="D1707" s="41" t="n"/>
      <c r="E1707" s="42" t="n">
        <v>43847.55833333333</v>
      </c>
      <c r="F1707" s="43" t="inlineStr">
        <is>
          <t>Popcorn Culture</t>
        </is>
      </c>
      <c r="G1707" t="inlineStr">
        <is>
          <t>6 - The Great Candy Debate, Disney Magic, and Why Wash Cloths are the WORST</t>
        </is>
      </c>
      <c r="H1707" s="44" t="n">
        <v>0.03673611111111111</v>
      </c>
      <c r="I1707" s="45" t="n">
        <v>7376</v>
      </c>
      <c r="J1707" s="45" t="n">
        <v>295</v>
      </c>
      <c r="K1707" s="45" t="n">
        <v>103</v>
      </c>
      <c r="L1707" s="46" t="n"/>
      <c r="M1707" s="47" t="n"/>
      <c r="N1707" s="47" t="inlineStr">
        <is>
          <t>UCHfIbq9thHPC8yrKjAdJgDA</t>
        </is>
      </c>
      <c r="O1707" s="48" t="n">
        <v>43847.76666666667</v>
      </c>
      <c r="P1707" s="49" t="n">
        <v>43847</v>
      </c>
      <c r="Q1707" s="47" t="n">
        <v>1561</v>
      </c>
      <c r="R1707" s="47" t="inlineStr">
        <is>
          <t>No Video ID yet</t>
        </is>
      </c>
      <c r="S1707" s="49" t="n"/>
      <c r="T1707" s="49" t="n"/>
      <c r="U1707" s="47" t="inlineStr">
        <is>
          <t>Ben and J discuss: Rings, Soap, Bath Poufs, Outdated Technologies, Ben and Alyce’s Wedding, The Flu, Disney Magic, Galaxy’s Edge, Brainspace and Multitasking, and Candy Superiority. Naming of the Dopp Kit: Ystävänpäivä Day: Popcast Candy Survey: Discuss the Podcast on Discord:</t>
        </is>
      </c>
      <c r="V1707" s="47">
        <f>IF(AND(P1707&gt;=Calendar!$K$2,P1707&lt;EDATE(Calendar!$K$2,1),OR(Calendar!$K$4="*",N1707=Calendar!$K$4)),P1707*100+COUNTIFS($P$6:$P$3267,P1707,$Q$6:$Q$3267,"&lt;="&amp;Q1707,$N$6:$N$3267,Calendar!$K$4),"")</f>
        <v/>
      </c>
      <c r="W1707" s="47">
        <f>IF(AND(B1707=Queue!$C$4,OR(Queue!$K$4="*",N1707=Queue!$K$4)),Q1707,"")</f>
        <v/>
      </c>
    </row>
    <row r="1708">
      <c r="A1708" s="38">
        <f>IF(M1708="","",HYPERLINK("https://www.youtube.com/watch?v="&amp;M1708,"▶"))</f>
        <v/>
      </c>
      <c r="B1708" s="39">
        <f>IF(C1708&lt;&gt;"",C1708,IF(P1708&lt;=IFERROR(INDEX(tblChannels[Watched Through],MATCH(N1708,tblChannels[Channel ID],0)),0),"Watched","Unwatched"))</f>
        <v/>
      </c>
      <c r="C1708" s="40" t="n"/>
      <c r="D1708" s="41" t="n"/>
      <c r="E1708" s="42" t="n">
        <v>43846.76319444444</v>
      </c>
      <c r="F1708" s="50" t="inlineStr">
        <is>
          <t>Super Carlin Brothers</t>
        </is>
      </c>
      <c r="G1708" t="inlineStr">
        <is>
          <t>Sorting Harry Potter Characters Into Their Enneagram</t>
        </is>
      </c>
      <c r="H1708" s="44" t="n">
        <v>0.01119212962962963</v>
      </c>
      <c r="I1708" s="45" t="n">
        <v>345339</v>
      </c>
      <c r="J1708" s="45" t="n">
        <v>13384</v>
      </c>
      <c r="K1708" s="45" t="n">
        <v>2434</v>
      </c>
      <c r="L1708" s="46" t="n"/>
      <c r="M1708" s="47" t="n"/>
      <c r="N1708" s="47" t="inlineStr">
        <is>
          <t>UCKZo4N0lVPccBkSiuyVh4yg</t>
        </is>
      </c>
      <c r="O1708" s="48" t="n">
        <v>43846.97152777778</v>
      </c>
      <c r="P1708" s="49" t="n">
        <v>43846</v>
      </c>
      <c r="Q1708" s="47" t="n">
        <v>1560</v>
      </c>
      <c r="R1708" s="47" t="inlineStr">
        <is>
          <t>No Video ID yet</t>
        </is>
      </c>
      <c r="S1708" s="49" t="n"/>
      <c r="T1708" s="49" t="n"/>
      <c r="U1708" s="47" t="inlineStr">
        <is>
          <t>Buy your Bombas at today and get 20% off your first purchase. Take the enneagram for yourself: Today Ben dives into the Wizarding World of Harry Potter to sort various characters according to their Enneagram personality type</t>
        </is>
      </c>
      <c r="V1708" s="47">
        <f>IF(AND(P1708&gt;=Calendar!$K$2,P1708&lt;EDATE(Calendar!$K$2,1),OR(Calendar!$K$4="*",N1708=Calendar!$K$4)),P1708*100+COUNTIFS($P$6:$P$3267,P1708,$Q$6:$Q$3267,"&lt;="&amp;Q1708,$N$6:$N$3267,Calendar!$K$4),"")</f>
        <v/>
      </c>
      <c r="W1708" s="47">
        <f>IF(AND(B1708=Queue!$C$4,OR(Queue!$K$4="*",N1708=Queue!$K$4)),Q1708,"")</f>
        <v/>
      </c>
    </row>
    <row r="1709">
      <c r="A1709" s="38">
        <f>IF(M1709="","",HYPERLINK("https://www.youtube.com/watch?v="&amp;M1709,"▶"))</f>
        <v/>
      </c>
      <c r="B1709" s="39">
        <f>IF(C1709&lt;&gt;"",C1709,IF(P1709&lt;=IFERROR(INDEX(tblChannels[Watched Through],MATCH(N1709,tblChannels[Channel ID],0)),0),"Watched","Unwatched"))</f>
        <v/>
      </c>
      <c r="C1709" s="40" t="n"/>
      <c r="D1709" s="41" t="n"/>
      <c r="E1709" s="42" t="n">
        <v>43844.82777777778</v>
      </c>
      <c r="F1709" s="50" t="inlineStr">
        <is>
          <t>Super Carlin Brothers</t>
        </is>
      </c>
      <c r="G1709" t="inlineStr">
        <is>
          <t>How Much Would It Cost To Watch ALL THE STAR WARS?</t>
        </is>
      </c>
      <c r="H1709" s="44" t="n">
        <v>0.01078703703703704</v>
      </c>
      <c r="I1709" s="45" t="n">
        <v>142812</v>
      </c>
      <c r="J1709" s="45" t="n">
        <v>6730</v>
      </c>
      <c r="K1709" s="45" t="n">
        <v>1417</v>
      </c>
      <c r="L1709" s="46" t="n"/>
      <c r="M1709" s="47" t="n"/>
      <c r="N1709" s="47" t="inlineStr">
        <is>
          <t>UCKZo4N0lVPccBkSiuyVh4yg</t>
        </is>
      </c>
      <c r="O1709" s="48" t="n">
        <v>43845.03611111111</v>
      </c>
      <c r="P1709" s="49" t="n">
        <v>43844</v>
      </c>
      <c r="Q1709" s="47" t="n">
        <v>1559</v>
      </c>
      <c r="R1709" s="47" t="inlineStr">
        <is>
          <t>No Video ID yet</t>
        </is>
      </c>
      <c r="S1709" s="49" t="n"/>
      <c r="T1709" s="49" t="n"/>
      <c r="U1709" s="47" t="inlineStr">
        <is>
          <t>Star Wars Checklist :: Today J dives into the Star Wars Universe to determine how much time and money it would cost you to try and consume ALL the canon Star Wars materials from movies, to books, to tv shows, to comics &amp; video games</t>
        </is>
      </c>
      <c r="V1709" s="47">
        <f>IF(AND(P1709&gt;=Calendar!$K$2,P1709&lt;EDATE(Calendar!$K$2,1),OR(Calendar!$K$4="*",N1709=Calendar!$K$4)),P1709*100+COUNTIFS($P$6:$P$3267,P1709,$Q$6:$Q$3267,"&lt;="&amp;Q1709,$N$6:$N$3267,Calendar!$K$4),"")</f>
        <v/>
      </c>
      <c r="W1709" s="47">
        <f>IF(AND(B1709=Queue!$C$4,OR(Queue!$K$4="*",N1709=Queue!$K$4)),Q1709,"")</f>
        <v/>
      </c>
    </row>
    <row r="1710">
      <c r="A1710" s="38">
        <f>IF(M1710="","",HYPERLINK("https://www.youtube.com/watch?v="&amp;M1710,"▶"))</f>
        <v/>
      </c>
      <c r="B1710" s="39">
        <f>IF(C1710&lt;&gt;"",C1710,IF(P1710&lt;=IFERROR(INDEX(tblChannels[Watched Through],MATCH(N1710,tblChannels[Channel ID],0)),0),"Watched","Unwatched"))</f>
        <v/>
      </c>
      <c r="C1710" s="40" t="n"/>
      <c r="D1710" s="41" t="n"/>
      <c r="E1710" s="42" t="n">
        <v>43844.58194444444</v>
      </c>
      <c r="F1710" s="43" t="inlineStr">
        <is>
          <t>Popcorn Culture</t>
        </is>
      </c>
      <c r="G1710" t="inlineStr">
        <is>
          <t>5 - Weddings and February Friendsgiving</t>
        </is>
      </c>
      <c r="H1710" s="44" t="n">
        <v>0.04143518518518519</v>
      </c>
      <c r="I1710" s="45" t="n">
        <v>6103</v>
      </c>
      <c r="J1710" s="45" t="n">
        <v>262</v>
      </c>
      <c r="K1710" s="45" t="n">
        <v>38</v>
      </c>
      <c r="L1710" s="46" t="n"/>
      <c r="M1710" s="47" t="n"/>
      <c r="N1710" s="47" t="inlineStr">
        <is>
          <t>UCHfIbq9thHPC8yrKjAdJgDA</t>
        </is>
      </c>
      <c r="O1710" s="48" t="n">
        <v>43844.79027777778</v>
      </c>
      <c r="P1710" s="49" t="n">
        <v>43844</v>
      </c>
      <c r="Q1710" s="47" t="n">
        <v>1558</v>
      </c>
      <c r="R1710" s="47" t="inlineStr">
        <is>
          <t>No Video ID yet</t>
        </is>
      </c>
      <c r="S1710" s="49" t="n"/>
      <c r="T1710" s="49" t="n"/>
      <c r="U1710" s="47" t="inlineStr">
        <is>
          <t>Ben and J discuss: Bad Ideas, Engagements Rings, Proposals, Wedding Traditions, Valentine’s Day, Friend Fries, Viral Instagram Hacks, and Diablo 2 (again). Video of a Ring made from a Coin: Wedding Cliches List: Ben and Alyce Wedding Photo: Discuss the Podcast on Discord:</t>
        </is>
      </c>
      <c r="V1710" s="47">
        <f>IF(AND(P1710&gt;=Calendar!$K$2,P1710&lt;EDATE(Calendar!$K$2,1),OR(Calendar!$K$4="*",N1710=Calendar!$K$4)),P1710*100+COUNTIFS($P$6:$P$3267,P1710,$Q$6:$Q$3267,"&lt;="&amp;Q1710,$N$6:$N$3267,Calendar!$K$4),"")</f>
        <v/>
      </c>
      <c r="W1710" s="47">
        <f>IF(AND(B1710=Queue!$C$4,OR(Queue!$K$4="*",N1710=Queue!$K$4)),Q1710,"")</f>
        <v/>
      </c>
    </row>
    <row r="1711">
      <c r="A1711" s="38">
        <f>IF(M1711="","",HYPERLINK("https://www.youtube.com/watch?v="&amp;M1711,"▶"))</f>
        <v/>
      </c>
      <c r="B1711" s="39">
        <f>IF(C1711&lt;&gt;"",C1711,IF(P1711&lt;=IFERROR(INDEX(tblChannels[Watched Through],MATCH(N1711,tblChannels[Channel ID],0)),0),"Watched","Unwatched"))</f>
        <v/>
      </c>
      <c r="C1711" s="40" t="n"/>
      <c r="D1711" s="41" t="n"/>
      <c r="E1711" s="42" t="n">
        <v>43839.75486111111</v>
      </c>
      <c r="F1711" s="50" t="inlineStr">
        <is>
          <t>Super Carlin Brothers</t>
        </is>
      </c>
      <c r="G1711" t="inlineStr">
        <is>
          <t>J vs Ben: ULTIMATE Hogwarts Castle Quiz EVER</t>
        </is>
      </c>
      <c r="H1711" s="44" t="n">
        <v>0.01431712962962963</v>
      </c>
      <c r="I1711" s="45" t="n">
        <v>371293</v>
      </c>
      <c r="J1711" s="45" t="n">
        <v>11936</v>
      </c>
      <c r="K1711" s="45" t="n">
        <v>1327</v>
      </c>
      <c r="L1711" s="46" t="n"/>
      <c r="M1711" s="47" t="n"/>
      <c r="N1711" s="47" t="inlineStr">
        <is>
          <t>UCKZo4N0lVPccBkSiuyVh4yg</t>
        </is>
      </c>
      <c r="O1711" s="48" t="n">
        <v>43839.96319444444</v>
      </c>
      <c r="P1711" s="49" t="n">
        <v>43839</v>
      </c>
      <c r="Q1711" s="47" t="n">
        <v>1557</v>
      </c>
      <c r="R1711" s="47" t="inlineStr">
        <is>
          <t>No Video ID yet</t>
        </is>
      </c>
      <c r="S1711" s="49" t="n"/>
      <c r="T1711" s="49" t="n"/>
      <c r="U1711" s="47" t="inlineStr">
        <is>
          <t>Take the Quiz with us! Hogwarts Hogwarts Hoggy Hoggy Hogwarts! Today J and Ben face off in the Ultimate Hogwarts Castle Quiz to see who knows more about the magical grounds of the wizarding worlds most famous school! Popcorn Culture:</t>
        </is>
      </c>
      <c r="V1711" s="47">
        <f>IF(AND(P1711&gt;=Calendar!$K$2,P1711&lt;EDATE(Calendar!$K$2,1),OR(Calendar!$K$4="*",N1711=Calendar!$K$4)),P1711*100+COUNTIFS($P$6:$P$3267,P1711,$Q$6:$Q$3267,"&lt;="&amp;Q1711,$N$6:$N$3267,Calendar!$K$4),"")</f>
        <v/>
      </c>
      <c r="W1711" s="47">
        <f>IF(AND(B1711=Queue!$C$4,OR(Queue!$K$4="*",N1711=Queue!$K$4)),Q1711,"")</f>
        <v/>
      </c>
    </row>
    <row r="1712">
      <c r="A1712" s="38">
        <f>IF(M1712="","",HYPERLINK("https://www.youtube.com/watch?v="&amp;M1712,"▶"))</f>
        <v/>
      </c>
      <c r="B1712" s="39">
        <f>IF(C1712&lt;&gt;"",C1712,IF(P1712&lt;=IFERROR(INDEX(tblChannels[Watched Through],MATCH(N1712,tblChannels[Channel ID],0)),0),"Watched","Unwatched"))</f>
        <v/>
      </c>
      <c r="C1712" s="40" t="n"/>
      <c r="D1712" s="41" t="n"/>
      <c r="E1712" s="42" t="n">
        <v>43835.33333333334</v>
      </c>
      <c r="F1712" s="43" t="inlineStr">
        <is>
          <t>Popcorn Culture</t>
        </is>
      </c>
      <c r="G1712" t="inlineStr">
        <is>
          <t>4 - Self Help Books, Hair Cuts, and The Gamora Paradox</t>
        </is>
      </c>
      <c r="H1712" s="44" t="n">
        <v>0.04321759259259259</v>
      </c>
      <c r="I1712" s="45" t="n">
        <v>7759</v>
      </c>
      <c r="J1712" s="45" t="n">
        <v>280</v>
      </c>
      <c r="K1712" s="45" t="n">
        <v>51</v>
      </c>
      <c r="L1712" s="46" t="n"/>
      <c r="M1712" s="47" t="n"/>
      <c r="N1712" s="47" t="inlineStr">
        <is>
          <t>UCHfIbq9thHPC8yrKjAdJgDA</t>
        </is>
      </c>
      <c r="O1712" s="48" t="n">
        <v>43835.54166666666</v>
      </c>
      <c r="P1712" s="49" t="n">
        <v>43835</v>
      </c>
      <c r="Q1712" s="47" t="n">
        <v>1556</v>
      </c>
      <c r="R1712" s="47" t="inlineStr">
        <is>
          <t>No Video ID yet</t>
        </is>
      </c>
      <c r="S1712" s="49" t="n"/>
      <c r="T1712" s="49" t="n"/>
      <c r="U1712" s="47" t="inlineStr">
        <is>
          <t>Ben and J discuss: Common phrases and idioms, self-help books, haircuts, our personal in-crowds, fandom peripherals, what counts as canon, and the Gamora Paradox. Star Wars Canon List: Discuss the Podcast on Discord:</t>
        </is>
      </c>
      <c r="V1712" s="47">
        <f>IF(AND(P1712&gt;=Calendar!$K$2,P1712&lt;EDATE(Calendar!$K$2,1),OR(Calendar!$K$4="*",N1712=Calendar!$K$4)),P1712*100+COUNTIFS($P$6:$P$3267,P1712,$Q$6:$Q$3267,"&lt;="&amp;Q1712,$N$6:$N$3267,Calendar!$K$4),"")</f>
        <v/>
      </c>
      <c r="W1712" s="47">
        <f>IF(AND(B1712=Queue!$C$4,OR(Queue!$K$4="*",N1712=Queue!$K$4)),Q1712,"")</f>
        <v/>
      </c>
    </row>
    <row r="1713">
      <c r="A1713" s="38">
        <f>IF(M1713="","",HYPERLINK("https://www.youtube.com/watch?v="&amp;M1713,"▶"))</f>
        <v/>
      </c>
      <c r="B1713" s="39">
        <f>IF(C1713&lt;&gt;"",C1713,IF(P1713&lt;=IFERROR(INDEX(tblChannels[Watched Through],MATCH(N1713,tblChannels[Channel ID],0)),0),"Watched","Unwatched"))</f>
        <v/>
      </c>
      <c r="C1713" s="40" t="n"/>
      <c r="D1713" s="41" t="n"/>
      <c r="E1713" s="42" t="n">
        <v>43834.75</v>
      </c>
      <c r="F1713" s="43" t="inlineStr">
        <is>
          <t>Popcorn Culture</t>
        </is>
      </c>
      <c r="G1713" t="inlineStr">
        <is>
          <t>3 - BEEF With Big Chicken</t>
        </is>
      </c>
      <c r="H1713" s="44" t="n">
        <v>0.0271875</v>
      </c>
      <c r="I1713" s="45" t="n">
        <v>6150</v>
      </c>
      <c r="J1713" s="45" t="n">
        <v>274</v>
      </c>
      <c r="K1713" s="45" t="n">
        <v>42</v>
      </c>
      <c r="L1713" s="46" t="n"/>
      <c r="M1713" s="47" t="n"/>
      <c r="N1713" s="47" t="inlineStr">
        <is>
          <t>UCHfIbq9thHPC8yrKjAdJgDA</t>
        </is>
      </c>
      <c r="O1713" s="48" t="n">
        <v>43834.95833333334</v>
      </c>
      <c r="P1713" s="49" t="n">
        <v>43834</v>
      </c>
      <c r="Q1713" s="47" t="n">
        <v>1555</v>
      </c>
      <c r="R1713" s="47" t="inlineStr">
        <is>
          <t>No Video ID yet</t>
        </is>
      </c>
      <c r="S1713" s="49" t="n"/>
      <c r="T1713" s="49" t="n"/>
      <c r="U1713" s="47" t="inlineStr">
        <is>
          <t>Ben and J discuss: Social Media, the Mute button, Beef with Big Chicken, Diablo 2, obligation likes, and gut feelings. Discuss the Podcast on Discord: Check out Panikann: Check out our Pilot friend:</t>
        </is>
      </c>
      <c r="V1713" s="47">
        <f>IF(AND(P1713&gt;=Calendar!$K$2,P1713&lt;EDATE(Calendar!$K$2,1),OR(Calendar!$K$4="*",N1713=Calendar!$K$4)),P1713*100+COUNTIFS($P$6:$P$3267,P1713,$Q$6:$Q$3267,"&lt;="&amp;Q1713,$N$6:$N$3267,Calendar!$K$4),"")</f>
        <v/>
      </c>
      <c r="W1713" s="47">
        <f>IF(AND(B1713=Queue!$C$4,OR(Queue!$K$4="*",N1713=Queue!$K$4)),Q1713,"")</f>
        <v/>
      </c>
    </row>
    <row r="1714">
      <c r="A1714" s="38">
        <f>IF(M1714="","",HYPERLINK("https://www.youtube.com/watch?v="&amp;M1714,"▶"))</f>
        <v/>
      </c>
      <c r="B1714" s="39">
        <f>IF(C1714&lt;&gt;"",C1714,IF(P1714&lt;=IFERROR(INDEX(tblChannels[Watched Through],MATCH(N1714,tblChannels[Channel ID],0)),0),"Watched","Unwatched"))</f>
        <v/>
      </c>
      <c r="C1714" s="40" t="n"/>
      <c r="D1714" s="41" t="n"/>
      <c r="E1714" s="42" t="n">
        <v>43833.75</v>
      </c>
      <c r="F1714" s="43" t="inlineStr">
        <is>
          <t>Popcorn Culture</t>
        </is>
      </c>
      <c r="G1714" t="inlineStr">
        <is>
          <t>2 - Business Cards, Bachelor Parties, and Baby Yoda</t>
        </is>
      </c>
      <c r="H1714" s="44" t="n">
        <v>0.03876157407407407</v>
      </c>
      <c r="I1714" s="45" t="n">
        <v>7948</v>
      </c>
      <c r="J1714" s="45" t="n">
        <v>306</v>
      </c>
      <c r="K1714" s="45" t="n">
        <v>55</v>
      </c>
      <c r="L1714" s="46" t="n"/>
      <c r="M1714" s="47" t="n"/>
      <c r="N1714" s="47" t="inlineStr">
        <is>
          <t>UCHfIbq9thHPC8yrKjAdJgDA</t>
        </is>
      </c>
      <c r="O1714" s="48" t="n">
        <v>43833.95833333334</v>
      </c>
      <c r="P1714" s="49" t="n">
        <v>43833</v>
      </c>
      <c r="Q1714" s="47" t="n">
        <v>1554</v>
      </c>
      <c r="R1714" s="47" t="inlineStr">
        <is>
          <t>No Video ID yet</t>
        </is>
      </c>
      <c r="S1714" s="49" t="n"/>
      <c r="T1714" s="49" t="n"/>
      <c r="U1714" s="47" t="inlineStr">
        <is>
          <t>J and Ben discuss: Business Cards, Bachelor Parties, Fun and Hobbies, Disney Plus, Spoiler Culture, and Baby Yoda. Send your cool business card to our PO Box: Popcorn Culture Roanoke, VA 24015</t>
        </is>
      </c>
      <c r="V1714" s="47">
        <f>IF(AND(P1714&gt;=Calendar!$K$2,P1714&lt;EDATE(Calendar!$K$2,1),OR(Calendar!$K$4="*",N1714=Calendar!$K$4)),P1714*100+COUNTIFS($P$6:$P$3267,P1714,$Q$6:$Q$3267,"&lt;="&amp;Q1714,$N$6:$N$3267,Calendar!$K$4),"")</f>
        <v/>
      </c>
      <c r="W1714" s="47">
        <f>IF(AND(B1714=Queue!$C$4,OR(Queue!$K$4="*",N1714=Queue!$K$4)),Q1714,"")</f>
        <v/>
      </c>
    </row>
    <row r="1715">
      <c r="A1715" s="38">
        <f>IF(M1715="","",HYPERLINK("https://www.youtube.com/watch?v="&amp;M1715,"▶"))</f>
        <v/>
      </c>
      <c r="B1715" s="39">
        <f>IF(C1715&lt;&gt;"",C1715,IF(P1715&lt;=IFERROR(INDEX(tblChannels[Watched Through],MATCH(N1715,tblChannels[Channel ID],0)),0),"Watched","Unwatched"))</f>
        <v/>
      </c>
      <c r="C1715" s="40" t="n"/>
      <c r="D1715" s="41" t="n"/>
      <c r="E1715" s="42" t="n">
        <v>43832.79166666666</v>
      </c>
      <c r="F1715" s="43" t="inlineStr">
        <is>
          <t>Popcorn Culture</t>
        </is>
      </c>
      <c r="G1715" t="inlineStr">
        <is>
          <t>1 - Strong Opinions, Spray Tans, and Star Wars</t>
        </is>
      </c>
      <c r="H1715" s="44" t="n">
        <v>0.03853009259259259</v>
      </c>
      <c r="I1715" s="45" t="n">
        <v>10879</v>
      </c>
      <c r="J1715" s="45" t="n">
        <v>405</v>
      </c>
      <c r="K1715" s="45" t="n">
        <v>55</v>
      </c>
      <c r="L1715" s="46" t="n"/>
      <c r="M1715" s="47" t="n"/>
      <c r="N1715" s="47" t="inlineStr">
        <is>
          <t>UCHfIbq9thHPC8yrKjAdJgDA</t>
        </is>
      </c>
      <c r="O1715" s="48" t="n">
        <v>43833</v>
      </c>
      <c r="P1715" s="49" t="n">
        <v>43832</v>
      </c>
      <c r="Q1715" s="47" t="n">
        <v>1553</v>
      </c>
      <c r="R1715" s="47" t="inlineStr">
        <is>
          <t>No Video ID yet</t>
        </is>
      </c>
      <c r="S1715" s="49" t="n"/>
      <c r="T1715" s="49" t="n"/>
      <c r="U1715" s="47" t="inlineStr">
        <is>
          <t>J and Ben discuss: Episode Zero, Strong Opinions, Spray Tans, Movie Rankings, Star Wars (pre-Episode 9), and share an embarrassing wedding story.</t>
        </is>
      </c>
      <c r="V1715" s="47">
        <f>IF(AND(P1715&gt;=Calendar!$K$2,P1715&lt;EDATE(Calendar!$K$2,1),OR(Calendar!$K$4="*",N1715=Calendar!$K$4)),P1715*100+COUNTIFS($P$6:$P$3267,P1715,$Q$6:$Q$3267,"&lt;="&amp;Q1715,$N$6:$N$3267,Calendar!$K$4),"")</f>
        <v/>
      </c>
      <c r="W1715" s="47">
        <f>IF(AND(B1715=Queue!$C$4,OR(Queue!$K$4="*",N1715=Queue!$K$4)),Q1715,"")</f>
        <v/>
      </c>
    </row>
    <row r="1716">
      <c r="A1716" s="38">
        <f>IF(M1716="","",HYPERLINK("https://www.youtube.com/watch?v="&amp;M1716,"▶"))</f>
        <v/>
      </c>
      <c r="B1716" s="39">
        <f>IF(C1716&lt;&gt;"",C1716,IF(P1716&lt;=IFERROR(INDEX(tblChannels[Watched Through],MATCH(N1716,tblChannels[Channel ID],0)),0),"Watched","Unwatched"))</f>
        <v/>
      </c>
      <c r="C1716" s="40" t="n"/>
      <c r="D1716" s="41" t="n"/>
      <c r="E1716" s="42" t="n">
        <v>43832.63819444444</v>
      </c>
      <c r="F1716" s="50" t="inlineStr">
        <is>
          <t>Super Carlin Brothers</t>
        </is>
      </c>
      <c r="G1716" t="inlineStr">
        <is>
          <t>J vs Ben: GETTING RESORTED ON POTTERMORE FOR 2020!</t>
        </is>
      </c>
      <c r="H1716" s="44" t="n">
        <v>0.009201388888888889</v>
      </c>
      <c r="I1716" s="45" t="n">
        <v>429939</v>
      </c>
      <c r="J1716" s="45" t="n">
        <v>17042</v>
      </c>
      <c r="K1716" s="45" t="n">
        <v>3975</v>
      </c>
      <c r="L1716" s="46" t="n"/>
      <c r="M1716" s="47" t="n"/>
      <c r="N1716" s="47" t="inlineStr">
        <is>
          <t>UCKZo4N0lVPccBkSiuyVh4yg</t>
        </is>
      </c>
      <c r="O1716" s="48" t="n">
        <v>43832.84652777778</v>
      </c>
      <c r="P1716" s="49" t="n">
        <v>43832</v>
      </c>
      <c r="Q1716" s="47" t="n">
        <v>1552</v>
      </c>
      <c r="R1716" s="47" t="inlineStr">
        <is>
          <t>No Video ID yet</t>
        </is>
      </c>
      <c r="S1716" s="49" t="n"/>
      <c r="T1716" s="49" t="n"/>
      <c r="U1716" s="47" t="inlineStr">
        <is>
          <t>Go to and use code SCB to get $75 off! Take the Re-Sorting Challenge with us: Today J and Ben retake the Sorting quiz for 2020 in the Annual Super Carlin Sorting Ceremony! Will J stay in Slytherin? Will Ben finally solve his identity crisis!?</t>
        </is>
      </c>
      <c r="V1716" s="47">
        <f>IF(AND(P1716&gt;=Calendar!$K$2,P1716&lt;EDATE(Calendar!$K$2,1),OR(Calendar!$K$4="*",N1716=Calendar!$K$4)),P1716*100+COUNTIFS($P$6:$P$3267,P1716,$Q$6:$Q$3267,"&lt;="&amp;Q1716,$N$6:$N$3267,Calendar!$K$4),"")</f>
        <v/>
      </c>
      <c r="W1716" s="47">
        <f>IF(AND(B1716=Queue!$C$4,OR(Queue!$K$4="*",N1716=Queue!$K$4)),Q1716,"")</f>
        <v/>
      </c>
    </row>
    <row r="1717">
      <c r="A1717" s="38">
        <f>IF(M1717="","",HYPERLINK("https://www.youtube.com/watch?v="&amp;M1717,"▶"))</f>
        <v/>
      </c>
      <c r="B1717" s="39">
        <f>IF(C1717&lt;&gt;"",C1717,IF(P1717&lt;=IFERROR(INDEX(tblChannels[Watched Through],MATCH(N1717,tblChannels[Channel ID],0)),0),"Watched","Unwatched"))</f>
        <v/>
      </c>
      <c r="C1717" s="40" t="n"/>
      <c r="D1717" s="41" t="n"/>
      <c r="E1717" s="42" t="n">
        <v>43825.75277777778</v>
      </c>
      <c r="F1717" s="50" t="inlineStr">
        <is>
          <t>Super Carlin Brothers</t>
        </is>
      </c>
      <c r="G1717" t="inlineStr">
        <is>
          <t>Ranking TOP Disney Movies of 2019</t>
        </is>
      </c>
      <c r="H1717" s="44" t="n">
        <v>0.03276620370370371</v>
      </c>
      <c r="I1717" s="45" t="n">
        <v>189148</v>
      </c>
      <c r="J1717" s="45" t="n">
        <v>6878</v>
      </c>
      <c r="K1717" s="45" t="n">
        <v>1453</v>
      </c>
      <c r="L1717" s="46" t="n"/>
      <c r="M1717" s="47" t="n"/>
      <c r="N1717" s="47" t="inlineStr">
        <is>
          <t>UCKZo4N0lVPccBkSiuyVh4yg</t>
        </is>
      </c>
      <c r="O1717" s="48" t="n">
        <v>43825.96111111111</v>
      </c>
      <c r="P1717" s="49" t="n">
        <v>43825</v>
      </c>
      <c r="Q1717" s="47" t="n">
        <v>1551</v>
      </c>
      <c r="R1717" s="47" t="inlineStr">
        <is>
          <t>No Video ID yet</t>
        </is>
      </c>
      <c r="S1717" s="49" t="n"/>
      <c r="T1717" s="49" t="n"/>
      <c r="U1717" s="47" t="inlineStr">
        <is>
          <t>Today J and Ben rank their Top Disney Movies from 2019! Every movie they have done a review on is up for grabs from Star Wars The Rise of Skywalker to Captain Marvel! How would you rank them all?</t>
        </is>
      </c>
      <c r="V1717" s="47">
        <f>IF(AND(P1717&gt;=Calendar!$K$2,P1717&lt;EDATE(Calendar!$K$2,1),OR(Calendar!$K$4="*",N1717=Calendar!$K$4)),P1717*100+COUNTIFS($P$6:$P$3267,P1717,$Q$6:$Q$3267,"&lt;="&amp;Q1717,$N$6:$N$3267,Calendar!$K$4),"")</f>
        <v/>
      </c>
      <c r="W1717" s="47">
        <f>IF(AND(B1717=Queue!$C$4,OR(Queue!$K$4="*",N1717=Queue!$K$4)),Q1717,"")</f>
        <v/>
      </c>
    </row>
    <row r="1718">
      <c r="A1718" s="38">
        <f>IF(M1718="","",HYPERLINK("https://www.youtube.com/watch?v="&amp;M1718,"▶"))</f>
        <v/>
      </c>
      <c r="B1718" s="39">
        <f>IF(C1718&lt;&gt;"",C1718,IF(P1718&lt;=IFERROR(INDEX(tblChannels[Watched Through],MATCH(N1718,tblChannels[Channel ID],0)),0),"Watched","Unwatched"))</f>
        <v/>
      </c>
      <c r="C1718" s="40" t="n"/>
      <c r="D1718" s="41" t="n"/>
      <c r="E1718" s="42" t="n">
        <v>43823.625</v>
      </c>
      <c r="F1718" s="50" t="inlineStr">
        <is>
          <t>Super Carlin Brothers</t>
        </is>
      </c>
      <c r="G1718" t="inlineStr">
        <is>
          <t>Top 7 Unanswered Questions from The Rise of Skywalker [Star Wars]</t>
        </is>
      </c>
      <c r="H1718" s="44" t="n">
        <v>0.009930555555555555</v>
      </c>
      <c r="I1718" s="45" t="n">
        <v>642743</v>
      </c>
      <c r="J1718" s="45" t="n">
        <v>15372</v>
      </c>
      <c r="K1718" s="45" t="n">
        <v>2843</v>
      </c>
      <c r="L1718" s="46" t="n"/>
      <c r="M1718" s="47" t="n"/>
      <c r="N1718" s="47" t="inlineStr">
        <is>
          <t>UCKZo4N0lVPccBkSiuyVh4yg</t>
        </is>
      </c>
      <c r="O1718" s="48" t="n">
        <v>43823.83333333334</v>
      </c>
      <c r="P1718" s="49" t="n">
        <v>43823</v>
      </c>
      <c r="Q1718" s="47" t="n">
        <v>1550</v>
      </c>
      <c r="R1718" s="47" t="inlineStr">
        <is>
          <t>No Video ID yet</t>
        </is>
      </c>
      <c r="S1718" s="49" t="n"/>
      <c r="T1718" s="49" t="n"/>
      <c r="U1718" s="47" t="inlineStr">
        <is>
          <t>Go to and use code SCB to get $75 off. Star Wars has reached it’s grand finale with the release of Episode 9 The Rise of Skywalker! Today J dives into all of the unanswered questions that still remain! Like what is a dyad? Who is Rey’s Grandmother? Why is her saber that color?! Who even were the Knights of Ren AND what was Finn going to tell Rey??</t>
        </is>
      </c>
      <c r="V1718" s="47">
        <f>IF(AND(P1718&gt;=Calendar!$K$2,P1718&lt;EDATE(Calendar!$K$2,1),OR(Calendar!$K$4="*",N1718=Calendar!$K$4)),P1718*100+COUNTIFS($P$6:$P$3267,P1718,$Q$6:$Q$3267,"&lt;="&amp;Q1718,$N$6:$N$3267,Calendar!$K$4),"")</f>
        <v/>
      </c>
      <c r="W1718" s="47">
        <f>IF(AND(B1718=Queue!$C$4,OR(Queue!$K$4="*",N1718=Queue!$K$4)),Q1718,"")</f>
        <v/>
      </c>
    </row>
    <row r="1719">
      <c r="A1719" s="38">
        <f>IF(M1719="","",HYPERLINK("https://www.youtube.com/watch?v="&amp;M1719,"▶"))</f>
        <v/>
      </c>
      <c r="B1719" s="39">
        <f>IF(C1719&lt;&gt;"",C1719,IF(P1719&lt;=IFERROR(INDEX(tblChannels[Watched Through],MATCH(N1719,tblChannels[Channel ID],0)),0),"Watched","Unwatched"))</f>
        <v/>
      </c>
      <c r="C1719" s="40" t="n"/>
      <c r="D1719" s="41" t="n"/>
      <c r="E1719" s="42" t="n">
        <v>43819.92013888889</v>
      </c>
      <c r="F1719" s="50" t="inlineStr">
        <is>
          <t>Super Carlin Brothers</t>
        </is>
      </c>
      <c r="G1719" t="inlineStr">
        <is>
          <t>Star Wars Episode 9 The Rise of Skywalker [Spoiler Review]</t>
        </is>
      </c>
      <c r="H1719" s="44" t="n">
        <v>0.04479166666666667</v>
      </c>
      <c r="I1719" s="45" t="n">
        <v>363278</v>
      </c>
      <c r="J1719" s="45" t="n">
        <v>9891</v>
      </c>
      <c r="K1719" s="45" t="n">
        <v>3371</v>
      </c>
      <c r="L1719" s="46" t="n"/>
      <c r="M1719" s="47" t="n"/>
      <c r="N1719" s="47" t="inlineStr">
        <is>
          <t>UCKZo4N0lVPccBkSiuyVh4yg</t>
        </is>
      </c>
      <c r="O1719" s="48" t="n">
        <v>43820.12847222222</v>
      </c>
      <c r="P1719" s="49" t="n">
        <v>43819</v>
      </c>
      <c r="Q1719" s="47" t="n">
        <v>1549</v>
      </c>
      <c r="R1719" s="47" t="inlineStr">
        <is>
          <t>No Video ID yet</t>
        </is>
      </c>
      <c r="S1719" s="49" t="n"/>
      <c r="T1719" s="49" t="n"/>
      <c r="U1719" s="47" t="inlineStr">
        <is>
          <t>Hurry to to find our HOW LOW your Upstart rate is. Today J and Ben dive into the Star Wars Galaxy to give their full SPOILER Review of Star Wars Episode 9 The Rise of Skywalker and discuss how they feel it wraps up the entire Skywalker Saga</t>
        </is>
      </c>
      <c r="V1719" s="47">
        <f>IF(AND(P1719&gt;=Calendar!$K$2,P1719&lt;EDATE(Calendar!$K$2,1),OR(Calendar!$K$4="*",N1719=Calendar!$K$4)),P1719*100+COUNTIFS($P$6:$P$3267,P1719,$Q$6:$Q$3267,"&lt;="&amp;Q1719,$N$6:$N$3267,Calendar!$K$4),"")</f>
        <v/>
      </c>
      <c r="W1719" s="47">
        <f>IF(AND(B1719=Queue!$C$4,OR(Queue!$K$4="*",N1719=Queue!$K$4)),Q1719,"")</f>
        <v/>
      </c>
    </row>
    <row r="1720">
      <c r="A1720" s="38">
        <f>IF(M1720="","",HYPERLINK("https://www.youtube.com/watch?v="&amp;M1720,"▶"))</f>
        <v/>
      </c>
      <c r="B1720" s="39">
        <f>IF(C1720&lt;&gt;"",C1720,IF(P1720&lt;=IFERROR(INDEX(tblChannels[Watched Through],MATCH(N1720,tblChannels[Channel ID],0)),0),"Watched","Unwatched"))</f>
        <v/>
      </c>
      <c r="C1720" s="40" t="n"/>
      <c r="D1720" s="41" t="n"/>
      <c r="E1720" s="42" t="n">
        <v>43817.57569444444</v>
      </c>
      <c r="F1720" s="43" t="inlineStr">
        <is>
          <t>Popcorn Culture</t>
        </is>
      </c>
      <c r="G1720" t="inlineStr">
        <is>
          <t>Episode 0: The Pilot - So it Begins</t>
        </is>
      </c>
      <c r="H1720" s="44" t="n">
        <v>0.02986111111111111</v>
      </c>
      <c r="I1720" s="45" t="n">
        <v>20781</v>
      </c>
      <c r="J1720" s="45" t="n">
        <v>782</v>
      </c>
      <c r="K1720" s="45" t="n">
        <v>84</v>
      </c>
      <c r="L1720" s="46" t="n"/>
      <c r="M1720" s="47" t="n"/>
      <c r="N1720" s="47" t="inlineStr">
        <is>
          <t>UCHfIbq9thHPC8yrKjAdJgDA</t>
        </is>
      </c>
      <c r="O1720" s="48" t="n">
        <v>43817.78402777778</v>
      </c>
      <c r="P1720" s="49" t="n">
        <v>43817</v>
      </c>
      <c r="Q1720" s="47" t="n">
        <v>1548</v>
      </c>
      <c r="R1720" s="47" t="inlineStr">
        <is>
          <t>No Video ID yet</t>
        </is>
      </c>
      <c r="S1720" s="49" t="n"/>
      <c r="T1720" s="49" t="n"/>
      <c r="U1720" s="47" t="inlineStr">
        <is>
          <t>Popcorn Culture is brought to you by J and Ben Carlin aka the SuperCarlinBrothers on YouTube. The two are most well known for the The Pixar Theory, Rampant Predictions of your favorite upcoming movies, Harry Potter Trivia Fiends, and for being a pair of man childs. Man children? Men Children. None of those seem right. You get the point. Anyway, they wanted a way to talk more in depth about their theories and BEYOND! And this is their solution.</t>
        </is>
      </c>
      <c r="V1720" s="47">
        <f>IF(AND(P1720&gt;=Calendar!$K$2,P1720&lt;EDATE(Calendar!$K$2,1),OR(Calendar!$K$4="*",N1720=Calendar!$K$4)),P1720*100+COUNTIFS($P$6:$P$3267,P1720,$Q$6:$Q$3267,"&lt;="&amp;Q1720,$N$6:$N$3267,Calendar!$K$4),"")</f>
        <v/>
      </c>
      <c r="W1720" s="47">
        <f>IF(AND(B1720=Queue!$C$4,OR(Queue!$K$4="*",N1720=Queue!$K$4)),Q1720,"")</f>
        <v/>
      </c>
    </row>
    <row r="1721">
      <c r="A1721" s="38">
        <f>IF(M1721="","",HYPERLINK("https://www.youtube.com/watch?v="&amp;M1721,"▶"))</f>
        <v/>
      </c>
      <c r="B1721" s="39">
        <f>IF(C1721&lt;&gt;"",C1721,IF(P1721&lt;=IFERROR(INDEX(tblChannels[Watched Through],MATCH(N1721,tblChannels[Channel ID],0)),0),"Watched","Unwatched"))</f>
        <v/>
      </c>
      <c r="C1721" s="40" t="n"/>
      <c r="D1721" s="41" t="n"/>
      <c r="E1721" s="42" t="n">
        <v>43816.72708333333</v>
      </c>
      <c r="F1721" s="50" t="inlineStr">
        <is>
          <t>Super Carlin Brothers</t>
        </is>
      </c>
      <c r="G1721" t="inlineStr">
        <is>
          <t>The White Saber Theory [Star Wars The Rise Of Skywalker]</t>
        </is>
      </c>
      <c r="H1721" s="44" t="n">
        <v>0.008831018518518519</v>
      </c>
      <c r="I1721" s="45" t="n">
        <v>200687</v>
      </c>
      <c r="J1721" s="45" t="n">
        <v>8473</v>
      </c>
      <c r="K1721" s="45" t="n">
        <v>1186</v>
      </c>
      <c r="L1721" s="46" t="n"/>
      <c r="M1721" s="47" t="n"/>
      <c r="N1721" s="47" t="inlineStr">
        <is>
          <t>UCKZo4N0lVPccBkSiuyVh4yg</t>
        </is>
      </c>
      <c r="O1721" s="48" t="n">
        <v>43816.93541666667</v>
      </c>
      <c r="P1721" s="49" t="n">
        <v>43816</v>
      </c>
      <c r="Q1721" s="47" t="n">
        <v>1547</v>
      </c>
      <c r="R1721" s="47" t="inlineStr">
        <is>
          <t>No Video ID yet</t>
        </is>
      </c>
      <c r="S1721" s="49" t="n"/>
      <c r="T1721" s="49" t="n"/>
      <c r="U1721" s="47" t="inlineStr">
        <is>
          <t>Popcorn Culture iTunes :: With Star Wars Episode 9 The Rise of Skywalker just days away J dives into the Star Wars Galaxy to discuss the future of Kylo Ren’s Lightsaber and the White Saber theory!</t>
        </is>
      </c>
      <c r="V1721" s="47">
        <f>IF(AND(P1721&gt;=Calendar!$K$2,P1721&lt;EDATE(Calendar!$K$2,1),OR(Calendar!$K$4="*",N1721=Calendar!$K$4)),P1721*100+COUNTIFS($P$6:$P$3267,P1721,$Q$6:$Q$3267,"&lt;="&amp;Q1721,$N$6:$N$3267,Calendar!$K$4),"")</f>
        <v/>
      </c>
      <c r="W1721" s="47">
        <f>IF(AND(B1721=Queue!$C$4,OR(Queue!$K$4="*",N1721=Queue!$K$4)),Q1721,"")</f>
        <v/>
      </c>
    </row>
    <row r="1722">
      <c r="A1722" s="38">
        <f>IF(M1722="","",HYPERLINK("https://www.youtube.com/watch?v="&amp;M1722,"▶"))</f>
        <v/>
      </c>
      <c r="B1722" s="39">
        <f>IF(C1722&lt;&gt;"",C1722,IF(P1722&lt;=IFERROR(INDEX(tblChannels[Watched Through],MATCH(N1722,tblChannels[Channel ID],0)),0),"Watched","Unwatched"))</f>
        <v/>
      </c>
      <c r="C1722" s="40" t="n"/>
      <c r="D1722" s="41" t="n"/>
      <c r="E1722" s="42" t="n">
        <v>43813.41666666666</v>
      </c>
      <c r="F1722" s="50" t="inlineStr">
        <is>
          <t>Super Carlin Brothers</t>
        </is>
      </c>
      <c r="G1722" t="inlineStr">
        <is>
          <t>SCB GIVE-A-THON &amp; PODCAST ANNOUNCEMENT!</t>
        </is>
      </c>
      <c r="H1722" s="44" t="n">
        <v>0.002916666666666667</v>
      </c>
      <c r="I1722" s="45" t="n">
        <v>31002</v>
      </c>
      <c r="J1722" s="45" t="n">
        <v>2099</v>
      </c>
      <c r="K1722" s="45" t="n">
        <v>202</v>
      </c>
      <c r="L1722" s="46" t="n"/>
      <c r="M1722" s="47" t="n"/>
      <c r="N1722" s="47" t="inlineStr">
        <is>
          <t>UCKZo4N0lVPccBkSiuyVh4yg</t>
        </is>
      </c>
      <c r="O1722" s="48" t="n">
        <v>43813.625</v>
      </c>
      <c r="P1722" s="49" t="n">
        <v>43813</v>
      </c>
      <c r="Q1722" s="47" t="n">
        <v>1546</v>
      </c>
      <c r="R1722" s="47" t="inlineStr">
        <is>
          <t>No Video ID yet</t>
        </is>
      </c>
      <c r="S1722" s="49" t="n"/>
      <c r="T1722" s="49" t="n"/>
      <c r="U1722" s="47" t="inlineStr">
        <is>
          <t>Save The Children :: Popcorn Culture iTunes :: Instagram J :: Ben ::</t>
        </is>
      </c>
      <c r="V1722" s="47">
        <f>IF(AND(P1722&gt;=Calendar!$K$2,P1722&lt;EDATE(Calendar!$K$2,1),OR(Calendar!$K$4="*",N1722=Calendar!$K$4)),P1722*100+COUNTIFS($P$6:$P$3267,P1722,$Q$6:$Q$3267,"&lt;="&amp;Q1722,$N$6:$N$3267,Calendar!$K$4),"")</f>
        <v/>
      </c>
      <c r="W1722" s="47">
        <f>IF(AND(B1722=Queue!$C$4,OR(Queue!$K$4="*",N1722=Queue!$K$4)),Q1722,"")</f>
        <v/>
      </c>
    </row>
    <row r="1723">
      <c r="A1723" s="38">
        <f>IF(M1723="","",HYPERLINK("https://www.youtube.com/watch?v="&amp;M1723,"▶"))</f>
        <v/>
      </c>
      <c r="B1723" s="39">
        <f>IF(C1723&lt;&gt;"",C1723,IF(P1723&lt;=IFERROR(INDEX(tblChannels[Watched Through],MATCH(N1723,tblChannels[Channel ID],0)),0),"Watched","Unwatched"))</f>
        <v/>
      </c>
      <c r="C1723" s="40" t="n"/>
      <c r="D1723" s="41" t="n"/>
      <c r="E1723" s="42" t="n">
        <v>43811.84861111111</v>
      </c>
      <c r="F1723" s="50" t="inlineStr">
        <is>
          <t>Super Carlin Brothers</t>
        </is>
      </c>
      <c r="G1723" t="inlineStr">
        <is>
          <t>J vs Ben: ULTIMATE Harry Potter Gift TRIVIA Quiz</t>
        </is>
      </c>
      <c r="H1723" s="44" t="n">
        <v>0.01605324074074074</v>
      </c>
      <c r="I1723" s="45" t="n">
        <v>431878</v>
      </c>
      <c r="J1723" s="45" t="n">
        <v>12868</v>
      </c>
      <c r="K1723" s="45" t="n">
        <v>1416</v>
      </c>
      <c r="L1723" s="46" t="n"/>
      <c r="M1723" s="47" t="n"/>
      <c r="N1723" s="47" t="inlineStr">
        <is>
          <t>UCKZo4N0lVPccBkSiuyVh4yg</t>
        </is>
      </c>
      <c r="O1723" s="48" t="n">
        <v>43812.05694444444</v>
      </c>
      <c r="P1723" s="49" t="n">
        <v>43811</v>
      </c>
      <c r="Q1723" s="47" t="n">
        <v>1545</v>
      </c>
      <c r="R1723" s="47" t="inlineStr">
        <is>
          <t>No Video ID yet</t>
        </is>
      </c>
      <c r="S1723" s="49" t="n"/>
      <c r="T1723" s="49" t="n"/>
      <c r="U1723" s="47" t="inlineStr">
        <is>
          <t>Go to and find out how you can get 3 months free. Today J and Ben face off to find out whose mind has a better presence when it comes to Harry Potter presents? Do remember every gift Harry ever got?! #JvsBen</t>
        </is>
      </c>
      <c r="V1723" s="47">
        <f>IF(AND(P1723&gt;=Calendar!$K$2,P1723&lt;EDATE(Calendar!$K$2,1),OR(Calendar!$K$4="*",N1723=Calendar!$K$4)),P1723*100+COUNTIFS($P$6:$P$3267,P1723,$Q$6:$Q$3267,"&lt;="&amp;Q1723,$N$6:$N$3267,Calendar!$K$4),"")</f>
        <v/>
      </c>
      <c r="W1723" s="47">
        <f>IF(AND(B1723=Queue!$C$4,OR(Queue!$K$4="*",N1723=Queue!$K$4)),Q1723,"")</f>
        <v/>
      </c>
    </row>
    <row r="1724">
      <c r="A1724" s="38">
        <f>IF(M1724="","",HYPERLINK("https://www.youtube.com/watch?v="&amp;M1724,"▶"))</f>
        <v/>
      </c>
      <c r="B1724" s="39">
        <f>IF(C1724&lt;&gt;"",C1724,IF(P1724&lt;=IFERROR(INDEX(tblChannels[Watched Through],MATCH(N1724,tblChannels[Channel ID],0)),0),"Watched","Unwatched"))</f>
        <v/>
      </c>
      <c r="C1724" s="40" t="n"/>
      <c r="D1724" s="41" t="n"/>
      <c r="E1724" s="42" t="n">
        <v>43809.80277777778</v>
      </c>
      <c r="F1724" s="50" t="inlineStr">
        <is>
          <t>Super Carlin Brothers</t>
        </is>
      </c>
      <c r="G1724" t="inlineStr">
        <is>
          <t>Was Han Solo Force Sensitive? [Star Wars Theory]</t>
        </is>
      </c>
      <c r="H1724" s="44" t="n">
        <v>0.009907407407407408</v>
      </c>
      <c r="I1724" s="45" t="n">
        <v>211245</v>
      </c>
      <c r="J1724" s="45" t="n">
        <v>8747</v>
      </c>
      <c r="K1724" s="45" t="n">
        <v>1137</v>
      </c>
      <c r="L1724" s="46" t="n"/>
      <c r="M1724" s="47" t="n"/>
      <c r="N1724" s="47" t="inlineStr">
        <is>
          <t>UCKZo4N0lVPccBkSiuyVh4yg</t>
        </is>
      </c>
      <c r="O1724" s="48" t="n">
        <v>43810.01111111111</v>
      </c>
      <c r="P1724" s="49" t="n">
        <v>43809</v>
      </c>
      <c r="Q1724" s="47" t="n">
        <v>1544</v>
      </c>
      <c r="R1724" s="47" t="inlineStr">
        <is>
          <t>No Video ID yet</t>
        </is>
      </c>
      <c r="S1724" s="49" t="n"/>
      <c r="T1724" s="49" t="n"/>
      <c r="U1724" s="47" t="inlineStr">
        <is>
          <t>Today J dives into the Star Wars Galaxy to try and answer an age old question: Could Han Solo use The Force? We meet Han Solo as a somewhat overconfident pilot who seems to make his way through the galaxy thanks to his charm, a bit of wit, and a lot of luck. But today we examine whether or not all of that luck behind Han’s success is simply luck OR is it something else?!</t>
        </is>
      </c>
      <c r="V1724" s="47">
        <f>IF(AND(P1724&gt;=Calendar!$K$2,P1724&lt;EDATE(Calendar!$K$2,1),OR(Calendar!$K$4="*",N1724=Calendar!$K$4)),P1724*100+COUNTIFS($P$6:$P$3267,P1724,$Q$6:$Q$3267,"&lt;="&amp;Q1724,$N$6:$N$3267,Calendar!$K$4),"")</f>
        <v/>
      </c>
      <c r="W1724" s="47">
        <f>IF(AND(B1724=Queue!$C$4,OR(Queue!$K$4="*",N1724=Queue!$K$4)),Q1724,"")</f>
        <v/>
      </c>
    </row>
    <row r="1725">
      <c r="A1725" s="38">
        <f>IF(M1725="","",HYPERLINK("https://www.youtube.com/watch?v="&amp;M1725,"▶"))</f>
        <v/>
      </c>
      <c r="B1725" s="39">
        <f>IF(C1725&lt;&gt;"",C1725,IF(P1725&lt;=IFERROR(INDEX(tblChannels[Watched Through],MATCH(N1725,tblChannels[Channel ID],0)),0),"Watched","Unwatched"))</f>
        <v/>
      </c>
      <c r="C1725" s="40" t="n"/>
      <c r="D1725" s="41" t="n"/>
      <c r="E1725" s="42" t="n">
        <v>43804.65069444444</v>
      </c>
      <c r="F1725" s="50" t="inlineStr">
        <is>
          <t>Super Carlin Brothers</t>
        </is>
      </c>
      <c r="G1725" t="inlineStr">
        <is>
          <t>Harry Potter Theory: Snape Killed Hedwig?!</t>
        </is>
      </c>
      <c r="H1725" s="44" t="n">
        <v>0.008611111111111111</v>
      </c>
      <c r="I1725" s="45" t="n">
        <v>818583</v>
      </c>
      <c r="J1725" s="45" t="n">
        <v>25541</v>
      </c>
      <c r="K1725" s="45" t="n">
        <v>2820</v>
      </c>
      <c r="L1725" s="46" t="n"/>
      <c r="M1725" s="47" t="n"/>
      <c r="N1725" s="47" t="inlineStr">
        <is>
          <t>UCKZo4N0lVPccBkSiuyVh4yg</t>
        </is>
      </c>
      <c r="O1725" s="48" t="n">
        <v>43804.85902777778</v>
      </c>
      <c r="P1725" s="49" t="n">
        <v>43804</v>
      </c>
      <c r="Q1725" s="47" t="n">
        <v>1543</v>
      </c>
      <c r="R1725" s="47" t="inlineStr">
        <is>
          <t>No Video ID yet</t>
        </is>
      </c>
      <c r="S1725" s="49" t="n"/>
      <c r="T1725" s="49" t="n"/>
      <c r="U1725" s="47" t="inlineStr">
        <is>
          <t>Visit to receive a special 20% discount! Today Ben dives into the Wizarding World of Harry Potter to discuss Harry's pet owl Hedwig and discuss the theory that Snape killed Hedwig!</t>
        </is>
      </c>
      <c r="V1725" s="47">
        <f>IF(AND(P1725&gt;=Calendar!$K$2,P1725&lt;EDATE(Calendar!$K$2,1),OR(Calendar!$K$4="*",N1725=Calendar!$K$4)),P1725*100+COUNTIFS($P$6:$P$3267,P1725,$Q$6:$Q$3267,"&lt;="&amp;Q1725,$N$6:$N$3267,Calendar!$K$4),"")</f>
        <v/>
      </c>
      <c r="W1725" s="47">
        <f>IF(AND(B1725=Queue!$C$4,OR(Queue!$K$4="*",N1725=Queue!$K$4)),Q1725,"")</f>
        <v/>
      </c>
    </row>
    <row r="1726">
      <c r="A1726" s="38">
        <f>IF(M1726="","",HYPERLINK("https://www.youtube.com/watch?v="&amp;M1726,"▶"))</f>
        <v/>
      </c>
      <c r="B1726" s="39">
        <f>IF(C1726&lt;&gt;"",C1726,IF(P1726&lt;=IFERROR(INDEX(tblChannels[Watched Through],MATCH(N1726,tblChannels[Channel ID],0)),0),"Watched","Unwatched"))</f>
        <v/>
      </c>
      <c r="C1726" s="40" t="n"/>
      <c r="D1726" s="41" t="n"/>
      <c r="E1726" s="42" t="n">
        <v>43802.81944444445</v>
      </c>
      <c r="F1726" s="50" t="inlineStr">
        <is>
          <t>Super Carlin Brothers</t>
        </is>
      </c>
      <c r="G1726" t="inlineStr">
        <is>
          <t>Top 10 Most ADORABLE Disney Babies</t>
        </is>
      </c>
      <c r="H1726" s="44" t="n">
        <v>0.008506944444444444</v>
      </c>
      <c r="I1726" s="45" t="n">
        <v>222564</v>
      </c>
      <c r="J1726" s="45" t="n">
        <v>9501</v>
      </c>
      <c r="K1726" s="45" t="n">
        <v>1391</v>
      </c>
      <c r="L1726" s="46" t="n"/>
      <c r="M1726" s="47" t="n"/>
      <c r="N1726" s="47" t="inlineStr">
        <is>
          <t>UCKZo4N0lVPccBkSiuyVh4yg</t>
        </is>
      </c>
      <c r="O1726" s="48" t="n">
        <v>43803.02777777778</v>
      </c>
      <c r="P1726" s="49" t="n">
        <v>43802</v>
      </c>
      <c r="Q1726" s="47" t="n">
        <v>1542</v>
      </c>
      <c r="R1726" s="47" t="inlineStr">
        <is>
          <t>No Video ID yet</t>
        </is>
      </c>
      <c r="S1726" s="49" t="n"/>
      <c r="T1726" s="49" t="n"/>
      <c r="U1726" s="47" t="inlineStr">
        <is>
          <t>Today J dives into the world of Disney, Pixar, Marvel and Star Wars to determine the cutest most adorable babies ever put on screen!</t>
        </is>
      </c>
      <c r="V1726" s="47">
        <f>IF(AND(P1726&gt;=Calendar!$K$2,P1726&lt;EDATE(Calendar!$K$2,1),OR(Calendar!$K$4="*",N1726=Calendar!$K$4)),P1726*100+COUNTIFS($P$6:$P$3267,P1726,$Q$6:$Q$3267,"&lt;="&amp;Q1726,$N$6:$N$3267,Calendar!$K$4),"")</f>
        <v/>
      </c>
      <c r="W1726" s="47">
        <f>IF(AND(B1726=Queue!$C$4,OR(Queue!$K$4="*",N1726=Queue!$K$4)),Q1726,"")</f>
        <v/>
      </c>
    </row>
    <row r="1727">
      <c r="A1727" s="38">
        <f>IF(M1727="","",HYPERLINK("https://www.youtube.com/watch?v="&amp;M1727,"▶"))</f>
        <v/>
      </c>
      <c r="B1727" s="39">
        <f>IF(C1727&lt;&gt;"",C1727,IF(P1727&lt;=IFERROR(INDEX(tblChannels[Watched Through],MATCH(N1727,tblChannels[Channel ID],0)),0),"Watched","Unwatched"))</f>
        <v/>
      </c>
      <c r="C1727" s="40" t="n"/>
      <c r="D1727" s="41" t="n"/>
      <c r="E1727" s="42" t="n">
        <v>43797.625</v>
      </c>
      <c r="F1727" s="50" t="inlineStr">
        <is>
          <t>Super Carlin Brothers</t>
        </is>
      </c>
      <c r="G1727" t="inlineStr">
        <is>
          <t>J vs Ben: The ULTIMATE Hermione Granger TRIVIA Quiz [Harry Potter]</t>
        </is>
      </c>
      <c r="H1727" s="44" t="n">
        <v>0.01541666666666667</v>
      </c>
      <c r="I1727" s="45" t="n">
        <v>394953</v>
      </c>
      <c r="J1727" s="45" t="n">
        <v>12172</v>
      </c>
      <c r="K1727" s="45" t="n">
        <v>1243</v>
      </c>
      <c r="L1727" s="46" t="n"/>
      <c r="M1727" s="47" t="n"/>
      <c r="N1727" s="47" t="inlineStr">
        <is>
          <t>UCKZo4N0lVPccBkSiuyVh4yg</t>
        </is>
      </c>
      <c r="O1727" s="48" t="n">
        <v>43797.83333333334</v>
      </c>
      <c r="P1727" s="49" t="n">
        <v>43797</v>
      </c>
      <c r="Q1727" s="47" t="n">
        <v>1541</v>
      </c>
      <c r="R1727" s="47" t="inlineStr">
        <is>
          <t>No Video ID yet</t>
        </is>
      </c>
      <c r="S1727" s="49" t="n"/>
      <c r="T1727" s="49" t="n"/>
      <c r="U1727" s="47" t="inlineStr">
        <is>
          <t>Go to and use code SCB to get $75 off! Take the quiz with us :: Today J and Ben face off in the ULTIMATE Hermione Granger quiz to see who know the most about the girl who knows the most!</t>
        </is>
      </c>
      <c r="V1727" s="47">
        <f>IF(AND(P1727&gt;=Calendar!$K$2,P1727&lt;EDATE(Calendar!$K$2,1),OR(Calendar!$K$4="*",N1727=Calendar!$K$4)),P1727*100+COUNTIFS($P$6:$P$3267,P1727,$Q$6:$Q$3267,"&lt;="&amp;Q1727,$N$6:$N$3267,Calendar!$K$4),"")</f>
        <v/>
      </c>
      <c r="W1727" s="47">
        <f>IF(AND(B1727=Queue!$C$4,OR(Queue!$K$4="*",N1727=Queue!$K$4)),Q1727,"")</f>
        <v/>
      </c>
    </row>
    <row r="1728">
      <c r="A1728" s="38">
        <f>IF(M1728="","",HYPERLINK("https://www.youtube.com/watch?v="&amp;M1728,"▶"))</f>
        <v/>
      </c>
      <c r="B1728" s="39">
        <f>IF(C1728&lt;&gt;"",C1728,IF(P1728&lt;=IFERROR(INDEX(tblChannels[Watched Through],MATCH(N1728,tblChannels[Channel ID],0)),0),"Watched","Unwatched"))</f>
        <v/>
      </c>
      <c r="C1728" s="40" t="n"/>
      <c r="D1728" s="41" t="n"/>
      <c r="E1728" s="42" t="n">
        <v>43796.69097222222</v>
      </c>
      <c r="F1728" s="53" t="inlineStr">
        <is>
          <t>Jonathan Carlin</t>
        </is>
      </c>
      <c r="G1728" t="inlineStr">
        <is>
          <t>SALT LAKE CITY MEETUP &amp; UPDATES!</t>
        </is>
      </c>
      <c r="H1728" s="44" t="n">
        <v>0.005393518518518519</v>
      </c>
      <c r="I1728" s="45" t="n">
        <v>18637</v>
      </c>
      <c r="J1728" s="45" t="n">
        <v>1449</v>
      </c>
      <c r="K1728" s="45" t="n">
        <v>275</v>
      </c>
      <c r="L1728" s="46" t="n"/>
      <c r="M1728" s="47" t="n"/>
      <c r="N1728" s="47" t="inlineStr">
        <is>
          <t>UCYPKFe86e6nm4TVUYKLsFUQ</t>
        </is>
      </c>
      <c r="O1728" s="48" t="n">
        <v>43796.89930555555</v>
      </c>
      <c r="P1728" s="49" t="n">
        <v>43796</v>
      </c>
      <c r="Q1728" s="47" t="n">
        <v>1540</v>
      </c>
      <c r="R1728" s="47" t="inlineStr">
        <is>
          <t>No Video ID yet</t>
        </is>
      </c>
      <c r="S1728" s="49" t="n"/>
      <c r="T1728" s="49" t="n"/>
      <c r="U1728" s="47" t="inlineStr">
        <is>
          <t>This week J and the SCB Crew head to Salt Lake City to see Frozen 2 and meet up with lots of viewers! Also J has some life updates!</t>
        </is>
      </c>
      <c r="V1728" s="47">
        <f>IF(AND(P1728&gt;=Calendar!$K$2,P1728&lt;EDATE(Calendar!$K$2,1),OR(Calendar!$K$4="*",N1728=Calendar!$K$4)),P1728*100+COUNTIFS($P$6:$P$3267,P1728,$Q$6:$Q$3267,"&lt;="&amp;Q1728,$N$6:$N$3267,Calendar!$K$4),"")</f>
        <v/>
      </c>
      <c r="W1728" s="47">
        <f>IF(AND(B1728=Queue!$C$4,OR(Queue!$K$4="*",N1728=Queue!$K$4)),Q1728,"")</f>
        <v/>
      </c>
    </row>
    <row r="1729">
      <c r="A1729" s="38">
        <f>IF(M1729="","",HYPERLINK("https://www.youtube.com/watch?v="&amp;M1729,"▶"))</f>
        <v/>
      </c>
      <c r="B1729" s="39">
        <f>IF(C1729&lt;&gt;"",C1729,IF(P1729&lt;=IFERROR(INDEX(tblChannels[Watched Through],MATCH(N1729,tblChannels[Channel ID],0)),0),"Watched","Unwatched"))</f>
        <v/>
      </c>
      <c r="C1729" s="40" t="n"/>
      <c r="D1729" s="41" t="n"/>
      <c r="E1729" s="42" t="n">
        <v>43795.83055555556</v>
      </c>
      <c r="F1729" s="50" t="inlineStr">
        <is>
          <t>Super Carlin Brothers</t>
        </is>
      </c>
      <c r="G1729" t="inlineStr">
        <is>
          <t>Frozen 2  Spoiler Review</t>
        </is>
      </c>
      <c r="H1729" s="44" t="n">
        <v>0.04568287037037037</v>
      </c>
      <c r="I1729" s="45" t="n">
        <v>458745</v>
      </c>
      <c r="J1729" s="45" t="n">
        <v>11487</v>
      </c>
      <c r="K1729" s="45" t="n">
        <v>4572</v>
      </c>
      <c r="L1729" s="46" t="n"/>
      <c r="M1729" s="47" t="n"/>
      <c r="N1729" s="47" t="inlineStr">
        <is>
          <t>UCKZo4N0lVPccBkSiuyVh4yg</t>
        </is>
      </c>
      <c r="O1729" s="48" t="n">
        <v>43796.03888888889</v>
      </c>
      <c r="P1729" s="49" t="n">
        <v>43795</v>
      </c>
      <c r="Q1729" s="47" t="n">
        <v>1539</v>
      </c>
      <c r="R1729" s="47" t="inlineStr">
        <is>
          <t>No Video ID yet</t>
        </is>
      </c>
      <c r="S1729" s="49" t="n"/>
      <c r="T1729" s="49" t="n"/>
      <c r="U1729" s="47" t="inlineStr">
        <is>
          <t>Be sure to check out Vincero's biggest SITEWIDE sale of the year: Today J and Ben dive into Disney's Frozen 2 to discuss Anna, Elsa, Kristof and Olaf and give it their full spoiler review to find out how it stacks up to the original!</t>
        </is>
      </c>
      <c r="V1729" s="47">
        <f>IF(AND(P1729&gt;=Calendar!$K$2,P1729&lt;EDATE(Calendar!$K$2,1),OR(Calendar!$K$4="*",N1729=Calendar!$K$4)),P1729*100+COUNTIFS($P$6:$P$3267,P1729,$Q$6:$Q$3267,"&lt;="&amp;Q1729,$N$6:$N$3267,Calendar!$K$4),"")</f>
        <v/>
      </c>
      <c r="W1729" s="47">
        <f>IF(AND(B1729=Queue!$C$4,OR(Queue!$K$4="*",N1729=Queue!$K$4)),Q1729,"")</f>
        <v/>
      </c>
    </row>
    <row r="1730">
      <c r="A1730" s="38">
        <f>IF(M1730="","",HYPERLINK("https://www.youtube.com/watch?v="&amp;M1730,"▶"))</f>
        <v/>
      </c>
      <c r="B1730" s="39">
        <f>IF(C1730&lt;&gt;"",C1730,IF(P1730&lt;=IFERROR(INDEX(tblChannels[Watched Through],MATCH(N1730,tblChannels[Channel ID],0)),0),"Watched","Unwatched"))</f>
        <v/>
      </c>
      <c r="C1730" s="40" t="n"/>
      <c r="D1730" s="41" t="n"/>
      <c r="E1730" s="42" t="n">
        <v>43790.74791666667</v>
      </c>
      <c r="F1730" s="50" t="inlineStr">
        <is>
          <t>Super Carlin Brothers</t>
        </is>
      </c>
      <c r="G1730" t="inlineStr">
        <is>
          <t>The Great Star Wars Ice Cream Conspiracy</t>
        </is>
      </c>
      <c r="H1730" s="44" t="n">
        <v>0.006875</v>
      </c>
      <c r="I1730" s="45" t="n">
        <v>168546</v>
      </c>
      <c r="J1730" s="45" t="n">
        <v>8344</v>
      </c>
      <c r="K1730" s="45" t="n">
        <v>910</v>
      </c>
      <c r="L1730" s="46" t="n"/>
      <c r="M1730" s="47" t="n"/>
      <c r="N1730" s="47" t="inlineStr">
        <is>
          <t>UCKZo4N0lVPccBkSiuyVh4yg</t>
        </is>
      </c>
      <c r="O1730" s="48" t="n">
        <v>43790.95625</v>
      </c>
      <c r="P1730" s="49" t="n">
        <v>43790</v>
      </c>
      <c r="Q1730" s="47" t="n">
        <v>1538</v>
      </c>
      <c r="R1730" s="47" t="inlineStr">
        <is>
          <t>No Video ID yet</t>
        </is>
      </c>
      <c r="S1730" s="49" t="n"/>
      <c r="T1730" s="49" t="n"/>
      <c r="U1730" s="47" t="inlineStr">
        <is>
          <t>Hurry to to find out HOW LOW your Upstart rate is. Check out Delta! The Mandalorian has introduced to us some brand new Star Wars Jargon. In the very first episode we learn about a special metal called Beskar that can be melted down and reinforce the Mandalorian’s armor. We also know that if he can complete his mission he has an ENTIRE CAMONTO of the stuff waiting for him upon delivery of the Young Orphan Darling Asset, aka LIL YODA. But how much is a camtono? And how on TATOOINE could it have anything to do with ICE CREAM!?</t>
        </is>
      </c>
      <c r="V1730" s="47">
        <f>IF(AND(P1730&gt;=Calendar!$K$2,P1730&lt;EDATE(Calendar!$K$2,1),OR(Calendar!$K$4="*",N1730=Calendar!$K$4)),P1730*100+COUNTIFS($P$6:$P$3267,P1730,$Q$6:$Q$3267,"&lt;="&amp;Q1730,$N$6:$N$3267,Calendar!$K$4),"")</f>
        <v/>
      </c>
      <c r="W1730" s="47">
        <f>IF(AND(B1730=Queue!$C$4,OR(Queue!$K$4="*",N1730=Queue!$K$4)),Q1730,"")</f>
        <v/>
      </c>
    </row>
    <row r="1731">
      <c r="A1731" s="38">
        <f>IF(M1731="","",HYPERLINK("https://www.youtube.com/watch?v="&amp;M1731,"▶"))</f>
        <v/>
      </c>
      <c r="B1731" s="39">
        <f>IF(C1731&lt;&gt;"",C1731,IF(P1731&lt;=IFERROR(INDEX(tblChannels[Watched Through],MATCH(N1731,tblChannels[Channel ID],0)),0),"Watched","Unwatched"))</f>
        <v/>
      </c>
      <c r="C1731" s="40" t="n"/>
      <c r="D1731" s="41" t="n"/>
      <c r="E1731" s="42" t="n">
        <v>43788.72291666667</v>
      </c>
      <c r="F1731" s="50" t="inlineStr">
        <is>
          <t>Super Carlin Brothers</t>
        </is>
      </c>
      <c r="G1731" t="inlineStr">
        <is>
          <t>Was Percy Under The Imperius Curse? | Harry Potter Theory</t>
        </is>
      </c>
      <c r="H1731" s="44" t="n">
        <v>0.008773148148148148</v>
      </c>
      <c r="I1731" s="45" t="n">
        <v>1235006</v>
      </c>
      <c r="J1731" s="45" t="n">
        <v>37866</v>
      </c>
      <c r="K1731" s="45" t="n">
        <v>5829</v>
      </c>
      <c r="L1731" s="46" t="n"/>
      <c r="M1731" s="47" t="n"/>
      <c r="N1731" s="47" t="inlineStr">
        <is>
          <t>UCKZo4N0lVPccBkSiuyVh4yg</t>
        </is>
      </c>
      <c r="O1731" s="48" t="n">
        <v>43788.93125</v>
      </c>
      <c r="P1731" s="49" t="n">
        <v>43788</v>
      </c>
      <c r="Q1731" s="47" t="n">
        <v>1537</v>
      </c>
      <c r="R1731" s="47" t="inlineStr">
        <is>
          <t>No Video ID yet</t>
        </is>
      </c>
      <c r="S1731" s="49" t="n"/>
      <c r="T1731" s="49" t="n"/>
      <c r="U1731" s="47" t="inlineStr">
        <is>
          <t>Today J dives into the Wizarding World of Harry Potter to try and determine if Ron's older brother Percy Weasley was acting under the influence of the Imperius Curse. Edited by: J Carlin</t>
        </is>
      </c>
      <c r="V1731" s="47">
        <f>IF(AND(P1731&gt;=Calendar!$K$2,P1731&lt;EDATE(Calendar!$K$2,1),OR(Calendar!$K$4="*",N1731=Calendar!$K$4)),P1731*100+COUNTIFS($P$6:$P$3267,P1731,$Q$6:$Q$3267,"&lt;="&amp;Q1731,$N$6:$N$3267,Calendar!$K$4),"")</f>
        <v/>
      </c>
      <c r="W1731" s="47">
        <f>IF(AND(B1731=Queue!$C$4,OR(Queue!$K$4="*",N1731=Queue!$K$4)),Q1731,"")</f>
        <v/>
      </c>
    </row>
    <row r="1732">
      <c r="A1732" s="38">
        <f>IF(M1732="","",HYPERLINK("https://www.youtube.com/watch?v="&amp;M1732,"▶"))</f>
        <v/>
      </c>
      <c r="B1732" s="39">
        <f>IF(C1732&lt;&gt;"",C1732,IF(P1732&lt;=IFERROR(INDEX(tblChannels[Watched Through],MATCH(N1732,tblChannels[Channel ID],0)),0),"Watched","Unwatched"))</f>
        <v/>
      </c>
      <c r="C1732" s="40" t="n"/>
      <c r="D1732" s="41" t="n"/>
      <c r="E1732" s="42" t="n">
        <v>43783.75</v>
      </c>
      <c r="F1732" s="50" t="inlineStr">
        <is>
          <t>Super Carlin Brothers</t>
        </is>
      </c>
      <c r="G1732" t="inlineStr">
        <is>
          <t>Palpatine CREATED Baby Yoda | Star Wars Film Theory</t>
        </is>
      </c>
      <c r="H1732" s="44" t="n">
        <v>0.008680555555555556</v>
      </c>
      <c r="I1732" s="45" t="n">
        <v>563108</v>
      </c>
      <c r="J1732" s="45" t="n">
        <v>17954</v>
      </c>
      <c r="K1732" s="45" t="n">
        <v>2035</v>
      </c>
      <c r="L1732" s="46" t="n"/>
      <c r="M1732" s="47" t="n"/>
      <c r="N1732" s="47" t="inlineStr">
        <is>
          <t>UCKZo4N0lVPccBkSiuyVh4yg</t>
        </is>
      </c>
      <c r="O1732" s="48" t="n">
        <v>43783.95833333334</v>
      </c>
      <c r="P1732" s="49" t="n">
        <v>43783</v>
      </c>
      <c r="Q1732" s="47" t="n">
        <v>1536</v>
      </c>
      <c r="R1732" s="47" t="inlineStr">
        <is>
          <t>No Video ID yet</t>
        </is>
      </c>
      <c r="S1732" s="49" t="n"/>
      <c r="T1732" s="49" t="n"/>
      <c r="U1732" s="47" t="inlineStr">
        <is>
          <t>Use our link or text code scb to 500-500 to get a free book and 30-day free trial. Today Ben dives into the Star Wars Galaxy to discuss the ending of Episode 1 of Star Wars: The Mandalorian and tries to reveal where that lil baby Yoda guy came from!</t>
        </is>
      </c>
      <c r="V1732" s="47">
        <f>IF(AND(P1732&gt;=Calendar!$K$2,P1732&lt;EDATE(Calendar!$K$2,1),OR(Calendar!$K$4="*",N1732=Calendar!$K$4)),P1732*100+COUNTIFS($P$6:$P$3267,P1732,$Q$6:$Q$3267,"&lt;="&amp;Q1732,$N$6:$N$3267,Calendar!$K$4),"")</f>
        <v/>
      </c>
      <c r="W1732" s="47">
        <f>IF(AND(B1732=Queue!$C$4,OR(Queue!$K$4="*",N1732=Queue!$K$4)),Q1732,"")</f>
        <v/>
      </c>
    </row>
    <row r="1733">
      <c r="A1733" s="38">
        <f>IF(M1733="","",HYPERLINK("https://www.youtube.com/watch?v="&amp;M1733,"▶"))</f>
        <v/>
      </c>
      <c r="B1733" s="39">
        <f>IF(C1733&lt;&gt;"",C1733,IF(P1733&lt;=IFERROR(INDEX(tblChannels[Watched Through],MATCH(N1733,tblChannels[Channel ID],0)),0),"Watched","Unwatched"))</f>
        <v/>
      </c>
      <c r="C1733" s="40" t="n"/>
      <c r="D1733" s="41" t="n"/>
      <c r="E1733" s="42" t="n">
        <v>43781.71736111111</v>
      </c>
      <c r="F1733" s="50" t="inlineStr">
        <is>
          <t>Super Carlin Brothers</t>
        </is>
      </c>
      <c r="G1733" t="inlineStr">
        <is>
          <t>HOGWARTS EXACT LOCATION REVEALED | Harry Potter Theory</t>
        </is>
      </c>
      <c r="H1733" s="44" t="n">
        <v>0.007951388888888888</v>
      </c>
      <c r="I1733" s="45" t="n">
        <v>641406</v>
      </c>
      <c r="J1733" s="45" t="n">
        <v>25398</v>
      </c>
      <c r="K1733" s="45" t="n">
        <v>2512</v>
      </c>
      <c r="L1733" s="46" t="n"/>
      <c r="M1733" s="47" t="n"/>
      <c r="N1733" s="47" t="inlineStr">
        <is>
          <t>UCKZo4N0lVPccBkSiuyVh4yg</t>
        </is>
      </c>
      <c r="O1733" s="48" t="n">
        <v>43781.92569444444</v>
      </c>
      <c r="P1733" s="49" t="n">
        <v>43781</v>
      </c>
      <c r="Q1733" s="47" t="n">
        <v>1535</v>
      </c>
      <c r="R1733" s="47" t="inlineStr">
        <is>
          <t>No Video ID yet</t>
        </is>
      </c>
      <c r="S1733" s="49" t="n"/>
      <c r="T1733" s="49" t="n"/>
      <c r="U1733" s="47" t="inlineStr">
        <is>
          <t>Get Three Months of ExpressVPN for FREE by visiting Today J dives into the Wizarding World of Harry Potter to try and uncover one of the oldest mysteries in the books: Where is the exact location of Hogwarts castle?</t>
        </is>
      </c>
      <c r="V1733" s="47">
        <f>IF(AND(P1733&gt;=Calendar!$K$2,P1733&lt;EDATE(Calendar!$K$2,1),OR(Calendar!$K$4="*",N1733=Calendar!$K$4)),P1733*100+COUNTIFS($P$6:$P$3267,P1733,$Q$6:$Q$3267,"&lt;="&amp;Q1733,$N$6:$N$3267,Calendar!$K$4),"")</f>
        <v/>
      </c>
      <c r="W1733" s="47">
        <f>IF(AND(B1733=Queue!$C$4,OR(Queue!$K$4="*",N1733=Queue!$K$4)),Q1733,"")</f>
        <v/>
      </c>
    </row>
    <row r="1734">
      <c r="A1734" s="38">
        <f>IF(M1734="","",HYPERLINK("https://www.youtube.com/watch?v="&amp;M1734,"▶"))</f>
        <v/>
      </c>
      <c r="B1734" s="39">
        <f>IF(C1734&lt;&gt;"",C1734,IF(P1734&lt;=IFERROR(INDEX(tblChannels[Watched Through],MATCH(N1734,tblChannels[Channel ID],0)),0),"Watched","Unwatched"))</f>
        <v/>
      </c>
      <c r="C1734" s="40" t="n"/>
      <c r="D1734" s="41" t="n"/>
      <c r="E1734" s="42" t="n">
        <v>43776.625</v>
      </c>
      <c r="F1734" s="50" t="inlineStr">
        <is>
          <t>Super Carlin Brothers</t>
        </is>
      </c>
      <c r="G1734" t="inlineStr">
        <is>
          <t>How To Become An Animagus | Harry Potter Explained</t>
        </is>
      </c>
      <c r="H1734" s="44" t="n">
        <v>0.00917824074074074</v>
      </c>
      <c r="I1734" s="45" t="n">
        <v>1263654</v>
      </c>
      <c r="J1734" s="45" t="n">
        <v>37050</v>
      </c>
      <c r="K1734" s="45" t="n">
        <v>6214</v>
      </c>
      <c r="L1734" s="46" t="n"/>
      <c r="M1734" s="47" t="n"/>
      <c r="N1734" s="47" t="inlineStr">
        <is>
          <t>UCKZo4N0lVPccBkSiuyVh4yg</t>
        </is>
      </c>
      <c r="O1734" s="48" t="n">
        <v>43776.83333333334</v>
      </c>
      <c r="P1734" s="49" t="n">
        <v>43776</v>
      </c>
      <c r="Q1734" s="47" t="n">
        <v>1534</v>
      </c>
      <c r="R1734" s="47" t="inlineStr">
        <is>
          <t>No Video ID yet</t>
        </is>
      </c>
      <c r="S1734" s="49" t="n"/>
      <c r="T1734" s="49" t="n"/>
      <c r="U1734" s="47" t="inlineStr">
        <is>
          <t>Go to www.EscapeTheInvasion.com/SCB for 20% off your first box! Or click here :: Today Ben dives into the Wizarding World of Harry Potter to discuss the Marauders and how they became animagi! #HarryPotter #BenFish</t>
        </is>
      </c>
      <c r="V1734" s="47">
        <f>IF(AND(P1734&gt;=Calendar!$K$2,P1734&lt;EDATE(Calendar!$K$2,1),OR(Calendar!$K$4="*",N1734=Calendar!$K$4)),P1734*100+COUNTIFS($P$6:$P$3267,P1734,$Q$6:$Q$3267,"&lt;="&amp;Q1734,$N$6:$N$3267,Calendar!$K$4),"")</f>
        <v/>
      </c>
      <c r="W1734" s="47">
        <f>IF(AND(B1734=Queue!$C$4,OR(Queue!$K$4="*",N1734=Queue!$K$4)),Q1734,"")</f>
        <v/>
      </c>
    </row>
    <row r="1735">
      <c r="A1735" s="38">
        <f>IF(M1735="","",HYPERLINK("https://www.youtube.com/watch?v="&amp;M1735,"▶"))</f>
        <v/>
      </c>
      <c r="B1735" s="39">
        <f>IF(C1735&lt;&gt;"",C1735,IF(P1735&lt;=IFERROR(INDEX(tblChannels[Watched Through],MATCH(N1735,tblChannels[Channel ID],0)),0),"Watched","Unwatched"))</f>
        <v/>
      </c>
      <c r="C1735" s="40" t="n"/>
      <c r="D1735" s="41" t="n"/>
      <c r="E1735" s="42" t="n">
        <v>43774.625</v>
      </c>
      <c r="F1735" s="50" t="inlineStr">
        <is>
          <t>Super Carlin Brothers</t>
        </is>
      </c>
      <c r="G1735" t="inlineStr">
        <is>
          <t>Pixar Theory: GERI IS DEAD!?</t>
        </is>
      </c>
      <c r="H1735" s="44" t="n">
        <v>0.007025462962962963</v>
      </c>
      <c r="I1735" s="45" t="n">
        <v>818782</v>
      </c>
      <c r="J1735" s="45" t="n">
        <v>24461</v>
      </c>
      <c r="K1735" s="45" t="n">
        <v>1611</v>
      </c>
      <c r="L1735" s="46" t="n"/>
      <c r="M1735" s="47" t="n"/>
      <c r="N1735" s="47" t="inlineStr">
        <is>
          <t>UCKZo4N0lVPccBkSiuyVh4yg</t>
        </is>
      </c>
      <c r="O1735" s="48" t="n">
        <v>43774.83333333334</v>
      </c>
      <c r="P1735" s="49" t="n">
        <v>43774</v>
      </c>
      <c r="Q1735" s="47" t="n">
        <v>1533</v>
      </c>
      <c r="R1735" s="47" t="inlineStr">
        <is>
          <t>No Video ID yet</t>
        </is>
      </c>
      <c r="S1735" s="49" t="n"/>
      <c r="T1735" s="49" t="n"/>
      <c r="U1735" s="47" t="inlineStr">
        <is>
          <t>Today J dives into the world of Pixar's Toy Story, to discuss the fate of the beloved Geri from Geri's Game, the Pixar short that started it all!</t>
        </is>
      </c>
      <c r="V1735" s="47">
        <f>IF(AND(P1735&gt;=Calendar!$K$2,P1735&lt;EDATE(Calendar!$K$2,1),OR(Calendar!$K$4="*",N1735=Calendar!$K$4)),P1735*100+COUNTIFS($P$6:$P$3267,P1735,$Q$6:$Q$3267,"&lt;="&amp;Q1735,$N$6:$N$3267,Calendar!$K$4),"")</f>
        <v/>
      </c>
      <c r="W1735" s="47">
        <f>IF(AND(B1735=Queue!$C$4,OR(Queue!$K$4="*",N1735=Queue!$K$4)),Q1735,"")</f>
        <v/>
      </c>
    </row>
    <row r="1736">
      <c r="A1736" s="38">
        <f>IF(M1736="","",HYPERLINK("https://www.youtube.com/watch?v="&amp;M1736,"▶"))</f>
        <v/>
      </c>
      <c r="B1736" s="39">
        <f>IF(C1736&lt;&gt;"",C1736,IF(P1736&lt;=IFERROR(INDEX(tblChannels[Watched Through],MATCH(N1736,tblChannels[Channel ID],0)),0),"Watched","Unwatched"))</f>
        <v/>
      </c>
      <c r="C1736" s="40" t="n"/>
      <c r="D1736" s="41" t="n"/>
      <c r="E1736" s="42" t="n">
        <v>43774.41388888889</v>
      </c>
      <c r="F1736" s="52" t="inlineStr">
        <is>
          <t>Super Carlin Gaming</t>
        </is>
      </c>
      <c r="G1736" t="inlineStr">
        <is>
          <t>THE FINAL BATTLE | Pokémon X Nuzlocke #45</t>
        </is>
      </c>
      <c r="H1736" s="44" t="n">
        <v>0.01834490740740741</v>
      </c>
      <c r="I1736" s="45" t="n">
        <v>19930</v>
      </c>
      <c r="J1736" s="45" t="n">
        <v>683</v>
      </c>
      <c r="K1736" s="45" t="n">
        <v>192</v>
      </c>
      <c r="L1736" s="46" t="n"/>
      <c r="M1736" s="47" t="n"/>
      <c r="N1736" s="47" t="inlineStr">
        <is>
          <t>UCor_9jRnNNZVzTuQ92PKsaQ</t>
        </is>
      </c>
      <c r="O1736" s="48" t="n">
        <v>43774.62222222222</v>
      </c>
      <c r="P1736" s="49" t="n">
        <v>43774</v>
      </c>
      <c r="Q1736" s="47" t="n">
        <v>1532</v>
      </c>
      <c r="R1736" s="47" t="inlineStr">
        <is>
          <t>No Video ID yet</t>
        </is>
      </c>
      <c r="S1736" s="49" t="n"/>
      <c r="T1736" s="49" t="n"/>
      <c r="U1736" s="47" t="inlineStr">
        <is>
          <t>This is it - win or lose its the FINAL BATTLE with the Champion of the Kalos Region! Is the team ready to take her on, or will she be the ultimate hurdle before the finish line?</t>
        </is>
      </c>
      <c r="V1736" s="47">
        <f>IF(AND(P1736&gt;=Calendar!$K$2,P1736&lt;EDATE(Calendar!$K$2,1),OR(Calendar!$K$4="*",N1736=Calendar!$K$4)),P1736*100+COUNTIFS($P$6:$P$3267,P1736,$Q$6:$Q$3267,"&lt;="&amp;Q1736,$N$6:$N$3267,Calendar!$K$4),"")</f>
        <v/>
      </c>
      <c r="W1736" s="47">
        <f>IF(AND(B1736=Queue!$C$4,OR(Queue!$K$4="*",N1736=Queue!$K$4)),Q1736,"")</f>
        <v/>
      </c>
    </row>
    <row r="1737">
      <c r="A1737" s="38">
        <f>IF(M1737="","",HYPERLINK("https://www.youtube.com/watch?v="&amp;M1737,"▶"))</f>
        <v/>
      </c>
      <c r="B1737" s="39">
        <f>IF(C1737&lt;&gt;"",C1737,IF(P1737&lt;=IFERROR(INDEX(tblChannels[Watched Through],MATCH(N1737,tblChannels[Channel ID],0)),0),"Watched","Unwatched"))</f>
        <v/>
      </c>
      <c r="C1737" s="40" t="n"/>
      <c r="D1737" s="41" t="n"/>
      <c r="E1737" s="42" t="n">
        <v>43770.42222222222</v>
      </c>
      <c r="F1737" s="52" t="inlineStr">
        <is>
          <t>Super Carlin Gaming</t>
        </is>
      </c>
      <c r="G1737" t="inlineStr">
        <is>
          <t>ELITE FOUR - Part 2 |  Pokémon X Nuzlocke #44</t>
        </is>
      </c>
      <c r="H1737" s="44" t="n">
        <v>0.01391203703703704</v>
      </c>
      <c r="I1737" s="45" t="n">
        <v>13561</v>
      </c>
      <c r="J1737" s="45" t="n">
        <v>532</v>
      </c>
      <c r="K1737" s="45" t="n">
        <v>58</v>
      </c>
      <c r="L1737" s="46" t="n"/>
      <c r="M1737" s="47" t="n"/>
      <c r="N1737" s="47" t="inlineStr">
        <is>
          <t>UCor_9jRnNNZVzTuQ92PKsaQ</t>
        </is>
      </c>
      <c r="O1737" s="48" t="n">
        <v>43770.58888888889</v>
      </c>
      <c r="P1737" s="49" t="n">
        <v>43770</v>
      </c>
      <c r="Q1737" s="47" t="n">
        <v>1531</v>
      </c>
      <c r="R1737" s="47" t="inlineStr">
        <is>
          <t>No Video ID yet</t>
        </is>
      </c>
      <c r="S1737" s="49" t="n"/>
      <c r="T1737" s="49" t="n"/>
      <c r="U1737" s="47" t="inlineStr">
        <is>
          <t>Two down and two to go - With the team still mourning the death of Xylia, are they ready to take on Siebold and Drasna?</t>
        </is>
      </c>
      <c r="V1737" s="47">
        <f>IF(AND(P1737&gt;=Calendar!$K$2,P1737&lt;EDATE(Calendar!$K$2,1),OR(Calendar!$K$4="*",N1737=Calendar!$K$4)),P1737*100+COUNTIFS($P$6:$P$3267,P1737,$Q$6:$Q$3267,"&lt;="&amp;Q1737,$N$6:$N$3267,Calendar!$K$4),"")</f>
        <v/>
      </c>
      <c r="W1737" s="47">
        <f>IF(AND(B1737=Queue!$C$4,OR(Queue!$K$4="*",N1737=Queue!$K$4)),Q1737,"")</f>
        <v/>
      </c>
    </row>
    <row r="1738">
      <c r="A1738" s="38">
        <f>IF(M1738="","",HYPERLINK("https://www.youtube.com/watch?v="&amp;M1738,"▶"))</f>
        <v/>
      </c>
      <c r="B1738" s="39">
        <f>IF(C1738&lt;&gt;"",C1738,IF(P1738&lt;=IFERROR(INDEX(tblChannels[Watched Through],MATCH(N1738,tblChannels[Channel ID],0)),0),"Watched","Unwatched"))</f>
        <v/>
      </c>
      <c r="C1738" s="40" t="n"/>
      <c r="D1738" s="41" t="n"/>
      <c r="E1738" s="42" t="n">
        <v>43769.8625</v>
      </c>
      <c r="F1738" s="50" t="inlineStr">
        <is>
          <t>Super Carlin Brothers</t>
        </is>
      </c>
      <c r="G1738" t="inlineStr">
        <is>
          <t>J vs Ben: The HARDEST Neville Longbottom Trivia Quiz EVER</t>
        </is>
      </c>
      <c r="H1738" s="44" t="n">
        <v>0.01167824074074074</v>
      </c>
      <c r="I1738" s="45" t="n">
        <v>377702</v>
      </c>
      <c r="J1738" s="45" t="n">
        <v>13531</v>
      </c>
      <c r="K1738" s="45" t="n">
        <v>1707</v>
      </c>
      <c r="L1738" s="46" t="n"/>
      <c r="M1738" s="47" t="n"/>
      <c r="N1738" s="47" t="inlineStr">
        <is>
          <t>UCKZo4N0lVPccBkSiuyVh4yg</t>
        </is>
      </c>
      <c r="O1738" s="48" t="n">
        <v>43770.02916666667</v>
      </c>
      <c r="P1738" s="49" t="n">
        <v>43769</v>
      </c>
      <c r="Q1738" s="47" t="n">
        <v>1530</v>
      </c>
      <c r="R1738" s="47" t="inlineStr">
        <is>
          <t>No Video ID yet</t>
        </is>
      </c>
      <c r="S1738" s="49" t="n"/>
      <c r="T1738" s="49" t="n"/>
      <c r="U1738" s="47" t="inlineStr">
        <is>
          <t>Today J and Ben face off in the HARDEST Neville Longbottom quiz to find out who knows the one true Gryffindor the best! Edited by: Scott Niswander</t>
        </is>
      </c>
      <c r="V1738" s="47">
        <f>IF(AND(P1738&gt;=Calendar!$K$2,P1738&lt;EDATE(Calendar!$K$2,1),OR(Calendar!$K$4="*",N1738=Calendar!$K$4)),P1738*100+COUNTIFS($P$6:$P$3267,P1738,$Q$6:$Q$3267,"&lt;="&amp;Q1738,$N$6:$N$3267,Calendar!$K$4),"")</f>
        <v/>
      </c>
      <c r="W1738" s="47">
        <f>IF(AND(B1738=Queue!$C$4,OR(Queue!$K$4="*",N1738=Queue!$K$4)),Q1738,"")</f>
        <v/>
      </c>
    </row>
    <row r="1739">
      <c r="A1739" s="38">
        <f>IF(M1739="","",HYPERLINK("https://www.youtube.com/watch?v="&amp;M1739,"▶"))</f>
        <v/>
      </c>
      <c r="B1739" s="39">
        <f>IF(C1739&lt;&gt;"",C1739,IF(P1739&lt;=IFERROR(INDEX(tblChannels[Watched Through],MATCH(N1739,tblChannels[Channel ID],0)),0),"Watched","Unwatched"))</f>
        <v/>
      </c>
      <c r="C1739" s="40" t="n"/>
      <c r="D1739" s="41" t="n"/>
      <c r="E1739" s="42" t="n">
        <v>43769.41319444445</v>
      </c>
      <c r="F1739" s="52" t="inlineStr">
        <is>
          <t>Super Carlin Gaming</t>
        </is>
      </c>
      <c r="G1739" t="inlineStr">
        <is>
          <t>THE ELITE FOUR |  Pokémon X Nuzlocke #43</t>
        </is>
      </c>
      <c r="H1739" s="44" t="n">
        <v>0.02549768518518519</v>
      </c>
      <c r="I1739" s="45" t="n">
        <v>15796</v>
      </c>
      <c r="J1739" s="45" t="n">
        <v>535</v>
      </c>
      <c r="K1739" s="45" t="n">
        <v>120</v>
      </c>
      <c r="L1739" s="46" t="n"/>
      <c r="M1739" s="47" t="n"/>
      <c r="N1739" s="47" t="inlineStr">
        <is>
          <t>UCor_9jRnNNZVzTuQ92PKsaQ</t>
        </is>
      </c>
      <c r="O1739" s="48" t="n">
        <v>43769.57986111111</v>
      </c>
      <c r="P1739" s="49" t="n">
        <v>43769</v>
      </c>
      <c r="Q1739" s="47" t="n">
        <v>1529</v>
      </c>
      <c r="R1739" s="47" t="inlineStr">
        <is>
          <t>No Video ID yet</t>
        </is>
      </c>
      <c r="S1739" s="49" t="n"/>
      <c r="T1739" s="49" t="n"/>
      <c r="U1739" s="47" t="inlineStr">
        <is>
          <t>Today J and the team face down some the best the Kalos Region has to offer, and enter the Elite 4! Are we ready or will they overpower us!?</t>
        </is>
      </c>
      <c r="V1739" s="47">
        <f>IF(AND(P1739&gt;=Calendar!$K$2,P1739&lt;EDATE(Calendar!$K$2,1),OR(Calendar!$K$4="*",N1739=Calendar!$K$4)),P1739*100+COUNTIFS($P$6:$P$3267,P1739,$Q$6:$Q$3267,"&lt;="&amp;Q1739,$N$6:$N$3267,Calendar!$K$4),"")</f>
        <v/>
      </c>
      <c r="W1739" s="47">
        <f>IF(AND(B1739=Queue!$C$4,OR(Queue!$K$4="*",N1739=Queue!$K$4)),Q1739,"")</f>
        <v/>
      </c>
    </row>
    <row r="1740">
      <c r="A1740" s="38">
        <f>IF(M1740="","",HYPERLINK("https://www.youtube.com/watch?v="&amp;M1740,"▶"))</f>
        <v/>
      </c>
      <c r="B1740" s="39">
        <f>IF(C1740&lt;&gt;"",C1740,IF(P1740&lt;=IFERROR(INDEX(tblChannels[Watched Through],MATCH(N1740,tblChannels[Channel ID],0)),0),"Watched","Unwatched"))</f>
        <v/>
      </c>
      <c r="C1740" s="40" t="n"/>
      <c r="D1740" s="41" t="n"/>
      <c r="E1740" s="42" t="n">
        <v>43768.55694444444</v>
      </c>
      <c r="F1740" s="53" t="inlineStr">
        <is>
          <t>Jonathan Carlin</t>
        </is>
      </c>
      <c r="G1740" t="inlineStr">
        <is>
          <t>WEEK OF WOTSO!</t>
        </is>
      </c>
      <c r="H1740" s="44" t="n">
        <v>0.004421296296296296</v>
      </c>
      <c r="I1740" s="45" t="n">
        <v>23764</v>
      </c>
      <c r="J1740" s="45" t="n">
        <v>1349</v>
      </c>
      <c r="K1740" s="45" t="n">
        <v>133</v>
      </c>
      <c r="L1740" s="46" t="n"/>
      <c r="M1740" s="47" t="n"/>
      <c r="N1740" s="47" t="inlineStr">
        <is>
          <t>UCYPKFe86e6nm4TVUYKLsFUQ</t>
        </is>
      </c>
      <c r="O1740" s="48" t="n">
        <v>43768.72361111111</v>
      </c>
      <c r="P1740" s="49" t="n">
        <v>43768</v>
      </c>
      <c r="Q1740" s="47" t="n">
        <v>1528</v>
      </c>
      <c r="R1740" s="47" t="inlineStr">
        <is>
          <t>No Video ID yet</t>
        </is>
      </c>
      <c r="S1740" s="49" t="n"/>
      <c r="T1740" s="49" t="n"/>
      <c r="U1740" s="47" t="inlineStr">
        <is>
          <t>This week the SCB crew hosts Issac Carlson of Wotso Videos and Beth, J and Luke head to Kentucky to visit family!</t>
        </is>
      </c>
      <c r="V1740" s="47">
        <f>IF(AND(P1740&gt;=Calendar!$K$2,P1740&lt;EDATE(Calendar!$K$2,1),OR(Calendar!$K$4="*",N1740=Calendar!$K$4)),P1740*100+COUNTIFS($P$6:$P$3267,P1740,$Q$6:$Q$3267,"&lt;="&amp;Q1740,$N$6:$N$3267,Calendar!$K$4),"")</f>
        <v/>
      </c>
      <c r="W1740" s="47">
        <f>IF(AND(B1740=Queue!$C$4,OR(Queue!$K$4="*",N1740=Queue!$K$4)),Q1740,"")</f>
        <v/>
      </c>
    </row>
    <row r="1741">
      <c r="A1741" s="38">
        <f>IF(M1741="","",HYPERLINK("https://www.youtube.com/watch?v="&amp;M1741,"▶"))</f>
        <v/>
      </c>
      <c r="B1741" s="39">
        <f>IF(C1741&lt;&gt;"",C1741,IF(P1741&lt;=IFERROR(INDEX(tblChannels[Watched Through],MATCH(N1741,tblChannels[Channel ID],0)),0),"Watched","Unwatched"))</f>
        <v/>
      </c>
      <c r="C1741" s="40" t="n"/>
      <c r="D1741" s="41" t="n"/>
      <c r="E1741" s="42" t="n">
        <v>43767.66875</v>
      </c>
      <c r="F1741" s="50" t="inlineStr">
        <is>
          <t>Super Carlin Brothers</t>
        </is>
      </c>
      <c r="G1741" t="inlineStr">
        <is>
          <t>Top 10 Fred &amp; George Moments In Harry Potter</t>
        </is>
      </c>
      <c r="H1741" s="44" t="n">
        <v>0.0102662037037037</v>
      </c>
      <c r="I1741" s="45" t="n">
        <v>644993</v>
      </c>
      <c r="J1741" s="45" t="n">
        <v>20913</v>
      </c>
      <c r="K1741" s="45" t="n">
        <v>2534</v>
      </c>
      <c r="L1741" s="46" t="n"/>
      <c r="M1741" s="47" t="n"/>
      <c r="N1741" s="47" t="inlineStr">
        <is>
          <t>UCKZo4N0lVPccBkSiuyVh4yg</t>
        </is>
      </c>
      <c r="O1741" s="48" t="n">
        <v>43767.83541666667</v>
      </c>
      <c r="P1741" s="49" t="n">
        <v>43767</v>
      </c>
      <c r="Q1741" s="47" t="n">
        <v>1527</v>
      </c>
      <c r="R1741" s="47" t="inlineStr">
        <is>
          <t>No Video ID yet</t>
        </is>
      </c>
      <c r="S1741" s="49" t="n"/>
      <c r="T1741" s="49" t="n"/>
      <c r="U1741" s="47" t="inlineStr">
        <is>
          <t>Go to www.EscapeTheInvasion.com/SCB for 20% off your first box! Or click here :: Today J dives into the Wizarding World of Harry Potter to celebrate the clown princes of Hogwarts: Fred and George Weasley and counts down their Top 10 Moments throughout the series. Join the SCB T-Shirt Club and get an Exclusive new T-shirt automatically shipped to your day every 3-Months!</t>
        </is>
      </c>
      <c r="V1741" s="47">
        <f>IF(AND(P1741&gt;=Calendar!$K$2,P1741&lt;EDATE(Calendar!$K$2,1),OR(Calendar!$K$4="*",N1741=Calendar!$K$4)),P1741*100+COUNTIFS($P$6:$P$3267,P1741,$Q$6:$Q$3267,"&lt;="&amp;Q1741,$N$6:$N$3267,Calendar!$K$4),"")</f>
        <v/>
      </c>
      <c r="W1741" s="47">
        <f>IF(AND(B1741=Queue!$C$4,OR(Queue!$K$4="*",N1741=Queue!$K$4)),Q1741,"")</f>
        <v/>
      </c>
    </row>
    <row r="1742">
      <c r="A1742" s="38">
        <f>IF(M1742="","",HYPERLINK("https://www.youtube.com/watch?v="&amp;M1742,"▶"))</f>
        <v/>
      </c>
      <c r="B1742" s="39">
        <f>IF(C1742&lt;&gt;"",C1742,IF(P1742&lt;=IFERROR(INDEX(tblChannels[Watched Through],MATCH(N1742,tblChannels[Channel ID],0)),0),"Watched","Unwatched"))</f>
        <v/>
      </c>
      <c r="C1742" s="40" t="n"/>
      <c r="D1742" s="41" t="n"/>
      <c r="E1742" s="42" t="n">
        <v>43762.88055555556</v>
      </c>
      <c r="F1742" s="50" t="inlineStr">
        <is>
          <t>Super Carlin Brothers</t>
        </is>
      </c>
      <c r="G1742" t="inlineStr">
        <is>
          <t>Pixar Fast Facts: Toy Story 4</t>
        </is>
      </c>
      <c r="H1742" s="44" t="n">
        <v>0.007094907407407407</v>
      </c>
      <c r="I1742" s="45" t="n">
        <v>151466</v>
      </c>
      <c r="J1742" s="45" t="n">
        <v>6120</v>
      </c>
      <c r="K1742" s="45" t="n">
        <v>532</v>
      </c>
      <c r="L1742" s="46" t="n"/>
      <c r="M1742" s="47" t="n"/>
      <c r="N1742" s="47" t="inlineStr">
        <is>
          <t>UCKZo4N0lVPccBkSiuyVh4yg</t>
        </is>
      </c>
      <c r="O1742" s="48" t="n">
        <v>43763.04722222222</v>
      </c>
      <c r="P1742" s="49" t="n">
        <v>43762</v>
      </c>
      <c r="Q1742" s="47" t="n">
        <v>1526</v>
      </c>
      <c r="R1742" s="47" t="inlineStr">
        <is>
          <t>No Video ID yet</t>
        </is>
      </c>
      <c r="S1742" s="49" t="n"/>
      <c r="T1742" s="49" t="n"/>
      <c r="U1742" s="47" t="inlineStr">
        <is>
          <t>Don’t forget to smash the like button! And ‘Subscribe’ for all sorts of Disney, Pixar, Star Wars, Harry Potter, and Marvel Action! Today Ben reveals all of the MANY Easter Eggs hidden throughout Toy Story 4! This movie was a GOLD MINE. We had so much fun uncovering them all. Let us know if we missed anything! Check out Wotso Videos HERE: Check out Seamus Video discovering Duke Caboom here: And check out Jace's Video finding Onward right here: Join the SCB T-Shirt Club and get an Exclusive new T-shirt automatically shipped to your day every 3-Months!</t>
        </is>
      </c>
      <c r="V1742" s="47">
        <f>IF(AND(P1742&gt;=Calendar!$K$2,P1742&lt;EDATE(Calendar!$K$2,1),OR(Calendar!$K$4="*",N1742=Calendar!$K$4)),P1742*100+COUNTIFS($P$6:$P$3267,P1742,$Q$6:$Q$3267,"&lt;="&amp;Q1742,$N$6:$N$3267,Calendar!$K$4),"")</f>
        <v/>
      </c>
      <c r="W1742" s="47">
        <f>IF(AND(B1742=Queue!$C$4,OR(Queue!$K$4="*",N1742=Queue!$K$4)),Q1742,"")</f>
        <v/>
      </c>
    </row>
    <row r="1743">
      <c r="A1743" s="38">
        <f>IF(M1743="","",HYPERLINK("https://www.youtube.com/watch?v="&amp;M1743,"▶"))</f>
        <v/>
      </c>
      <c r="B1743" s="39">
        <f>IF(C1743&lt;&gt;"",C1743,IF(P1743&lt;=IFERROR(INDEX(tblChannels[Watched Through],MATCH(N1743,tblChannels[Channel ID],0)),0),"Watched","Unwatched"))</f>
        <v/>
      </c>
      <c r="C1743" s="40" t="n"/>
      <c r="D1743" s="41" t="n"/>
      <c r="E1743" s="42" t="n">
        <v>43760.78055555555</v>
      </c>
      <c r="F1743" s="50" t="inlineStr">
        <is>
          <t>Super Carlin Brothers</t>
        </is>
      </c>
      <c r="G1743" t="inlineStr">
        <is>
          <t>Harry Potter Theory: Filch Is Actually A Poltergeist?!</t>
        </is>
      </c>
      <c r="H1743" s="44" t="n">
        <v>0.008530092592592593</v>
      </c>
      <c r="I1743" s="45" t="n">
        <v>773027</v>
      </c>
      <c r="J1743" s="45" t="n">
        <v>24803</v>
      </c>
      <c r="K1743" s="45" t="n">
        <v>2129</v>
      </c>
      <c r="L1743" s="46" t="n"/>
      <c r="M1743" s="47" t="n"/>
      <c r="N1743" s="47" t="inlineStr">
        <is>
          <t>UCKZo4N0lVPccBkSiuyVh4yg</t>
        </is>
      </c>
      <c r="O1743" s="48" t="n">
        <v>43760.94722222222</v>
      </c>
      <c r="P1743" s="49" t="n">
        <v>43760</v>
      </c>
      <c r="Q1743" s="47" t="n">
        <v>1525</v>
      </c>
      <c r="R1743" s="47" t="inlineStr">
        <is>
          <t>No Video ID yet</t>
        </is>
      </c>
      <c r="S1743" s="49" t="n"/>
      <c r="T1743" s="49" t="n"/>
      <c r="U1743" s="47" t="inlineStr">
        <is>
          <t>Go to and use code SCB to get $75 off! Today J dives into the Wizarding World of Harry Potter to discuss the cantankerous caretaker Argus Filch and ponders the possibility that he, like Peeves, is a Poltergeist. Edited by: J Carlin</t>
        </is>
      </c>
      <c r="V1743" s="47">
        <f>IF(AND(P1743&gt;=Calendar!$K$2,P1743&lt;EDATE(Calendar!$K$2,1),OR(Calendar!$K$4="*",N1743=Calendar!$K$4)),P1743*100+COUNTIFS($P$6:$P$3267,P1743,$Q$6:$Q$3267,"&lt;="&amp;Q1743,$N$6:$N$3267,Calendar!$K$4),"")</f>
        <v/>
      </c>
      <c r="W1743" s="47">
        <f>IF(AND(B1743=Queue!$C$4,OR(Queue!$K$4="*",N1743=Queue!$K$4)),Q1743,"")</f>
        <v/>
      </c>
    </row>
    <row r="1744">
      <c r="A1744" s="38">
        <f>IF(M1744="","",HYPERLINK("https://www.youtube.com/watch?v="&amp;M1744,"▶"))</f>
        <v/>
      </c>
      <c r="B1744" s="39">
        <f>IF(C1744&lt;&gt;"",C1744,IF(P1744&lt;=IFERROR(INDEX(tblChannels[Watched Through],MATCH(N1744,tblChannels[Channel ID],0)),0),"Watched","Unwatched"))</f>
        <v/>
      </c>
      <c r="C1744" s="40" t="n"/>
      <c r="D1744" s="41" t="n"/>
      <c r="E1744" s="42" t="n">
        <v>43759.54861111111</v>
      </c>
      <c r="F1744" s="52" t="inlineStr">
        <is>
          <t>Super Carlin Gaming</t>
        </is>
      </c>
      <c r="G1744" t="inlineStr">
        <is>
          <t>Hogwarts Founders CRASH A SHUTTLE in SIMS 4 | Episode #6</t>
        </is>
      </c>
      <c r="H1744" s="44" t="n">
        <v>0.0194212962962963</v>
      </c>
      <c r="I1744" s="45" t="n">
        <v>35923</v>
      </c>
      <c r="J1744" s="45" t="n">
        <v>1399</v>
      </c>
      <c r="K1744" s="45" t="n">
        <v>223</v>
      </c>
      <c r="L1744" s="46" t="n"/>
      <c r="M1744" s="47" t="n"/>
      <c r="N1744" s="47" t="inlineStr">
        <is>
          <t>UCor_9jRnNNZVzTuQ92PKsaQ</t>
        </is>
      </c>
      <c r="O1744" s="48" t="n">
        <v>43759.71527777778</v>
      </c>
      <c r="P1744" s="49" t="n">
        <v>43759</v>
      </c>
      <c r="Q1744" s="47" t="n">
        <v>1524</v>
      </c>
      <c r="R1744" s="47" t="inlineStr">
        <is>
          <t>No Video ID yet</t>
        </is>
      </c>
      <c r="S1744" s="49" t="n"/>
      <c r="T1744" s="49" t="n"/>
      <c r="U1744" s="47" t="inlineStr">
        <is>
          <t>Share us your Gilderoy Lockharts! #PrettyObvious J and Ben continue the founding of Hogwarts with Godric Gryffindor, Rowena Ravenclaw, Helga Hufflepuff and Salazar Slytherin! This week the girls get magical, Rowena makes some questionable decisions at work, and Godric is lord of the dance</t>
        </is>
      </c>
      <c r="V1744" s="47">
        <f>IF(AND(P1744&gt;=Calendar!$K$2,P1744&lt;EDATE(Calendar!$K$2,1),OR(Calendar!$K$4="*",N1744=Calendar!$K$4)),P1744*100+COUNTIFS($P$6:$P$3267,P1744,$Q$6:$Q$3267,"&lt;="&amp;Q1744,$N$6:$N$3267,Calendar!$K$4),"")</f>
        <v/>
      </c>
      <c r="W1744" s="47">
        <f>IF(AND(B1744=Queue!$C$4,OR(Queue!$K$4="*",N1744=Queue!$K$4)),Q1744,"")</f>
        <v/>
      </c>
    </row>
    <row r="1745">
      <c r="A1745" s="38">
        <f>IF(M1745="","",HYPERLINK("https://www.youtube.com/watch?v="&amp;M1745,"▶"))</f>
        <v/>
      </c>
      <c r="B1745" s="39">
        <f>IF(C1745&lt;&gt;"",C1745,IF(P1745&lt;=IFERROR(INDEX(tblChannels[Watched Through],MATCH(N1745,tblChannels[Channel ID],0)),0),"Watched","Unwatched"))</f>
        <v/>
      </c>
      <c r="C1745" s="40" t="n"/>
      <c r="D1745" s="41" t="n"/>
      <c r="E1745" s="42" t="n">
        <v>43759.44583333333</v>
      </c>
      <c r="F1745" s="53" t="inlineStr">
        <is>
          <t>Jonathan Carlin</t>
        </is>
      </c>
      <c r="G1745" t="inlineStr">
        <is>
          <t>Do Twins Run In Our Family?!</t>
        </is>
      </c>
      <c r="H1745" s="44" t="n">
        <v>0.0059375</v>
      </c>
      <c r="I1745" s="45" t="n">
        <v>68864</v>
      </c>
      <c r="J1745" s="45" t="n">
        <v>3294</v>
      </c>
      <c r="K1745" s="45" t="n">
        <v>447</v>
      </c>
      <c r="L1745" s="46" t="n"/>
      <c r="M1745" s="47" t="n"/>
      <c r="N1745" s="47" t="inlineStr">
        <is>
          <t>UCYPKFe86e6nm4TVUYKLsFUQ</t>
        </is>
      </c>
      <c r="O1745" s="48" t="n">
        <v>43759.6125</v>
      </c>
      <c r="P1745" s="49" t="n">
        <v>43759</v>
      </c>
      <c r="Q1745" s="47" t="n">
        <v>1523</v>
      </c>
      <c r="R1745" s="47" t="inlineStr">
        <is>
          <t>No Video ID yet</t>
        </is>
      </c>
      <c r="S1745" s="49" t="n"/>
      <c r="T1745" s="49" t="n"/>
      <c r="U1745" s="47" t="inlineStr">
        <is>
          <t>This week we celebrate the 100th episode of the Vlog, return to Go Fest AND answer all of your questions about the TWINS! Also.. did we buy a house?</t>
        </is>
      </c>
      <c r="V1745" s="47">
        <f>IF(AND(P1745&gt;=Calendar!$K$2,P1745&lt;EDATE(Calendar!$K$2,1),OR(Calendar!$K$4="*",N1745=Calendar!$K$4)),P1745*100+COUNTIFS($P$6:$P$3267,P1745,$Q$6:$Q$3267,"&lt;="&amp;Q1745,$N$6:$N$3267,Calendar!$K$4),"")</f>
        <v/>
      </c>
      <c r="W1745" s="47">
        <f>IF(AND(B1745=Queue!$C$4,OR(Queue!$K$4="*",N1745=Queue!$K$4)),Q1745,"")</f>
        <v/>
      </c>
    </row>
    <row r="1746">
      <c r="A1746" s="38">
        <f>IF(M1746="","",HYPERLINK("https://www.youtube.com/watch?v="&amp;M1746,"▶"))</f>
        <v/>
      </c>
      <c r="B1746" s="39">
        <f>IF(C1746&lt;&gt;"",C1746,IF(P1746&lt;=IFERROR(INDEX(tblChannels[Watched Through],MATCH(N1746,tblChannels[Channel ID],0)),0),"Watched","Unwatched"))</f>
        <v/>
      </c>
      <c r="C1746" s="40" t="n"/>
      <c r="D1746" s="41" t="n"/>
      <c r="E1746" s="42" t="n">
        <v>43755.74097222222</v>
      </c>
      <c r="F1746" s="50" t="inlineStr">
        <is>
          <t>Super Carlin Brothers</t>
        </is>
      </c>
      <c r="G1746" t="inlineStr">
        <is>
          <t>Nitwit Blubber Oddment Tweak Explained | Harry Potter Theory</t>
        </is>
      </c>
      <c r="H1746" s="44" t="n">
        <v>0.008437500000000001</v>
      </c>
      <c r="I1746" s="45" t="n">
        <v>523234</v>
      </c>
      <c r="J1746" s="45" t="n">
        <v>16646</v>
      </c>
      <c r="K1746" s="45" t="n">
        <v>2107</v>
      </c>
      <c r="L1746" s="46" t="n"/>
      <c r="M1746" s="47" t="n"/>
      <c r="N1746" s="47" t="inlineStr">
        <is>
          <t>UCKZo4N0lVPccBkSiuyVh4yg</t>
        </is>
      </c>
      <c r="O1746" s="48" t="n">
        <v>43755.90763888889</v>
      </c>
      <c r="P1746" s="49" t="n">
        <v>43755</v>
      </c>
      <c r="Q1746" s="47" t="n">
        <v>1522</v>
      </c>
      <c r="R1746" s="47" t="inlineStr">
        <is>
          <t>No Video ID yet</t>
        </is>
      </c>
      <c r="S1746" s="49" t="n"/>
      <c r="T1746" s="49" t="n"/>
      <c r="U1746" s="47" t="inlineStr">
        <is>
          <t>Hurry to to find out HOW LOW your Upstart rate is. You may recall these four bizarre words that Dumbledore chooses to address the student’s of Hogwarts after Harry is sorted into Gryffindor in his first year: Nitwit, Oddment, Blubber, and Tweak -- These words may be making a reference to each of the Hogwarts Houses and may have a much greater meaning than we might have thought. #harrypotter #wizardingworld Edited by: J Carlin</t>
        </is>
      </c>
      <c r="V1746" s="47">
        <f>IF(AND(P1746&gt;=Calendar!$K$2,P1746&lt;EDATE(Calendar!$K$2,1),OR(Calendar!$K$4="*",N1746=Calendar!$K$4)),P1746*100+COUNTIFS($P$6:$P$3267,P1746,$Q$6:$Q$3267,"&lt;="&amp;Q1746,$N$6:$N$3267,Calendar!$K$4),"")</f>
        <v/>
      </c>
      <c r="W1746" s="47">
        <f>IF(AND(B1746=Queue!$C$4,OR(Queue!$K$4="*",N1746=Queue!$K$4)),Q1746,"")</f>
        <v/>
      </c>
    </row>
    <row r="1747">
      <c r="A1747" s="38">
        <f>IF(M1747="","",HYPERLINK("https://www.youtube.com/watch?v="&amp;M1747,"▶"))</f>
        <v/>
      </c>
      <c r="B1747" s="39">
        <f>IF(C1747&lt;&gt;"",C1747,IF(P1747&lt;=IFERROR(INDEX(tblChannels[Watched Through],MATCH(N1747,tblChannels[Channel ID],0)),0),"Watched","Unwatched"))</f>
        <v/>
      </c>
      <c r="C1747" s="40" t="n"/>
      <c r="D1747" s="41" t="n"/>
      <c r="E1747" s="42" t="n">
        <v>43753.83055555556</v>
      </c>
      <c r="F1747" s="50" t="inlineStr">
        <is>
          <t>Super Carlin Brothers</t>
        </is>
      </c>
      <c r="G1747" t="inlineStr">
        <is>
          <t>The Giant Squid Explained AT LAST | Harry Potter Theory</t>
        </is>
      </c>
      <c r="H1747" s="44" t="n">
        <v>0.009571759259259259</v>
      </c>
      <c r="I1747" s="45" t="n">
        <v>1064937</v>
      </c>
      <c r="J1747" s="45" t="n">
        <v>31920</v>
      </c>
      <c r="K1747" s="45" t="n">
        <v>3201</v>
      </c>
      <c r="L1747" s="46" t="n"/>
      <c r="M1747" s="47" t="n"/>
      <c r="N1747" s="47" t="inlineStr">
        <is>
          <t>UCKZo4N0lVPccBkSiuyVh4yg</t>
        </is>
      </c>
      <c r="O1747" s="48" t="n">
        <v>43753.99722222222</v>
      </c>
      <c r="P1747" s="49" t="n">
        <v>43753</v>
      </c>
      <c r="Q1747" s="47" t="n">
        <v>1521</v>
      </c>
      <c r="R1747" s="47" t="inlineStr">
        <is>
          <t>No Video ID yet</t>
        </is>
      </c>
      <c r="S1747" s="49" t="n"/>
      <c r="T1747" s="49" t="n"/>
      <c r="U1747" s="47" t="inlineStr">
        <is>
          <t>Today J dives into the Black Lake of Harry Potter and tries to solve the mysteries of the GIANT SQUID and its purpose in the Wizarding World</t>
        </is>
      </c>
      <c r="V1747" s="47">
        <f>IF(AND(P1747&gt;=Calendar!$K$2,P1747&lt;EDATE(Calendar!$K$2,1),OR(Calendar!$K$4="*",N1747=Calendar!$K$4)),P1747*100+COUNTIFS($P$6:$P$3267,P1747,$Q$6:$Q$3267,"&lt;="&amp;Q1747,$N$6:$N$3267,Calendar!$K$4),"")</f>
        <v/>
      </c>
      <c r="W1747" s="47">
        <f>IF(AND(B1747=Queue!$C$4,OR(Queue!$K$4="*",N1747=Queue!$K$4)),Q1747,"")</f>
        <v/>
      </c>
    </row>
    <row r="1748">
      <c r="A1748" s="38">
        <f>IF(M1748="","",HYPERLINK("https://www.youtube.com/watch?v="&amp;M1748,"▶"))</f>
        <v/>
      </c>
      <c r="B1748" s="39">
        <f>IF(C1748&lt;&gt;"",C1748,IF(P1748&lt;=IFERROR(INDEX(tblChannels[Watched Through],MATCH(N1748,tblChannels[Channel ID],0)),0),"Watched","Unwatched"))</f>
        <v/>
      </c>
      <c r="C1748" s="40" t="n"/>
      <c r="D1748" s="41" t="n"/>
      <c r="E1748" s="42" t="n">
        <v>43752.49097222222</v>
      </c>
      <c r="F1748" s="53" t="inlineStr">
        <is>
          <t>Jonathan Carlin</t>
        </is>
      </c>
      <c r="G1748" t="inlineStr">
        <is>
          <t>FALL IS HERE</t>
        </is>
      </c>
      <c r="H1748" s="44" t="n">
        <v>0.005266203703703703</v>
      </c>
      <c r="I1748" s="45" t="n">
        <v>24198</v>
      </c>
      <c r="J1748" s="45" t="n">
        <v>1420</v>
      </c>
      <c r="K1748" s="45" t="n">
        <v>206</v>
      </c>
      <c r="L1748" s="46" t="n"/>
      <c r="M1748" s="47" t="n"/>
      <c r="N1748" s="47" t="inlineStr">
        <is>
          <t>UCYPKFe86e6nm4TVUYKLsFUQ</t>
        </is>
      </c>
      <c r="O1748" s="48" t="n">
        <v>43752.65763888889</v>
      </c>
      <c r="P1748" s="49" t="n">
        <v>43752</v>
      </c>
      <c r="Q1748" s="47" t="n">
        <v>1520</v>
      </c>
      <c r="R1748" s="47" t="inlineStr">
        <is>
          <t>No Video ID yet</t>
        </is>
      </c>
      <c r="S1748" s="49" t="n"/>
      <c r="T1748" s="49" t="n"/>
      <c r="U1748" s="47" t="inlineStr">
        <is>
          <t>Fall has finally arrived in Roanoke! This week the SCB team tries to drop a tshirt from a drone, and Beth and J head to JMU for a football game!</t>
        </is>
      </c>
      <c r="V1748" s="47">
        <f>IF(AND(P1748&gt;=Calendar!$K$2,P1748&lt;EDATE(Calendar!$K$2,1),OR(Calendar!$K$4="*",N1748=Calendar!$K$4)),P1748*100+COUNTIFS($P$6:$P$3267,P1748,$Q$6:$Q$3267,"&lt;="&amp;Q1748,$N$6:$N$3267,Calendar!$K$4),"")</f>
        <v/>
      </c>
      <c r="W1748" s="47">
        <f>IF(AND(B1748=Queue!$C$4,OR(Queue!$K$4="*",N1748=Queue!$K$4)),Q1748,"")</f>
        <v/>
      </c>
    </row>
    <row r="1749">
      <c r="A1749" s="38">
        <f>IF(M1749="","",HYPERLINK("https://www.youtube.com/watch?v="&amp;M1749,"▶"))</f>
        <v/>
      </c>
      <c r="B1749" s="39">
        <f>IF(C1749&lt;&gt;"",C1749,IF(P1749&lt;=IFERROR(INDEX(tblChannels[Watched Through],MATCH(N1749,tblChannels[Channel ID],0)),0),"Watched","Unwatched"))</f>
        <v/>
      </c>
      <c r="C1749" s="40" t="n"/>
      <c r="D1749" s="41" t="n"/>
      <c r="E1749" s="42" t="n">
        <v>43749.74236111111</v>
      </c>
      <c r="F1749" s="50" t="inlineStr">
        <is>
          <t>Super Carlin Brothers</t>
        </is>
      </c>
      <c r="G1749" t="inlineStr">
        <is>
          <t>Carlin Brothers SUPER SPECIAL FUN Stream!</t>
        </is>
      </c>
      <c r="H1749" s="44" t="n">
        <v>0.09327546296296296</v>
      </c>
      <c r="I1749" s="45" t="n">
        <v>147771</v>
      </c>
      <c r="J1749" s="45" t="n">
        <v>1600</v>
      </c>
      <c r="K1749" s="45" t="n">
        <v>83</v>
      </c>
      <c r="L1749" s="46" t="n"/>
      <c r="M1749" s="47" t="n"/>
      <c r="N1749" s="47" t="inlineStr">
        <is>
          <t>UCKZo4N0lVPccBkSiuyVh4yg</t>
        </is>
      </c>
      <c r="O1749" s="48" t="n">
        <v>43749.90902777778</v>
      </c>
      <c r="P1749" s="49" t="n">
        <v>43749</v>
      </c>
      <c r="Q1749" s="47" t="n">
        <v>1519</v>
      </c>
      <c r="R1749" s="47" t="inlineStr">
        <is>
          <t>No Video ID yet</t>
        </is>
      </c>
      <c r="S1749" s="49" t="n"/>
      <c r="T1749" s="49" t="n"/>
      <c r="U1749" s="47" t="inlineStr">
        <is>
          <t>Sign up for Giveaways :: Blooper Compilation: Hang out with J and Ben as they unveil new Patreon perks, special offers, and celebrate their patrons!</t>
        </is>
      </c>
      <c r="V1749" s="47">
        <f>IF(AND(P1749&gt;=Calendar!$K$2,P1749&lt;EDATE(Calendar!$K$2,1),OR(Calendar!$K$4="*",N1749=Calendar!$K$4)),P1749*100+COUNTIFS($P$6:$P$3267,P1749,$Q$6:$Q$3267,"&lt;="&amp;Q1749,$N$6:$N$3267,Calendar!$K$4),"")</f>
        <v/>
      </c>
      <c r="W1749" s="47">
        <f>IF(AND(B1749=Queue!$C$4,OR(Queue!$K$4="*",N1749=Queue!$K$4)),Q1749,"")</f>
        <v/>
      </c>
    </row>
    <row r="1750">
      <c r="A1750" s="38">
        <f>IF(M1750="","",HYPERLINK("https://www.youtube.com/watch?v="&amp;M1750,"▶"))</f>
        <v/>
      </c>
      <c r="B1750" s="39">
        <f>IF(C1750&lt;&gt;"",C1750,IF(P1750&lt;=IFERROR(INDEX(tblChannels[Watched Through],MATCH(N1750,tblChannels[Channel ID],0)),0),"Watched","Unwatched"))</f>
        <v/>
      </c>
      <c r="C1750" s="40" t="n"/>
      <c r="D1750" s="41" t="n"/>
      <c r="E1750" s="42" t="n">
        <v>43748.95694444444</v>
      </c>
      <c r="F1750" s="50" t="inlineStr">
        <is>
          <t>Super Carlin Brothers</t>
        </is>
      </c>
      <c r="G1750" t="inlineStr">
        <is>
          <t>Woody's Origins Explained</t>
        </is>
      </c>
      <c r="H1750" s="44" t="n">
        <v>0.009224537037037036</v>
      </c>
      <c r="I1750" s="45" t="n">
        <v>251768</v>
      </c>
      <c r="J1750" s="45" t="n">
        <v>9477</v>
      </c>
      <c r="K1750" s="45" t="n">
        <v>968</v>
      </c>
      <c r="L1750" s="46" t="n"/>
      <c r="M1750" s="47" t="n"/>
      <c r="N1750" s="47" t="inlineStr">
        <is>
          <t>UCKZo4N0lVPccBkSiuyVh4yg</t>
        </is>
      </c>
      <c r="O1750" s="48" t="n">
        <v>43749.12361111111</v>
      </c>
      <c r="P1750" s="49" t="n">
        <v>43748</v>
      </c>
      <c r="Q1750" s="47" t="n">
        <v>1518</v>
      </c>
      <c r="R1750" s="47" t="inlineStr">
        <is>
          <t>No Video ID yet</t>
        </is>
      </c>
      <c r="S1750" s="49" t="n"/>
      <c r="T1750" s="49" t="n"/>
      <c r="U1750" s="47" t="inlineStr">
        <is>
          <t>Get 15% off your entire order at - Use promo Code ‘SCB’ at Checkout! And don’t forget! Free shipping worldwide on all orders! And don’t forget to tune into tomorrow Patreon Livestream RIGHT HERE on the SuperCarlinBrothers YouTube Page. We are announcing some brand new reward tiers, special offers, and doing some amazing giveaways! Friday, October 11 3-5pmEDT Today Ben tackles a question that miraculously actually has an answer! What is Woody’s last name? And how did he get the name Woody to begin with?! #ToyStory #Pixar</t>
        </is>
      </c>
      <c r="V1750" s="47">
        <f>IF(AND(P1750&gt;=Calendar!$K$2,P1750&lt;EDATE(Calendar!$K$2,1),OR(Calendar!$K$4="*",N1750=Calendar!$K$4)),P1750*100+COUNTIFS($P$6:$P$3267,P1750,$Q$6:$Q$3267,"&lt;="&amp;Q1750,$N$6:$N$3267,Calendar!$K$4),"")</f>
        <v/>
      </c>
      <c r="W1750" s="47">
        <f>IF(AND(B1750=Queue!$C$4,OR(Queue!$K$4="*",N1750=Queue!$K$4)),Q1750,"")</f>
        <v/>
      </c>
    </row>
    <row r="1751">
      <c r="A1751" s="38">
        <f>IF(M1751="","",HYPERLINK("https://www.youtube.com/watch?v="&amp;M1751,"▶"))</f>
        <v/>
      </c>
      <c r="B1751" s="39">
        <f>IF(C1751&lt;&gt;"",C1751,IF(P1751&lt;=IFERROR(INDEX(tblChannels[Watched Through],MATCH(N1751,tblChannels[Channel ID],0)),0),"Watched","Unwatched"))</f>
        <v/>
      </c>
      <c r="C1751" s="40" t="n"/>
      <c r="D1751" s="41" t="n"/>
      <c r="E1751" s="42" t="n">
        <v>43746.82569444444</v>
      </c>
      <c r="F1751" s="50" t="inlineStr">
        <is>
          <t>Super Carlin Brothers</t>
        </is>
      </c>
      <c r="G1751" t="inlineStr">
        <is>
          <t>Why Woody Is Actually Captain America</t>
        </is>
      </c>
      <c r="H1751" s="44" t="n">
        <v>0.007083333333333333</v>
      </c>
      <c r="I1751" s="45" t="n">
        <v>209266</v>
      </c>
      <c r="J1751" s="45" t="n">
        <v>8974</v>
      </c>
      <c r="K1751" s="45" t="n">
        <v>1069</v>
      </c>
      <c r="L1751" s="46" t="n"/>
      <c r="M1751" s="47" t="n"/>
      <c r="N1751" s="47" t="inlineStr">
        <is>
          <t>UCKZo4N0lVPccBkSiuyVh4yg</t>
        </is>
      </c>
      <c r="O1751" s="48" t="n">
        <v>43746.99236111111</v>
      </c>
      <c r="P1751" s="49" t="n">
        <v>43746</v>
      </c>
      <c r="Q1751" s="47" t="n">
        <v>1517</v>
      </c>
      <c r="R1751" s="47" t="inlineStr">
        <is>
          <t>No Video ID yet</t>
        </is>
      </c>
      <c r="S1751" s="49" t="n"/>
      <c r="T1751" s="49" t="n"/>
      <c r="U1751" s="47" t="inlineStr">
        <is>
          <t>Go to and find out how you can get 3 months free. Today J dives into the world of Pixar’s Toy Story and the Marvel Cinematic Universe to dissect two of our favorite heroes: Woody and Captain America, and reveals how in the end, they are the exact same. #Pixar #Marvel #SuperCarlinBrothers Edited by: Scott Niswander</t>
        </is>
      </c>
      <c r="V1751" s="47">
        <f>IF(AND(P1751&gt;=Calendar!$K$2,P1751&lt;EDATE(Calendar!$K$2,1),OR(Calendar!$K$4="*",N1751=Calendar!$K$4)),P1751*100+COUNTIFS($P$6:$P$3267,P1751,$Q$6:$Q$3267,"&lt;="&amp;Q1751,$N$6:$N$3267,Calendar!$K$4),"")</f>
        <v/>
      </c>
      <c r="W1751" s="47">
        <f>IF(AND(B1751=Queue!$C$4,OR(Queue!$K$4="*",N1751=Queue!$K$4)),Q1751,"")</f>
        <v/>
      </c>
    </row>
    <row r="1752">
      <c r="A1752" s="38">
        <f>IF(M1752="","",HYPERLINK("https://www.youtube.com/watch?v="&amp;M1752,"▶"))</f>
        <v/>
      </c>
      <c r="B1752" s="39">
        <f>IF(C1752&lt;&gt;"",C1752,IF(P1752&lt;=IFERROR(INDEX(tblChannels[Watched Through],MATCH(N1752,tblChannels[Channel ID],0)),0),"Watched","Unwatched"))</f>
        <v/>
      </c>
      <c r="C1752" s="40" t="n"/>
      <c r="D1752" s="41" t="n"/>
      <c r="E1752" s="42" t="n">
        <v>43746.41666666666</v>
      </c>
      <c r="F1752" s="53" t="inlineStr">
        <is>
          <t>Jonathan Carlin</t>
        </is>
      </c>
      <c r="G1752" t="inlineStr">
        <is>
          <t>Beach Week and BIG ANNOUNCEMENT</t>
        </is>
      </c>
      <c r="H1752" s="44" t="n">
        <v>0.00798611111111111</v>
      </c>
      <c r="I1752" s="45" t="n">
        <v>53286</v>
      </c>
      <c r="J1752" s="45" t="n">
        <v>3841</v>
      </c>
      <c r="K1752" s="45" t="n">
        <v>0</v>
      </c>
      <c r="L1752" s="46" t="n"/>
      <c r="M1752" s="47" t="n"/>
      <c r="N1752" s="47" t="inlineStr">
        <is>
          <t>UCYPKFe86e6nm4TVUYKLsFUQ</t>
        </is>
      </c>
      <c r="O1752" s="48" t="n">
        <v>43746.58333333334</v>
      </c>
      <c r="P1752" s="49" t="n">
        <v>43746</v>
      </c>
      <c r="Q1752" s="47" t="n">
        <v>1516</v>
      </c>
      <c r="R1752" s="47" t="inlineStr">
        <is>
          <t>No Video ID yet</t>
        </is>
      </c>
      <c r="S1752" s="49" t="n"/>
      <c r="T1752" s="49" t="n"/>
      <c r="U1752" s="47" t="inlineStr">
        <is>
          <t>This week J and the family head to the beach for a much needed vacation and make sure you stick around to the end for big announcement!</t>
        </is>
      </c>
      <c r="V1752" s="47">
        <f>IF(AND(P1752&gt;=Calendar!$K$2,P1752&lt;EDATE(Calendar!$K$2,1),OR(Calendar!$K$4="*",N1752=Calendar!$K$4)),P1752*100+COUNTIFS($P$6:$P$3267,P1752,$Q$6:$Q$3267,"&lt;="&amp;Q1752,$N$6:$N$3267,Calendar!$K$4),"")</f>
        <v/>
      </c>
      <c r="W1752" s="47">
        <f>IF(AND(B1752=Queue!$C$4,OR(Queue!$K$4="*",N1752=Queue!$K$4)),Q1752,"")</f>
        <v/>
      </c>
    </row>
    <row r="1753">
      <c r="A1753" s="38">
        <f>IF(M1753="","",HYPERLINK("https://www.youtube.com/watch?v="&amp;M1753,"▶"))</f>
        <v/>
      </c>
      <c r="B1753" s="39">
        <f>IF(C1753&lt;&gt;"",C1753,IF(P1753&lt;=IFERROR(INDEX(tblChannels[Watched Through],MATCH(N1753,tblChannels[Channel ID],0)),0),"Watched","Unwatched"))</f>
        <v/>
      </c>
      <c r="C1753" s="40" t="n"/>
      <c r="D1753" s="41" t="n"/>
      <c r="E1753" s="42" t="n">
        <v>43741.82916666667</v>
      </c>
      <c r="F1753" s="50" t="inlineStr">
        <is>
          <t>Super Carlin Brothers</t>
        </is>
      </c>
      <c r="G1753" t="inlineStr">
        <is>
          <t>J vs Ben: ULTIMATE Hogwarts Express Harry Potter Quiz</t>
        </is>
      </c>
      <c r="H1753" s="44" t="n">
        <v>0.01708333333333333</v>
      </c>
      <c r="I1753" s="45" t="n">
        <v>591364</v>
      </c>
      <c r="J1753" s="45" t="n">
        <v>14668</v>
      </c>
      <c r="K1753" s="45" t="n">
        <v>1924</v>
      </c>
      <c r="L1753" s="46" t="n"/>
      <c r="M1753" s="47" t="n"/>
      <c r="N1753" s="47" t="inlineStr">
        <is>
          <t>UCKZo4N0lVPccBkSiuyVh4yg</t>
        </is>
      </c>
      <c r="O1753" s="48" t="n">
        <v>43741.99583333333</v>
      </c>
      <c r="P1753" s="49" t="n">
        <v>43741</v>
      </c>
      <c r="Q1753" s="47" t="n">
        <v>1515</v>
      </c>
      <c r="R1753" s="47" t="inlineStr">
        <is>
          <t>No Video ID yet</t>
        </is>
      </c>
      <c r="S1753" s="49" t="n"/>
      <c r="T1753" s="49" t="n"/>
      <c r="U1753" s="47" t="inlineStr">
        <is>
          <t>Play Along with us! :: Today J and Ben dive into the Wizarding World of Harry Potter and face off in the Ultimate Hogwarts Express Quiz to find out who knows more about the scarlet steam engine that takes everyone to Hogwarts Edited by: Scott Niswander</t>
        </is>
      </c>
      <c r="V1753" s="47">
        <f>IF(AND(P1753&gt;=Calendar!$K$2,P1753&lt;EDATE(Calendar!$K$2,1),OR(Calendar!$K$4="*",N1753=Calendar!$K$4)),P1753*100+COUNTIFS($P$6:$P$3267,P1753,$Q$6:$Q$3267,"&lt;="&amp;Q1753,$N$6:$N$3267,Calendar!$K$4),"")</f>
        <v/>
      </c>
      <c r="W1753" s="47">
        <f>IF(AND(B1753=Queue!$C$4,OR(Queue!$K$4="*",N1753=Queue!$K$4)),Q1753,"")</f>
        <v/>
      </c>
    </row>
    <row r="1754">
      <c r="A1754" s="38">
        <f>IF(M1754="","",HYPERLINK("https://www.youtube.com/watch?v="&amp;M1754,"▶"))</f>
        <v/>
      </c>
      <c r="B1754" s="39">
        <f>IF(C1754&lt;&gt;"",C1754,IF(P1754&lt;=IFERROR(INDEX(tblChannels[Watched Through],MATCH(N1754,tblChannels[Channel ID],0)),0),"Watched","Unwatched"))</f>
        <v/>
      </c>
      <c r="C1754" s="40" t="n"/>
      <c r="D1754" s="41" t="n"/>
      <c r="E1754" s="42" t="n">
        <v>43739.85625</v>
      </c>
      <c r="F1754" s="50" t="inlineStr">
        <is>
          <t>Super Carlin Brothers</t>
        </is>
      </c>
      <c r="G1754" t="inlineStr">
        <is>
          <t>Fast Facts: Spider-Man Far From Home</t>
        </is>
      </c>
      <c r="H1754" s="44" t="n">
        <v>0.00568287037037037</v>
      </c>
      <c r="I1754" s="45" t="n">
        <v>206935</v>
      </c>
      <c r="J1754" s="45" t="n">
        <v>9125</v>
      </c>
      <c r="K1754" s="45" t="n">
        <v>556</v>
      </c>
      <c r="L1754" s="46" t="n"/>
      <c r="M1754" s="47" t="n"/>
      <c r="N1754" s="47" t="inlineStr">
        <is>
          <t>UCKZo4N0lVPccBkSiuyVh4yg</t>
        </is>
      </c>
      <c r="O1754" s="48" t="n">
        <v>43740.02291666667</v>
      </c>
      <c r="P1754" s="49" t="n">
        <v>43739</v>
      </c>
      <c r="Q1754" s="47" t="n">
        <v>1514</v>
      </c>
      <c r="R1754" s="47" t="inlineStr">
        <is>
          <t>No Video ID yet</t>
        </is>
      </c>
      <c r="S1754" s="49" t="n"/>
      <c r="T1754" s="49" t="n"/>
      <c r="U1754" s="47" t="inlineStr">
        <is>
          <t>Today Ben dives into the MCU and Spider-Man Far From Home to uncover every Easter Egg and random fact we could find about the movie! Edited by: Scott Niswander</t>
        </is>
      </c>
      <c r="V1754" s="47">
        <f>IF(AND(P1754&gt;=Calendar!$K$2,P1754&lt;EDATE(Calendar!$K$2,1),OR(Calendar!$K$4="*",N1754=Calendar!$K$4)),P1754*100+COUNTIFS($P$6:$P$3267,P1754,$Q$6:$Q$3267,"&lt;="&amp;Q1754,$N$6:$N$3267,Calendar!$K$4),"")</f>
        <v/>
      </c>
      <c r="W1754" s="47">
        <f>IF(AND(B1754=Queue!$C$4,OR(Queue!$K$4="*",N1754=Queue!$K$4)),Q1754,"")</f>
        <v/>
      </c>
    </row>
    <row r="1755">
      <c r="A1755" s="38">
        <f>IF(M1755="","",HYPERLINK("https://www.youtube.com/watch?v="&amp;M1755,"▶"))</f>
        <v/>
      </c>
      <c r="B1755" s="39">
        <f>IF(C1755&lt;&gt;"",C1755,IF(P1755&lt;=IFERROR(INDEX(tblChannels[Watched Through],MATCH(N1755,tblChannels[Channel ID],0)),0),"Watched","Unwatched"))</f>
        <v/>
      </c>
      <c r="C1755" s="40" t="n"/>
      <c r="D1755" s="41" t="n"/>
      <c r="E1755" s="42" t="n">
        <v>43734.77777777778</v>
      </c>
      <c r="F1755" s="50" t="inlineStr">
        <is>
          <t>Super Carlin Brothers</t>
        </is>
      </c>
      <c r="G1755" t="inlineStr">
        <is>
          <t>Harry Potter Theory: Why Didn’t Voldemort Return As A Ghost?</t>
        </is>
      </c>
      <c r="H1755" s="44" t="n">
        <v>0.009282407407407408</v>
      </c>
      <c r="I1755" s="45" t="n">
        <v>837290</v>
      </c>
      <c r="J1755" s="45" t="n">
        <v>23842</v>
      </c>
      <c r="K1755" s="45" t="n">
        <v>2970</v>
      </c>
      <c r="L1755" s="46" t="n"/>
      <c r="M1755" s="47" t="n"/>
      <c r="N1755" s="47" t="inlineStr">
        <is>
          <t>UCKZo4N0lVPccBkSiuyVh4yg</t>
        </is>
      </c>
      <c r="O1755" s="48" t="n">
        <v>43734.94444444445</v>
      </c>
      <c r="P1755" s="49" t="n">
        <v>43734</v>
      </c>
      <c r="Q1755" s="47" t="n">
        <v>1513</v>
      </c>
      <c r="R1755" s="47" t="inlineStr">
        <is>
          <t>No Video ID yet</t>
        </is>
      </c>
      <c r="S1755" s="49" t="n"/>
      <c r="T1755" s="49" t="n"/>
      <c r="U1755" s="47" t="inlineStr">
        <is>
          <t>Go to and use code SCB to get $75 off! Today Ben dives into the Wizarding World of Harry Potter to try and figure out why Voldemort didn’t elect to come back as a ghost and instead accepted death Horcrux and Book Text Animation created by: Scott Niswander</t>
        </is>
      </c>
      <c r="V1755" s="47">
        <f>IF(AND(P1755&gt;=Calendar!$K$2,P1755&lt;EDATE(Calendar!$K$2,1),OR(Calendar!$K$4="*",N1755=Calendar!$K$4)),P1755*100+COUNTIFS($P$6:$P$3267,P1755,$Q$6:$Q$3267,"&lt;="&amp;Q1755,$N$6:$N$3267,Calendar!$K$4),"")</f>
        <v/>
      </c>
      <c r="W1755" s="47">
        <f>IF(AND(B1755=Queue!$C$4,OR(Queue!$K$4="*",N1755=Queue!$K$4)),Q1755,"")</f>
        <v/>
      </c>
    </row>
    <row r="1756">
      <c r="A1756" s="38">
        <f>IF(M1756="","",HYPERLINK("https://www.youtube.com/watch?v="&amp;M1756,"▶"))</f>
        <v/>
      </c>
      <c r="B1756" s="39">
        <f>IF(C1756&lt;&gt;"",C1756,IF(P1756&lt;=IFERROR(INDEX(tblChannels[Watched Through],MATCH(N1756,tblChannels[Channel ID],0)),0),"Watched","Unwatched"))</f>
        <v/>
      </c>
      <c r="C1756" s="40" t="n"/>
      <c r="D1756" s="41" t="n"/>
      <c r="E1756" s="42" t="n">
        <v>43734.3875</v>
      </c>
      <c r="F1756" s="52" t="inlineStr">
        <is>
          <t>Super Carlin Gaming</t>
        </is>
      </c>
      <c r="G1756" t="inlineStr">
        <is>
          <t>VICTORY ROAD |  Pokémon X Nuzlocke #42</t>
        </is>
      </c>
      <c r="H1756" s="44" t="n">
        <v>0.03396990740740741</v>
      </c>
      <c r="I1756" s="45" t="n">
        <v>18149</v>
      </c>
      <c r="J1756" s="45" t="n">
        <v>604</v>
      </c>
      <c r="K1756" s="45" t="n">
        <v>207</v>
      </c>
      <c r="L1756" s="46" t="n"/>
      <c r="M1756" s="47" t="n"/>
      <c r="N1756" s="47" t="inlineStr">
        <is>
          <t>UCor_9jRnNNZVzTuQ92PKsaQ</t>
        </is>
      </c>
      <c r="O1756" s="48" t="n">
        <v>43734.55416666667</v>
      </c>
      <c r="P1756" s="49" t="n">
        <v>43734</v>
      </c>
      <c r="Q1756" s="47" t="n">
        <v>1512</v>
      </c>
      <c r="R1756" s="47" t="inlineStr">
        <is>
          <t>No Video ID yet</t>
        </is>
      </c>
      <c r="S1756" s="49" t="n"/>
      <c r="T1756" s="49" t="n"/>
      <c r="U1756" s="47" t="inlineStr">
        <is>
          <t>Today J and the team take on VICTORY ROAD! A series of challenging trainers meant to see if we are ready for the Elite 4 - Can the team survive the longest series of trainers yet?!</t>
        </is>
      </c>
      <c r="V1756" s="47">
        <f>IF(AND(P1756&gt;=Calendar!$K$2,P1756&lt;EDATE(Calendar!$K$2,1),OR(Calendar!$K$4="*",N1756=Calendar!$K$4)),P1756*100+COUNTIFS($P$6:$P$3267,P1756,$Q$6:$Q$3267,"&lt;="&amp;Q1756,$N$6:$N$3267,Calendar!$K$4),"")</f>
        <v/>
      </c>
      <c r="W1756" s="47">
        <f>IF(AND(B1756=Queue!$C$4,OR(Queue!$K$4="*",N1756=Queue!$K$4)),Q1756,"")</f>
        <v/>
      </c>
    </row>
    <row r="1757">
      <c r="A1757" s="38">
        <f>IF(M1757="","",HYPERLINK("https://www.youtube.com/watch?v="&amp;M1757,"▶"))</f>
        <v/>
      </c>
      <c r="B1757" s="39">
        <f>IF(C1757&lt;&gt;"",C1757,IF(P1757&lt;=IFERROR(INDEX(tblChannels[Watched Through],MATCH(N1757,tblChannels[Channel ID],0)),0),"Watched","Unwatched"))</f>
        <v/>
      </c>
      <c r="C1757" s="40" t="n"/>
      <c r="D1757" s="41" t="n"/>
      <c r="E1757" s="42" t="n">
        <v>43732.70972222222</v>
      </c>
      <c r="F1757" s="50" t="inlineStr">
        <is>
          <t>Super Carlin Brothers</t>
        </is>
      </c>
      <c r="G1757" t="inlineStr">
        <is>
          <t>Frozen Theory: How Elsa Got Her Powers</t>
        </is>
      </c>
      <c r="H1757" s="44" t="n">
        <v>0.008425925925925925</v>
      </c>
      <c r="I1757" s="45" t="n">
        <v>466807</v>
      </c>
      <c r="J1757" s="45" t="n">
        <v>18209</v>
      </c>
      <c r="K1757" s="45" t="n">
        <v>1911</v>
      </c>
      <c r="L1757" s="46" t="n"/>
      <c r="M1757" s="47" t="n"/>
      <c r="N1757" s="47" t="inlineStr">
        <is>
          <t>UCKZo4N0lVPccBkSiuyVh4yg</t>
        </is>
      </c>
      <c r="O1757" s="48" t="n">
        <v>43732.87638888889</v>
      </c>
      <c r="P1757" s="49" t="n">
        <v>43732</v>
      </c>
      <c r="Q1757" s="47" t="n">
        <v>1511</v>
      </c>
      <c r="R1757" s="47" t="inlineStr">
        <is>
          <t>No Video ID yet</t>
        </is>
      </c>
      <c r="S1757" s="49" t="n"/>
      <c r="T1757" s="49" t="n"/>
      <c r="U1757" s="47" t="inlineStr">
        <is>
          <t>Frozen 2 Meet-Up in Salt Lake City :: Today J dives into the world of Disney's Frozen to try and uncover how and why Elsa has her powers!</t>
        </is>
      </c>
      <c r="V1757" s="47">
        <f>IF(AND(P1757&gt;=Calendar!$K$2,P1757&lt;EDATE(Calendar!$K$2,1),OR(Calendar!$K$4="*",N1757=Calendar!$K$4)),P1757*100+COUNTIFS($P$6:$P$3267,P1757,$Q$6:$Q$3267,"&lt;="&amp;Q1757,$N$6:$N$3267,Calendar!$K$4),"")</f>
        <v/>
      </c>
      <c r="W1757" s="47">
        <f>IF(AND(B1757=Queue!$C$4,OR(Queue!$K$4="*",N1757=Queue!$K$4)),Q1757,"")</f>
        <v/>
      </c>
    </row>
    <row r="1758">
      <c r="A1758" s="38">
        <f>IF(M1758="","",HYPERLINK("https://www.youtube.com/watch?v="&amp;M1758,"▶"))</f>
        <v/>
      </c>
      <c r="B1758" s="39">
        <f>IF(C1758&lt;&gt;"",C1758,IF(P1758&lt;=IFERROR(INDEX(tblChannels[Watched Through],MATCH(N1758,tblChannels[Channel ID],0)),0),"Watched","Unwatched"))</f>
        <v/>
      </c>
      <c r="C1758" s="40" t="n"/>
      <c r="D1758" s="41" t="n"/>
      <c r="E1758" s="42" t="n">
        <v>43731.46805555555</v>
      </c>
      <c r="F1758" s="53" t="inlineStr">
        <is>
          <t>Jonathan Carlin</t>
        </is>
      </c>
      <c r="G1758" t="inlineStr">
        <is>
          <t>Luke Meets Olivia For The First Time!</t>
        </is>
      </c>
      <c r="H1758" s="44" t="n">
        <v>0.00449074074074074</v>
      </c>
      <c r="I1758" s="45" t="n">
        <v>30024</v>
      </c>
      <c r="J1758" s="45" t="n">
        <v>1543</v>
      </c>
      <c r="K1758" s="45" t="n">
        <v>134</v>
      </c>
      <c r="L1758" s="46" t="n"/>
      <c r="M1758" s="47" t="n"/>
      <c r="N1758" s="47" t="inlineStr">
        <is>
          <t>UCYPKFe86e6nm4TVUYKLsFUQ</t>
        </is>
      </c>
      <c r="O1758" s="48" t="n">
        <v>43731.63472222222</v>
      </c>
      <c r="P1758" s="49" t="n">
        <v>43731</v>
      </c>
      <c r="Q1758" s="47" t="n">
        <v>1510</v>
      </c>
      <c r="R1758" s="47" t="inlineStr">
        <is>
          <t>No Video ID yet</t>
        </is>
      </c>
      <c r="S1758" s="49" t="n"/>
      <c r="T1758" s="49" t="n"/>
      <c r="U1758" s="47" t="inlineStr">
        <is>
          <t>This week Luke meets his newborn cousin Olivia for the very first time and Ben EXPERTLY opens a bottle of wine!</t>
        </is>
      </c>
      <c r="V1758" s="47">
        <f>IF(AND(P1758&gt;=Calendar!$K$2,P1758&lt;EDATE(Calendar!$K$2,1),OR(Calendar!$K$4="*",N1758=Calendar!$K$4)),P1758*100+COUNTIFS($P$6:$P$3267,P1758,$Q$6:$Q$3267,"&lt;="&amp;Q1758,$N$6:$N$3267,Calendar!$K$4),"")</f>
        <v/>
      </c>
      <c r="W1758" s="47">
        <f>IF(AND(B1758=Queue!$C$4,OR(Queue!$K$4="*",N1758=Queue!$K$4)),Q1758,"")</f>
        <v/>
      </c>
    </row>
    <row r="1759">
      <c r="A1759" s="38">
        <f>IF(M1759="","",HYPERLINK("https://www.youtube.com/watch?v="&amp;M1759,"▶"))</f>
        <v/>
      </c>
      <c r="B1759" s="39">
        <f>IF(C1759&lt;&gt;"",C1759,IF(P1759&lt;=IFERROR(INDEX(tblChannels[Watched Through],MATCH(N1759,tblChannels[Channel ID],0)),0),"Watched","Unwatched"))</f>
        <v/>
      </c>
      <c r="C1759" s="40" t="n"/>
      <c r="D1759" s="41" t="n"/>
      <c r="E1759" s="42" t="n">
        <v>43729.32013888889</v>
      </c>
      <c r="F1759" s="52" t="inlineStr">
        <is>
          <t>Super Carlin Gaming</t>
        </is>
      </c>
      <c r="G1759" t="inlineStr">
        <is>
          <t>Hogwarts Founders LEARN MAGIC in SIMS 4 | Episode #5</t>
        </is>
      </c>
      <c r="H1759" s="44" t="n">
        <v>0.02090277777777778</v>
      </c>
      <c r="I1759" s="45" t="n">
        <v>46911</v>
      </c>
      <c r="J1759" s="45" t="n">
        <v>1507</v>
      </c>
      <c r="K1759" s="45" t="n">
        <v>308</v>
      </c>
      <c r="L1759" s="46" t="n"/>
      <c r="M1759" s="47" t="n"/>
      <c r="N1759" s="47" t="inlineStr">
        <is>
          <t>UCor_9jRnNNZVzTuQ92PKsaQ</t>
        </is>
      </c>
      <c r="O1759" s="48" t="n">
        <v>43729.48680555556</v>
      </c>
      <c r="P1759" s="49" t="n">
        <v>43729</v>
      </c>
      <c r="Q1759" s="47" t="n">
        <v>1509</v>
      </c>
      <c r="R1759" s="47" t="inlineStr">
        <is>
          <t>No Video ID yet</t>
        </is>
      </c>
      <c r="S1759" s="49" t="n"/>
      <c r="T1759" s="49" t="n"/>
      <c r="U1759" s="47" t="inlineStr">
        <is>
          <t>J and Ben continue the founding of Hogwarts with Godric Gryffindor, Rowena Ravenclaw, Helga Hufflepuff and Salazar Slytherin! Today they dive into the new Realm of Magic expansion and begin teaching the wizards to FINALLY do magic! #Sims4 #FoundingHogwarts</t>
        </is>
      </c>
      <c r="V1759" s="47">
        <f>IF(AND(P1759&gt;=Calendar!$K$2,P1759&lt;EDATE(Calendar!$K$2,1),OR(Calendar!$K$4="*",N1759=Calendar!$K$4)),P1759*100+COUNTIFS($P$6:$P$3267,P1759,$Q$6:$Q$3267,"&lt;="&amp;Q1759,$N$6:$N$3267,Calendar!$K$4),"")</f>
        <v/>
      </c>
      <c r="W1759" s="47">
        <f>IF(AND(B1759=Queue!$C$4,OR(Queue!$K$4="*",N1759=Queue!$K$4)),Q1759,"")</f>
        <v/>
      </c>
    </row>
    <row r="1760">
      <c r="A1760" s="38">
        <f>IF(M1760="","",HYPERLINK("https://www.youtube.com/watch?v="&amp;M1760,"▶"))</f>
        <v/>
      </c>
      <c r="B1760" s="39">
        <f>IF(C1760&lt;&gt;"",C1760,IF(P1760&lt;=IFERROR(INDEX(tblChannels[Watched Through],MATCH(N1760,tblChannels[Channel ID],0)),0),"Watched","Unwatched"))</f>
        <v/>
      </c>
      <c r="C1760" s="40" t="n"/>
      <c r="D1760" s="41" t="n"/>
      <c r="E1760" s="42" t="n">
        <v>43728.74444444444</v>
      </c>
      <c r="F1760" s="50" t="inlineStr">
        <is>
          <t>Super Carlin Brothers</t>
        </is>
      </c>
      <c r="G1760" t="inlineStr">
        <is>
          <t>Carlin Brothers Coffee 1-Year Anniversary Stream!</t>
        </is>
      </c>
      <c r="H1760" s="44" t="n">
        <v>0.0862037037037037</v>
      </c>
      <c r="I1760" s="45" t="n">
        <v>105607</v>
      </c>
      <c r="J1760" s="45" t="n">
        <v>1578</v>
      </c>
      <c r="K1760" s="45" t="n">
        <v>108</v>
      </c>
      <c r="L1760" s="46" t="n"/>
      <c r="M1760" s="47" t="n"/>
      <c r="N1760" s="47" t="inlineStr">
        <is>
          <t>UCKZo4N0lVPccBkSiuyVh4yg</t>
        </is>
      </c>
      <c r="O1760" s="48" t="n">
        <v>43728.91111111111</v>
      </c>
      <c r="P1760" s="49" t="n">
        <v>43728</v>
      </c>
      <c r="Q1760" s="47" t="n">
        <v>1508</v>
      </c>
      <c r="R1760" s="47" t="inlineStr">
        <is>
          <t>No Video ID yet</t>
        </is>
      </c>
      <c r="S1760" s="49" t="n"/>
      <c r="T1760" s="49" t="n"/>
      <c r="U1760" s="47" t="inlineStr">
        <is>
          <t>ENTER FOR COFFEE GIVEAWAYS: Survey Link: Salt Lake City Meet Up Link:</t>
        </is>
      </c>
      <c r="V1760" s="47">
        <f>IF(AND(P1760&gt;=Calendar!$K$2,P1760&lt;EDATE(Calendar!$K$2,1),OR(Calendar!$K$4="*",N1760=Calendar!$K$4)),P1760*100+COUNTIFS($P$6:$P$3267,P1760,$Q$6:$Q$3267,"&lt;="&amp;Q1760,$N$6:$N$3267,Calendar!$K$4),"")</f>
        <v/>
      </c>
      <c r="W1760" s="47">
        <f>IF(AND(B1760=Queue!$C$4,OR(Queue!$K$4="*",N1760=Queue!$K$4)),Q1760,"")</f>
        <v/>
      </c>
    </row>
    <row r="1761">
      <c r="A1761" s="38">
        <f>IF(M1761="","",HYPERLINK("https://www.youtube.com/watch?v="&amp;M1761,"▶"))</f>
        <v/>
      </c>
      <c r="B1761" s="39">
        <f>IF(C1761&lt;&gt;"",C1761,IF(P1761&lt;=IFERROR(INDEX(tblChannels[Watched Through],MATCH(N1761,tblChannels[Channel ID],0)),0),"Watched","Unwatched"))</f>
        <v/>
      </c>
      <c r="C1761" s="40" t="n"/>
      <c r="D1761" s="41" t="n"/>
      <c r="E1761" s="42" t="n">
        <v>43727.74652777778</v>
      </c>
      <c r="F1761" s="50" t="inlineStr">
        <is>
          <t>Super Carlin Brothers</t>
        </is>
      </c>
      <c r="G1761" t="inlineStr">
        <is>
          <t>Toy Story 4 Alternate Ending Explained</t>
        </is>
      </c>
      <c r="H1761" s="44" t="n">
        <v>0.009293981481481481</v>
      </c>
      <c r="I1761" s="45" t="n">
        <v>248011</v>
      </c>
      <c r="J1761" s="45" t="n">
        <v>8863</v>
      </c>
      <c r="K1761" s="45" t="n">
        <v>749</v>
      </c>
      <c r="L1761" s="46" t="n"/>
      <c r="M1761" s="47" t="n"/>
      <c r="N1761" s="47" t="inlineStr">
        <is>
          <t>UCKZo4N0lVPccBkSiuyVh4yg</t>
        </is>
      </c>
      <c r="O1761" s="48" t="n">
        <v>43727.91319444445</v>
      </c>
      <c r="P1761" s="49" t="n">
        <v>43727</v>
      </c>
      <c r="Q1761" s="47" t="n">
        <v>1507</v>
      </c>
      <c r="R1761" s="47" t="inlineStr">
        <is>
          <t>No Video ID yet</t>
        </is>
      </c>
      <c r="S1761" s="49" t="n"/>
      <c r="T1761" s="49" t="n"/>
      <c r="U1761" s="47" t="inlineStr">
        <is>
          <t>Check out the alternate ending :: Today Ben dives into the world of Pixar to discuss the newly release alternate ending of Toy Story 4 and what this reveals about the nature of being a toy!</t>
        </is>
      </c>
      <c r="V1761" s="47">
        <f>IF(AND(P1761&gt;=Calendar!$K$2,P1761&lt;EDATE(Calendar!$K$2,1),OR(Calendar!$K$4="*",N1761=Calendar!$K$4)),P1761*100+COUNTIFS($P$6:$P$3267,P1761,$Q$6:$Q$3267,"&lt;="&amp;Q1761,$N$6:$N$3267,Calendar!$K$4),"")</f>
        <v/>
      </c>
      <c r="W1761" s="47">
        <f>IF(AND(B1761=Queue!$C$4,OR(Queue!$K$4="*",N1761=Queue!$K$4)),Q1761,"")</f>
        <v/>
      </c>
    </row>
    <row r="1762">
      <c r="A1762" s="38">
        <f>IF(M1762="","",HYPERLINK("https://www.youtube.com/watch?v="&amp;M1762,"▶"))</f>
        <v/>
      </c>
      <c r="B1762" s="39">
        <f>IF(C1762&lt;&gt;"",C1762,IF(P1762&lt;=IFERROR(INDEX(tblChannels[Watched Through],MATCH(N1762,tblChannels[Channel ID],0)),0),"Watched","Unwatched"))</f>
        <v/>
      </c>
      <c r="C1762" s="40" t="n"/>
      <c r="D1762" s="41" t="n"/>
      <c r="E1762" s="42" t="n">
        <v>43726.47291666667</v>
      </c>
      <c r="F1762" s="52" t="inlineStr">
        <is>
          <t>Super Carlin Gaming</t>
        </is>
      </c>
      <c r="G1762" t="inlineStr">
        <is>
          <t>Preparing for Victory |  Pokémon X Nuzlocke #41</t>
        </is>
      </c>
      <c r="H1762" s="44" t="n">
        <v>0.02023148148148148</v>
      </c>
      <c r="I1762" s="45" t="n">
        <v>15097</v>
      </c>
      <c r="J1762" s="45" t="n">
        <v>518</v>
      </c>
      <c r="K1762" s="45" t="n">
        <v>100</v>
      </c>
      <c r="L1762" s="46" t="n"/>
      <c r="M1762" s="47" t="n"/>
      <c r="N1762" s="47" t="inlineStr">
        <is>
          <t>UCor_9jRnNNZVzTuQ92PKsaQ</t>
        </is>
      </c>
      <c r="O1762" s="48" t="n">
        <v>43726.63958333333</v>
      </c>
      <c r="P1762" s="49" t="n">
        <v>43726</v>
      </c>
      <c r="Q1762" s="47" t="n">
        <v>1506</v>
      </c>
      <c r="R1762" s="47" t="inlineStr">
        <is>
          <t>No Video ID yet</t>
        </is>
      </c>
      <c r="S1762" s="49" t="n"/>
      <c r="T1762" s="49" t="n"/>
      <c r="U1762" s="47" t="inlineStr">
        <is>
          <t>This week J and the team get some grinding done and at long last enter Victory Road - Will they be strong enough for the hardest cave in the game?</t>
        </is>
      </c>
      <c r="V1762" s="47">
        <f>IF(AND(P1762&gt;=Calendar!$K$2,P1762&lt;EDATE(Calendar!$K$2,1),OR(Calendar!$K$4="*",N1762=Calendar!$K$4)),P1762*100+COUNTIFS($P$6:$P$3267,P1762,$Q$6:$Q$3267,"&lt;="&amp;Q1762,$N$6:$N$3267,Calendar!$K$4),"")</f>
        <v/>
      </c>
      <c r="W1762" s="47">
        <f>IF(AND(B1762=Queue!$C$4,OR(Queue!$K$4="*",N1762=Queue!$K$4)),Q1762,"")</f>
        <v/>
      </c>
    </row>
    <row r="1763">
      <c r="A1763" s="38">
        <f>IF(M1763="","",HYPERLINK("https://www.youtube.com/watch?v="&amp;M1763,"▶"))</f>
        <v/>
      </c>
      <c r="B1763" s="39">
        <f>IF(C1763&lt;&gt;"",C1763,IF(P1763&lt;=IFERROR(INDEX(tblChannels[Watched Through],MATCH(N1763,tblChannels[Channel ID],0)),0),"Watched","Unwatched"))</f>
        <v/>
      </c>
      <c r="C1763" s="40" t="n"/>
      <c r="D1763" s="41" t="n"/>
      <c r="E1763" s="42" t="n">
        <v>43725.81666666667</v>
      </c>
      <c r="F1763" s="50" t="inlineStr">
        <is>
          <t>Super Carlin Brothers</t>
        </is>
      </c>
      <c r="G1763" t="inlineStr">
        <is>
          <t>Trelawney's Actually ALWAYS Right? | Harry Potter Explained</t>
        </is>
      </c>
      <c r="H1763" s="44" t="n">
        <v>0.009386574074074073</v>
      </c>
      <c r="I1763" s="45" t="n">
        <v>1521106</v>
      </c>
      <c r="J1763" s="45" t="n">
        <v>46775</v>
      </c>
      <c r="K1763" s="45" t="n">
        <v>3864</v>
      </c>
      <c r="L1763" s="46" t="n"/>
      <c r="M1763" s="47" t="n"/>
      <c r="N1763" s="47" t="inlineStr">
        <is>
          <t>UCKZo4N0lVPccBkSiuyVh4yg</t>
        </is>
      </c>
      <c r="O1763" s="48" t="n">
        <v>43725.98333333333</v>
      </c>
      <c r="P1763" s="49" t="n">
        <v>43725</v>
      </c>
      <c r="Q1763" s="47" t="n">
        <v>1505</v>
      </c>
      <c r="R1763" s="47" t="inlineStr">
        <is>
          <t>No Video ID yet</t>
        </is>
      </c>
      <c r="S1763" s="49" t="n"/>
      <c r="T1763" s="49" t="n"/>
      <c r="U1763" s="47" t="inlineStr">
        <is>
          <t>Today J dives into the Wizarding World of Harry Potter to uncover the hidden genius of Sybill Trelawney and how she is actually almost always right.. even if she doesn't know why. #HarryPotter #SuperCarlinBrothers #Pottermore</t>
        </is>
      </c>
      <c r="V1763" s="47">
        <f>IF(AND(P1763&gt;=Calendar!$K$2,P1763&lt;EDATE(Calendar!$K$2,1),OR(Calendar!$K$4="*",N1763=Calendar!$K$4)),P1763*100+COUNTIFS($P$6:$P$3267,P1763,$Q$6:$Q$3267,"&lt;="&amp;Q1763,$N$6:$N$3267,Calendar!$K$4),"")</f>
        <v/>
      </c>
      <c r="W1763" s="47">
        <f>IF(AND(B1763=Queue!$C$4,OR(Queue!$K$4="*",N1763=Queue!$K$4)),Q1763,"")</f>
        <v/>
      </c>
    </row>
    <row r="1764">
      <c r="A1764" s="38">
        <f>IF(M1764="","",HYPERLINK("https://www.youtube.com/watch?v="&amp;M1764,"▶"))</f>
        <v/>
      </c>
      <c r="B1764" s="39">
        <f>IF(C1764&lt;&gt;"",C1764,IF(P1764&lt;=IFERROR(INDEX(tblChannels[Watched Through],MATCH(N1764,tblChannels[Channel ID],0)),0),"Watched","Unwatched"))</f>
        <v/>
      </c>
      <c r="C1764" s="40" t="n"/>
      <c r="D1764" s="41" t="n"/>
      <c r="E1764" s="42" t="n">
        <v>43724.44166666667</v>
      </c>
      <c r="F1764" s="53" t="inlineStr">
        <is>
          <t>Jonathan Carlin</t>
        </is>
      </c>
      <c r="G1764" t="inlineStr">
        <is>
          <t>TYLER &amp; EMILY HAVE A BABY!</t>
        </is>
      </c>
      <c r="H1764" s="44" t="n">
        <v>0.006354166666666667</v>
      </c>
      <c r="I1764" s="45" t="n">
        <v>42930</v>
      </c>
      <c r="J1764" s="45" t="n">
        <v>2165</v>
      </c>
      <c r="K1764" s="45" t="n">
        <v>201</v>
      </c>
      <c r="L1764" s="46" t="n"/>
      <c r="M1764" s="47" t="n"/>
      <c r="N1764" s="47" t="inlineStr">
        <is>
          <t>UCYPKFe86e6nm4TVUYKLsFUQ</t>
        </is>
      </c>
      <c r="O1764" s="48" t="n">
        <v>43724.60833333333</v>
      </c>
      <c r="P1764" s="49" t="n">
        <v>43724</v>
      </c>
      <c r="Q1764" s="47" t="n">
        <v>1504</v>
      </c>
      <c r="R1764" s="47" t="inlineStr">
        <is>
          <t>No Video ID yet</t>
        </is>
      </c>
      <c r="S1764" s="49" t="n"/>
      <c r="T1764" s="49" t="n"/>
      <c r="U1764" s="47" t="inlineStr">
        <is>
          <t>This week Tyler and Emily welcome their first child, Olivia, into the world!</t>
        </is>
      </c>
      <c r="V1764" s="47">
        <f>IF(AND(P1764&gt;=Calendar!$K$2,P1764&lt;EDATE(Calendar!$K$2,1),OR(Calendar!$K$4="*",N1764=Calendar!$K$4)),P1764*100+COUNTIFS($P$6:$P$3267,P1764,$Q$6:$Q$3267,"&lt;="&amp;Q1764,$N$6:$N$3267,Calendar!$K$4),"")</f>
        <v/>
      </c>
      <c r="W1764" s="47">
        <f>IF(AND(B1764=Queue!$C$4,OR(Queue!$K$4="*",N1764=Queue!$K$4)),Q1764,"")</f>
        <v/>
      </c>
    </row>
    <row r="1765">
      <c r="A1765" s="38">
        <f>IF(M1765="","",HYPERLINK("https://www.youtube.com/watch?v="&amp;M1765,"▶"))</f>
        <v/>
      </c>
      <c r="B1765" s="39">
        <f>IF(C1765&lt;&gt;"",C1765,IF(P1765&lt;=IFERROR(INDEX(tblChannels[Watched Through],MATCH(N1765,tblChannels[Channel ID],0)),0),"Watched","Unwatched"))</f>
        <v/>
      </c>
      <c r="C1765" s="40" t="n"/>
      <c r="D1765" s="41" t="n"/>
      <c r="E1765" s="42" t="n">
        <v>43721.41805555556</v>
      </c>
      <c r="F1765" s="52" t="inlineStr">
        <is>
          <t>Super Carlin Gaming</t>
        </is>
      </c>
      <c r="G1765" t="inlineStr">
        <is>
          <t>Hogwarts Founders Get a UNICORN in SIMS 4 | Episode #4</t>
        </is>
      </c>
      <c r="H1765" s="44" t="n">
        <v>0.02471064814814815</v>
      </c>
      <c r="I1765" s="45" t="n">
        <v>47474</v>
      </c>
      <c r="J1765" s="45" t="n">
        <v>1609</v>
      </c>
      <c r="K1765" s="45" t="n">
        <v>364</v>
      </c>
      <c r="L1765" s="46" t="n"/>
      <c r="M1765" s="47" t="n"/>
      <c r="N1765" s="47" t="inlineStr">
        <is>
          <t>UCor_9jRnNNZVzTuQ92PKsaQ</t>
        </is>
      </c>
      <c r="O1765" s="48" t="n">
        <v>43721.58472222222</v>
      </c>
      <c r="P1765" s="49" t="n">
        <v>43721</v>
      </c>
      <c r="Q1765" s="47" t="n">
        <v>1503</v>
      </c>
      <c r="R1765" s="47" t="inlineStr">
        <is>
          <t>No Video ID yet</t>
        </is>
      </c>
      <c r="S1765" s="49" t="n"/>
      <c r="T1765" s="49" t="n"/>
      <c r="U1765" s="47" t="inlineStr">
        <is>
          <t>J and Ben continue the founding of Hogwarts with Godric Gryffindor, Rowena Ravenclaw, Helga Hufflepuff and Salazar Slytherin! This week Salazar makes a TASTY salad, Godric gets a new job, and Rowena builds a bar! #sims4 #harrypotter</t>
        </is>
      </c>
      <c r="V1765" s="47">
        <f>IF(AND(P1765&gt;=Calendar!$K$2,P1765&lt;EDATE(Calendar!$K$2,1),OR(Calendar!$K$4="*",N1765=Calendar!$K$4)),P1765*100+COUNTIFS($P$6:$P$3267,P1765,$Q$6:$Q$3267,"&lt;="&amp;Q1765,$N$6:$N$3267,Calendar!$K$4),"")</f>
        <v/>
      </c>
      <c r="W1765" s="47">
        <f>IF(AND(B1765=Queue!$C$4,OR(Queue!$K$4="*",N1765=Queue!$K$4)),Q1765,"")</f>
        <v/>
      </c>
    </row>
    <row r="1766">
      <c r="A1766" s="38">
        <f>IF(M1766="","",HYPERLINK("https://www.youtube.com/watch?v="&amp;M1766,"▶"))</f>
        <v/>
      </c>
      <c r="B1766" s="39">
        <f>IF(C1766&lt;&gt;"",C1766,IF(P1766&lt;=IFERROR(INDEX(tblChannels[Watched Through],MATCH(N1766,tblChannels[Channel ID],0)),0),"Watched","Unwatched"))</f>
        <v/>
      </c>
      <c r="C1766" s="40" t="n"/>
      <c r="D1766" s="41" t="n"/>
      <c r="E1766" s="42" t="n">
        <v>43720.74375</v>
      </c>
      <c r="F1766" s="50" t="inlineStr">
        <is>
          <t>Super Carlin Brothers</t>
        </is>
      </c>
      <c r="G1766" t="inlineStr">
        <is>
          <t>How Old Is Captain America In Endgame? | Avengers Explained</t>
        </is>
      </c>
      <c r="H1766" s="44" t="n">
        <v>0.008298611111111111</v>
      </c>
      <c r="I1766" s="45" t="n">
        <v>276926</v>
      </c>
      <c r="J1766" s="45" t="n">
        <v>11341</v>
      </c>
      <c r="K1766" s="45" t="n">
        <v>1238</v>
      </c>
      <c r="L1766" s="46" t="n"/>
      <c r="M1766" s="47" t="n"/>
      <c r="N1766" s="47" t="inlineStr">
        <is>
          <t>UCKZo4N0lVPccBkSiuyVh4yg</t>
        </is>
      </c>
      <c r="O1766" s="48" t="n">
        <v>43720.91041666667</v>
      </c>
      <c r="P1766" s="49" t="n">
        <v>43720</v>
      </c>
      <c r="Q1766" s="47" t="n">
        <v>1502</v>
      </c>
      <c r="R1766" s="47" t="inlineStr">
        <is>
          <t>No Video ID yet</t>
        </is>
      </c>
      <c r="S1766" s="49" t="n"/>
      <c r="T1766" s="49" t="n"/>
      <c r="U1766" s="47" t="inlineStr">
        <is>
          <t>Go to or text SCB to 500500 to get a free book, 2 free Audible Originals, and a 30 day free trial. Today Ben dives into the Marvel Cinematic Universe to answer the question: How Old is Captain America at the end of Endgame?? He’s been trapped in ice, pumped full of super soldier serum, time traveled, and spent who knows how long in the past! #SuperCarlinBrothers #Avengers #Marvel Edited by: Scott Niswander</t>
        </is>
      </c>
      <c r="V1766" s="47">
        <f>IF(AND(P1766&gt;=Calendar!$K$2,P1766&lt;EDATE(Calendar!$K$2,1),OR(Calendar!$K$4="*",N1766=Calendar!$K$4)),P1766*100+COUNTIFS($P$6:$P$3267,P1766,$Q$6:$Q$3267,"&lt;="&amp;Q1766,$N$6:$N$3267,Calendar!$K$4),"")</f>
        <v/>
      </c>
      <c r="W1766" s="47">
        <f>IF(AND(B1766=Queue!$C$4,OR(Queue!$K$4="*",N1766=Queue!$K$4)),Q1766,"")</f>
        <v/>
      </c>
    </row>
    <row r="1767">
      <c r="A1767" s="38">
        <f>IF(M1767="","",HYPERLINK("https://www.youtube.com/watch?v="&amp;M1767,"▶"))</f>
        <v/>
      </c>
      <c r="B1767" s="39">
        <f>IF(C1767&lt;&gt;"",C1767,IF(P1767&lt;=IFERROR(INDEX(tblChannels[Watched Through],MATCH(N1767,tblChannels[Channel ID],0)),0),"Watched","Unwatched"))</f>
        <v/>
      </c>
      <c r="C1767" s="40" t="n"/>
      <c r="D1767" s="41" t="n"/>
      <c r="E1767" s="42" t="n">
        <v>43719.41666666666</v>
      </c>
      <c r="F1767" s="52" t="inlineStr">
        <is>
          <t>Super Carlin Gaming</t>
        </is>
      </c>
      <c r="G1767" t="inlineStr">
        <is>
          <t>THE FINAL GYM BATTLE |  Pokémon X Nuzlocke #40</t>
        </is>
      </c>
      <c r="H1767" s="44" t="n">
        <v>0.02737268518518518</v>
      </c>
      <c r="I1767" s="45" t="n">
        <v>17005</v>
      </c>
      <c r="J1767" s="45" t="n">
        <v>542</v>
      </c>
      <c r="K1767" s="45" t="n">
        <v>157</v>
      </c>
      <c r="L1767" s="46" t="n"/>
      <c r="M1767" s="47" t="n"/>
      <c r="N1767" s="47" t="inlineStr">
        <is>
          <t>UCor_9jRnNNZVzTuQ92PKsaQ</t>
        </is>
      </c>
      <c r="O1767" s="48" t="n">
        <v>43719.58333333334</v>
      </c>
      <c r="P1767" s="49" t="n">
        <v>43719</v>
      </c>
      <c r="Q1767" s="47" t="n">
        <v>1501</v>
      </c>
      <c r="R1767" s="47" t="inlineStr">
        <is>
          <t>No Video ID yet</t>
        </is>
      </c>
      <c r="S1767" s="49" t="n"/>
      <c r="T1767" s="49" t="n"/>
      <c r="U1767" s="47" t="inlineStr">
        <is>
          <t>Today J and the team hunt down the walrus shaped gym ice type gym leader: WULFRIC, and then challenge him to a battle... TO THE DEATH! Not really.. unless one of our team member dies.. geez I hope that doesn't happen!</t>
        </is>
      </c>
      <c r="V1767" s="47">
        <f>IF(AND(P1767&gt;=Calendar!$K$2,P1767&lt;EDATE(Calendar!$K$2,1),OR(Calendar!$K$4="*",N1767=Calendar!$K$4)),P1767*100+COUNTIFS($P$6:$P$3267,P1767,$Q$6:$Q$3267,"&lt;="&amp;Q1767,$N$6:$N$3267,Calendar!$K$4),"")</f>
        <v/>
      </c>
      <c r="W1767" s="47">
        <f>IF(AND(B1767=Queue!$C$4,OR(Queue!$K$4="*",N1767=Queue!$K$4)),Q1767,"")</f>
        <v/>
      </c>
    </row>
    <row r="1768">
      <c r="A1768" s="38">
        <f>IF(M1768="","",HYPERLINK("https://www.youtube.com/watch?v="&amp;M1768,"▶"))</f>
        <v/>
      </c>
      <c r="B1768" s="39">
        <f>IF(C1768&lt;&gt;"",C1768,IF(P1768&lt;=IFERROR(INDEX(tblChannels[Watched Through],MATCH(N1768,tblChannels[Channel ID],0)),0),"Watched","Unwatched"))</f>
        <v/>
      </c>
      <c r="C1768" s="40" t="n"/>
      <c r="D1768" s="41" t="n"/>
      <c r="E1768" s="42" t="n">
        <v>43718.89027777778</v>
      </c>
      <c r="F1768" s="50" t="inlineStr">
        <is>
          <t>Super Carlin Brothers</t>
        </is>
      </c>
      <c r="G1768" t="inlineStr">
        <is>
          <t>How Much Did Nemo Cost The Dentist? | Pixar Theory</t>
        </is>
      </c>
      <c r="H1768" s="44" t="n">
        <v>0.008622685185185185</v>
      </c>
      <c r="I1768" s="45" t="n">
        <v>314791</v>
      </c>
      <c r="J1768" s="45" t="n">
        <v>10719</v>
      </c>
      <c r="K1768" s="45" t="n">
        <v>1972</v>
      </c>
      <c r="L1768" s="46" t="n"/>
      <c r="M1768" s="47" t="n"/>
      <c r="N1768" s="47" t="inlineStr">
        <is>
          <t>UCKZo4N0lVPccBkSiuyVh4yg</t>
        </is>
      </c>
      <c r="O1768" s="48" t="n">
        <v>43719.05694444444</v>
      </c>
      <c r="P1768" s="49" t="n">
        <v>43718</v>
      </c>
      <c r="Q1768" s="47" t="n">
        <v>1500</v>
      </c>
      <c r="R1768" s="47" t="inlineStr">
        <is>
          <t>No Video ID yet</t>
        </is>
      </c>
      <c r="S1768" s="49" t="n"/>
      <c r="T1768" s="49" t="n"/>
      <c r="U1768" s="47" t="inlineStr">
        <is>
          <t>SCB Annual Survey :: Today J dives into the great barrier reef and the world of Pixar’s Finding Nemo to try and determine if it was even possible for the Dentist to get Nemo to his tank, and how much he ultimately cost him #FindingNemo #SuperCarlinBrothers #PixarTheory</t>
        </is>
      </c>
      <c r="V1768" s="47">
        <f>IF(AND(P1768&gt;=Calendar!$K$2,P1768&lt;EDATE(Calendar!$K$2,1),OR(Calendar!$K$4="*",N1768=Calendar!$K$4)),P1768*100+COUNTIFS($P$6:$P$3267,P1768,$Q$6:$Q$3267,"&lt;="&amp;Q1768,$N$6:$N$3267,Calendar!$K$4),"")</f>
        <v/>
      </c>
      <c r="W1768" s="47">
        <f>IF(AND(B1768=Queue!$C$4,OR(Queue!$K$4="*",N1768=Queue!$K$4)),Q1768,"")</f>
        <v/>
      </c>
    </row>
    <row r="1769">
      <c r="A1769" s="38">
        <f>IF(M1769="","",HYPERLINK("https://www.youtube.com/watch?v="&amp;M1769,"▶"))</f>
        <v/>
      </c>
      <c r="B1769" s="39">
        <f>IF(C1769&lt;&gt;"",C1769,IF(P1769&lt;=IFERROR(INDEX(tblChannels[Watched Through],MATCH(N1769,tblChannels[Channel ID],0)),0),"Watched","Unwatched"))</f>
        <v/>
      </c>
      <c r="C1769" s="40" t="n"/>
      <c r="D1769" s="41" t="n"/>
      <c r="E1769" s="42" t="n">
        <v>43717.48333333333</v>
      </c>
      <c r="F1769" s="53" t="inlineStr">
        <is>
          <t>Jonathan Carlin</t>
        </is>
      </c>
      <c r="G1769" t="inlineStr">
        <is>
          <t>Technical Difficulties...</t>
        </is>
      </c>
      <c r="H1769" s="44" t="n">
        <v>0.003773148148148148</v>
      </c>
      <c r="I1769" s="45" t="n">
        <v>21883</v>
      </c>
      <c r="J1769" s="45" t="n">
        <v>1459</v>
      </c>
      <c r="K1769" s="45" t="n">
        <v>109</v>
      </c>
      <c r="L1769" s="46" t="n"/>
      <c r="M1769" s="47" t="n"/>
      <c r="N1769" s="47" t="inlineStr">
        <is>
          <t>UCYPKFe86e6nm4TVUYKLsFUQ</t>
        </is>
      </c>
      <c r="O1769" s="48" t="n">
        <v>43717.65</v>
      </c>
      <c r="P1769" s="49" t="n">
        <v>43717</v>
      </c>
      <c r="Q1769" s="47" t="n">
        <v>1499</v>
      </c>
      <c r="R1769" s="47" t="inlineStr">
        <is>
          <t>No Video ID yet</t>
        </is>
      </c>
      <c r="S1769" s="49" t="n"/>
      <c r="T1769" s="49" t="n"/>
      <c r="U1769" s="47" t="inlineStr">
        <is>
          <t>This week J and the team deal with technical difficulties at the office and Luke goes for a bike ride with Papa John.</t>
        </is>
      </c>
      <c r="V1769" s="47">
        <f>IF(AND(P1769&gt;=Calendar!$K$2,P1769&lt;EDATE(Calendar!$K$2,1),OR(Calendar!$K$4="*",N1769=Calendar!$K$4)),P1769*100+COUNTIFS($P$6:$P$3267,P1769,$Q$6:$Q$3267,"&lt;="&amp;Q1769,$N$6:$N$3267,Calendar!$K$4),"")</f>
        <v/>
      </c>
      <c r="W1769" s="47">
        <f>IF(AND(B1769=Queue!$C$4,OR(Queue!$K$4="*",N1769=Queue!$K$4)),Q1769,"")</f>
        <v/>
      </c>
    </row>
    <row r="1770">
      <c r="A1770" s="38">
        <f>IF(M1770="","",HYPERLINK("https://www.youtube.com/watch?v="&amp;M1770,"▶"))</f>
        <v/>
      </c>
      <c r="B1770" s="39">
        <f>IF(C1770&lt;&gt;"",C1770,IF(P1770&lt;=IFERROR(INDEX(tblChannels[Watched Through],MATCH(N1770,tblChannels[Channel ID],0)),0),"Watched","Unwatched"))</f>
        <v/>
      </c>
      <c r="C1770" s="40" t="n"/>
      <c r="D1770" s="41" t="n"/>
      <c r="E1770" s="42" t="n">
        <v>43714.41666666666</v>
      </c>
      <c r="F1770" s="52" t="inlineStr">
        <is>
          <t>Super Carlin Gaming</t>
        </is>
      </c>
      <c r="G1770" t="inlineStr">
        <is>
          <t>Hogwarts Founders Build Ravenclaw Tower in SIMS 4 | Episode #3</t>
        </is>
      </c>
      <c r="H1770" s="44" t="n">
        <v>0.02434027777777778</v>
      </c>
      <c r="I1770" s="45" t="n">
        <v>57498</v>
      </c>
      <c r="J1770" s="45" t="n">
        <v>2021</v>
      </c>
      <c r="K1770" s="45" t="n">
        <v>405</v>
      </c>
      <c r="L1770" s="46" t="n"/>
      <c r="M1770" s="47" t="n"/>
      <c r="N1770" s="47" t="inlineStr">
        <is>
          <t>UCor_9jRnNNZVzTuQ92PKsaQ</t>
        </is>
      </c>
      <c r="O1770" s="48" t="n">
        <v>43714.58333333334</v>
      </c>
      <c r="P1770" s="49" t="n">
        <v>43714</v>
      </c>
      <c r="Q1770" s="47" t="n">
        <v>1498</v>
      </c>
      <c r="R1770" s="47" t="inlineStr">
        <is>
          <t>No Video ID yet</t>
        </is>
      </c>
      <c r="S1770" s="49" t="n"/>
      <c r="T1770" s="49" t="n"/>
      <c r="U1770" s="47" t="inlineStr">
        <is>
          <t>J and Ben continue the founding of Hogwarts with Godric Gryffindor, Rowena Ravenclaw, Helga Hufflepuff and Salazar Slytherin! Today.. the begin construction of Ravenclaw tower.. including stairs.. something long believed to be IMPOSSIBLE in the Sims! #Sims4 #HarryPotter</t>
        </is>
      </c>
      <c r="V1770" s="47">
        <f>IF(AND(P1770&gt;=Calendar!$K$2,P1770&lt;EDATE(Calendar!$K$2,1),OR(Calendar!$K$4="*",N1770=Calendar!$K$4)),P1770*100+COUNTIFS($P$6:$P$3267,P1770,$Q$6:$Q$3267,"&lt;="&amp;Q1770,$N$6:$N$3267,Calendar!$K$4),"")</f>
        <v/>
      </c>
      <c r="W1770" s="47">
        <f>IF(AND(B1770=Queue!$C$4,OR(Queue!$K$4="*",N1770=Queue!$K$4)),Q1770,"")</f>
        <v/>
      </c>
    </row>
    <row r="1771">
      <c r="A1771" s="38">
        <f>IF(M1771="","",HYPERLINK("https://www.youtube.com/watch?v="&amp;M1771,"▶"))</f>
        <v/>
      </c>
      <c r="B1771" s="39">
        <f>IF(C1771&lt;&gt;"",C1771,IF(P1771&lt;=IFERROR(INDEX(tblChannels[Watched Through],MATCH(N1771,tblChannels[Channel ID],0)),0),"Watched","Unwatched"))</f>
        <v/>
      </c>
      <c r="C1771" s="40" t="n"/>
      <c r="D1771" s="41" t="n"/>
      <c r="E1771" s="42" t="n">
        <v>43713.91180555556</v>
      </c>
      <c r="F1771" s="50" t="inlineStr">
        <is>
          <t>Super Carlin Brothers</t>
        </is>
      </c>
      <c r="G1771" t="inlineStr">
        <is>
          <t>Voldemort’s Grandmother REVEALED | Harry Potter Theory</t>
        </is>
      </c>
      <c r="H1771" s="44" t="n">
        <v>0.01049768518518518</v>
      </c>
      <c r="I1771" s="45" t="n">
        <v>814935</v>
      </c>
      <c r="J1771" s="45" t="n">
        <v>23388</v>
      </c>
      <c r="K1771" s="45" t="n">
        <v>2741</v>
      </c>
      <c r="L1771" s="46" t="n"/>
      <c r="M1771" s="47" t="n"/>
      <c r="N1771" s="47" t="inlineStr">
        <is>
          <t>UCKZo4N0lVPccBkSiuyVh4yg</t>
        </is>
      </c>
      <c r="O1771" s="48" t="n">
        <v>43714.07847222222</v>
      </c>
      <c r="P1771" s="49" t="n">
        <v>43713</v>
      </c>
      <c r="Q1771" s="47" t="n">
        <v>1497</v>
      </c>
      <c r="R1771" s="47" t="inlineStr">
        <is>
          <t>No Video ID yet</t>
        </is>
      </c>
      <c r="S1771" s="49" t="n"/>
      <c r="T1771" s="49" t="n"/>
      <c r="U1771" s="47" t="inlineStr">
        <is>
          <t>SCB Annual Survey :: Today Ben dives into the Wizarding World of Harry Potter to try and answer an age old mystery about the identity of Voldemort’s Grandmother aka #Nanamort - Could she have been involved in the creation of one of his Horcruxes??? #HarryPotter #SuperCarlinBrothers #HarryPotterTheory Edited by: Scott Niswander</t>
        </is>
      </c>
      <c r="V1771" s="47">
        <f>IF(AND(P1771&gt;=Calendar!$K$2,P1771&lt;EDATE(Calendar!$K$2,1),OR(Calendar!$K$4="*",N1771=Calendar!$K$4)),P1771*100+COUNTIFS($P$6:$P$3267,P1771,$Q$6:$Q$3267,"&lt;="&amp;Q1771,$N$6:$N$3267,Calendar!$K$4),"")</f>
        <v/>
      </c>
      <c r="W1771" s="47">
        <f>IF(AND(B1771=Queue!$C$4,OR(Queue!$K$4="*",N1771=Queue!$K$4)),Q1771,"")</f>
        <v/>
      </c>
    </row>
    <row r="1772">
      <c r="A1772" s="38">
        <f>IF(M1772="","",HYPERLINK("https://www.youtube.com/watch?v="&amp;M1772,"▶"))</f>
        <v/>
      </c>
      <c r="B1772" s="39">
        <f>IF(C1772&lt;&gt;"",C1772,IF(P1772&lt;=IFERROR(INDEX(tblChannels[Watched Through],MATCH(N1772,tblChannels[Channel ID],0)),0),"Watched","Unwatched"))</f>
        <v/>
      </c>
      <c r="C1772" s="40" t="n"/>
      <c r="D1772" s="41" t="n"/>
      <c r="E1772" s="42" t="n">
        <v>43712.49930555555</v>
      </c>
      <c r="F1772" s="52" t="inlineStr">
        <is>
          <t>Super Carlin Gaming</t>
        </is>
      </c>
      <c r="G1772" t="inlineStr">
        <is>
          <t>THE BRIDGE OF BATTLES |  Pokémon X Nuzlocke #39</t>
        </is>
      </c>
      <c r="H1772" s="44" t="n">
        <v>0.01841435185185185</v>
      </c>
      <c r="I1772" s="45" t="n">
        <v>15287</v>
      </c>
      <c r="J1772" s="45" t="n">
        <v>534</v>
      </c>
      <c r="K1772" s="45" t="n">
        <v>126</v>
      </c>
      <c r="L1772" s="46" t="n"/>
      <c r="M1772" s="47" t="n"/>
      <c r="N1772" s="47" t="inlineStr">
        <is>
          <t>UCor_9jRnNNZVzTuQ92PKsaQ</t>
        </is>
      </c>
      <c r="O1772" s="48" t="n">
        <v>43712.66597222222</v>
      </c>
      <c r="P1772" s="49" t="n">
        <v>43712</v>
      </c>
      <c r="Q1772" s="47" t="n">
        <v>1496</v>
      </c>
      <c r="R1772" s="47" t="inlineStr">
        <is>
          <t>No Video ID yet</t>
        </is>
      </c>
      <c r="S1772" s="49" t="n"/>
      <c r="T1772" s="49" t="n"/>
      <c r="U1772" s="47" t="inlineStr">
        <is>
          <t>Today J and the team head towards their 8th gym badge but are unceremoniously interrupted by a wild hoard of RIVAL BATTLES! Can the team survive this impromptu attack?? #Pokemon #Nuzlocke</t>
        </is>
      </c>
      <c r="V1772" s="47">
        <f>IF(AND(P1772&gt;=Calendar!$K$2,P1772&lt;EDATE(Calendar!$K$2,1),OR(Calendar!$K$4="*",N1772=Calendar!$K$4)),P1772*100+COUNTIFS($P$6:$P$3267,P1772,$Q$6:$Q$3267,"&lt;="&amp;Q1772,$N$6:$N$3267,Calendar!$K$4),"")</f>
        <v/>
      </c>
      <c r="W1772" s="47">
        <f>IF(AND(B1772=Queue!$C$4,OR(Queue!$K$4="*",N1772=Queue!$K$4)),Q1772,"")</f>
        <v/>
      </c>
    </row>
    <row r="1773">
      <c r="A1773" s="38">
        <f>IF(M1773="","",HYPERLINK("https://www.youtube.com/watch?v="&amp;M1773,"▶"))</f>
        <v/>
      </c>
      <c r="B1773" s="39">
        <f>IF(C1773&lt;&gt;"",C1773,IF(P1773&lt;=IFERROR(INDEX(tblChannels[Watched Through],MATCH(N1773,tblChannels[Channel ID],0)),0),"Watched","Unwatched"))</f>
        <v/>
      </c>
      <c r="C1773" s="40" t="n"/>
      <c r="D1773" s="41" t="n"/>
      <c r="E1773" s="42" t="n">
        <v>43711.78958333333</v>
      </c>
      <c r="F1773" s="50" t="inlineStr">
        <is>
          <t>Super Carlin Brothers</t>
        </is>
      </c>
      <c r="G1773" t="inlineStr">
        <is>
          <t>Is Hagrid Secretly A Millionaire!? | Harry Potter Theory</t>
        </is>
      </c>
      <c r="H1773" s="44" t="n">
        <v>0.009548611111111112</v>
      </c>
      <c r="I1773" s="45" t="n">
        <v>1296695</v>
      </c>
      <c r="J1773" s="45" t="n">
        <v>35258</v>
      </c>
      <c r="K1773" s="45" t="n">
        <v>3816</v>
      </c>
      <c r="L1773" s="46" t="n"/>
      <c r="M1773" s="47" t="n"/>
      <c r="N1773" s="47" t="inlineStr">
        <is>
          <t>UCKZo4N0lVPccBkSiuyVh4yg</t>
        </is>
      </c>
      <c r="O1773" s="48" t="n">
        <v>43711.95625</v>
      </c>
      <c r="P1773" s="49" t="n">
        <v>43711</v>
      </c>
      <c r="Q1773" s="47" t="n">
        <v>1495</v>
      </c>
      <c r="R1773" s="47" t="inlineStr">
        <is>
          <t>No Video ID yet</t>
        </is>
      </c>
      <c r="S1773" s="49" t="n"/>
      <c r="T1773" s="49" t="n"/>
      <c r="U1773" s="47" t="inlineStr">
        <is>
          <t>Today J dives into the wizarding world of Harry Potter to try and determine if Hagrid, the humble keeper of keys and grounds at Hogwarts School of Witchcraft and Wizardry is actually.. a Millionaire. #Swagrid #HarryPotter #SuperCarlinBrothers Edited by: J Carlin Swagrid by: Scott Niswander</t>
        </is>
      </c>
      <c r="V1773" s="47">
        <f>IF(AND(P1773&gt;=Calendar!$K$2,P1773&lt;EDATE(Calendar!$K$2,1),OR(Calendar!$K$4="*",N1773=Calendar!$K$4)),P1773*100+COUNTIFS($P$6:$P$3267,P1773,$Q$6:$Q$3267,"&lt;="&amp;Q1773,$N$6:$N$3267,Calendar!$K$4),"")</f>
        <v/>
      </c>
      <c r="W1773" s="47">
        <f>IF(AND(B1773=Queue!$C$4,OR(Queue!$K$4="*",N1773=Queue!$K$4)),Q1773,"")</f>
        <v/>
      </c>
    </row>
    <row r="1774">
      <c r="A1774" s="38">
        <f>IF(M1774="","",HYPERLINK("https://www.youtube.com/watch?v="&amp;M1774,"▶"))</f>
        <v/>
      </c>
      <c r="B1774" s="39">
        <f>IF(C1774&lt;&gt;"",C1774,IF(P1774&lt;=IFERROR(INDEX(tblChannels[Watched Through],MATCH(N1774,tblChannels[Channel ID],0)),0),"Watched","Unwatched"))</f>
        <v/>
      </c>
      <c r="C1774" s="40" t="n"/>
      <c r="D1774" s="41" t="n"/>
      <c r="E1774" s="42" t="n">
        <v>43707.41666666666</v>
      </c>
      <c r="F1774" s="52" t="inlineStr">
        <is>
          <t>Super Carlin Gaming</t>
        </is>
      </c>
      <c r="G1774" t="inlineStr">
        <is>
          <t>Hogwarts Founders Build the Common Rooms in SIMS 4 | Episode 2</t>
        </is>
      </c>
      <c r="H1774" s="44" t="n">
        <v>0.03998842592592593</v>
      </c>
      <c r="I1774" s="45" t="n">
        <v>83444</v>
      </c>
      <c r="J1774" s="45" t="n">
        <v>2572</v>
      </c>
      <c r="K1774" s="45" t="n">
        <v>530</v>
      </c>
      <c r="L1774" s="46" t="n"/>
      <c r="M1774" s="47" t="n"/>
      <c r="N1774" s="47" t="inlineStr">
        <is>
          <t>UCor_9jRnNNZVzTuQ92PKsaQ</t>
        </is>
      </c>
      <c r="O1774" s="48" t="n">
        <v>43707.58333333334</v>
      </c>
      <c r="P1774" s="49" t="n">
        <v>43707</v>
      </c>
      <c r="Q1774" s="47" t="n">
        <v>1494</v>
      </c>
      <c r="R1774" s="47" t="inlineStr">
        <is>
          <t>No Video ID yet</t>
        </is>
      </c>
      <c r="S1774" s="49" t="n"/>
      <c r="T1774" s="49" t="n"/>
      <c r="U1774" s="47" t="inlineStr">
        <is>
          <t>J and Ben continue the founding of Hogwarts with Godric Gryffindor, Rowena Ravenclaw, Helga Hufflepuff and Salazar Slytherin! Today they lay the foundations for a castle, get jobs and build an outhouse!</t>
        </is>
      </c>
      <c r="V1774" s="47">
        <f>IF(AND(P1774&gt;=Calendar!$K$2,P1774&lt;EDATE(Calendar!$K$2,1),OR(Calendar!$K$4="*",N1774=Calendar!$K$4)),P1774*100+COUNTIFS($P$6:$P$3267,P1774,$Q$6:$Q$3267,"&lt;="&amp;Q1774,$N$6:$N$3267,Calendar!$K$4),"")</f>
        <v/>
      </c>
      <c r="W1774" s="47">
        <f>IF(AND(B1774=Queue!$C$4,OR(Queue!$K$4="*",N1774=Queue!$K$4)),Q1774,"")</f>
        <v/>
      </c>
    </row>
    <row r="1775">
      <c r="A1775" s="38">
        <f>IF(M1775="","",HYPERLINK("https://www.youtube.com/watch?v="&amp;M1775,"▶"))</f>
        <v/>
      </c>
      <c r="B1775" s="39">
        <f>IF(C1775&lt;&gt;"",C1775,IF(P1775&lt;=IFERROR(INDEX(tblChannels[Watched Through],MATCH(N1775,tblChannels[Channel ID],0)),0),"Watched","Unwatched"))</f>
        <v/>
      </c>
      <c r="C1775" s="40" t="n"/>
      <c r="D1775" s="41" t="n"/>
      <c r="E1775" s="42" t="n">
        <v>43706.70972222222</v>
      </c>
      <c r="F1775" s="50" t="inlineStr">
        <is>
          <t>Super Carlin Brothers</t>
        </is>
      </c>
      <c r="G1775" t="inlineStr">
        <is>
          <t>J vs Ben: INSANE Harry Potter Trivia Quiz</t>
        </is>
      </c>
      <c r="H1775" s="44" t="n">
        <v>0.02180555555555556</v>
      </c>
      <c r="I1775" s="45" t="n">
        <v>821706</v>
      </c>
      <c r="J1775" s="45" t="n">
        <v>16837</v>
      </c>
      <c r="K1775" s="45" t="n">
        <v>2711</v>
      </c>
      <c r="L1775" s="46" t="n"/>
      <c r="M1775" s="47" t="n"/>
      <c r="N1775" s="47" t="inlineStr">
        <is>
          <t>UCKZo4N0lVPccBkSiuyVh4yg</t>
        </is>
      </c>
      <c r="O1775" s="48" t="n">
        <v>43706.87638888889</v>
      </c>
      <c r="P1775" s="49" t="n">
        <v>43706</v>
      </c>
      <c r="Q1775" s="47" t="n">
        <v>1493</v>
      </c>
      <c r="R1775" s="47" t="inlineStr">
        <is>
          <t>No Video ID yet</t>
        </is>
      </c>
      <c r="S1775" s="49" t="n"/>
      <c r="T1775" s="49" t="n"/>
      <c r="U1775" s="47" t="inlineStr">
        <is>
          <t>Today J and Ben face off in the hardest Harry Potter trivia quiz they have ever seen, seriously if you get more than 5 of these correct you are indeed a genius! #JvsBen #SuperCarlinBrothers Edited by: J Carlin Tea Edited by: Scott Niswander</t>
        </is>
      </c>
      <c r="V1775" s="47">
        <f>IF(AND(P1775&gt;=Calendar!$K$2,P1775&lt;EDATE(Calendar!$K$2,1),OR(Calendar!$K$4="*",N1775=Calendar!$K$4)),P1775*100+COUNTIFS($P$6:$P$3267,P1775,$Q$6:$Q$3267,"&lt;="&amp;Q1775,$N$6:$N$3267,Calendar!$K$4),"")</f>
        <v/>
      </c>
      <c r="W1775" s="47">
        <f>IF(AND(B1775=Queue!$C$4,OR(Queue!$K$4="*",N1775=Queue!$K$4)),Q1775,"")</f>
        <v/>
      </c>
    </row>
    <row r="1776">
      <c r="A1776" s="38">
        <f>IF(M1776="","",HYPERLINK("https://www.youtube.com/watch?v="&amp;M1776,"▶"))</f>
        <v/>
      </c>
      <c r="B1776" s="39">
        <f>IF(C1776&lt;&gt;"",C1776,IF(P1776&lt;=IFERROR(INDEX(tblChannels[Watched Through],MATCH(N1776,tblChannels[Channel ID],0)),0),"Watched","Unwatched"))</f>
        <v/>
      </c>
      <c r="C1776" s="40" t="n"/>
      <c r="D1776" s="41" t="n"/>
      <c r="E1776" s="42" t="n">
        <v>43705.49236111111</v>
      </c>
      <c r="F1776" s="52" t="inlineStr">
        <is>
          <t>Super Carlin Gaming</t>
        </is>
      </c>
      <c r="G1776" t="inlineStr">
        <is>
          <t>Sycamore's Startling Surprise! |  Pokémon X Nuzlocke #38</t>
        </is>
      </c>
      <c r="H1776" s="44" t="n">
        <v>0.02333333333333333</v>
      </c>
      <c r="I1776" s="45" t="n">
        <v>17376</v>
      </c>
      <c r="J1776" s="45" t="n">
        <v>538</v>
      </c>
      <c r="K1776" s="45" t="n">
        <v>119</v>
      </c>
      <c r="L1776" s="46" t="n"/>
      <c r="M1776" s="47" t="n"/>
      <c r="N1776" s="47" t="inlineStr">
        <is>
          <t>UCor_9jRnNNZVzTuQ92PKsaQ</t>
        </is>
      </c>
      <c r="O1776" s="48" t="n">
        <v>43705.65902777778</v>
      </c>
      <c r="P1776" s="49" t="n">
        <v>43705</v>
      </c>
      <c r="Q1776" s="47" t="n">
        <v>1492</v>
      </c>
      <c r="R1776" s="47" t="inlineStr">
        <is>
          <t>No Video ID yet</t>
        </is>
      </c>
      <c r="S1776" s="49" t="n"/>
      <c r="T1776" s="49" t="n"/>
      <c r="U1776" s="47" t="inlineStr">
        <is>
          <t>Today J and the team welcome Daven the Xerneas to the team and continue along the route to the next gym before being surprised by the freak appearance of Professor Sycamore!</t>
        </is>
      </c>
      <c r="V1776" s="47">
        <f>IF(AND(P1776&gt;=Calendar!$K$2,P1776&lt;EDATE(Calendar!$K$2,1),OR(Calendar!$K$4="*",N1776=Calendar!$K$4)),P1776*100+COUNTIFS($P$6:$P$3267,P1776,$Q$6:$Q$3267,"&lt;="&amp;Q1776,$N$6:$N$3267,Calendar!$K$4),"")</f>
        <v/>
      </c>
      <c r="W1776" s="47">
        <f>IF(AND(B1776=Queue!$C$4,OR(Queue!$K$4="*",N1776=Queue!$K$4)),Q1776,"")</f>
        <v/>
      </c>
    </row>
    <row r="1777">
      <c r="A1777" s="38">
        <f>IF(M1777="","",HYPERLINK("https://www.youtube.com/watch?v="&amp;M1777,"▶"))</f>
        <v/>
      </c>
      <c r="B1777" s="39">
        <f>IF(C1777&lt;&gt;"",C1777,IF(P1777&lt;=IFERROR(INDEX(tblChannels[Watched Through],MATCH(N1777,tblChannels[Channel ID],0)),0),"Watched","Unwatched"))</f>
        <v/>
      </c>
      <c r="C1777" s="40" t="n"/>
      <c r="D1777" s="41" t="n"/>
      <c r="E1777" s="42" t="n">
        <v>43704.86666666667</v>
      </c>
      <c r="F1777" s="50" t="inlineStr">
        <is>
          <t>Super Carlin Brothers</t>
        </is>
      </c>
      <c r="G1777" t="inlineStr">
        <is>
          <t>STAR WARS Dark Rey Explained | Episode 9 The Rise of Skywalker</t>
        </is>
      </c>
      <c r="H1777" s="44" t="n">
        <v>0.009918981481481482</v>
      </c>
      <c r="I1777" s="45" t="n">
        <v>378967</v>
      </c>
      <c r="J1777" s="45" t="n">
        <v>12258</v>
      </c>
      <c r="K1777" s="45" t="n">
        <v>1986</v>
      </c>
      <c r="L1777" s="46" t="n"/>
      <c r="M1777" s="47" t="n"/>
      <c r="N1777" s="47" t="inlineStr">
        <is>
          <t>UCKZo4N0lVPccBkSiuyVh4yg</t>
        </is>
      </c>
      <c r="O1777" s="48" t="n">
        <v>43705.03333333333</v>
      </c>
      <c r="P1777" s="49" t="n">
        <v>43704</v>
      </c>
      <c r="Q1777" s="47" t="n">
        <v>1491</v>
      </c>
      <c r="R1777" s="47" t="inlineStr">
        <is>
          <t>No Video ID yet</t>
        </is>
      </c>
      <c r="S1777" s="49" t="n"/>
      <c r="T1777" s="49" t="n"/>
      <c r="U1777" s="47" t="inlineStr">
        <is>
          <t>Today J dives into the Star Wars galaxy to discuss the latest trailer from D23 regarding Star Wars Episode 9 the Rise of Skywalker and the reveal of Dark Rey! Will Rey turn evil? Does she have a dark clone? A Twin!? Edited by: Scott Niswander</t>
        </is>
      </c>
      <c r="V1777" s="47">
        <f>IF(AND(P1777&gt;=Calendar!$K$2,P1777&lt;EDATE(Calendar!$K$2,1),OR(Calendar!$K$4="*",N1777=Calendar!$K$4)),P1777*100+COUNTIFS($P$6:$P$3267,P1777,$Q$6:$Q$3267,"&lt;="&amp;Q1777,$N$6:$N$3267,Calendar!$K$4),"")</f>
        <v/>
      </c>
      <c r="W1777" s="47">
        <f>IF(AND(B1777=Queue!$C$4,OR(Queue!$K$4="*",N1777=Queue!$K$4)),Q1777,"")</f>
        <v/>
      </c>
    </row>
    <row r="1778">
      <c r="A1778" s="38">
        <f>IF(M1778="","",HYPERLINK("https://www.youtube.com/watch?v="&amp;M1778,"▶"))</f>
        <v/>
      </c>
      <c r="B1778" s="39">
        <f>IF(C1778&lt;&gt;"",C1778,IF(P1778&lt;=IFERROR(INDEX(tblChannels[Watched Through],MATCH(N1778,tblChannels[Channel ID],0)),0),"Watched","Unwatched"))</f>
        <v/>
      </c>
      <c r="C1778" s="40" t="n"/>
      <c r="D1778" s="41" t="n"/>
      <c r="E1778" s="42" t="n">
        <v>43704.57152777778</v>
      </c>
      <c r="F1778" s="53" t="inlineStr">
        <is>
          <t>Jonathan Carlin</t>
        </is>
      </c>
      <c r="G1778" t="inlineStr">
        <is>
          <t>TOUCH A TRUCK RETURNS!</t>
        </is>
      </c>
      <c r="H1778" s="44" t="n">
        <v>0.004675925925925926</v>
      </c>
      <c r="I1778" s="45" t="n">
        <v>17968</v>
      </c>
      <c r="J1778" s="45" t="n">
        <v>1130</v>
      </c>
      <c r="K1778" s="45" t="n">
        <v>76</v>
      </c>
      <c r="L1778" s="46" t="n"/>
      <c r="M1778" s="47" t="n"/>
      <c r="N1778" s="47" t="inlineStr">
        <is>
          <t>UCYPKFe86e6nm4TVUYKLsFUQ</t>
        </is>
      </c>
      <c r="O1778" s="48" t="n">
        <v>43704.73819444444</v>
      </c>
      <c r="P1778" s="49" t="n">
        <v>43704</v>
      </c>
      <c r="Q1778" s="47" t="n">
        <v>1490</v>
      </c>
      <c r="R1778" s="47" t="inlineStr">
        <is>
          <t>No Video ID yet</t>
        </is>
      </c>
      <c r="S1778" s="49" t="n"/>
      <c r="T1778" s="49" t="n"/>
      <c r="U1778" s="47" t="inlineStr">
        <is>
          <t>J and the SCB team finally get a break from work and Luke touches ALL of the trucks!</t>
        </is>
      </c>
      <c r="V1778" s="47">
        <f>IF(AND(P1778&gt;=Calendar!$K$2,P1778&lt;EDATE(Calendar!$K$2,1),OR(Calendar!$K$4="*",N1778=Calendar!$K$4)),P1778*100+COUNTIFS($P$6:$P$3267,P1778,$Q$6:$Q$3267,"&lt;="&amp;Q1778,$N$6:$N$3267,Calendar!$K$4),"")</f>
        <v/>
      </c>
      <c r="W1778" s="47">
        <f>IF(AND(B1778=Queue!$C$4,OR(Queue!$K$4="*",N1778=Queue!$K$4)),Q1778,"")</f>
        <v/>
      </c>
    </row>
    <row r="1779">
      <c r="A1779" s="38">
        <f>IF(M1779="","",HYPERLINK("https://www.youtube.com/watch?v="&amp;M1779,"▶"))</f>
        <v/>
      </c>
      <c r="B1779" s="39">
        <f>IF(C1779&lt;&gt;"",C1779,IF(P1779&lt;=IFERROR(INDEX(tblChannels[Watched Through],MATCH(N1779,tblChannels[Channel ID],0)),0),"Watched","Unwatched"))</f>
        <v/>
      </c>
      <c r="C1779" s="40" t="n"/>
      <c r="D1779" s="41" t="n"/>
      <c r="E1779" s="42" t="n">
        <v>43700.45763888889</v>
      </c>
      <c r="F1779" s="52" t="inlineStr">
        <is>
          <t>Super Carlin Gaming</t>
        </is>
      </c>
      <c r="G1779" t="inlineStr">
        <is>
          <t>Hogwarts Founders GET CREATED in SIMS 4 | Episode 1</t>
        </is>
      </c>
      <c r="H1779" s="44" t="n">
        <v>0.02697916666666667</v>
      </c>
      <c r="I1779" s="45" t="n">
        <v>136742</v>
      </c>
      <c r="J1779" s="45" t="n">
        <v>4672</v>
      </c>
      <c r="K1779" s="45" t="n">
        <v>658</v>
      </c>
      <c r="L1779" s="46" t="n"/>
      <c r="M1779" s="47" t="n"/>
      <c r="N1779" s="47" t="inlineStr">
        <is>
          <t>UCor_9jRnNNZVzTuQ92PKsaQ</t>
        </is>
      </c>
      <c r="O1779" s="48" t="n">
        <v>43700.62430555555</v>
      </c>
      <c r="P1779" s="49" t="n">
        <v>43700</v>
      </c>
      <c r="Q1779" s="47" t="n">
        <v>1489</v>
      </c>
      <c r="R1779" s="47" t="inlineStr">
        <is>
          <t>No Video ID yet</t>
        </is>
      </c>
      <c r="S1779" s="49" t="n"/>
      <c r="T1779" s="49" t="n"/>
      <c r="U1779" s="47" t="inlineStr">
        <is>
          <t>J and Ben embark on a new Sims 4 Adventure where they create the 4 founders of Hogwarts School of Witchcraft and Wizardry and see what happens!</t>
        </is>
      </c>
      <c r="V1779" s="47">
        <f>IF(AND(P1779&gt;=Calendar!$K$2,P1779&lt;EDATE(Calendar!$K$2,1),OR(Calendar!$K$4="*",N1779=Calendar!$K$4)),P1779*100+COUNTIFS($P$6:$P$3267,P1779,$Q$6:$Q$3267,"&lt;="&amp;Q1779,$N$6:$N$3267,Calendar!$K$4),"")</f>
        <v/>
      </c>
      <c r="W1779" s="47">
        <f>IF(AND(B1779=Queue!$C$4,OR(Queue!$K$4="*",N1779=Queue!$K$4)),Q1779,"")</f>
        <v/>
      </c>
    </row>
    <row r="1780">
      <c r="A1780" s="38">
        <f>IF(M1780="","",HYPERLINK("https://www.youtube.com/watch?v="&amp;M1780,"▶"))</f>
        <v/>
      </c>
      <c r="B1780" s="39">
        <f>IF(C1780&lt;&gt;"",C1780,IF(P1780&lt;=IFERROR(INDEX(tblChannels[Watched Through],MATCH(N1780,tblChannels[Channel ID],0)),0),"Watched","Unwatched"))</f>
        <v/>
      </c>
      <c r="C1780" s="40" t="n"/>
      <c r="D1780" s="41" t="n"/>
      <c r="E1780" s="42" t="n">
        <v>43699.83888888889</v>
      </c>
      <c r="F1780" s="50" t="inlineStr">
        <is>
          <t>Super Carlin Brothers</t>
        </is>
      </c>
      <c r="G1780" t="inlineStr">
        <is>
          <t>Marvel Theory: Was Cap Always Worthy To Lift Mjolnir? | Avengers Endgame</t>
        </is>
      </c>
      <c r="H1780" s="44" t="n">
        <v>0.009131944444444444</v>
      </c>
      <c r="I1780" s="45" t="n">
        <v>339377</v>
      </c>
      <c r="J1780" s="45" t="n">
        <v>14886</v>
      </c>
      <c r="K1780" s="45" t="n">
        <v>1964</v>
      </c>
      <c r="L1780" s="46" t="n"/>
      <c r="M1780" s="47" t="n"/>
      <c r="N1780" s="47" t="inlineStr">
        <is>
          <t>UCKZo4N0lVPccBkSiuyVh4yg</t>
        </is>
      </c>
      <c r="O1780" s="48" t="n">
        <v>43700.00555555556</v>
      </c>
      <c r="P1780" s="49" t="n">
        <v>43699</v>
      </c>
      <c r="Q1780" s="47" t="n">
        <v>1488</v>
      </c>
      <c r="R1780" s="47" t="inlineStr">
        <is>
          <t>No Video ID yet</t>
        </is>
      </c>
      <c r="S1780" s="49" t="n"/>
      <c r="T1780" s="49" t="n"/>
      <c r="U1780" s="47" t="inlineStr">
        <is>
          <t>Today Ben dives into the Marvel Cinematic Universe to try and answer a question that has been plaguing the fandom since Age of Ultron - Was Captain America ALWAYS worthy enough to wield Mjolnir? Or was his guilt over not telling Tony the truth about his parents holding him back? Edited by: Scott Niswander</t>
        </is>
      </c>
      <c r="V1780" s="47">
        <f>IF(AND(P1780&gt;=Calendar!$K$2,P1780&lt;EDATE(Calendar!$K$2,1),OR(Calendar!$K$4="*",N1780=Calendar!$K$4)),P1780*100+COUNTIFS($P$6:$P$3267,P1780,$Q$6:$Q$3267,"&lt;="&amp;Q1780,$N$6:$N$3267,Calendar!$K$4),"")</f>
        <v/>
      </c>
      <c r="W1780" s="47">
        <f>IF(AND(B1780=Queue!$C$4,OR(Queue!$K$4="*",N1780=Queue!$K$4)),Q1780,"")</f>
        <v/>
      </c>
    </row>
    <row r="1781">
      <c r="A1781" s="38">
        <f>IF(M1781="","",HYPERLINK("https://www.youtube.com/watch?v="&amp;M1781,"▶"))</f>
        <v/>
      </c>
      <c r="B1781" s="39">
        <f>IF(C1781&lt;&gt;"",C1781,IF(P1781&lt;=IFERROR(INDEX(tblChannels[Watched Through],MATCH(N1781,tblChannels[Channel ID],0)),0),"Watched","Unwatched"))</f>
        <v/>
      </c>
      <c r="C1781" s="40" t="n"/>
      <c r="D1781" s="41" t="n"/>
      <c r="E1781" s="42" t="n">
        <v>43699.40625</v>
      </c>
      <c r="F1781" s="52" t="inlineStr">
        <is>
          <t>Super Carlin Gaming</t>
        </is>
      </c>
      <c r="G1781" t="inlineStr">
        <is>
          <t>LYSANDRE FINAL BATTLE |  Pokémon X Nuzlocke #37</t>
        </is>
      </c>
      <c r="H1781" s="44" t="n">
        <v>0.02465277777777778</v>
      </c>
      <c r="I1781" s="45" t="n">
        <v>17552</v>
      </c>
      <c r="J1781" s="45" t="n">
        <v>596</v>
      </c>
      <c r="K1781" s="45" t="n">
        <v>101</v>
      </c>
      <c r="L1781" s="46" t="n"/>
      <c r="M1781" s="47" t="n"/>
      <c r="N1781" s="47" t="inlineStr">
        <is>
          <t>UCor_9jRnNNZVzTuQ92PKsaQ</t>
        </is>
      </c>
      <c r="O1781" s="48" t="n">
        <v>43699.57291666666</v>
      </c>
      <c r="P1781" s="49" t="n">
        <v>43699</v>
      </c>
      <c r="Q1781" s="47" t="n">
        <v>1487</v>
      </c>
      <c r="R1781" s="47" t="inlineStr">
        <is>
          <t>No Video ID yet</t>
        </is>
      </c>
      <c r="S1781" s="49" t="n"/>
      <c r="T1781" s="49" t="n"/>
      <c r="U1781" s="47" t="inlineStr">
        <is>
          <t>J and the team take on Lysandre for the final time and try to catch the Legendary Pokemon Xerneas! (also sorry there is no game audio... didnt discover the issue til it was to late please enjoy the early morning sound of my voice as best you can!)</t>
        </is>
      </c>
      <c r="V1781" s="47">
        <f>IF(AND(P1781&gt;=Calendar!$K$2,P1781&lt;EDATE(Calendar!$K$2,1),OR(Calendar!$K$4="*",N1781=Calendar!$K$4)),P1781*100+COUNTIFS($P$6:$P$3267,P1781,$Q$6:$Q$3267,"&lt;="&amp;Q1781,$N$6:$N$3267,Calendar!$K$4),"")</f>
        <v/>
      </c>
      <c r="W1781" s="47">
        <f>IF(AND(B1781=Queue!$C$4,OR(Queue!$K$4="*",N1781=Queue!$K$4)),Q1781,"")</f>
        <v/>
      </c>
    </row>
    <row r="1782">
      <c r="A1782" s="38">
        <f>IF(M1782="","",HYPERLINK("https://www.youtube.com/watch?v="&amp;M1782,"▶"))</f>
        <v/>
      </c>
      <c r="B1782" s="39">
        <f>IF(C1782&lt;&gt;"",C1782,IF(P1782&lt;=IFERROR(INDEX(tblChannels[Watched Through],MATCH(N1782,tblChannels[Channel ID],0)),0),"Watched","Unwatched"))</f>
        <v/>
      </c>
      <c r="C1782" s="40" t="n"/>
      <c r="D1782" s="41" t="n"/>
      <c r="E1782" s="42" t="n">
        <v>43697.80208333334</v>
      </c>
      <c r="F1782" s="50" t="inlineStr">
        <is>
          <t>Super Carlin Brothers</t>
        </is>
      </c>
      <c r="G1782" t="inlineStr">
        <is>
          <t>Why Did Fawkes’s Feather Choose Voldemort? | Harry Potter Theory</t>
        </is>
      </c>
      <c r="H1782" s="44" t="n">
        <v>0.007650462962962963</v>
      </c>
      <c r="I1782" s="45" t="n">
        <v>1325876</v>
      </c>
      <c r="J1782" s="45" t="n">
        <v>35349</v>
      </c>
      <c r="K1782" s="45" t="n">
        <v>4145</v>
      </c>
      <c r="L1782" s="46" t="n"/>
      <c r="M1782" s="47" t="n"/>
      <c r="N1782" s="47" t="inlineStr">
        <is>
          <t>UCKZo4N0lVPccBkSiuyVh4yg</t>
        </is>
      </c>
      <c r="O1782" s="48" t="n">
        <v>43697.96875</v>
      </c>
      <c r="P1782" s="49" t="n">
        <v>43697</v>
      </c>
      <c r="Q1782" s="47" t="n">
        <v>1486</v>
      </c>
      <c r="R1782" s="47" t="inlineStr">
        <is>
          <t>No Video ID yet</t>
        </is>
      </c>
      <c r="S1782" s="49" t="n"/>
      <c r="T1782" s="49" t="n"/>
      <c r="U1782" s="47" t="inlineStr">
        <is>
          <t>Today J dives into the Wizarding World of Harry Potter to try and determine why it's important that the tail feather in Harry and Voldemort’s wands came from Fawkes, and why Fawkes’ feather chose Voldemort to begin with! Edited by: Scott Niswander</t>
        </is>
      </c>
      <c r="V1782" s="47">
        <f>IF(AND(P1782&gt;=Calendar!$K$2,P1782&lt;EDATE(Calendar!$K$2,1),OR(Calendar!$K$4="*",N1782=Calendar!$K$4)),P1782*100+COUNTIFS($P$6:$P$3267,P1782,$Q$6:$Q$3267,"&lt;="&amp;Q1782,$N$6:$N$3267,Calendar!$K$4),"")</f>
        <v/>
      </c>
      <c r="W1782" s="47">
        <f>IF(AND(B1782=Queue!$C$4,OR(Queue!$K$4="*",N1782=Queue!$K$4)),Q1782,"")</f>
        <v/>
      </c>
    </row>
    <row r="1783">
      <c r="A1783" s="38">
        <f>IF(M1783="","",HYPERLINK("https://www.youtube.com/watch?v="&amp;M1783,"▶"))</f>
        <v/>
      </c>
      <c r="B1783" s="39">
        <f>IF(C1783&lt;&gt;"",C1783,IF(P1783&lt;=IFERROR(INDEX(tblChannels[Watched Through],MATCH(N1783,tblChannels[Channel ID],0)),0),"Watched","Unwatched"))</f>
        <v/>
      </c>
      <c r="C1783" s="40" t="n"/>
      <c r="D1783" s="41" t="n"/>
      <c r="E1783" s="42" t="n">
        <v>43696.41666666666</v>
      </c>
      <c r="F1783" s="53" t="inlineStr">
        <is>
          <t>Jonathan Carlin</t>
        </is>
      </c>
      <c r="G1783" t="inlineStr">
        <is>
          <t>CHICAGO MEETUP</t>
        </is>
      </c>
      <c r="H1783" s="44" t="n">
        <v>0.006388888888888889</v>
      </c>
      <c r="I1783" s="45" t="n">
        <v>19202</v>
      </c>
      <c r="J1783" s="45" t="n">
        <v>1140</v>
      </c>
      <c r="K1783" s="45" t="n">
        <v>156</v>
      </c>
      <c r="L1783" s="46" t="n"/>
      <c r="M1783" s="47" t="n"/>
      <c r="N1783" s="47" t="inlineStr">
        <is>
          <t>UCYPKFe86e6nm4TVUYKLsFUQ</t>
        </is>
      </c>
      <c r="O1783" s="48" t="n">
        <v>43696.58333333334</v>
      </c>
      <c r="P1783" s="49" t="n">
        <v>43696</v>
      </c>
      <c r="Q1783" s="47" t="n">
        <v>1485</v>
      </c>
      <c r="R1783" s="47" t="inlineStr">
        <is>
          <t>No Video ID yet</t>
        </is>
      </c>
      <c r="S1783" s="49" t="n"/>
      <c r="T1783" s="49" t="n"/>
      <c r="U1783" s="47" t="inlineStr">
        <is>
          <t>This week J and the SCB crew head to Chicago to see The Lion King and meet all of you wonderful people! Our next meet up is in Salt Lake City to see Frozen 2 on November 23 Get Tix for the Frozen 2 Meetup ::</t>
        </is>
      </c>
      <c r="V1783" s="47">
        <f>IF(AND(P1783&gt;=Calendar!$K$2,P1783&lt;EDATE(Calendar!$K$2,1),OR(Calendar!$K$4="*",N1783=Calendar!$K$4)),P1783*100+COUNTIFS($P$6:$P$3267,P1783,$Q$6:$Q$3267,"&lt;="&amp;Q1783,$N$6:$N$3267,Calendar!$K$4),"")</f>
        <v/>
      </c>
      <c r="W1783" s="47">
        <f>IF(AND(B1783=Queue!$C$4,OR(Queue!$K$4="*",N1783=Queue!$K$4)),Q1783,"")</f>
        <v/>
      </c>
    </row>
    <row r="1784">
      <c r="A1784" s="38">
        <f>IF(M1784="","",HYPERLINK("https://www.youtube.com/watch?v="&amp;M1784,"▶"))</f>
        <v/>
      </c>
      <c r="B1784" s="39">
        <f>IF(C1784&lt;&gt;"",C1784,IF(P1784&lt;=IFERROR(INDEX(tblChannels[Watched Through],MATCH(N1784,tblChannels[Channel ID],0)),0),"Watched","Unwatched"))</f>
        <v/>
      </c>
      <c r="C1784" s="40" t="n"/>
      <c r="D1784" s="41" t="n"/>
      <c r="E1784" s="42" t="n">
        <v>43692.82986111111</v>
      </c>
      <c r="F1784" s="50" t="inlineStr">
        <is>
          <t>Super Carlin Brothers</t>
        </is>
      </c>
      <c r="G1784" t="inlineStr">
        <is>
          <t>In Defense Of Ravenclaw</t>
        </is>
      </c>
      <c r="H1784" s="44" t="n">
        <v>0.008194444444444445</v>
      </c>
      <c r="I1784" s="45" t="n">
        <v>744804</v>
      </c>
      <c r="J1784" s="45" t="n">
        <v>38514</v>
      </c>
      <c r="K1784" s="45" t="n">
        <v>10403</v>
      </c>
      <c r="L1784" s="46" t="n"/>
      <c r="M1784" s="47" t="n"/>
      <c r="N1784" s="47" t="inlineStr">
        <is>
          <t>UCKZo4N0lVPccBkSiuyVh4yg</t>
        </is>
      </c>
      <c r="O1784" s="48" t="n">
        <v>43692.99652777778</v>
      </c>
      <c r="P1784" s="49" t="n">
        <v>43692</v>
      </c>
      <c r="Q1784" s="47" t="n">
        <v>1484</v>
      </c>
      <c r="R1784" s="47" t="inlineStr">
        <is>
          <t>No Video ID yet</t>
        </is>
      </c>
      <c r="S1784" s="49" t="n"/>
      <c r="T1784" s="49" t="n"/>
      <c r="U1784" s="47" t="inlineStr">
        <is>
          <t>Today Ben dives into the Wizarding World of Harry Potter to defend the very misrepresented House of Ravenclaw! #BringBackTheBronze #RemoveTheRaven Ravens using Logic :: Edited by: Scott Niswander</t>
        </is>
      </c>
      <c r="V1784" s="47">
        <f>IF(AND(P1784&gt;=Calendar!$K$2,P1784&lt;EDATE(Calendar!$K$2,1),OR(Calendar!$K$4="*",N1784=Calendar!$K$4)),P1784*100+COUNTIFS($P$6:$P$3267,P1784,$Q$6:$Q$3267,"&lt;="&amp;Q1784,$N$6:$N$3267,Calendar!$K$4),"")</f>
        <v/>
      </c>
      <c r="W1784" s="47">
        <f>IF(AND(B1784=Queue!$C$4,OR(Queue!$K$4="*",N1784=Queue!$K$4)),Q1784,"")</f>
        <v/>
      </c>
    </row>
    <row r="1785">
      <c r="A1785" s="38">
        <f>IF(M1785="","",HYPERLINK("https://www.youtube.com/watch?v="&amp;M1785,"▶"))</f>
        <v/>
      </c>
      <c r="B1785" s="39">
        <f>IF(C1785&lt;&gt;"",C1785,IF(P1785&lt;=IFERROR(INDEX(tblChannels[Watched Through],MATCH(N1785,tblChannels[Channel ID],0)),0),"Watched","Unwatched"))</f>
        <v/>
      </c>
      <c r="C1785" s="40" t="n"/>
      <c r="D1785" s="41" t="n"/>
      <c r="E1785" s="42" t="n">
        <v>43690.84097222222</v>
      </c>
      <c r="F1785" s="50" t="inlineStr">
        <is>
          <t>Super Carlin Brothers</t>
        </is>
      </c>
      <c r="G1785" t="inlineStr">
        <is>
          <t>Dumbledore Is A Phoenix | Harry Potter Theory</t>
        </is>
      </c>
      <c r="H1785" s="44" t="n">
        <v>0.009722222222222222</v>
      </c>
      <c r="I1785" s="45" t="n">
        <v>495305</v>
      </c>
      <c r="J1785" s="45" t="n">
        <v>18195</v>
      </c>
      <c r="K1785" s="45" t="n">
        <v>2163</v>
      </c>
      <c r="L1785" s="46" t="n"/>
      <c r="M1785" s="47" t="n"/>
      <c r="N1785" s="47" t="inlineStr">
        <is>
          <t>UCKZo4N0lVPccBkSiuyVh4yg</t>
        </is>
      </c>
      <c r="O1785" s="48" t="n">
        <v>43691.00763888889</v>
      </c>
      <c r="P1785" s="49" t="n">
        <v>43690</v>
      </c>
      <c r="Q1785" s="47" t="n">
        <v>1483</v>
      </c>
      <c r="R1785" s="47" t="inlineStr">
        <is>
          <t>No Video ID yet</t>
        </is>
      </c>
      <c r="S1785" s="49" t="n"/>
      <c r="T1785" s="49" t="n"/>
      <c r="U1785" s="47" t="inlineStr">
        <is>
          <t>Get 25% off your Vincero Watch :: Today J dives into the wizarding world of Harry Potter to try and reveal another of Dumbledore’s many secrets - Was he a phoenix? Was one born upon his death? Edited by: Scott Niswander</t>
        </is>
      </c>
      <c r="V1785" s="47">
        <f>IF(AND(P1785&gt;=Calendar!$K$2,P1785&lt;EDATE(Calendar!$K$2,1),OR(Calendar!$K$4="*",N1785=Calendar!$K$4)),P1785*100+COUNTIFS($P$6:$P$3267,P1785,$Q$6:$Q$3267,"&lt;="&amp;Q1785,$N$6:$N$3267,Calendar!$K$4),"")</f>
        <v/>
      </c>
      <c r="W1785" s="47">
        <f>IF(AND(B1785=Queue!$C$4,OR(Queue!$K$4="*",N1785=Queue!$K$4)),Q1785,"")</f>
        <v/>
      </c>
    </row>
    <row r="1786">
      <c r="A1786" s="38">
        <f>IF(M1786="","",HYPERLINK("https://www.youtube.com/watch?v="&amp;M1786,"▶"))</f>
        <v/>
      </c>
      <c r="B1786" s="39">
        <f>IF(C1786&lt;&gt;"",C1786,IF(P1786&lt;=IFERROR(INDEX(tblChannels[Watched Through],MATCH(N1786,tblChannels[Channel ID],0)),0),"Watched","Unwatched"))</f>
        <v/>
      </c>
      <c r="C1786" s="40" t="n"/>
      <c r="D1786" s="41" t="n"/>
      <c r="E1786" s="42" t="n">
        <v>43689.41666666666</v>
      </c>
      <c r="F1786" s="53" t="inlineStr">
        <is>
          <t>Jonathan Carlin</t>
        </is>
      </c>
      <c r="G1786" t="inlineStr">
        <is>
          <t>VIDCON 2019</t>
        </is>
      </c>
      <c r="H1786" s="44" t="n">
        <v>0.006724537037037037</v>
      </c>
      <c r="I1786" s="45" t="n">
        <v>23604</v>
      </c>
      <c r="J1786" s="45" t="n">
        <v>1360</v>
      </c>
      <c r="K1786" s="45" t="n">
        <v>91</v>
      </c>
      <c r="L1786" s="46" t="n"/>
      <c r="M1786" s="47" t="n"/>
      <c r="N1786" s="47" t="inlineStr">
        <is>
          <t>UCYPKFe86e6nm4TVUYKLsFUQ</t>
        </is>
      </c>
      <c r="O1786" s="48" t="n">
        <v>43689.58333333334</v>
      </c>
      <c r="P1786" s="49" t="n">
        <v>43689</v>
      </c>
      <c r="Q1786" s="47" t="n">
        <v>1482</v>
      </c>
      <c r="R1786" s="47" t="inlineStr">
        <is>
          <t>No Video ID yet</t>
        </is>
      </c>
      <c r="S1786" s="49" t="n"/>
      <c r="T1786" s="49" t="n"/>
      <c r="U1786" s="47" t="inlineStr">
        <is>
          <t>This week J and the SCB crew head to VidCon 2019!</t>
        </is>
      </c>
      <c r="V1786" s="47">
        <f>IF(AND(P1786&gt;=Calendar!$K$2,P1786&lt;EDATE(Calendar!$K$2,1),OR(Calendar!$K$4="*",N1786=Calendar!$K$4)),P1786*100+COUNTIFS($P$6:$P$3267,P1786,$Q$6:$Q$3267,"&lt;="&amp;Q1786,$N$6:$N$3267,Calendar!$K$4),"")</f>
        <v/>
      </c>
      <c r="W1786" s="47">
        <f>IF(AND(B1786=Queue!$C$4,OR(Queue!$K$4="*",N1786=Queue!$K$4)),Q1786,"")</f>
        <v/>
      </c>
    </row>
    <row r="1787">
      <c r="A1787" s="38">
        <f>IF(M1787="","",HYPERLINK("https://www.youtube.com/watch?v="&amp;M1787,"▶"))</f>
        <v/>
      </c>
      <c r="B1787" s="39">
        <f>IF(C1787&lt;&gt;"",C1787,IF(P1787&lt;=IFERROR(INDEX(tblChannels[Watched Through],MATCH(N1787,tblChannels[Channel ID],0)),0),"Watched","Unwatched"))</f>
        <v/>
      </c>
      <c r="C1787" s="40" t="n"/>
      <c r="D1787" s="41" t="n"/>
      <c r="E1787" s="42" t="n">
        <v>43689.41666666666</v>
      </c>
      <c r="F1787" s="52" t="inlineStr">
        <is>
          <t>Super Carlin Gaming</t>
        </is>
      </c>
      <c r="G1787" t="inlineStr">
        <is>
          <t>The Dwight Schrute Dating Profile |  Super Smash Bros #48</t>
        </is>
      </c>
      <c r="H1787" s="44" t="n">
        <v>0.01174768518518519</v>
      </c>
      <c r="I1787" s="45" t="n">
        <v>6723</v>
      </c>
      <c r="J1787" s="45" t="n">
        <v>235</v>
      </c>
      <c r="K1787" s="45" t="n">
        <v>57</v>
      </c>
      <c r="L1787" s="46" t="n"/>
      <c r="M1787" s="47" t="n"/>
      <c r="N1787" s="47" t="inlineStr">
        <is>
          <t>UCor_9jRnNNZVzTuQ92PKsaQ</t>
        </is>
      </c>
      <c r="O1787" s="48" t="n">
        <v>43689.58333333334</v>
      </c>
      <c r="P1787" s="49" t="n">
        <v>43689</v>
      </c>
      <c r="Q1787" s="47" t="n">
        <v>1481</v>
      </c>
      <c r="R1787" s="47" t="inlineStr">
        <is>
          <t>No Video ID yet</t>
        </is>
      </c>
      <c r="S1787" s="49" t="n"/>
      <c r="T1787" s="49" t="n"/>
      <c r="U1787" s="47" t="inlineStr">
        <is>
          <t>How would Dwight Schrute from The Office fair on a dating website?</t>
        </is>
      </c>
      <c r="V1787" s="47">
        <f>IF(AND(P1787&gt;=Calendar!$K$2,P1787&lt;EDATE(Calendar!$K$2,1),OR(Calendar!$K$4="*",N1787=Calendar!$K$4)),P1787*100+COUNTIFS($P$6:$P$3267,P1787,$Q$6:$Q$3267,"&lt;="&amp;Q1787,$N$6:$N$3267,Calendar!$K$4),"")</f>
        <v/>
      </c>
      <c r="W1787" s="47">
        <f>IF(AND(B1787=Queue!$C$4,OR(Queue!$K$4="*",N1787=Queue!$K$4)),Q1787,"")</f>
        <v/>
      </c>
    </row>
    <row r="1788">
      <c r="A1788" s="38">
        <f>IF(M1788="","",HYPERLINK("https://www.youtube.com/watch?v="&amp;M1788,"▶"))</f>
        <v/>
      </c>
      <c r="B1788" s="39">
        <f>IF(C1788&lt;&gt;"",C1788,IF(P1788&lt;=IFERROR(INDEX(tblChannels[Watched Through],MATCH(N1788,tblChannels[Channel ID],0)),0),"Watched","Unwatched"))</f>
        <v/>
      </c>
      <c r="C1788" s="40" t="n"/>
      <c r="D1788" s="41" t="n"/>
      <c r="E1788" s="42" t="n">
        <v>43685.78472222222</v>
      </c>
      <c r="F1788" s="50" t="inlineStr">
        <is>
          <t>Super Carlin Brothers</t>
        </is>
      </c>
      <c r="G1788" t="inlineStr">
        <is>
          <t>Fast Facts: Avengers Endgame</t>
        </is>
      </c>
      <c r="H1788" s="44" t="n">
        <v>0.006631944444444445</v>
      </c>
      <c r="I1788" s="45" t="n">
        <v>421276</v>
      </c>
      <c r="J1788" s="45" t="n">
        <v>17358</v>
      </c>
      <c r="K1788" s="45" t="n">
        <v>1232</v>
      </c>
      <c r="L1788" s="46" t="n"/>
      <c r="M1788" s="47" t="n"/>
      <c r="N1788" s="47" t="inlineStr">
        <is>
          <t>UCKZo4N0lVPccBkSiuyVh4yg</t>
        </is>
      </c>
      <c r="O1788" s="48" t="n">
        <v>43685.95138888889</v>
      </c>
      <c r="P1788" s="49" t="n">
        <v>43685</v>
      </c>
      <c r="Q1788" s="47" t="n">
        <v>1480</v>
      </c>
      <c r="R1788" s="47" t="inlineStr">
        <is>
          <t>No Video ID yet</t>
        </is>
      </c>
      <c r="S1788" s="49" t="n"/>
      <c r="T1788" s="49" t="n"/>
      <c r="U1788" s="47" t="inlineStr">
        <is>
          <t>Today Ben dives into the MCU and Avengers Endgame to uncover every Easter Egg and random fact we could find about the movie!</t>
        </is>
      </c>
      <c r="V1788" s="47">
        <f>IF(AND(P1788&gt;=Calendar!$K$2,P1788&lt;EDATE(Calendar!$K$2,1),OR(Calendar!$K$4="*",N1788=Calendar!$K$4)),P1788*100+COUNTIFS($P$6:$P$3267,P1788,$Q$6:$Q$3267,"&lt;="&amp;Q1788,$N$6:$N$3267,Calendar!$K$4),"")</f>
        <v/>
      </c>
      <c r="W1788" s="47">
        <f>IF(AND(B1788=Queue!$C$4,OR(Queue!$K$4="*",N1788=Queue!$K$4)),Q1788,"")</f>
        <v/>
      </c>
    </row>
    <row r="1789">
      <c r="A1789" s="38">
        <f>IF(M1789="","",HYPERLINK("https://www.youtube.com/watch?v="&amp;M1789,"▶"))</f>
        <v/>
      </c>
      <c r="B1789" s="39">
        <f>IF(C1789&lt;&gt;"",C1789,IF(P1789&lt;=IFERROR(INDEX(tblChannels[Watched Through],MATCH(N1789,tblChannels[Channel ID],0)),0),"Watched","Unwatched"))</f>
        <v/>
      </c>
      <c r="C1789" s="40" t="n"/>
      <c r="D1789" s="41" t="n"/>
      <c r="E1789" s="42" t="n">
        <v>43684.62222222222</v>
      </c>
      <c r="F1789" s="52" t="inlineStr">
        <is>
          <t>Super Carlin Gaming</t>
        </is>
      </c>
      <c r="G1789" t="inlineStr">
        <is>
          <t>Moo Moo Milk It Up |  Pokémon X Nuzlocke #36</t>
        </is>
      </c>
      <c r="H1789" s="44" t="n">
        <v>0.02579861111111111</v>
      </c>
      <c r="I1789" s="45" t="n">
        <v>18046</v>
      </c>
      <c r="J1789" s="45" t="n">
        <v>594</v>
      </c>
      <c r="K1789" s="45" t="n">
        <v>179</v>
      </c>
      <c r="L1789" s="46" t="n"/>
      <c r="M1789" s="47" t="n"/>
      <c r="N1789" s="47" t="inlineStr">
        <is>
          <t>UCor_9jRnNNZVzTuQ92PKsaQ</t>
        </is>
      </c>
      <c r="O1789" s="48" t="n">
        <v>43684.78888888889</v>
      </c>
      <c r="P1789" s="49" t="n">
        <v>43684</v>
      </c>
      <c r="Q1789" s="47" t="n">
        <v>1479</v>
      </c>
      <c r="R1789" s="47" t="inlineStr">
        <is>
          <t>No Video ID yet</t>
        </is>
      </c>
      <c r="S1789" s="49" t="n"/>
      <c r="T1789" s="49" t="n"/>
      <c r="U1789" s="47" t="n"/>
      <c r="V1789" s="47">
        <f>IF(AND(P1789&gt;=Calendar!$K$2,P1789&lt;EDATE(Calendar!$K$2,1),OR(Calendar!$K$4="*",N1789=Calendar!$K$4)),P1789*100+COUNTIFS($P$6:$P$3267,P1789,$Q$6:$Q$3267,"&lt;="&amp;Q1789,$N$6:$N$3267,Calendar!$K$4),"")</f>
        <v/>
      </c>
      <c r="W1789" s="47">
        <f>IF(AND(B1789=Queue!$C$4,OR(Queue!$K$4="*",N1789=Queue!$K$4)),Q1789,"")</f>
        <v/>
      </c>
    </row>
    <row r="1790">
      <c r="A1790" s="38">
        <f>IF(M1790="","",HYPERLINK("https://www.youtube.com/watch?v="&amp;M1790,"▶"))</f>
        <v/>
      </c>
      <c r="B1790" s="39">
        <f>IF(C1790&lt;&gt;"",C1790,IF(P1790&lt;=IFERROR(INDEX(tblChannels[Watched Through],MATCH(N1790,tblChannels[Channel ID],0)),0),"Watched","Unwatched"))</f>
        <v/>
      </c>
      <c r="C1790" s="40" t="n"/>
      <c r="D1790" s="41" t="n"/>
      <c r="E1790" s="42" t="n">
        <v>43683.87083333333</v>
      </c>
      <c r="F1790" s="50" t="inlineStr">
        <is>
          <t>Super Carlin Brothers</t>
        </is>
      </c>
      <c r="G1790" t="inlineStr">
        <is>
          <t>The Disney Renaissance Explained</t>
        </is>
      </c>
      <c r="H1790" s="44" t="n">
        <v>0.0149537037037037</v>
      </c>
      <c r="I1790" s="45" t="n">
        <v>611449</v>
      </c>
      <c r="J1790" s="45" t="n">
        <v>22619</v>
      </c>
      <c r="K1790" s="45" t="n">
        <v>3133</v>
      </c>
      <c r="L1790" s="46" t="n"/>
      <c r="M1790" s="47" t="n"/>
      <c r="N1790" s="47" t="inlineStr">
        <is>
          <t>UCKZo4N0lVPccBkSiuyVh4yg</t>
        </is>
      </c>
      <c r="O1790" s="48" t="n">
        <v>43684.0375</v>
      </c>
      <c r="P1790" s="49" t="n">
        <v>43683</v>
      </c>
      <c r="Q1790" s="47" t="n">
        <v>1478</v>
      </c>
      <c r="R1790" s="47" t="inlineStr">
        <is>
          <t>No Video ID yet</t>
        </is>
      </c>
      <c r="S1790" s="49" t="n"/>
      <c r="T1790" s="49" t="n"/>
      <c r="U1790" s="47" t="inlineStr">
        <is>
          <t>Today J dives into the history of Disney from The Little Mermaid to Tarzan to explain what the Disney Renaissance was, why it happened, why it ended, whats up with all the giant rocks and how it's all connected! What is your favorite Disney Renaissance movie?? Or GIANT rock? Sources :: ScottJEinig :: Diz Avenue :: Wiki Disney Renaissance :: Film School Rejects ::</t>
        </is>
      </c>
      <c r="V1790" s="47">
        <f>IF(AND(P1790&gt;=Calendar!$K$2,P1790&lt;EDATE(Calendar!$K$2,1),OR(Calendar!$K$4="*",N1790=Calendar!$K$4)),P1790*100+COUNTIFS($P$6:$P$3267,P1790,$Q$6:$Q$3267,"&lt;="&amp;Q1790,$N$6:$N$3267,Calendar!$K$4),"")</f>
        <v/>
      </c>
      <c r="W1790" s="47">
        <f>IF(AND(B1790=Queue!$C$4,OR(Queue!$K$4="*",N1790=Queue!$K$4)),Q1790,"")</f>
        <v/>
      </c>
    </row>
    <row r="1791">
      <c r="A1791" s="38">
        <f>IF(M1791="","",HYPERLINK("https://www.youtube.com/watch?v="&amp;M1791,"▶"))</f>
        <v/>
      </c>
      <c r="B1791" s="39">
        <f>IF(C1791&lt;&gt;"",C1791,IF(P1791&lt;=IFERROR(INDEX(tblChannels[Watched Through],MATCH(N1791,tblChannels[Channel ID],0)),0),"Watched","Unwatched"))</f>
        <v/>
      </c>
      <c r="C1791" s="40" t="n"/>
      <c r="D1791" s="41" t="n"/>
      <c r="E1791" s="42" t="n">
        <v>43683.49513888889</v>
      </c>
      <c r="F1791" s="53" t="inlineStr">
        <is>
          <t>Jonathan Carlin</t>
        </is>
      </c>
      <c r="G1791" t="inlineStr">
        <is>
          <t>Beth Bakes SOURDOUGH!</t>
        </is>
      </c>
      <c r="H1791" s="44" t="n">
        <v>0.006377314814814815</v>
      </c>
      <c r="I1791" s="45" t="n">
        <v>22504</v>
      </c>
      <c r="J1791" s="45" t="n">
        <v>1464</v>
      </c>
      <c r="K1791" s="45" t="n">
        <v>264</v>
      </c>
      <c r="L1791" s="46" t="n"/>
      <c r="M1791" s="47" t="n"/>
      <c r="N1791" s="47" t="inlineStr">
        <is>
          <t>UCYPKFe86e6nm4TVUYKLsFUQ</t>
        </is>
      </c>
      <c r="O1791" s="48" t="n">
        <v>43683.66180555556</v>
      </c>
      <c r="P1791" s="49" t="n">
        <v>43683</v>
      </c>
      <c r="Q1791" s="47" t="n">
        <v>1477</v>
      </c>
      <c r="R1791" s="47" t="inlineStr">
        <is>
          <t>No Video ID yet</t>
        </is>
      </c>
      <c r="S1791" s="49" t="n"/>
      <c r="T1791" s="49" t="n"/>
      <c r="U1791" s="47" t="inlineStr">
        <is>
          <t>This week Beth takes over the vlog and bakes pumpkin muffins and tries her hand at Sourdough! Beth's Muffins from the beginning ::</t>
        </is>
      </c>
      <c r="V1791" s="47">
        <f>IF(AND(P1791&gt;=Calendar!$K$2,P1791&lt;EDATE(Calendar!$K$2,1),OR(Calendar!$K$4="*",N1791=Calendar!$K$4)),P1791*100+COUNTIFS($P$6:$P$3267,P1791,$Q$6:$Q$3267,"&lt;="&amp;Q1791,$N$6:$N$3267,Calendar!$K$4),"")</f>
        <v/>
      </c>
      <c r="W1791" s="47">
        <f>IF(AND(B1791=Queue!$C$4,OR(Queue!$K$4="*",N1791=Queue!$K$4)),Q1791,"")</f>
        <v/>
      </c>
    </row>
    <row r="1792">
      <c r="A1792" s="38">
        <f>IF(M1792="","",HYPERLINK("https://www.youtube.com/watch?v="&amp;M1792,"▶"))</f>
        <v/>
      </c>
      <c r="B1792" s="39">
        <f>IF(C1792&lt;&gt;"",C1792,IF(P1792&lt;=IFERROR(INDEX(tblChannels[Watched Through],MATCH(N1792,tblChannels[Channel ID],0)),0),"Watched","Unwatched"))</f>
        <v/>
      </c>
      <c r="C1792" s="40" t="n"/>
      <c r="D1792" s="41" t="n"/>
      <c r="E1792" s="42" t="n">
        <v>43679.62708333333</v>
      </c>
      <c r="F1792" s="52" t="inlineStr">
        <is>
          <t>Super Carlin Gaming</t>
        </is>
      </c>
      <c r="G1792" t="inlineStr">
        <is>
          <t>Even More Dangerous |  Pokémon X Nuzlocke #35</t>
        </is>
      </c>
      <c r="H1792" s="44" t="n">
        <v>0.02431712962962963</v>
      </c>
      <c r="I1792" s="45" t="n">
        <v>17927</v>
      </c>
      <c r="J1792" s="45" t="n">
        <v>584</v>
      </c>
      <c r="K1792" s="45" t="n">
        <v>160</v>
      </c>
      <c r="L1792" s="46" t="n"/>
      <c r="M1792" s="47" t="n"/>
      <c r="N1792" s="47" t="inlineStr">
        <is>
          <t>UCor_9jRnNNZVzTuQ92PKsaQ</t>
        </is>
      </c>
      <c r="O1792" s="48" t="n">
        <v>43679.79375</v>
      </c>
      <c r="P1792" s="49" t="n">
        <v>43679</v>
      </c>
      <c r="Q1792" s="47" t="n">
        <v>1476</v>
      </c>
      <c r="R1792" s="47" t="inlineStr">
        <is>
          <t>No Video ID yet</t>
        </is>
      </c>
      <c r="S1792" s="49" t="n"/>
      <c r="T1792" s="49" t="n"/>
      <c r="U1792" s="47" t="n"/>
      <c r="V1792" s="47">
        <f>IF(AND(P1792&gt;=Calendar!$K$2,P1792&lt;EDATE(Calendar!$K$2,1),OR(Calendar!$K$4="*",N1792=Calendar!$K$4)),P1792*100+COUNTIFS($P$6:$P$3267,P1792,$Q$6:$Q$3267,"&lt;="&amp;Q1792,$N$6:$N$3267,Calendar!$K$4),"")</f>
        <v/>
      </c>
      <c r="W1792" s="47">
        <f>IF(AND(B1792=Queue!$C$4,OR(Queue!$K$4="*",N1792=Queue!$K$4)),Q1792,"")</f>
        <v/>
      </c>
    </row>
    <row r="1793">
      <c r="A1793" s="38">
        <f>IF(M1793="","",HYPERLINK("https://www.youtube.com/watch?v="&amp;M1793,"▶"))</f>
        <v/>
      </c>
      <c r="B1793" s="39">
        <f>IF(C1793&lt;&gt;"",C1793,IF(P1793&lt;=IFERROR(INDEX(tblChannels[Watched Through],MATCH(N1793,tblChannels[Channel ID],0)),0),"Watched","Unwatched"))</f>
        <v/>
      </c>
      <c r="C1793" s="40" t="n"/>
      <c r="D1793" s="41" t="n"/>
      <c r="E1793" s="42" t="n">
        <v>43678.65833333333</v>
      </c>
      <c r="F1793" s="50" t="inlineStr">
        <is>
          <t>Super Carlin Brothers</t>
        </is>
      </c>
      <c r="G1793" t="inlineStr">
        <is>
          <t>J vs Ben: ULTIMATE Harry Potter Boy Who Lived TRIVIA Quiz</t>
        </is>
      </c>
      <c r="H1793" s="44" t="n">
        <v>0.0297337962962963</v>
      </c>
      <c r="I1793" s="45" t="n">
        <v>1465634</v>
      </c>
      <c r="J1793" s="45" t="n">
        <v>21745</v>
      </c>
      <c r="K1793" s="45" t="n">
        <v>3045</v>
      </c>
      <c r="L1793" s="46" t="n"/>
      <c r="M1793" s="47" t="n"/>
      <c r="N1793" s="47" t="inlineStr">
        <is>
          <t>UCKZo4N0lVPccBkSiuyVh4yg</t>
        </is>
      </c>
      <c r="O1793" s="48" t="n">
        <v>43678.825</v>
      </c>
      <c r="P1793" s="49" t="n">
        <v>43678</v>
      </c>
      <c r="Q1793" s="47" t="n">
        <v>1475</v>
      </c>
      <c r="R1793" s="47" t="inlineStr">
        <is>
          <t>No Video ID yet</t>
        </is>
      </c>
      <c r="S1793" s="49" t="n"/>
      <c r="T1793" s="49" t="n"/>
      <c r="U1793" s="47" t="inlineStr">
        <is>
          <t>Want to be a Quiz Master and get YOUR question on J vs Ben? Head over to our Patreon to find out how :: Take the quiz with us :: Today J and Ben go head to head in the hardest Harry Potter Boy Who Lived quiz on Pottermore to see who knows the wizarding world best! Who will win? What was your score??</t>
        </is>
      </c>
      <c r="V1793" s="47">
        <f>IF(AND(P1793&gt;=Calendar!$K$2,P1793&lt;EDATE(Calendar!$K$2,1),OR(Calendar!$K$4="*",N1793=Calendar!$K$4)),P1793*100+COUNTIFS($P$6:$P$3267,P1793,$Q$6:$Q$3267,"&lt;="&amp;Q1793,$N$6:$N$3267,Calendar!$K$4),"")</f>
        <v/>
      </c>
      <c r="W1793" s="47">
        <f>IF(AND(B1793=Queue!$C$4,OR(Queue!$K$4="*",N1793=Queue!$K$4)),Q1793,"")</f>
        <v/>
      </c>
    </row>
    <row r="1794">
      <c r="A1794" s="38">
        <f>IF(M1794="","",HYPERLINK("https://www.youtube.com/watch?v="&amp;M1794,"▶"))</f>
        <v/>
      </c>
      <c r="B1794" s="39">
        <f>IF(C1794&lt;&gt;"",C1794,IF(P1794&lt;=IFERROR(INDEX(tblChannels[Watched Through],MATCH(N1794,tblChannels[Channel ID],0)),0),"Watched","Unwatched"))</f>
        <v/>
      </c>
      <c r="C1794" s="40" t="n"/>
      <c r="D1794" s="41" t="n"/>
      <c r="E1794" s="42" t="n">
        <v>43677.63402777778</v>
      </c>
      <c r="F1794" s="52" t="inlineStr">
        <is>
          <t>Super Carlin Gaming</t>
        </is>
      </c>
      <c r="G1794" t="inlineStr">
        <is>
          <t>Psychic. |  Pokémon X Nuzlocke #34</t>
        </is>
      </c>
      <c r="H1794" s="44" t="n">
        <v>0.02013888888888889</v>
      </c>
      <c r="I1794" s="45" t="n">
        <v>17372</v>
      </c>
      <c r="J1794" s="45" t="n">
        <v>624</v>
      </c>
      <c r="K1794" s="45" t="n">
        <v>147</v>
      </c>
      <c r="L1794" s="46" t="n"/>
      <c r="M1794" s="47" t="n"/>
      <c r="N1794" s="47" t="inlineStr">
        <is>
          <t>UCor_9jRnNNZVzTuQ92PKsaQ</t>
        </is>
      </c>
      <c r="O1794" s="48" t="n">
        <v>43677.80069444444</v>
      </c>
      <c r="P1794" s="49" t="n">
        <v>43677</v>
      </c>
      <c r="Q1794" s="47" t="n">
        <v>1474</v>
      </c>
      <c r="R1794" s="47" t="inlineStr">
        <is>
          <t>No Video ID yet</t>
        </is>
      </c>
      <c r="S1794" s="49" t="n"/>
      <c r="T1794" s="49" t="n"/>
      <c r="U1794" s="47" t="n"/>
      <c r="V1794" s="47">
        <f>IF(AND(P1794&gt;=Calendar!$K$2,P1794&lt;EDATE(Calendar!$K$2,1),OR(Calendar!$K$4="*",N1794=Calendar!$K$4)),P1794*100+COUNTIFS($P$6:$P$3267,P1794,$Q$6:$Q$3267,"&lt;="&amp;Q1794,$N$6:$N$3267,Calendar!$K$4),"")</f>
        <v/>
      </c>
      <c r="W1794" s="47">
        <f>IF(AND(B1794=Queue!$C$4,OR(Queue!$K$4="*",N1794=Queue!$K$4)),Q1794,"")</f>
        <v/>
      </c>
    </row>
    <row r="1795">
      <c r="A1795" s="38">
        <f>IF(M1795="","",HYPERLINK("https://www.youtube.com/watch?v="&amp;M1795,"▶"))</f>
        <v/>
      </c>
      <c r="B1795" s="39">
        <f>IF(C1795&lt;&gt;"",C1795,IF(P1795&lt;=IFERROR(INDEX(tblChannels[Watched Through],MATCH(N1795,tblChannels[Channel ID],0)),0),"Watched","Unwatched"))</f>
        <v/>
      </c>
      <c r="C1795" s="40" t="n"/>
      <c r="D1795" s="41" t="n"/>
      <c r="E1795" s="42" t="n">
        <v>43676.72013888889</v>
      </c>
      <c r="F1795" s="50" t="inlineStr">
        <is>
          <t>Super Carlin Brothers</t>
        </is>
      </c>
      <c r="G1795" t="inlineStr">
        <is>
          <t>Who Was Carl's Monster? | Pixar Theory</t>
        </is>
      </c>
      <c r="H1795" s="44" t="n">
        <v>0.007962962962962963</v>
      </c>
      <c r="I1795" s="45" t="n">
        <v>1192140</v>
      </c>
      <c r="J1795" s="45" t="n">
        <v>35145</v>
      </c>
      <c r="K1795" s="45" t="n">
        <v>2227</v>
      </c>
      <c r="L1795" s="46" t="n"/>
      <c r="M1795" s="47" t="n"/>
      <c r="N1795" s="47" t="inlineStr">
        <is>
          <t>UCKZo4N0lVPccBkSiuyVh4yg</t>
        </is>
      </c>
      <c r="O1795" s="48" t="n">
        <v>43676.88680555556</v>
      </c>
      <c r="P1795" s="49" t="n">
        <v>43676</v>
      </c>
      <c r="Q1795" s="47" t="n">
        <v>1473</v>
      </c>
      <c r="R1795" s="47" t="inlineStr">
        <is>
          <t>No Video ID yet</t>
        </is>
      </c>
      <c r="S1795" s="49" t="n"/>
      <c r="T1795" s="49" t="n"/>
      <c r="U1795" s="47" t="inlineStr">
        <is>
          <t>Today J dives into the world of Pixar’s Up to try and determine the identity of Young Carl’s Monster from Monsters Inc.</t>
        </is>
      </c>
      <c r="V1795" s="47">
        <f>IF(AND(P1795&gt;=Calendar!$K$2,P1795&lt;EDATE(Calendar!$K$2,1),OR(Calendar!$K$4="*",N1795=Calendar!$K$4)),P1795*100+COUNTIFS($P$6:$P$3267,P1795,$Q$6:$Q$3267,"&lt;="&amp;Q1795,$N$6:$N$3267,Calendar!$K$4),"")</f>
        <v/>
      </c>
      <c r="W1795" s="47">
        <f>IF(AND(B1795=Queue!$C$4,OR(Queue!$K$4="*",N1795=Queue!$K$4)),Q1795,"")</f>
        <v/>
      </c>
    </row>
    <row r="1796">
      <c r="A1796" s="38">
        <f>IF(M1796="","",HYPERLINK("https://www.youtube.com/watch?v="&amp;M1796,"▶"))</f>
        <v/>
      </c>
      <c r="B1796" s="39">
        <f>IF(C1796&lt;&gt;"",C1796,IF(P1796&lt;=IFERROR(INDEX(tblChannels[Watched Through],MATCH(N1796,tblChannels[Channel ID],0)),0),"Watched","Unwatched"))</f>
        <v/>
      </c>
      <c r="C1796" s="40" t="n"/>
      <c r="D1796" s="41" t="n"/>
      <c r="E1796" s="42" t="n">
        <v>43675.47638888889</v>
      </c>
      <c r="F1796" s="53" t="inlineStr">
        <is>
          <t>Jonathan Carlin</t>
        </is>
      </c>
      <c r="G1796" t="inlineStr">
        <is>
          <t>THE SPARTAN RACE RETURNS | DC MEET UP</t>
        </is>
      </c>
      <c r="H1796" s="44" t="n">
        <v>0.006990740740740741</v>
      </c>
      <c r="I1796" s="45" t="n">
        <v>22540</v>
      </c>
      <c r="J1796" s="45" t="n">
        <v>1295</v>
      </c>
      <c r="K1796" s="45" t="n">
        <v>110</v>
      </c>
      <c r="L1796" s="46" t="n"/>
      <c r="M1796" s="47" t="n"/>
      <c r="N1796" s="47" t="inlineStr">
        <is>
          <t>UCYPKFe86e6nm4TVUYKLsFUQ</t>
        </is>
      </c>
      <c r="O1796" s="48" t="n">
        <v>43675.64305555556</v>
      </c>
      <c r="P1796" s="49" t="n">
        <v>43675</v>
      </c>
      <c r="Q1796" s="47" t="n">
        <v>1472</v>
      </c>
      <c r="R1796" s="47" t="inlineStr">
        <is>
          <t>No Video ID yet</t>
        </is>
      </c>
      <c r="S1796" s="49" t="n"/>
      <c r="T1796" s="49" t="n"/>
      <c r="U1796" s="47" t="inlineStr">
        <is>
          <t>This week or uh.. weekend J, Beth and the SCB crew take on the Washington DC Spartan Race and host another meetup for Toy Story 4!</t>
        </is>
      </c>
      <c r="V1796" s="47">
        <f>IF(AND(P1796&gt;=Calendar!$K$2,P1796&lt;EDATE(Calendar!$K$2,1),OR(Calendar!$K$4="*",N1796=Calendar!$K$4)),P1796*100+COUNTIFS($P$6:$P$3267,P1796,$Q$6:$Q$3267,"&lt;="&amp;Q1796,$N$6:$N$3267,Calendar!$K$4),"")</f>
        <v/>
      </c>
      <c r="W1796" s="47">
        <f>IF(AND(B1796=Queue!$C$4,OR(Queue!$K$4="*",N1796=Queue!$K$4)),Q1796,"")</f>
        <v/>
      </c>
    </row>
    <row r="1797">
      <c r="A1797" s="38">
        <f>IF(M1797="","",HYPERLINK("https://www.youtube.com/watch?v="&amp;M1797,"▶"))</f>
        <v/>
      </c>
      <c r="B1797" s="39">
        <f>IF(C1797&lt;&gt;"",C1797,IF(P1797&lt;=IFERROR(INDEX(tblChannels[Watched Through],MATCH(N1797,tblChannels[Channel ID],0)),0),"Watched","Unwatched"))</f>
        <v/>
      </c>
      <c r="C1797" s="40" t="n"/>
      <c r="D1797" s="41" t="n"/>
      <c r="E1797" s="42" t="n">
        <v>43672.61666666667</v>
      </c>
      <c r="F1797" s="52" t="inlineStr">
        <is>
          <t>Super Carlin Gaming</t>
        </is>
      </c>
      <c r="G1797" t="inlineStr">
        <is>
          <t>The Hugger |  Pokémon X Nuzlocke #33</t>
        </is>
      </c>
      <c r="H1797" s="44" t="n">
        <v>0.01515046296296296</v>
      </c>
      <c r="I1797" s="45" t="n">
        <v>16740</v>
      </c>
      <c r="J1797" s="45" t="n">
        <v>620</v>
      </c>
      <c r="K1797" s="45" t="n">
        <v>126</v>
      </c>
      <c r="L1797" s="46" t="n"/>
      <c r="M1797" s="47" t="n"/>
      <c r="N1797" s="47" t="inlineStr">
        <is>
          <t>UCor_9jRnNNZVzTuQ92PKsaQ</t>
        </is>
      </c>
      <c r="O1797" s="48" t="n">
        <v>43672.78333333333</v>
      </c>
      <c r="P1797" s="49" t="n">
        <v>43672</v>
      </c>
      <c r="Q1797" s="47" t="n">
        <v>1471</v>
      </c>
      <c r="R1797" s="47" t="inlineStr">
        <is>
          <t>No Video ID yet</t>
        </is>
      </c>
      <c r="S1797" s="49" t="n"/>
      <c r="T1797" s="49" t="n"/>
      <c r="U1797" s="47" t="n"/>
      <c r="V1797" s="47">
        <f>IF(AND(P1797&gt;=Calendar!$K$2,P1797&lt;EDATE(Calendar!$K$2,1),OR(Calendar!$K$4="*",N1797=Calendar!$K$4)),P1797*100+COUNTIFS($P$6:$P$3267,P1797,$Q$6:$Q$3267,"&lt;="&amp;Q1797,$N$6:$N$3267,Calendar!$K$4),"")</f>
        <v/>
      </c>
      <c r="W1797" s="47">
        <f>IF(AND(B1797=Queue!$C$4,OR(Queue!$K$4="*",N1797=Queue!$K$4)),Q1797,"")</f>
        <v/>
      </c>
    </row>
    <row r="1798">
      <c r="A1798" s="38">
        <f>IF(M1798="","",HYPERLINK("https://www.youtube.com/watch?v="&amp;M1798,"▶"))</f>
        <v/>
      </c>
      <c r="B1798" s="39">
        <f>IF(C1798&lt;&gt;"",C1798,IF(P1798&lt;=IFERROR(INDEX(tblChannels[Watched Through],MATCH(N1798,tblChannels[Channel ID],0)),0),"Watched","Unwatched"))</f>
        <v/>
      </c>
      <c r="C1798" s="40" t="n"/>
      <c r="D1798" s="41" t="n"/>
      <c r="E1798" s="42" t="n">
        <v>43671.86180555556</v>
      </c>
      <c r="F1798" s="50" t="inlineStr">
        <is>
          <t>Super Carlin Brothers</t>
        </is>
      </c>
      <c r="G1798" t="inlineStr">
        <is>
          <t>Future Of The MCU | Marvel Phase 4 Explained</t>
        </is>
      </c>
      <c r="H1798" s="44" t="n">
        <v>0.009930555555555555</v>
      </c>
      <c r="I1798" s="45" t="n">
        <v>260873</v>
      </c>
      <c r="J1798" s="45" t="n">
        <v>10580</v>
      </c>
      <c r="K1798" s="45" t="n">
        <v>1445</v>
      </c>
      <c r="L1798" s="46" t="n"/>
      <c r="M1798" s="47" t="n"/>
      <c r="N1798" s="47" t="inlineStr">
        <is>
          <t>UCKZo4N0lVPccBkSiuyVh4yg</t>
        </is>
      </c>
      <c r="O1798" s="48" t="n">
        <v>43672.02847222222</v>
      </c>
      <c r="P1798" s="49" t="n">
        <v>43671</v>
      </c>
      <c r="Q1798" s="47" t="n">
        <v>1470</v>
      </c>
      <c r="R1798" s="47" t="inlineStr">
        <is>
          <t>No Video ID yet</t>
        </is>
      </c>
      <c r="S1798" s="49" t="n"/>
      <c r="T1798" s="49" t="n"/>
      <c r="U1798" s="47" t="n"/>
      <c r="V1798" s="47">
        <f>IF(AND(P1798&gt;=Calendar!$K$2,P1798&lt;EDATE(Calendar!$K$2,1),OR(Calendar!$K$4="*",N1798=Calendar!$K$4)),P1798*100+COUNTIFS($P$6:$P$3267,P1798,$Q$6:$Q$3267,"&lt;="&amp;Q1798,$N$6:$N$3267,Calendar!$K$4),"")</f>
        <v/>
      </c>
      <c r="W1798" s="47">
        <f>IF(AND(B1798=Queue!$C$4,OR(Queue!$K$4="*",N1798=Queue!$K$4)),Q1798,"")</f>
        <v/>
      </c>
    </row>
    <row r="1799">
      <c r="A1799" s="38">
        <f>IF(M1799="","",HYPERLINK("https://www.youtube.com/watch?v="&amp;M1799,"▶"))</f>
        <v/>
      </c>
      <c r="B1799" s="39">
        <f>IF(C1799&lt;&gt;"",C1799,IF(P1799&lt;=IFERROR(INDEX(tblChannels[Watched Through],MATCH(N1799,tblChannels[Channel ID],0)),0),"Watched","Unwatched"))</f>
        <v/>
      </c>
      <c r="C1799" s="40" t="n"/>
      <c r="D1799" s="41" t="n"/>
      <c r="E1799" s="42" t="n">
        <v>43670.72361111111</v>
      </c>
      <c r="F1799" s="52" t="inlineStr">
        <is>
          <t>Super Carlin Gaming</t>
        </is>
      </c>
      <c r="G1799" t="inlineStr">
        <is>
          <t>I Hate This Game |  Pokémon X Nuzlocke #32</t>
        </is>
      </c>
      <c r="H1799" s="44" t="n">
        <v>0.02369212962962963</v>
      </c>
      <c r="I1799" s="45" t="n">
        <v>19707</v>
      </c>
      <c r="J1799" s="45" t="n">
        <v>649</v>
      </c>
      <c r="K1799" s="45" t="n">
        <v>272</v>
      </c>
      <c r="L1799" s="46" t="n"/>
      <c r="M1799" s="47" t="n"/>
      <c r="N1799" s="47" t="inlineStr">
        <is>
          <t>UCor_9jRnNNZVzTuQ92PKsaQ</t>
        </is>
      </c>
      <c r="O1799" s="48" t="n">
        <v>43670.89027777778</v>
      </c>
      <c r="P1799" s="49" t="n">
        <v>43670</v>
      </c>
      <c r="Q1799" s="47" t="n">
        <v>1469</v>
      </c>
      <c r="R1799" s="47" t="inlineStr">
        <is>
          <t>No Video ID yet</t>
        </is>
      </c>
      <c r="S1799" s="49" t="n"/>
      <c r="T1799" s="49" t="n"/>
      <c r="U1799" s="47" t="n"/>
      <c r="V1799" s="47">
        <f>IF(AND(P1799&gt;=Calendar!$K$2,P1799&lt;EDATE(Calendar!$K$2,1),OR(Calendar!$K$4="*",N1799=Calendar!$K$4)),P1799*100+COUNTIFS($P$6:$P$3267,P1799,$Q$6:$Q$3267,"&lt;="&amp;Q1799,$N$6:$N$3267,Calendar!$K$4),"")</f>
        <v/>
      </c>
      <c r="W1799" s="47">
        <f>IF(AND(B1799=Queue!$C$4,OR(Queue!$K$4="*",N1799=Queue!$K$4)),Q1799,"")</f>
        <v/>
      </c>
    </row>
    <row r="1800">
      <c r="A1800" s="38">
        <f>IF(M1800="","",HYPERLINK("https://www.youtube.com/watch?v="&amp;M1800,"▶"))</f>
        <v/>
      </c>
      <c r="B1800" s="39">
        <f>IF(C1800&lt;&gt;"",C1800,IF(P1800&lt;=IFERROR(INDEX(tblChannels[Watched Through],MATCH(N1800,tblChannels[Channel ID],0)),0),"Watched","Unwatched"))</f>
        <v/>
      </c>
      <c r="C1800" s="40" t="n"/>
      <c r="D1800" s="41" t="n"/>
      <c r="E1800" s="42" t="n">
        <v>43669.69791666666</v>
      </c>
      <c r="F1800" s="50" t="inlineStr">
        <is>
          <t>Super Carlin Brothers</t>
        </is>
      </c>
      <c r="G1800" t="inlineStr">
        <is>
          <t>The Lion King: Was It Worth It? | SCB Review</t>
        </is>
      </c>
      <c r="H1800" s="44" t="n">
        <v>0.04020833333333333</v>
      </c>
      <c r="I1800" s="45" t="n">
        <v>316716</v>
      </c>
      <c r="J1800" s="45" t="n">
        <v>8507</v>
      </c>
      <c r="K1800" s="45" t="n">
        <v>2512</v>
      </c>
      <c r="L1800" s="46" t="n"/>
      <c r="M1800" s="47" t="n"/>
      <c r="N1800" s="47" t="inlineStr">
        <is>
          <t>UCKZo4N0lVPccBkSiuyVh4yg</t>
        </is>
      </c>
      <c r="O1800" s="48" t="n">
        <v>43669.86458333334</v>
      </c>
      <c r="P1800" s="49" t="n">
        <v>43669</v>
      </c>
      <c r="Q1800" s="47" t="n">
        <v>1468</v>
      </c>
      <c r="R1800" s="47" t="inlineStr">
        <is>
          <t>No Video ID yet</t>
        </is>
      </c>
      <c r="S1800" s="49" t="n"/>
      <c r="T1800" s="49" t="n"/>
      <c r="U1800" s="47" t="inlineStr">
        <is>
          <t>Today J and Ben dive into the Pride Lands to give their full spoiler review of Disney’s Live Action Remake of The Lion King</t>
        </is>
      </c>
      <c r="V1800" s="47">
        <f>IF(AND(P1800&gt;=Calendar!$K$2,P1800&lt;EDATE(Calendar!$K$2,1),OR(Calendar!$K$4="*",N1800=Calendar!$K$4)),P1800*100+COUNTIFS($P$6:$P$3267,P1800,$Q$6:$Q$3267,"&lt;="&amp;Q1800,$N$6:$N$3267,Calendar!$K$4),"")</f>
        <v/>
      </c>
      <c r="W1800" s="47">
        <f>IF(AND(B1800=Queue!$C$4,OR(Queue!$K$4="*",N1800=Queue!$K$4)),Q1800,"")</f>
        <v/>
      </c>
    </row>
    <row r="1801">
      <c r="A1801" s="38">
        <f>IF(M1801="","",HYPERLINK("https://www.youtube.com/watch?v="&amp;M1801,"▶"))</f>
        <v/>
      </c>
      <c r="B1801" s="39">
        <f>IF(C1801&lt;&gt;"",C1801,IF(P1801&lt;=IFERROR(INDEX(tblChannels[Watched Through],MATCH(N1801,tblChannels[Channel ID],0)),0),"Watched","Unwatched"))</f>
        <v/>
      </c>
      <c r="C1801" s="40" t="n"/>
      <c r="D1801" s="41" t="n"/>
      <c r="E1801" s="42" t="n">
        <v>43669.42777777778</v>
      </c>
      <c r="F1801" s="53" t="inlineStr">
        <is>
          <t>Jonathan Carlin</t>
        </is>
      </c>
      <c r="G1801" t="inlineStr">
        <is>
          <t>A Week Of Milestones | 2-Million Subscribers!</t>
        </is>
      </c>
      <c r="H1801" s="44" t="n">
        <v>0.007777777777777778</v>
      </c>
      <c r="I1801" s="45" t="n">
        <v>29145</v>
      </c>
      <c r="J1801" s="45" t="n">
        <v>1871</v>
      </c>
      <c r="K1801" s="45" t="n">
        <v>162</v>
      </c>
      <c r="L1801" s="46" t="n"/>
      <c r="M1801" s="47" t="n"/>
      <c r="N1801" s="47" t="inlineStr">
        <is>
          <t>UCYPKFe86e6nm4TVUYKLsFUQ</t>
        </is>
      </c>
      <c r="O1801" s="48" t="n">
        <v>43669.59444444445</v>
      </c>
      <c r="P1801" s="49" t="n">
        <v>43669</v>
      </c>
      <c r="Q1801" s="47" t="n">
        <v>1467</v>
      </c>
      <c r="R1801" s="47" t="inlineStr">
        <is>
          <t>No Video ID yet</t>
        </is>
      </c>
      <c r="S1801" s="49" t="n"/>
      <c r="T1801" s="49" t="n"/>
      <c r="U1801" s="47" t="inlineStr">
        <is>
          <t>A true week of celebration, as SCB celebrates 7 years on YouTube and 2,000,000 Subscribers, while J and Beth celebrate 4 years of marriage!</t>
        </is>
      </c>
      <c r="V1801" s="47">
        <f>IF(AND(P1801&gt;=Calendar!$K$2,P1801&lt;EDATE(Calendar!$K$2,1),OR(Calendar!$K$4="*",N1801=Calendar!$K$4)),P1801*100+COUNTIFS($P$6:$P$3267,P1801,$Q$6:$Q$3267,"&lt;="&amp;Q1801,$N$6:$N$3267,Calendar!$K$4),"")</f>
        <v/>
      </c>
      <c r="W1801" s="47">
        <f>IF(AND(B1801=Queue!$C$4,OR(Queue!$K$4="*",N1801=Queue!$K$4)),Q1801,"")</f>
        <v/>
      </c>
    </row>
    <row r="1802">
      <c r="A1802" s="38">
        <f>IF(M1802="","",HYPERLINK("https://www.youtube.com/watch?v="&amp;M1802,"▶"))</f>
        <v/>
      </c>
      <c r="B1802" s="39">
        <f>IF(C1802&lt;&gt;"",C1802,IF(P1802&lt;=IFERROR(INDEX(tblChannels[Watched Through],MATCH(N1802,tblChannels[Channel ID],0)),0),"Watched","Unwatched"))</f>
        <v/>
      </c>
      <c r="C1802" s="40" t="n"/>
      <c r="D1802" s="41" t="n"/>
      <c r="E1802" s="42" t="n">
        <v>43668.71875</v>
      </c>
      <c r="F1802" s="52" t="inlineStr">
        <is>
          <t>Super Carlin Gaming</t>
        </is>
      </c>
      <c r="G1802" t="inlineStr">
        <is>
          <t>Fun with Flags |  Super Smash Brothers #47</t>
        </is>
      </c>
      <c r="H1802" s="44" t="n">
        <v>0.01395833333333333</v>
      </c>
      <c r="I1802" s="45" t="n">
        <v>4877</v>
      </c>
      <c r="J1802" s="45" t="n">
        <v>229</v>
      </c>
      <c r="K1802" s="45" t="n">
        <v>79</v>
      </c>
      <c r="L1802" s="46" t="n"/>
      <c r="M1802" s="47" t="n"/>
      <c r="N1802" s="47" t="inlineStr">
        <is>
          <t>UCor_9jRnNNZVzTuQ92PKsaQ</t>
        </is>
      </c>
      <c r="O1802" s="48" t="n">
        <v>43668.88541666666</v>
      </c>
      <c r="P1802" s="49" t="n">
        <v>43668</v>
      </c>
      <c r="Q1802" s="47" t="n">
        <v>1466</v>
      </c>
      <c r="R1802" s="47" t="inlineStr">
        <is>
          <t>No Video ID yet</t>
        </is>
      </c>
      <c r="S1802" s="49" t="n"/>
      <c r="T1802" s="49" t="n"/>
      <c r="U1802" s="47" t="inlineStr">
        <is>
          <t>Can we beat our super charged Amiibo’s? J, Ben and DK take turns facing off against these mighty foes while answering your questions! If you want us to challenge your Amiibo, send it to the PO Box listed below!</t>
        </is>
      </c>
      <c r="V1802" s="47">
        <f>IF(AND(P1802&gt;=Calendar!$K$2,P1802&lt;EDATE(Calendar!$K$2,1),OR(Calendar!$K$4="*",N1802=Calendar!$K$4)),P1802*100+COUNTIFS($P$6:$P$3267,P1802,$Q$6:$Q$3267,"&lt;="&amp;Q1802,$N$6:$N$3267,Calendar!$K$4),"")</f>
        <v/>
      </c>
      <c r="W1802" s="47">
        <f>IF(AND(B1802=Queue!$C$4,OR(Queue!$K$4="*",N1802=Queue!$K$4)),Q1802,"")</f>
        <v/>
      </c>
    </row>
    <row r="1803">
      <c r="A1803" s="38">
        <f>IF(M1803="","",HYPERLINK("https://www.youtube.com/watch?v="&amp;M1803,"▶"))</f>
        <v/>
      </c>
      <c r="B1803" s="39">
        <f>IF(C1803&lt;&gt;"",C1803,IF(P1803&lt;=IFERROR(INDEX(tblChannels[Watched Through],MATCH(N1803,tblChannels[Channel ID],0)),0),"Watched","Unwatched"))</f>
        <v/>
      </c>
      <c r="C1803" s="40" t="n"/>
      <c r="D1803" s="41" t="n"/>
      <c r="E1803" s="42" t="n">
        <v>43665.41666666666</v>
      </c>
      <c r="F1803" s="52" t="inlineStr">
        <is>
          <t>Super Carlin Gaming</t>
        </is>
      </c>
      <c r="G1803" t="inlineStr">
        <is>
          <t>Return of Tomjon |  Pokémon X Nuzlocke #31</t>
        </is>
      </c>
      <c r="H1803" s="44" t="n">
        <v>0.02193287037037037</v>
      </c>
      <c r="I1803" s="45" t="n">
        <v>18218</v>
      </c>
      <c r="J1803" s="45" t="n">
        <v>635</v>
      </c>
      <c r="K1803" s="45" t="n">
        <v>347</v>
      </c>
      <c r="L1803" s="46" t="n"/>
      <c r="M1803" s="47" t="n"/>
      <c r="N1803" s="47" t="inlineStr">
        <is>
          <t>UCor_9jRnNNZVzTuQ92PKsaQ</t>
        </is>
      </c>
      <c r="O1803" s="48" t="n">
        <v>43665.58333333334</v>
      </c>
      <c r="P1803" s="49" t="n">
        <v>43665</v>
      </c>
      <c r="Q1803" s="47" t="n">
        <v>1465</v>
      </c>
      <c r="R1803" s="47" t="inlineStr">
        <is>
          <t>No Video ID yet</t>
        </is>
      </c>
      <c r="S1803" s="49" t="n"/>
      <c r="T1803" s="49" t="n"/>
      <c r="U1803" s="47" t="n"/>
      <c r="V1803" s="47">
        <f>IF(AND(P1803&gt;=Calendar!$K$2,P1803&lt;EDATE(Calendar!$K$2,1),OR(Calendar!$K$4="*",N1803=Calendar!$K$4)),P1803*100+COUNTIFS($P$6:$P$3267,P1803,$Q$6:$Q$3267,"&lt;="&amp;Q1803,$N$6:$N$3267,Calendar!$K$4),"")</f>
        <v/>
      </c>
      <c r="W1803" s="47">
        <f>IF(AND(B1803=Queue!$C$4,OR(Queue!$K$4="*",N1803=Queue!$K$4)),Q1803,"")</f>
        <v/>
      </c>
    </row>
    <row r="1804">
      <c r="A1804" s="38">
        <f>IF(M1804="","",HYPERLINK("https://www.youtube.com/watch?v="&amp;M1804,"▶"))</f>
        <v/>
      </c>
      <c r="B1804" s="39">
        <f>IF(C1804&lt;&gt;"",C1804,IF(P1804&lt;=IFERROR(INDEX(tblChannels[Watched Through],MATCH(N1804,tblChannels[Channel ID],0)),0),"Watched","Unwatched"))</f>
        <v/>
      </c>
      <c r="C1804" s="40" t="n"/>
      <c r="D1804" s="41" t="n"/>
      <c r="E1804" s="42" t="n">
        <v>43664.79166666666</v>
      </c>
      <c r="F1804" s="50" t="inlineStr">
        <is>
          <t>Super Carlin Brothers</t>
        </is>
      </c>
      <c r="G1804" t="inlineStr">
        <is>
          <t>Fast Facts: The Lion King</t>
        </is>
      </c>
      <c r="H1804" s="44" t="n">
        <v>0.005995370370370371</v>
      </c>
      <c r="I1804" s="45" t="n">
        <v>422122</v>
      </c>
      <c r="J1804" s="45" t="n">
        <v>13038</v>
      </c>
      <c r="K1804" s="45" t="n">
        <v>895</v>
      </c>
      <c r="L1804" s="46" t="n"/>
      <c r="M1804" s="47" t="n"/>
      <c r="N1804" s="47" t="inlineStr">
        <is>
          <t>UCKZo4N0lVPccBkSiuyVh4yg</t>
        </is>
      </c>
      <c r="O1804" s="48" t="n">
        <v>43664.95833333334</v>
      </c>
      <c r="P1804" s="49" t="n">
        <v>43664</v>
      </c>
      <c r="Q1804" s="47" t="n">
        <v>1464</v>
      </c>
      <c r="R1804" s="47" t="inlineStr">
        <is>
          <t>No Video ID yet</t>
        </is>
      </c>
      <c r="S1804" s="49" t="n"/>
      <c r="T1804" s="49" t="n"/>
      <c r="U1804" s="47" t="inlineStr">
        <is>
          <t>Get 15% off your Vincero Watch order with Promo Code: SCB VinceroWatches :: Today Ben dives into the world of Disney’s The Lion King to uncover every Easter Egg and random fact we could find about the movie!</t>
        </is>
      </c>
      <c r="V1804" s="47">
        <f>IF(AND(P1804&gt;=Calendar!$K$2,P1804&lt;EDATE(Calendar!$K$2,1),OR(Calendar!$K$4="*",N1804=Calendar!$K$4)),P1804*100+COUNTIFS($P$6:$P$3267,P1804,$Q$6:$Q$3267,"&lt;="&amp;Q1804,$N$6:$N$3267,Calendar!$K$4),"")</f>
        <v/>
      </c>
      <c r="W1804" s="47">
        <f>IF(AND(B1804=Queue!$C$4,OR(Queue!$K$4="*",N1804=Queue!$K$4)),Q1804,"")</f>
        <v/>
      </c>
    </row>
    <row r="1805">
      <c r="A1805" s="38">
        <f>IF(M1805="","",HYPERLINK("https://www.youtube.com/watch?v="&amp;M1805,"▶"))</f>
        <v/>
      </c>
      <c r="B1805" s="39">
        <f>IF(C1805&lt;&gt;"",C1805,IF(P1805&lt;=IFERROR(INDEX(tblChannels[Watched Through],MATCH(N1805,tblChannels[Channel ID],0)),0),"Watched","Unwatched"))</f>
        <v/>
      </c>
      <c r="C1805" s="40" t="n"/>
      <c r="D1805" s="41" t="n"/>
      <c r="E1805" s="42" t="n">
        <v>43663.41666666666</v>
      </c>
      <c r="F1805" s="52" t="inlineStr">
        <is>
          <t>Super Carlin Gaming</t>
        </is>
      </c>
      <c r="G1805" t="inlineStr">
        <is>
          <t>Into the Ice Cave |  Pokémon X Nuzlocke #30</t>
        </is>
      </c>
      <c r="H1805" s="44" t="n">
        <v>0.02179398148148148</v>
      </c>
      <c r="I1805" s="45" t="n">
        <v>19215</v>
      </c>
      <c r="J1805" s="45" t="n">
        <v>649</v>
      </c>
      <c r="K1805" s="45" t="n">
        <v>102</v>
      </c>
      <c r="L1805" s="46" t="n"/>
      <c r="M1805" s="47" t="n"/>
      <c r="N1805" s="47" t="inlineStr">
        <is>
          <t>UCor_9jRnNNZVzTuQ92PKsaQ</t>
        </is>
      </c>
      <c r="O1805" s="48" t="n">
        <v>43663.58333333334</v>
      </c>
      <c r="P1805" s="49" t="n">
        <v>43663</v>
      </c>
      <c r="Q1805" s="47" t="n">
        <v>1463</v>
      </c>
      <c r="R1805" s="47" t="inlineStr">
        <is>
          <t>No Video ID yet</t>
        </is>
      </c>
      <c r="S1805" s="49" t="n"/>
      <c r="T1805" s="49" t="n"/>
      <c r="U1805" s="47" t="n"/>
      <c r="V1805" s="47">
        <f>IF(AND(P1805&gt;=Calendar!$K$2,P1805&lt;EDATE(Calendar!$K$2,1),OR(Calendar!$K$4="*",N1805=Calendar!$K$4)),P1805*100+COUNTIFS($P$6:$P$3267,P1805,$Q$6:$Q$3267,"&lt;="&amp;Q1805,$N$6:$N$3267,Calendar!$K$4),"")</f>
        <v/>
      </c>
      <c r="W1805" s="47">
        <f>IF(AND(B1805=Queue!$C$4,OR(Queue!$K$4="*",N1805=Queue!$K$4)),Q1805,"")</f>
        <v/>
      </c>
    </row>
    <row r="1806">
      <c r="A1806" s="38">
        <f>IF(M1806="","",HYPERLINK("https://www.youtube.com/watch?v="&amp;M1806,"▶"))</f>
        <v/>
      </c>
      <c r="B1806" s="39">
        <f>IF(C1806&lt;&gt;"",C1806,IF(P1806&lt;=IFERROR(INDEX(tblChannels[Watched Through],MATCH(N1806,tblChannels[Channel ID],0)),0),"Watched","Unwatched"))</f>
        <v/>
      </c>
      <c r="C1806" s="40" t="n"/>
      <c r="D1806" s="41" t="n"/>
      <c r="E1806" s="42" t="n">
        <v>43662.83819444444</v>
      </c>
      <c r="F1806" s="50" t="inlineStr">
        <is>
          <t>Super Carlin Brothers</t>
        </is>
      </c>
      <c r="G1806" t="inlineStr">
        <is>
          <t>How Toy Story 4 Fits Into The Pixar Theory</t>
        </is>
      </c>
      <c r="H1806" s="44" t="n">
        <v>0.007175925925925926</v>
      </c>
      <c r="I1806" s="45" t="n">
        <v>556220</v>
      </c>
      <c r="J1806" s="45" t="n">
        <v>19565</v>
      </c>
      <c r="K1806" s="45" t="n">
        <v>1965</v>
      </c>
      <c r="L1806" s="46" t="n"/>
      <c r="M1806" s="47" t="n"/>
      <c r="N1806" s="47" t="inlineStr">
        <is>
          <t>UCKZo4N0lVPccBkSiuyVh4yg</t>
        </is>
      </c>
      <c r="O1806" s="48" t="n">
        <v>43663.00486111111</v>
      </c>
      <c r="P1806" s="49" t="n">
        <v>43662</v>
      </c>
      <c r="Q1806" s="47" t="n">
        <v>1462</v>
      </c>
      <c r="R1806" s="47" t="inlineStr">
        <is>
          <t>No Video ID yet</t>
        </is>
      </c>
      <c r="S1806" s="49" t="n"/>
      <c r="T1806" s="49" t="n"/>
      <c r="U1806" s="47" t="inlineStr">
        <is>
          <t>Today J dives into the world of Pixar to discuss how Toy Story 4 fits into the greater Pixar Theory! See how our new intro was made ::</t>
        </is>
      </c>
      <c r="V1806" s="47">
        <f>IF(AND(P1806&gt;=Calendar!$K$2,P1806&lt;EDATE(Calendar!$K$2,1),OR(Calendar!$K$4="*",N1806=Calendar!$K$4)),P1806*100+COUNTIFS($P$6:$P$3267,P1806,$Q$6:$Q$3267,"&lt;="&amp;Q1806,$N$6:$N$3267,Calendar!$K$4),"")</f>
        <v/>
      </c>
      <c r="W1806" s="47">
        <f>IF(AND(B1806=Queue!$C$4,OR(Queue!$K$4="*",N1806=Queue!$K$4)),Q1806,"")</f>
        <v/>
      </c>
    </row>
    <row r="1807">
      <c r="A1807" s="38">
        <f>IF(M1807="","",HYPERLINK("https://www.youtube.com/watch?v="&amp;M1807,"▶"))</f>
        <v/>
      </c>
      <c r="B1807" s="39">
        <f>IF(C1807&lt;&gt;"",C1807,IF(P1807&lt;=IFERROR(INDEX(tblChannels[Watched Through],MATCH(N1807,tblChannels[Channel ID],0)),0),"Watched","Unwatched"))</f>
        <v/>
      </c>
      <c r="C1807" s="40" t="n"/>
      <c r="D1807" s="41" t="n"/>
      <c r="E1807" s="42" t="n">
        <v>43661.58888888889</v>
      </c>
      <c r="F1807" s="52" t="inlineStr">
        <is>
          <t>Super Carlin Gaming</t>
        </is>
      </c>
      <c r="G1807" t="inlineStr">
        <is>
          <t>I Like Water |  Super Smash Brothers Ultimate #46</t>
        </is>
      </c>
      <c r="H1807" s="44" t="n">
        <v>0.01208333333333333</v>
      </c>
      <c r="I1807" s="45" t="n">
        <v>4507</v>
      </c>
      <c r="J1807" s="45" t="n">
        <v>206</v>
      </c>
      <c r="K1807" s="45" t="n">
        <v>50</v>
      </c>
      <c r="L1807" s="46" t="n"/>
      <c r="M1807" s="47" t="n"/>
      <c r="N1807" s="47" t="inlineStr">
        <is>
          <t>UCor_9jRnNNZVzTuQ92PKsaQ</t>
        </is>
      </c>
      <c r="O1807" s="48" t="n">
        <v>43661.75555555556</v>
      </c>
      <c r="P1807" s="49" t="n">
        <v>43661</v>
      </c>
      <c r="Q1807" s="47" t="n">
        <v>1461</v>
      </c>
      <c r="R1807" s="47" t="inlineStr">
        <is>
          <t>No Video ID yet</t>
        </is>
      </c>
      <c r="S1807" s="49" t="n"/>
      <c r="T1807" s="49" t="n"/>
      <c r="U1807" s="47" t="inlineStr">
        <is>
          <t>Can we beat our super charged Amiibo’s? J, Ben and DK take turns facing off against these mighty foes while answering your questions! If you want us to challenge your Amiibo, send it to the PO Box listed below!</t>
        </is>
      </c>
      <c r="V1807" s="47">
        <f>IF(AND(P1807&gt;=Calendar!$K$2,P1807&lt;EDATE(Calendar!$K$2,1),OR(Calendar!$K$4="*",N1807=Calendar!$K$4)),P1807*100+COUNTIFS($P$6:$P$3267,P1807,$Q$6:$Q$3267,"&lt;="&amp;Q1807,$N$6:$N$3267,Calendar!$K$4),"")</f>
        <v/>
      </c>
      <c r="W1807" s="47">
        <f>IF(AND(B1807=Queue!$C$4,OR(Queue!$K$4="*",N1807=Queue!$K$4)),Q1807,"")</f>
        <v/>
      </c>
    </row>
    <row r="1808">
      <c r="A1808" s="38">
        <f>IF(M1808="","",HYPERLINK("https://www.youtube.com/watch?v="&amp;M1808,"▶"))</f>
        <v/>
      </c>
      <c r="B1808" s="39">
        <f>IF(C1808&lt;&gt;"",C1808,IF(P1808&lt;=IFERROR(INDEX(tblChannels[Watched Through],MATCH(N1808,tblChannels[Channel ID],0)),0),"Watched","Unwatched"))</f>
        <v/>
      </c>
      <c r="C1808" s="40" t="n"/>
      <c r="D1808" s="41" t="n"/>
      <c r="E1808" s="42" t="n">
        <v>43657.62222222222</v>
      </c>
      <c r="F1808" s="50" t="inlineStr">
        <is>
          <t>Super Carlin Brothers</t>
        </is>
      </c>
      <c r="G1808" t="inlineStr">
        <is>
          <t>Mulan's SECRET Legacy: McDonalds Szechuan Sauce</t>
        </is>
      </c>
      <c r="H1808" s="44" t="n">
        <v>0.01128472222222222</v>
      </c>
      <c r="I1808" s="45" t="n">
        <v>231427</v>
      </c>
      <c r="J1808" s="45" t="n">
        <v>10933</v>
      </c>
      <c r="K1808" s="45" t="n">
        <v>1415</v>
      </c>
      <c r="L1808" s="46" t="n"/>
      <c r="M1808" s="47" t="n"/>
      <c r="N1808" s="47" t="inlineStr">
        <is>
          <t>UCKZo4N0lVPccBkSiuyVh4yg</t>
        </is>
      </c>
      <c r="O1808" s="48" t="n">
        <v>43657.78888888889</v>
      </c>
      <c r="P1808" s="49" t="n">
        <v>43657</v>
      </c>
      <c r="Q1808" s="47" t="n">
        <v>1460</v>
      </c>
      <c r="R1808" s="47" t="inlineStr">
        <is>
          <t>No Video ID yet</t>
        </is>
      </c>
      <c r="S1808" s="49" t="n"/>
      <c r="T1808" s="49" t="n"/>
      <c r="U1808" s="47" t="inlineStr">
        <is>
          <t>Go to or text SCB to 500-500 to get started today! Today Ben dives into Mulan's history to tell the tale of her secret legacy: McDonald's Szechuan Sauce Babish Makes the Szechuan Sauce :: Being gives back to Dave Wasman ::</t>
        </is>
      </c>
      <c r="V1808" s="47">
        <f>IF(AND(P1808&gt;=Calendar!$K$2,P1808&lt;EDATE(Calendar!$K$2,1),OR(Calendar!$K$4="*",N1808=Calendar!$K$4)),P1808*100+COUNTIFS($P$6:$P$3267,P1808,$Q$6:$Q$3267,"&lt;="&amp;Q1808,$N$6:$N$3267,Calendar!$K$4),"")</f>
        <v/>
      </c>
      <c r="W1808" s="47">
        <f>IF(AND(B1808=Queue!$C$4,OR(Queue!$K$4="*",N1808=Queue!$K$4)),Q1808,"")</f>
        <v/>
      </c>
    </row>
    <row r="1809">
      <c r="A1809" s="38">
        <f>IF(M1809="","",HYPERLINK("https://www.youtube.com/watch?v="&amp;M1809,"▶"))</f>
        <v/>
      </c>
      <c r="B1809" s="39">
        <f>IF(C1809&lt;&gt;"",C1809,IF(P1809&lt;=IFERROR(INDEX(tblChannels[Watched Through],MATCH(N1809,tblChannels[Channel ID],0)),0),"Watched","Unwatched"))</f>
        <v/>
      </c>
      <c r="C1809" s="40" t="n"/>
      <c r="D1809" s="41" t="n"/>
      <c r="E1809" s="42" t="n">
        <v>43656.41666666666</v>
      </c>
      <c r="F1809" s="52" t="inlineStr">
        <is>
          <t>Super Carlin Gaming</t>
        </is>
      </c>
      <c r="G1809" t="inlineStr">
        <is>
          <t>Literal Garbage |  Pokémon X Nuzlocke #29</t>
        </is>
      </c>
      <c r="H1809" s="44" t="n">
        <v>0.02600694444444444</v>
      </c>
      <c r="I1809" s="45" t="n">
        <v>21704</v>
      </c>
      <c r="J1809" s="45" t="n">
        <v>667</v>
      </c>
      <c r="K1809" s="45" t="n">
        <v>231</v>
      </c>
      <c r="L1809" s="46" t="n"/>
      <c r="M1809" s="47" t="n"/>
      <c r="N1809" s="47" t="inlineStr">
        <is>
          <t>UCor_9jRnNNZVzTuQ92PKsaQ</t>
        </is>
      </c>
      <c r="O1809" s="48" t="n">
        <v>43656.58333333334</v>
      </c>
      <c r="P1809" s="49" t="n">
        <v>43656</v>
      </c>
      <c r="Q1809" s="47" t="n">
        <v>1459</v>
      </c>
      <c r="R1809" s="47" t="inlineStr">
        <is>
          <t>No Video ID yet</t>
        </is>
      </c>
      <c r="S1809" s="49" t="n"/>
      <c r="T1809" s="49" t="n"/>
      <c r="U1809" s="47" t="n"/>
      <c r="V1809" s="47">
        <f>IF(AND(P1809&gt;=Calendar!$K$2,P1809&lt;EDATE(Calendar!$K$2,1),OR(Calendar!$K$4="*",N1809=Calendar!$K$4)),P1809*100+COUNTIFS($P$6:$P$3267,P1809,$Q$6:$Q$3267,"&lt;="&amp;Q1809,$N$6:$N$3267,Calendar!$K$4),"")</f>
        <v/>
      </c>
      <c r="W1809" s="47">
        <f>IF(AND(B1809=Queue!$C$4,OR(Queue!$K$4="*",N1809=Queue!$K$4)),Q1809,"")</f>
        <v/>
      </c>
    </row>
    <row r="1810">
      <c r="A1810" s="38">
        <f>IF(M1810="","",HYPERLINK("https://www.youtube.com/watch?v="&amp;M1810,"▶"))</f>
        <v/>
      </c>
      <c r="B1810" s="39">
        <f>IF(C1810&lt;&gt;"",C1810,IF(P1810&lt;=IFERROR(INDEX(tblChannels[Watched Through],MATCH(N1810,tblChannels[Channel ID],0)),0),"Watched","Unwatched"))</f>
        <v/>
      </c>
      <c r="C1810" s="40" t="n"/>
      <c r="D1810" s="41" t="n"/>
      <c r="E1810" s="42" t="n">
        <v>43655.63541666666</v>
      </c>
      <c r="F1810" s="50" t="inlineStr">
        <is>
          <t>Super Carlin Brothers</t>
        </is>
      </c>
      <c r="G1810" t="inlineStr">
        <is>
          <t>Spider-Man Far From Home REVIEW</t>
        </is>
      </c>
      <c r="H1810" s="44" t="n">
        <v>0.03456018518518519</v>
      </c>
      <c r="I1810" s="45" t="n">
        <v>391183</v>
      </c>
      <c r="J1810" s="45" t="n">
        <v>11643</v>
      </c>
      <c r="K1810" s="45" t="n">
        <v>2645</v>
      </c>
      <c r="L1810" s="46" t="n"/>
      <c r="M1810" s="47" t="n"/>
      <c r="N1810" s="47" t="inlineStr">
        <is>
          <t>UCKZo4N0lVPccBkSiuyVh4yg</t>
        </is>
      </c>
      <c r="O1810" s="48" t="n">
        <v>43655.80208333334</v>
      </c>
      <c r="P1810" s="49" t="n">
        <v>43655</v>
      </c>
      <c r="Q1810" s="47" t="n">
        <v>1458</v>
      </c>
      <c r="R1810" s="47" t="inlineStr">
        <is>
          <t>No Video ID yet</t>
        </is>
      </c>
      <c r="S1810" s="49" t="n"/>
      <c r="T1810" s="49" t="n"/>
      <c r="U1810" s="47" t="inlineStr">
        <is>
          <t>Today J and Ben dive into the MCU to give their full SPOILER review of Marvel's Spider-Man Far From Home. Is Peter Parker the next Iron Man? Is this the best Spider-Man movie? How does it rank vs the rest of the MCU?</t>
        </is>
      </c>
      <c r="V1810" s="47">
        <f>IF(AND(P1810&gt;=Calendar!$K$2,P1810&lt;EDATE(Calendar!$K$2,1),OR(Calendar!$K$4="*",N1810=Calendar!$K$4)),P1810*100+COUNTIFS($P$6:$P$3267,P1810,$Q$6:$Q$3267,"&lt;="&amp;Q1810,$N$6:$N$3267,Calendar!$K$4),"")</f>
        <v/>
      </c>
      <c r="W1810" s="47">
        <f>IF(AND(B1810=Queue!$C$4,OR(Queue!$K$4="*",N1810=Queue!$K$4)),Q1810,"")</f>
        <v/>
      </c>
    </row>
    <row r="1811">
      <c r="A1811" s="38">
        <f>IF(M1811="","",HYPERLINK("https://www.youtube.com/watch?v="&amp;M1811,"▶"))</f>
        <v/>
      </c>
      <c r="B1811" s="39">
        <f>IF(C1811&lt;&gt;"",C1811,IF(P1811&lt;=IFERROR(INDEX(tblChannels[Watched Through],MATCH(N1811,tblChannels[Channel ID],0)),0),"Watched","Unwatched"))</f>
        <v/>
      </c>
      <c r="C1811" s="40" t="n"/>
      <c r="D1811" s="41" t="n"/>
      <c r="E1811" s="42" t="n">
        <v>43654.62430555555</v>
      </c>
      <c r="F1811" s="53" t="inlineStr">
        <is>
          <t>Jonathan Carlin</t>
        </is>
      </c>
      <c r="G1811" t="inlineStr">
        <is>
          <t>BACK TO FLORIDA</t>
        </is>
      </c>
      <c r="H1811" s="44" t="n">
        <v>0.01008101851851852</v>
      </c>
      <c r="I1811" s="45" t="n">
        <v>33986</v>
      </c>
      <c r="J1811" s="45" t="n">
        <v>1823</v>
      </c>
      <c r="K1811" s="45" t="n">
        <v>272</v>
      </c>
      <c r="L1811" s="46" t="n"/>
      <c r="M1811" s="47" t="n"/>
      <c r="N1811" s="47" t="inlineStr">
        <is>
          <t>UCYPKFe86e6nm4TVUYKLsFUQ</t>
        </is>
      </c>
      <c r="O1811" s="48" t="n">
        <v>43654.79097222222</v>
      </c>
      <c r="P1811" s="49" t="n">
        <v>43654</v>
      </c>
      <c r="Q1811" s="47" t="n">
        <v>1457</v>
      </c>
      <c r="R1811" s="47" t="inlineStr">
        <is>
          <t>No Video ID yet</t>
        </is>
      </c>
      <c r="S1811" s="49" t="n"/>
      <c r="T1811" s="49" t="n"/>
      <c r="U1811" s="47" t="inlineStr">
        <is>
          <t>This week J, Beth and Luke head back down to Florida for a week of poolside relaxation... and as an added bonus J gives one of his world famous tours of the venue!</t>
        </is>
      </c>
      <c r="V1811" s="47">
        <f>IF(AND(P1811&gt;=Calendar!$K$2,P1811&lt;EDATE(Calendar!$K$2,1),OR(Calendar!$K$4="*",N1811=Calendar!$K$4)),P1811*100+COUNTIFS($P$6:$P$3267,P1811,$Q$6:$Q$3267,"&lt;="&amp;Q1811,$N$6:$N$3267,Calendar!$K$4),"")</f>
        <v/>
      </c>
      <c r="W1811" s="47">
        <f>IF(AND(B1811=Queue!$C$4,OR(Queue!$K$4="*",N1811=Queue!$K$4)),Q1811,"")</f>
        <v/>
      </c>
    </row>
    <row r="1812">
      <c r="A1812" s="38">
        <f>IF(M1812="","",HYPERLINK("https://www.youtube.com/watch?v="&amp;M1812,"▶"))</f>
        <v/>
      </c>
      <c r="B1812" s="39">
        <f>IF(C1812&lt;&gt;"",C1812,IF(P1812&lt;=IFERROR(INDEX(tblChannels[Watched Through],MATCH(N1812,tblChannels[Channel ID],0)),0),"Watched","Unwatched"))</f>
        <v/>
      </c>
      <c r="C1812" s="40" t="n"/>
      <c r="D1812" s="41" t="n"/>
      <c r="E1812" s="42" t="n">
        <v>43650.625</v>
      </c>
      <c r="F1812" s="50" t="inlineStr">
        <is>
          <t>Super Carlin Brothers</t>
        </is>
      </c>
      <c r="G1812" t="inlineStr">
        <is>
          <t>Spider-Man Far From Home Post Credit Scene Explained</t>
        </is>
      </c>
      <c r="H1812" s="44" t="n">
        <v>0.008680555555555556</v>
      </c>
      <c r="I1812" s="45" t="n">
        <v>595998</v>
      </c>
      <c r="J1812" s="45" t="n">
        <v>16668</v>
      </c>
      <c r="K1812" s="45" t="n">
        <v>1882</v>
      </c>
      <c r="L1812" s="46" t="n"/>
      <c r="M1812" s="47" t="n"/>
      <c r="N1812" s="47" t="inlineStr">
        <is>
          <t>UCKZo4N0lVPccBkSiuyVh4yg</t>
        </is>
      </c>
      <c r="O1812" s="48" t="n">
        <v>43650.79166666666</v>
      </c>
      <c r="P1812" s="49" t="n">
        <v>43650</v>
      </c>
      <c r="Q1812" s="47" t="n">
        <v>1456</v>
      </c>
      <c r="R1812" s="47" t="inlineStr">
        <is>
          <t>No Video ID yet</t>
        </is>
      </c>
      <c r="S1812" s="49" t="n"/>
      <c r="T1812" s="49" t="n"/>
      <c r="U1812" s="47" t="inlineStr">
        <is>
          <t>Come watch Lion King with us in Chicago :: Today Ben dives into the world of the MCU to dissect the post credit scene from Spider-Man Far From Home to see what it's setting up for later in Phase 4!</t>
        </is>
      </c>
      <c r="V1812" s="47">
        <f>IF(AND(P1812&gt;=Calendar!$K$2,P1812&lt;EDATE(Calendar!$K$2,1),OR(Calendar!$K$4="*",N1812=Calendar!$K$4)),P1812*100+COUNTIFS($P$6:$P$3267,P1812,$Q$6:$Q$3267,"&lt;="&amp;Q1812,$N$6:$N$3267,Calendar!$K$4),"")</f>
        <v/>
      </c>
      <c r="W1812" s="47">
        <f>IF(AND(B1812=Queue!$C$4,OR(Queue!$K$4="*",N1812=Queue!$K$4)),Q1812,"")</f>
        <v/>
      </c>
    </row>
    <row r="1813">
      <c r="A1813" s="38">
        <f>IF(M1813="","",HYPERLINK("https://www.youtube.com/watch?v="&amp;M1813,"▶"))</f>
        <v/>
      </c>
      <c r="B1813" s="39">
        <f>IF(C1813&lt;&gt;"",C1813,IF(P1813&lt;=IFERROR(INDEX(tblChannels[Watched Through],MATCH(N1813,tblChannels[Channel ID],0)),0),"Watched","Unwatched"))</f>
        <v/>
      </c>
      <c r="C1813" s="40" t="n"/>
      <c r="D1813" s="41" t="n"/>
      <c r="E1813" s="42" t="n">
        <v>43649.65277777778</v>
      </c>
      <c r="F1813" s="52" t="inlineStr">
        <is>
          <t>Super Carlin Gaming</t>
        </is>
      </c>
      <c r="G1813" t="inlineStr">
        <is>
          <t>A Shadow Ball |  Pokémon X Nuzlocke #28</t>
        </is>
      </c>
      <c r="H1813" s="44" t="n">
        <v>0.02009259259259259</v>
      </c>
      <c r="I1813" s="45" t="n">
        <v>23088</v>
      </c>
      <c r="J1813" s="45" t="n">
        <v>706</v>
      </c>
      <c r="K1813" s="45" t="n">
        <v>375</v>
      </c>
      <c r="L1813" s="46" t="n"/>
      <c r="M1813" s="47" t="n"/>
      <c r="N1813" s="47" t="inlineStr">
        <is>
          <t>UCor_9jRnNNZVzTuQ92PKsaQ</t>
        </is>
      </c>
      <c r="O1813" s="48" t="n">
        <v>43649.81944444445</v>
      </c>
      <c r="P1813" s="49" t="n">
        <v>43649</v>
      </c>
      <c r="Q1813" s="47" t="n">
        <v>1455</v>
      </c>
      <c r="R1813" s="47" t="inlineStr">
        <is>
          <t>No Video ID yet</t>
        </is>
      </c>
      <c r="S1813" s="49" t="n"/>
      <c r="T1813" s="49" t="n"/>
      <c r="U1813" s="47" t="n"/>
      <c r="V1813" s="47">
        <f>IF(AND(P1813&gt;=Calendar!$K$2,P1813&lt;EDATE(Calendar!$K$2,1),OR(Calendar!$K$4="*",N1813=Calendar!$K$4)),P1813*100+COUNTIFS($P$6:$P$3267,P1813,$Q$6:$Q$3267,"&lt;="&amp;Q1813,$N$6:$N$3267,Calendar!$K$4),"")</f>
        <v/>
      </c>
      <c r="W1813" s="47">
        <f>IF(AND(B1813=Queue!$C$4,OR(Queue!$K$4="*",N1813=Queue!$K$4)),Q1813,"")</f>
        <v/>
      </c>
    </row>
    <row r="1814">
      <c r="A1814" s="38">
        <f>IF(M1814="","",HYPERLINK("https://www.youtube.com/watch?v="&amp;M1814,"▶"))</f>
        <v/>
      </c>
      <c r="B1814" s="39">
        <f>IF(C1814&lt;&gt;"",C1814,IF(P1814&lt;=IFERROR(INDEX(tblChannels[Watched Through],MATCH(N1814,tblChannels[Channel ID],0)),0),"Watched","Unwatched"))</f>
        <v/>
      </c>
      <c r="C1814" s="40" t="n"/>
      <c r="D1814" s="41" t="n"/>
      <c r="E1814" s="42" t="n">
        <v>43648.77916666667</v>
      </c>
      <c r="F1814" s="50" t="inlineStr">
        <is>
          <t>Super Carlin Brothers</t>
        </is>
      </c>
      <c r="G1814" t="inlineStr">
        <is>
          <t>HOW TO PLAY WIZARDS UNITE</t>
        </is>
      </c>
      <c r="H1814" s="44" t="n">
        <v>0.01329861111111111</v>
      </c>
      <c r="I1814" s="45" t="n">
        <v>205169</v>
      </c>
      <c r="J1814" s="45" t="n">
        <v>6766</v>
      </c>
      <c r="K1814" s="45" t="n">
        <v>1024</v>
      </c>
      <c r="L1814" s="46" t="n"/>
      <c r="M1814" s="47" t="n"/>
      <c r="N1814" s="47" t="inlineStr">
        <is>
          <t>UCKZo4N0lVPccBkSiuyVh4yg</t>
        </is>
      </c>
      <c r="O1814" s="48" t="n">
        <v>43648.94583333333</v>
      </c>
      <c r="P1814" s="49" t="n">
        <v>43648</v>
      </c>
      <c r="Q1814" s="47" t="n">
        <v>1454</v>
      </c>
      <c r="R1814" s="47" t="inlineStr">
        <is>
          <t>No Video ID yet</t>
        </is>
      </c>
      <c r="S1814" s="49" t="n"/>
      <c r="T1814" s="49" t="n"/>
      <c r="U1814" s="47" t="inlineStr">
        <is>
          <t>Today J dives into the Wizarding World of Harry Potter and explains How to Play Wizards Unite! From Confoundables, professions, portkeys, and potions we explain all of the basics of what you need to keep track of to get started in Wizards Unite! #WizardsUnite #Niantic</t>
        </is>
      </c>
      <c r="V1814" s="47">
        <f>IF(AND(P1814&gt;=Calendar!$K$2,P1814&lt;EDATE(Calendar!$K$2,1),OR(Calendar!$K$4="*",N1814=Calendar!$K$4)),P1814*100+COUNTIFS($P$6:$P$3267,P1814,$Q$6:$Q$3267,"&lt;="&amp;Q1814,$N$6:$N$3267,Calendar!$K$4),"")</f>
        <v/>
      </c>
      <c r="W1814" s="47">
        <f>IF(AND(B1814=Queue!$C$4,OR(Queue!$K$4="*",N1814=Queue!$K$4)),Q1814,"")</f>
        <v/>
      </c>
    </row>
    <row r="1815">
      <c r="A1815" s="38">
        <f>IF(M1815="","",HYPERLINK("https://www.youtube.com/watch?v="&amp;M1815,"▶"))</f>
        <v/>
      </c>
      <c r="B1815" s="39">
        <f>IF(C1815&lt;&gt;"",C1815,IF(P1815&lt;=IFERROR(INDEX(tblChannels[Watched Through],MATCH(N1815,tblChannels[Channel ID],0)),0),"Watched","Unwatched"))</f>
        <v/>
      </c>
      <c r="C1815" s="40" t="n"/>
      <c r="D1815" s="41" t="n"/>
      <c r="E1815" s="42" t="n">
        <v>43648.66875</v>
      </c>
      <c r="F1815" s="53" t="inlineStr">
        <is>
          <t>Jonathan Carlin</t>
        </is>
      </c>
      <c r="G1815" t="inlineStr">
        <is>
          <t>WE GOT A POPCORN MAKER</t>
        </is>
      </c>
      <c r="H1815" s="44" t="n">
        <v>0.004548611111111111</v>
      </c>
      <c r="I1815" s="45" t="n">
        <v>28098</v>
      </c>
      <c r="J1815" s="45" t="n">
        <v>1756</v>
      </c>
      <c r="K1815" s="45" t="n">
        <v>162</v>
      </c>
      <c r="L1815" s="46" t="n"/>
      <c r="M1815" s="47" t="n"/>
      <c r="N1815" s="47" t="inlineStr">
        <is>
          <t>UCYPKFe86e6nm4TVUYKLsFUQ</t>
        </is>
      </c>
      <c r="O1815" s="48" t="n">
        <v>43648.83541666667</v>
      </c>
      <c r="P1815" s="49" t="n">
        <v>43648</v>
      </c>
      <c r="Q1815" s="47" t="n">
        <v>1453</v>
      </c>
      <c r="R1815" s="47" t="inlineStr">
        <is>
          <t>No Video ID yet</t>
        </is>
      </c>
      <c r="S1815" s="49" t="n"/>
      <c r="T1815" s="49" t="n"/>
      <c r="U1815" s="47" t="inlineStr">
        <is>
          <t>This week the SCB office gets a brand new LEGIT popcorn maker! Also J contemplates his relationship with rain and Luke prepares for a vacation! Popcorn Maker ::</t>
        </is>
      </c>
      <c r="V1815" s="47">
        <f>IF(AND(P1815&gt;=Calendar!$K$2,P1815&lt;EDATE(Calendar!$K$2,1),OR(Calendar!$K$4="*",N1815=Calendar!$K$4)),P1815*100+COUNTIFS($P$6:$P$3267,P1815,$Q$6:$Q$3267,"&lt;="&amp;Q1815,$N$6:$N$3267,Calendar!$K$4),"")</f>
        <v/>
      </c>
      <c r="W1815" s="47">
        <f>IF(AND(B1815=Queue!$C$4,OR(Queue!$K$4="*",N1815=Queue!$K$4)),Q1815,"")</f>
        <v/>
      </c>
    </row>
    <row r="1816">
      <c r="A1816" s="38">
        <f>IF(M1816="","",HYPERLINK("https://www.youtube.com/watch?v="&amp;M1816,"▶"))</f>
        <v/>
      </c>
      <c r="B1816" s="39">
        <f>IF(C1816&lt;&gt;"",C1816,IF(P1816&lt;=IFERROR(INDEX(tblChannels[Watched Through],MATCH(N1816,tblChannels[Channel ID],0)),0),"Watched","Unwatched"))</f>
        <v/>
      </c>
      <c r="C1816" s="40" t="n"/>
      <c r="D1816" s="41" t="n"/>
      <c r="E1816" s="42" t="n">
        <v>43648.56666666667</v>
      </c>
      <c r="F1816" s="52" t="inlineStr">
        <is>
          <t>Super Carlin Gaming</t>
        </is>
      </c>
      <c r="G1816" t="inlineStr">
        <is>
          <t>Building Your Dating Profile | Super Smash Bros #45</t>
        </is>
      </c>
      <c r="H1816" s="44" t="n">
        <v>0.01090277777777778</v>
      </c>
      <c r="I1816" s="45" t="n">
        <v>4219</v>
      </c>
      <c r="J1816" s="45" t="n">
        <v>199</v>
      </c>
      <c r="K1816" s="45" t="n">
        <v>50</v>
      </c>
      <c r="L1816" s="46" t="n"/>
      <c r="M1816" s="47" t="n"/>
      <c r="N1816" s="47" t="inlineStr">
        <is>
          <t>UCor_9jRnNNZVzTuQ92PKsaQ</t>
        </is>
      </c>
      <c r="O1816" s="48" t="n">
        <v>43648.73333333333</v>
      </c>
      <c r="P1816" s="49" t="n">
        <v>43648</v>
      </c>
      <c r="Q1816" s="47" t="n">
        <v>1452</v>
      </c>
      <c r="R1816" s="47" t="inlineStr">
        <is>
          <t>No Video ID yet</t>
        </is>
      </c>
      <c r="S1816" s="49" t="n"/>
      <c r="T1816" s="49" t="n"/>
      <c r="U1816" s="47" t="inlineStr">
        <is>
          <t>Can we beat our super charged Amiibo’s? J, Ben and DK take turns facing off against these mighty foes while answering your questions! If you want us to challenge your Amiibo, send it to the PO Box listed below!</t>
        </is>
      </c>
      <c r="V1816" s="47">
        <f>IF(AND(P1816&gt;=Calendar!$K$2,P1816&lt;EDATE(Calendar!$K$2,1),OR(Calendar!$K$4="*",N1816=Calendar!$K$4)),P1816*100+COUNTIFS($P$6:$P$3267,P1816,$Q$6:$Q$3267,"&lt;="&amp;Q1816,$N$6:$N$3267,Calendar!$K$4),"")</f>
        <v/>
      </c>
      <c r="W1816" s="47">
        <f>IF(AND(B1816=Queue!$C$4,OR(Queue!$K$4="*",N1816=Queue!$K$4)),Q1816,"")</f>
        <v/>
      </c>
    </row>
    <row r="1817">
      <c r="A1817" s="38">
        <f>IF(M1817="","",HYPERLINK("https://www.youtube.com/watch?v="&amp;M1817,"▶"))</f>
        <v/>
      </c>
      <c r="B1817" s="39">
        <f>IF(C1817&lt;&gt;"",C1817,IF(P1817&lt;=IFERROR(INDEX(tblChannels[Watched Through],MATCH(N1817,tblChannels[Channel ID],0)),0),"Watched","Unwatched"))</f>
        <v/>
      </c>
      <c r="C1817" s="40" t="n"/>
      <c r="D1817" s="41" t="n"/>
      <c r="E1817" s="42" t="n">
        <v>43644.41666666666</v>
      </c>
      <c r="F1817" s="52" t="inlineStr">
        <is>
          <t>Super Carlin Gaming</t>
        </is>
      </c>
      <c r="G1817" t="inlineStr">
        <is>
          <t>The Pokéball Factory |  Pokémon X Nuzlocke #27</t>
        </is>
      </c>
      <c r="H1817" s="44" t="n">
        <v>0.02017361111111111</v>
      </c>
      <c r="I1817" s="45" t="n">
        <v>20929</v>
      </c>
      <c r="J1817" s="45" t="n">
        <v>647</v>
      </c>
      <c r="K1817" s="45" t="n">
        <v>139</v>
      </c>
      <c r="L1817" s="46" t="n"/>
      <c r="M1817" s="47" t="n"/>
      <c r="N1817" s="47" t="inlineStr">
        <is>
          <t>UCor_9jRnNNZVzTuQ92PKsaQ</t>
        </is>
      </c>
      <c r="O1817" s="48" t="n">
        <v>43644.58333333334</v>
      </c>
      <c r="P1817" s="49" t="n">
        <v>43644</v>
      </c>
      <c r="Q1817" s="47" t="n">
        <v>1451</v>
      </c>
      <c r="R1817" s="47" t="inlineStr">
        <is>
          <t>No Video ID yet</t>
        </is>
      </c>
      <c r="S1817" s="49" t="n"/>
      <c r="T1817" s="49" t="n"/>
      <c r="U1817" s="47" t="n"/>
      <c r="V1817" s="47">
        <f>IF(AND(P1817&gt;=Calendar!$K$2,P1817&lt;EDATE(Calendar!$K$2,1),OR(Calendar!$K$4="*",N1817=Calendar!$K$4)),P1817*100+COUNTIFS($P$6:$P$3267,P1817,$Q$6:$Q$3267,"&lt;="&amp;Q1817,$N$6:$N$3267,Calendar!$K$4),"")</f>
        <v/>
      </c>
      <c r="W1817" s="47">
        <f>IF(AND(B1817=Queue!$C$4,OR(Queue!$K$4="*",N1817=Queue!$K$4)),Q1817,"")</f>
        <v/>
      </c>
    </row>
    <row r="1818">
      <c r="A1818" s="38">
        <f>IF(M1818="","",HYPERLINK("https://www.youtube.com/watch?v="&amp;M1818,"▶"))</f>
        <v/>
      </c>
      <c r="B1818" s="39">
        <f>IF(C1818&lt;&gt;"",C1818,IF(P1818&lt;=IFERROR(INDEX(tblChannels[Watched Through],MATCH(N1818,tblChannels[Channel ID],0)),0),"Watched","Unwatched"))</f>
        <v/>
      </c>
      <c r="C1818" s="40" t="n"/>
      <c r="D1818" s="41" t="n"/>
      <c r="E1818" s="42" t="n">
        <v>43643.80208333334</v>
      </c>
      <c r="F1818" s="50" t="inlineStr">
        <is>
          <t>Super Carlin Brothers</t>
        </is>
      </c>
      <c r="G1818" t="inlineStr">
        <is>
          <t>J vs Ben: The BIGGEST Harry Potter Trivia Quiz EVER | 2-MILLION SUBSCRIBERS</t>
        </is>
      </c>
      <c r="H1818" s="44" t="n">
        <v>0.03475694444444444</v>
      </c>
      <c r="I1818" s="45" t="n">
        <v>1893099</v>
      </c>
      <c r="J1818" s="45" t="n">
        <v>27228</v>
      </c>
      <c r="K1818" s="45" t="n">
        <v>3524</v>
      </c>
      <c r="L1818" s="46" t="n"/>
      <c r="M1818" s="47" t="n"/>
      <c r="N1818" s="47" t="inlineStr">
        <is>
          <t>UCKZo4N0lVPccBkSiuyVh4yg</t>
        </is>
      </c>
      <c r="O1818" s="48" t="n">
        <v>43643.96875</v>
      </c>
      <c r="P1818" s="49" t="n">
        <v>43643</v>
      </c>
      <c r="Q1818" s="47" t="n">
        <v>1450</v>
      </c>
      <c r="R1818" s="47" t="inlineStr">
        <is>
          <t>No Video ID yet</t>
        </is>
      </c>
      <c r="S1818" s="49" t="n"/>
      <c r="T1818" s="49" t="n"/>
      <c r="U1818" s="47" t="inlineStr">
        <is>
          <t>Get 15% off your Vincero Watch or Sunglasses! :: Promo Code: SCB Today J and Ben face off in a really rather long Harry Potter quiz to celebrate hitting 2 million subscribers and to find out who knows the most about the movies, books and Cursed Child!</t>
        </is>
      </c>
      <c r="V1818" s="47">
        <f>IF(AND(P1818&gt;=Calendar!$K$2,P1818&lt;EDATE(Calendar!$K$2,1),OR(Calendar!$K$4="*",N1818=Calendar!$K$4)),P1818*100+COUNTIFS($P$6:$P$3267,P1818,$Q$6:$Q$3267,"&lt;="&amp;Q1818,$N$6:$N$3267,Calendar!$K$4),"")</f>
        <v/>
      </c>
      <c r="W1818" s="47">
        <f>IF(AND(B1818=Queue!$C$4,OR(Queue!$K$4="*",N1818=Queue!$K$4)),Q1818,"")</f>
        <v/>
      </c>
    </row>
    <row r="1819">
      <c r="A1819" s="38">
        <f>IF(M1819="","",HYPERLINK("https://www.youtube.com/watch?v="&amp;M1819,"▶"))</f>
        <v/>
      </c>
      <c r="B1819" s="39">
        <f>IF(C1819&lt;&gt;"",C1819,IF(P1819&lt;=IFERROR(INDEX(tblChannels[Watched Through],MATCH(N1819,tblChannels[Channel ID],0)),0),"Watched","Unwatched"))</f>
        <v/>
      </c>
      <c r="C1819" s="40" t="n"/>
      <c r="D1819" s="41" t="n"/>
      <c r="E1819" s="42" t="n">
        <v>43643.41666666666</v>
      </c>
      <c r="F1819" s="52" t="inlineStr">
        <is>
          <t>Super Carlin Gaming</t>
        </is>
      </c>
      <c r="G1819" t="inlineStr">
        <is>
          <t>I Wanna Be an Actor |  Super Smash Bros #44</t>
        </is>
      </c>
      <c r="H1819" s="44" t="n">
        <v>0.01236111111111111</v>
      </c>
      <c r="I1819" s="45" t="n">
        <v>3941</v>
      </c>
      <c r="J1819" s="45" t="n">
        <v>205</v>
      </c>
      <c r="K1819" s="45" t="n">
        <v>38</v>
      </c>
      <c r="L1819" s="46" t="n"/>
      <c r="M1819" s="47" t="n"/>
      <c r="N1819" s="47" t="inlineStr">
        <is>
          <t>UCor_9jRnNNZVzTuQ92PKsaQ</t>
        </is>
      </c>
      <c r="O1819" s="48" t="n">
        <v>43643.58333333334</v>
      </c>
      <c r="P1819" s="49" t="n">
        <v>43643</v>
      </c>
      <c r="Q1819" s="47" t="n">
        <v>1449</v>
      </c>
      <c r="R1819" s="47" t="inlineStr">
        <is>
          <t>No Video ID yet</t>
        </is>
      </c>
      <c r="S1819" s="49" t="n"/>
      <c r="T1819" s="49" t="n"/>
      <c r="U1819" s="47" t="inlineStr">
        <is>
          <t>Can we beat our super charged Amiibo’s? J, Ben and DK take turns facing off against these mighty foes while answering your questions! If you want us to challenge your Amiibo, send it to the PO Box listed below!</t>
        </is>
      </c>
      <c r="V1819" s="47">
        <f>IF(AND(P1819&gt;=Calendar!$K$2,P1819&lt;EDATE(Calendar!$K$2,1),OR(Calendar!$K$4="*",N1819=Calendar!$K$4)),P1819*100+COUNTIFS($P$6:$P$3267,P1819,$Q$6:$Q$3267,"&lt;="&amp;Q1819,$N$6:$N$3267,Calendar!$K$4),"")</f>
        <v/>
      </c>
      <c r="W1819" s="47">
        <f>IF(AND(B1819=Queue!$C$4,OR(Queue!$K$4="*",N1819=Queue!$K$4)),Q1819,"")</f>
        <v/>
      </c>
    </row>
    <row r="1820">
      <c r="A1820" s="38">
        <f>IF(M1820="","",HYPERLINK("https://www.youtube.com/watch?v="&amp;M1820,"▶"))</f>
        <v/>
      </c>
      <c r="B1820" s="39">
        <f>IF(C1820&lt;&gt;"",C1820,IF(P1820&lt;=IFERROR(INDEX(tblChannels[Watched Through],MATCH(N1820,tblChannels[Channel ID],0)),0),"Watched","Unwatched"))</f>
        <v/>
      </c>
      <c r="C1820" s="40" t="n"/>
      <c r="D1820" s="41" t="n"/>
      <c r="E1820" s="42" t="n">
        <v>43642.65416666667</v>
      </c>
      <c r="F1820" s="50" t="inlineStr">
        <is>
          <t>Super Carlin Brothers</t>
        </is>
      </c>
      <c r="G1820" t="inlineStr">
        <is>
          <t>COUNTDOWN to 2 Million Subs!</t>
        </is>
      </c>
      <c r="H1820" s="44" t="n">
        <v>0.0487037037037037</v>
      </c>
      <c r="I1820" s="45" t="n">
        <v>133493</v>
      </c>
      <c r="J1820" s="45" t="n">
        <v>5979</v>
      </c>
      <c r="K1820" s="45" t="n">
        <v>367</v>
      </c>
      <c r="L1820" s="46" t="n"/>
      <c r="M1820" s="47" t="n"/>
      <c r="N1820" s="47" t="inlineStr">
        <is>
          <t>UCKZo4N0lVPccBkSiuyVh4yg</t>
        </is>
      </c>
      <c r="O1820" s="48" t="n">
        <v>43642.82083333333</v>
      </c>
      <c r="P1820" s="49" t="n">
        <v>43642</v>
      </c>
      <c r="Q1820" s="47" t="n">
        <v>1448</v>
      </c>
      <c r="R1820" s="47" t="inlineStr">
        <is>
          <t>No Video ID yet</t>
        </is>
      </c>
      <c r="S1820" s="49" t="n"/>
      <c r="T1820" s="49" t="n"/>
      <c r="U1820" s="47" t="inlineStr">
        <is>
          <t>Watch with us as we count down to 2 million subscribers!!</t>
        </is>
      </c>
      <c r="V1820" s="47">
        <f>IF(AND(P1820&gt;=Calendar!$K$2,P1820&lt;EDATE(Calendar!$K$2,1),OR(Calendar!$K$4="*",N1820=Calendar!$K$4)),P1820*100+COUNTIFS($P$6:$P$3267,P1820,$Q$6:$Q$3267,"&lt;="&amp;Q1820,$N$6:$N$3267,Calendar!$K$4),"")</f>
        <v/>
      </c>
      <c r="W1820" s="47">
        <f>IF(AND(B1820=Queue!$C$4,OR(Queue!$K$4="*",N1820=Queue!$K$4)),Q1820,"")</f>
        <v/>
      </c>
    </row>
    <row r="1821">
      <c r="A1821" s="38">
        <f>IF(M1821="","",HYPERLINK("https://www.youtube.com/watch?v="&amp;M1821,"▶"))</f>
        <v/>
      </c>
      <c r="B1821" s="39">
        <f>IF(C1821&lt;&gt;"",C1821,IF(P1821&lt;=IFERROR(INDEX(tblChannels[Watched Through],MATCH(N1821,tblChannels[Channel ID],0)),0),"Watched","Unwatched"))</f>
        <v/>
      </c>
      <c r="C1821" s="40" t="n"/>
      <c r="D1821" s="41" t="n"/>
      <c r="E1821" s="42" t="n">
        <v>43642.41666666666</v>
      </c>
      <c r="F1821" s="52" t="inlineStr">
        <is>
          <t>Super Carlin Gaming</t>
        </is>
      </c>
      <c r="G1821" t="inlineStr">
        <is>
          <t>The Fairy Gym |  Pokémon X Nuzlocke #26</t>
        </is>
      </c>
      <c r="H1821" s="44" t="n">
        <v>0.03483796296296297</v>
      </c>
      <c r="I1821" s="45" t="n">
        <v>23556</v>
      </c>
      <c r="J1821" s="45" t="n">
        <v>770</v>
      </c>
      <c r="K1821" s="45" t="n">
        <v>220</v>
      </c>
      <c r="L1821" s="46" t="n"/>
      <c r="M1821" s="47" t="n"/>
      <c r="N1821" s="47" t="inlineStr">
        <is>
          <t>UCor_9jRnNNZVzTuQ92PKsaQ</t>
        </is>
      </c>
      <c r="O1821" s="48" t="n">
        <v>43642.58333333334</v>
      </c>
      <c r="P1821" s="49" t="n">
        <v>43642</v>
      </c>
      <c r="Q1821" s="47" t="n">
        <v>1447</v>
      </c>
      <c r="R1821" s="47" t="inlineStr">
        <is>
          <t>No Video ID yet</t>
        </is>
      </c>
      <c r="S1821" s="49" t="n"/>
      <c r="T1821" s="49" t="n"/>
      <c r="U1821" s="47" t="n"/>
      <c r="V1821" s="47">
        <f>IF(AND(P1821&gt;=Calendar!$K$2,P1821&lt;EDATE(Calendar!$K$2,1),OR(Calendar!$K$4="*",N1821=Calendar!$K$4)),P1821*100+COUNTIFS($P$6:$P$3267,P1821,$Q$6:$Q$3267,"&lt;="&amp;Q1821,$N$6:$N$3267,Calendar!$K$4),"")</f>
        <v/>
      </c>
      <c r="W1821" s="47">
        <f>IF(AND(B1821=Queue!$C$4,OR(Queue!$K$4="*",N1821=Queue!$K$4)),Q1821,"")</f>
        <v/>
      </c>
    </row>
    <row r="1822">
      <c r="A1822" s="38">
        <f>IF(M1822="","",HYPERLINK("https://www.youtube.com/watch?v="&amp;M1822,"▶"))</f>
        <v/>
      </c>
      <c r="B1822" s="39">
        <f>IF(C1822&lt;&gt;"",C1822,IF(P1822&lt;=IFERROR(INDEX(tblChannels[Watched Through],MATCH(N1822,tblChannels[Channel ID],0)),0),"Watched","Unwatched"))</f>
        <v/>
      </c>
      <c r="C1822" s="40" t="n"/>
      <c r="D1822" s="41" t="n"/>
      <c r="E1822" s="42" t="n">
        <v>43641.64930555555</v>
      </c>
      <c r="F1822" s="50" t="inlineStr">
        <is>
          <t>Super Carlin Brothers</t>
        </is>
      </c>
      <c r="G1822" t="inlineStr">
        <is>
          <t>Is Toy Story 4 the Best Toy Story Movie? | Spoiler Review</t>
        </is>
      </c>
      <c r="H1822" s="44" t="n">
        <v>0.03347222222222222</v>
      </c>
      <c r="I1822" s="45" t="n">
        <v>369487</v>
      </c>
      <c r="J1822" s="45" t="n">
        <v>11877</v>
      </c>
      <c r="K1822" s="45" t="n">
        <v>3509</v>
      </c>
      <c r="L1822" s="46" t="n"/>
      <c r="M1822" s="47" t="n"/>
      <c r="N1822" s="47" t="inlineStr">
        <is>
          <t>UCKZo4N0lVPccBkSiuyVh4yg</t>
        </is>
      </c>
      <c r="O1822" s="48" t="n">
        <v>43641.81597222222</v>
      </c>
      <c r="P1822" s="49" t="n">
        <v>43641</v>
      </c>
      <c r="Q1822" s="47" t="n">
        <v>1446</v>
      </c>
      <c r="R1822" s="47" t="inlineStr">
        <is>
          <t>No Video ID yet</t>
        </is>
      </c>
      <c r="S1822" s="49" t="n"/>
      <c r="T1822" s="49" t="n"/>
      <c r="U1822" s="47" t="inlineStr">
        <is>
          <t>Today J and Ben dive into the wonderful world of Pixar and give their full spoiler review of Toy Story 4 to try and determine if it is actually the best Toy Story movie ever.</t>
        </is>
      </c>
      <c r="V1822" s="47">
        <f>IF(AND(P1822&gt;=Calendar!$K$2,P1822&lt;EDATE(Calendar!$K$2,1),OR(Calendar!$K$4="*",N1822=Calendar!$K$4)),P1822*100+COUNTIFS($P$6:$P$3267,P1822,$Q$6:$Q$3267,"&lt;="&amp;Q1822,$N$6:$N$3267,Calendar!$K$4),"")</f>
        <v/>
      </c>
      <c r="W1822" s="47">
        <f>IF(AND(B1822=Queue!$C$4,OR(Queue!$K$4="*",N1822=Queue!$K$4)),Q1822,"")</f>
        <v/>
      </c>
    </row>
    <row r="1823">
      <c r="A1823" s="38">
        <f>IF(M1823="","",HYPERLINK("https://www.youtube.com/watch?v="&amp;M1823,"▶"))</f>
        <v/>
      </c>
      <c r="B1823" s="39">
        <f>IF(C1823&lt;&gt;"",C1823,IF(P1823&lt;=IFERROR(INDEX(tblChannels[Watched Through],MATCH(N1823,tblChannels[Channel ID],0)),0),"Watched","Unwatched"))</f>
        <v/>
      </c>
      <c r="C1823" s="40" t="n"/>
      <c r="D1823" s="41" t="n"/>
      <c r="E1823" s="42" t="n">
        <v>43641.43888888889</v>
      </c>
      <c r="F1823" s="53" t="inlineStr">
        <is>
          <t>Jonathan Carlin</t>
        </is>
      </c>
      <c r="G1823" t="inlineStr">
        <is>
          <t>Luke Has Surgery</t>
        </is>
      </c>
      <c r="H1823" s="44" t="n">
        <v>0.00380787037037037</v>
      </c>
      <c r="I1823" s="45" t="n">
        <v>60498</v>
      </c>
      <c r="J1823" s="45" t="n">
        <v>3417</v>
      </c>
      <c r="K1823" s="45" t="n">
        <v>277</v>
      </c>
      <c r="L1823" s="46" t="n"/>
      <c r="M1823" s="47" t="n"/>
      <c r="N1823" s="47" t="inlineStr">
        <is>
          <t>UCYPKFe86e6nm4TVUYKLsFUQ</t>
        </is>
      </c>
      <c r="O1823" s="48" t="n">
        <v>43641.60555555556</v>
      </c>
      <c r="P1823" s="49" t="n">
        <v>43641</v>
      </c>
      <c r="Q1823" s="47" t="n">
        <v>1445</v>
      </c>
      <c r="R1823" s="47" t="inlineStr">
        <is>
          <t>No Video ID yet</t>
        </is>
      </c>
      <c r="S1823" s="49" t="n"/>
      <c r="T1823" s="49" t="n"/>
      <c r="U1823" s="47" t="inlineStr">
        <is>
          <t>This week J and Beth emotionally prepare for Luke to undergo some very routine surgery.</t>
        </is>
      </c>
      <c r="V1823" s="47">
        <f>IF(AND(P1823&gt;=Calendar!$K$2,P1823&lt;EDATE(Calendar!$K$2,1),OR(Calendar!$K$4="*",N1823=Calendar!$K$4)),P1823*100+COUNTIFS($P$6:$P$3267,P1823,$Q$6:$Q$3267,"&lt;="&amp;Q1823,$N$6:$N$3267,Calendar!$K$4),"")</f>
        <v/>
      </c>
      <c r="W1823" s="47">
        <f>IF(AND(B1823=Queue!$C$4,OR(Queue!$K$4="*",N1823=Queue!$K$4)),Q1823,"")</f>
        <v/>
      </c>
    </row>
    <row r="1824">
      <c r="A1824" s="38">
        <f>IF(M1824="","",HYPERLINK("https://www.youtube.com/watch?v="&amp;M1824,"▶"))</f>
        <v/>
      </c>
      <c r="B1824" s="39">
        <f>IF(C1824&lt;&gt;"",C1824,IF(P1824&lt;=IFERROR(INDEX(tblChannels[Watched Through],MATCH(N1824,tblChannels[Channel ID],0)),0),"Watched","Unwatched"))</f>
        <v/>
      </c>
      <c r="C1824" s="40" t="n"/>
      <c r="D1824" s="41" t="n"/>
      <c r="E1824" s="42" t="n">
        <v>43640.65277777778</v>
      </c>
      <c r="F1824" s="52" t="inlineStr">
        <is>
          <t>Super Carlin Gaming</t>
        </is>
      </c>
      <c r="G1824" t="inlineStr">
        <is>
          <t>Best Friend In Love With ME!? | Super Smash Bros #43</t>
        </is>
      </c>
      <c r="H1824" s="44" t="n">
        <v>0.01482638888888889</v>
      </c>
      <c r="I1824" s="45" t="n">
        <v>3817</v>
      </c>
      <c r="J1824" s="45" t="n">
        <v>225</v>
      </c>
      <c r="K1824" s="45" t="n">
        <v>61</v>
      </c>
      <c r="L1824" s="46" t="n"/>
      <c r="M1824" s="47" t="n"/>
      <c r="N1824" s="47" t="inlineStr">
        <is>
          <t>UCor_9jRnNNZVzTuQ92PKsaQ</t>
        </is>
      </c>
      <c r="O1824" s="48" t="n">
        <v>43640.81944444445</v>
      </c>
      <c r="P1824" s="49" t="n">
        <v>43640</v>
      </c>
      <c r="Q1824" s="47" t="n">
        <v>1444</v>
      </c>
      <c r="R1824" s="47" t="inlineStr">
        <is>
          <t>No Video ID yet</t>
        </is>
      </c>
      <c r="S1824" s="49" t="n"/>
      <c r="T1824" s="49" t="n"/>
      <c r="U1824" s="47" t="inlineStr">
        <is>
          <t>Can we beat our super charged Amiibo’s? J, Ben and DK take turns facing off against these mighty foes while answering your questions! If you want us to challenge your Amiibo, send it to the PO Box listed below!</t>
        </is>
      </c>
      <c r="V1824" s="47">
        <f>IF(AND(P1824&gt;=Calendar!$K$2,P1824&lt;EDATE(Calendar!$K$2,1),OR(Calendar!$K$4="*",N1824=Calendar!$K$4)),P1824*100+COUNTIFS($P$6:$P$3267,P1824,$Q$6:$Q$3267,"&lt;="&amp;Q1824,$N$6:$N$3267,Calendar!$K$4),"")</f>
        <v/>
      </c>
      <c r="W1824" s="47">
        <f>IF(AND(B1824=Queue!$C$4,OR(Queue!$K$4="*",N1824=Queue!$K$4)),Q1824,"")</f>
        <v/>
      </c>
    </row>
    <row r="1825">
      <c r="A1825" s="38">
        <f>IF(M1825="","",HYPERLINK("https://www.youtube.com/watch?v="&amp;M1825,"▶"))</f>
        <v/>
      </c>
      <c r="B1825" s="39">
        <f>IF(C1825&lt;&gt;"",C1825,IF(P1825&lt;=IFERROR(INDEX(tblChannels[Watched Through],MATCH(N1825,tblChannels[Channel ID],0)),0),"Watched","Unwatched"))</f>
        <v/>
      </c>
      <c r="C1825" s="40" t="n"/>
      <c r="D1825" s="41" t="n"/>
      <c r="E1825" s="42" t="n">
        <v>43637.41666666666</v>
      </c>
      <c r="F1825" s="52" t="inlineStr">
        <is>
          <t>Super Carlin Gaming</t>
        </is>
      </c>
      <c r="G1825" t="inlineStr">
        <is>
          <t>The Marsh March |  Pokémon X Nuzlocke #25</t>
        </is>
      </c>
      <c r="H1825" s="44" t="n">
        <v>0.01803240740740741</v>
      </c>
      <c r="I1825" s="45" t="n">
        <v>20918</v>
      </c>
      <c r="J1825" s="45" t="n">
        <v>681</v>
      </c>
      <c r="K1825" s="45" t="n">
        <v>262</v>
      </c>
      <c r="L1825" s="46" t="n"/>
      <c r="M1825" s="47" t="n"/>
      <c r="N1825" s="47" t="inlineStr">
        <is>
          <t>UCor_9jRnNNZVzTuQ92PKsaQ</t>
        </is>
      </c>
      <c r="O1825" s="48" t="n">
        <v>43637.58333333334</v>
      </c>
      <c r="P1825" s="49" t="n">
        <v>43637</v>
      </c>
      <c r="Q1825" s="47" t="n">
        <v>1443</v>
      </c>
      <c r="R1825" s="47" t="inlineStr">
        <is>
          <t>No Video ID yet</t>
        </is>
      </c>
      <c r="S1825" s="49" t="n"/>
      <c r="T1825" s="49" t="n"/>
      <c r="U1825" s="47" t="n"/>
      <c r="V1825" s="47">
        <f>IF(AND(P1825&gt;=Calendar!$K$2,P1825&lt;EDATE(Calendar!$K$2,1),OR(Calendar!$K$4="*",N1825=Calendar!$K$4)),P1825*100+COUNTIFS($P$6:$P$3267,P1825,$Q$6:$Q$3267,"&lt;="&amp;Q1825,$N$6:$N$3267,Calendar!$K$4),"")</f>
        <v/>
      </c>
      <c r="W1825" s="47">
        <f>IF(AND(B1825=Queue!$C$4,OR(Queue!$K$4="*",N1825=Queue!$K$4)),Q1825,"")</f>
        <v/>
      </c>
    </row>
    <row r="1826">
      <c r="A1826" s="38">
        <f>IF(M1826="","",HYPERLINK("https://www.youtube.com/watch?v="&amp;M1826,"▶"))</f>
        <v/>
      </c>
      <c r="B1826" s="39">
        <f>IF(C1826&lt;&gt;"",C1826,IF(P1826&lt;=IFERROR(INDEX(tblChannels[Watched Through],MATCH(N1826,tblChannels[Channel ID],0)),0),"Watched","Unwatched"))</f>
        <v/>
      </c>
      <c r="C1826" s="40" t="n"/>
      <c r="D1826" s="41" t="n"/>
      <c r="E1826" s="42" t="n">
        <v>43636.69375</v>
      </c>
      <c r="F1826" s="50" t="inlineStr">
        <is>
          <t>Super Carlin Brothers</t>
        </is>
      </c>
      <c r="G1826" t="inlineStr">
        <is>
          <t>Is Onward Andy's Imagination!? | Pixar Theory</t>
        </is>
      </c>
      <c r="H1826" s="44" t="n">
        <v>0.00869212962962963</v>
      </c>
      <c r="I1826" s="45" t="n">
        <v>701547</v>
      </c>
      <c r="J1826" s="45" t="n">
        <v>24022</v>
      </c>
      <c r="K1826" s="45" t="n">
        <v>2835</v>
      </c>
      <c r="L1826" s="46" t="n"/>
      <c r="M1826" s="47" t="n"/>
      <c r="N1826" s="47" t="inlineStr">
        <is>
          <t>UCKZo4N0lVPccBkSiuyVh4yg</t>
        </is>
      </c>
      <c r="O1826" s="48" t="n">
        <v>43636.86041666667</v>
      </c>
      <c r="P1826" s="49" t="n">
        <v>43636</v>
      </c>
      <c r="Q1826" s="47" t="n">
        <v>1442</v>
      </c>
      <c r="R1826" s="47" t="inlineStr">
        <is>
          <t>No Video ID yet</t>
        </is>
      </c>
      <c r="S1826" s="49" t="n"/>
      <c r="T1826" s="49" t="n"/>
      <c r="U1826" s="47" t="inlineStr">
        <is>
          <t>In today’s episode Ben takes a look at Pixar’s brand new fantasy world found in Onward and discusses the parallels between Ian and Andy. Is it possible that this whole world has actually be created by the ever imaginative Andy?! Could Onward Break the Pixar Theory? The COMPLETE Pixar Theory:</t>
        </is>
      </c>
      <c r="V1826" s="47">
        <f>IF(AND(P1826&gt;=Calendar!$K$2,P1826&lt;EDATE(Calendar!$K$2,1),OR(Calendar!$K$4="*",N1826=Calendar!$K$4)),P1826*100+COUNTIFS($P$6:$P$3267,P1826,$Q$6:$Q$3267,"&lt;="&amp;Q1826,$N$6:$N$3267,Calendar!$K$4),"")</f>
        <v/>
      </c>
      <c r="W1826" s="47">
        <f>IF(AND(B1826=Queue!$C$4,OR(Queue!$K$4="*",N1826=Queue!$K$4)),Q1826,"")</f>
        <v/>
      </c>
    </row>
    <row r="1827">
      <c r="A1827" s="38">
        <f>IF(M1827="","",HYPERLINK("https://www.youtube.com/watch?v="&amp;M1827,"▶"))</f>
        <v/>
      </c>
      <c r="B1827" s="39">
        <f>IF(C1827&lt;&gt;"",C1827,IF(P1827&lt;=IFERROR(INDEX(tblChannels[Watched Through],MATCH(N1827,tblChannels[Channel ID],0)),0),"Watched","Unwatched"))</f>
        <v/>
      </c>
      <c r="C1827" s="40" t="n"/>
      <c r="D1827" s="41" t="n"/>
      <c r="E1827" s="42" t="n">
        <v>43636.45277777778</v>
      </c>
      <c r="F1827" s="52" t="inlineStr">
        <is>
          <t>Super Carlin Gaming</t>
        </is>
      </c>
      <c r="G1827" t="inlineStr">
        <is>
          <t>Confuse Ray! |  Pokémon X Nuzlocke #24</t>
        </is>
      </c>
      <c r="H1827" s="44" t="n">
        <v>0.0237037037037037</v>
      </c>
      <c r="I1827" s="45" t="n">
        <v>21612</v>
      </c>
      <c r="J1827" s="45" t="n">
        <v>693</v>
      </c>
      <c r="K1827" s="45" t="n">
        <v>197</v>
      </c>
      <c r="L1827" s="46" t="n"/>
      <c r="M1827" s="47" t="n"/>
      <c r="N1827" s="47" t="inlineStr">
        <is>
          <t>UCor_9jRnNNZVzTuQ92PKsaQ</t>
        </is>
      </c>
      <c r="O1827" s="48" t="n">
        <v>43636.61944444444</v>
      </c>
      <c r="P1827" s="49" t="n">
        <v>43636</v>
      </c>
      <c r="Q1827" s="47" t="n">
        <v>1441</v>
      </c>
      <c r="R1827" s="47" t="inlineStr">
        <is>
          <t>No Video ID yet</t>
        </is>
      </c>
      <c r="S1827" s="49" t="n"/>
      <c r="T1827" s="49" t="n"/>
      <c r="U1827" s="47" t="n"/>
      <c r="V1827" s="47">
        <f>IF(AND(P1827&gt;=Calendar!$K$2,P1827&lt;EDATE(Calendar!$K$2,1),OR(Calendar!$K$4="*",N1827=Calendar!$K$4)),P1827*100+COUNTIFS($P$6:$P$3267,P1827,$Q$6:$Q$3267,"&lt;="&amp;Q1827,$N$6:$N$3267,Calendar!$K$4),"")</f>
        <v/>
      </c>
      <c r="W1827" s="47">
        <f>IF(AND(B1827=Queue!$C$4,OR(Queue!$K$4="*",N1827=Queue!$K$4)),Q1827,"")</f>
        <v/>
      </c>
    </row>
    <row r="1828">
      <c r="A1828" s="38">
        <f>IF(M1828="","",HYPERLINK("https://www.youtube.com/watch?v="&amp;M1828,"▶"))</f>
        <v/>
      </c>
      <c r="B1828" s="39">
        <f>IF(C1828&lt;&gt;"",C1828,IF(P1828&lt;=IFERROR(INDEX(tblChannels[Watched Through],MATCH(N1828,tblChannels[Channel ID],0)),0),"Watched","Unwatched"))</f>
        <v/>
      </c>
      <c r="C1828" s="40" t="n"/>
      <c r="D1828" s="41" t="n"/>
      <c r="E1828" s="42" t="n">
        <v>43634.625</v>
      </c>
      <c r="F1828" s="50" t="inlineStr">
        <is>
          <t>Super Carlin Brothers</t>
        </is>
      </c>
      <c r="G1828" t="inlineStr">
        <is>
          <t>The SECRETS of Cinderella Castle</t>
        </is>
      </c>
      <c r="H1828" s="44" t="n">
        <v>0.006238425925925926</v>
      </c>
      <c r="I1828" s="45" t="n">
        <v>278602</v>
      </c>
      <c r="J1828" s="45" t="n">
        <v>13049</v>
      </c>
      <c r="K1828" s="45" t="n">
        <v>882</v>
      </c>
      <c r="L1828" s="46" t="n"/>
      <c r="M1828" s="47" t="n"/>
      <c r="N1828" s="47" t="inlineStr">
        <is>
          <t>UCKZo4N0lVPccBkSiuyVh4yg</t>
        </is>
      </c>
      <c r="O1828" s="48" t="n">
        <v>43634.79166666666</v>
      </c>
      <c r="P1828" s="49" t="n">
        <v>43634</v>
      </c>
      <c r="Q1828" s="47" t="n">
        <v>1440</v>
      </c>
      <c r="R1828" s="47" t="inlineStr">
        <is>
          <t>No Video ID yet</t>
        </is>
      </c>
      <c r="S1828" s="49" t="n"/>
      <c r="T1828" s="49" t="n"/>
      <c r="U1828" s="47" t="inlineStr">
        <is>
          <t>This video includes a paid partnership with Disney. #ad Best Day Ever Instagram :: Today J dives into the magical land of Walt Disney World to explore and uncover all of the Secrets of Cinderella Castle! #DisneyWorld</t>
        </is>
      </c>
      <c r="V1828" s="47">
        <f>IF(AND(P1828&gt;=Calendar!$K$2,P1828&lt;EDATE(Calendar!$K$2,1),OR(Calendar!$K$4="*",N1828=Calendar!$K$4)),P1828*100+COUNTIFS($P$6:$P$3267,P1828,$Q$6:$Q$3267,"&lt;="&amp;Q1828,$N$6:$N$3267,Calendar!$K$4),"")</f>
        <v/>
      </c>
      <c r="W1828" s="47">
        <f>IF(AND(B1828=Queue!$C$4,OR(Queue!$K$4="*",N1828=Queue!$K$4)),Q1828,"")</f>
        <v/>
      </c>
    </row>
    <row r="1829">
      <c r="A1829" s="38">
        <f>IF(M1829="","",HYPERLINK("https://www.youtube.com/watch?v="&amp;M1829,"▶"))</f>
        <v/>
      </c>
      <c r="B1829" s="39">
        <f>IF(C1829&lt;&gt;"",C1829,IF(P1829&lt;=IFERROR(INDEX(tblChannels[Watched Through],MATCH(N1829,tblChannels[Channel ID],0)),0),"Watched","Unwatched"))</f>
        <v/>
      </c>
      <c r="C1829" s="40" t="n"/>
      <c r="D1829" s="41" t="n"/>
      <c r="E1829" s="42" t="n">
        <v>43633.65694444445</v>
      </c>
      <c r="F1829" s="52" t="inlineStr">
        <is>
          <t>Super Carlin Gaming</t>
        </is>
      </c>
      <c r="G1829" t="inlineStr">
        <is>
          <t>I've Got a Baby Face! |  Super Smash Bros #42</t>
        </is>
      </c>
      <c r="H1829" s="44" t="n">
        <v>0.01359953703703704</v>
      </c>
      <c r="I1829" s="45" t="n">
        <v>4366</v>
      </c>
      <c r="J1829" s="45" t="n">
        <v>215</v>
      </c>
      <c r="K1829" s="45" t="n">
        <v>81</v>
      </c>
      <c r="L1829" s="46" t="n"/>
      <c r="M1829" s="47" t="n"/>
      <c r="N1829" s="47" t="inlineStr">
        <is>
          <t>UCor_9jRnNNZVzTuQ92PKsaQ</t>
        </is>
      </c>
      <c r="O1829" s="48" t="n">
        <v>43633.82361111111</v>
      </c>
      <c r="P1829" s="49" t="n">
        <v>43633</v>
      </c>
      <c r="Q1829" s="47" t="n">
        <v>1439</v>
      </c>
      <c r="R1829" s="47" t="inlineStr">
        <is>
          <t>No Video ID yet</t>
        </is>
      </c>
      <c r="S1829" s="49" t="n"/>
      <c r="T1829" s="49" t="n"/>
      <c r="U1829" s="47" t="inlineStr">
        <is>
          <t>Can we beat our super charged Amiibo’s? J, Ben and DK take turns facing off against these mighty foes while answering your questions! If you want us to challenge your Amiibo, send it to the PO Box listed below!</t>
        </is>
      </c>
      <c r="V1829" s="47">
        <f>IF(AND(P1829&gt;=Calendar!$K$2,P1829&lt;EDATE(Calendar!$K$2,1),OR(Calendar!$K$4="*",N1829=Calendar!$K$4)),P1829*100+COUNTIFS($P$6:$P$3267,P1829,$Q$6:$Q$3267,"&lt;="&amp;Q1829,$N$6:$N$3267,Calendar!$K$4),"")</f>
        <v/>
      </c>
      <c r="W1829" s="47">
        <f>IF(AND(B1829=Queue!$C$4,OR(Queue!$K$4="*",N1829=Queue!$K$4)),Q1829,"")</f>
        <v/>
      </c>
    </row>
    <row r="1830">
      <c r="A1830" s="38">
        <f>IF(M1830="","",HYPERLINK("https://www.youtube.com/watch?v="&amp;M1830,"▶"))</f>
        <v/>
      </c>
      <c r="B1830" s="39">
        <f>IF(C1830&lt;&gt;"",C1830,IF(P1830&lt;=IFERROR(INDEX(tblChannels[Watched Through],MATCH(N1830,tblChannels[Channel ID],0)),0),"Watched","Unwatched"))</f>
        <v/>
      </c>
      <c r="C1830" s="40" t="n"/>
      <c r="D1830" s="41" t="n"/>
      <c r="E1830" s="42" t="n">
        <v>43630.65486111111</v>
      </c>
      <c r="F1830" s="52" t="inlineStr">
        <is>
          <t>Super Carlin Gaming</t>
        </is>
      </c>
      <c r="G1830" t="inlineStr">
        <is>
          <t>Power Plant Problems |  Pokémon X Nuzlocke #23</t>
        </is>
      </c>
      <c r="H1830" s="44" t="n">
        <v>0.02422453703703704</v>
      </c>
      <c r="I1830" s="45" t="n">
        <v>22998</v>
      </c>
      <c r="J1830" s="45" t="n">
        <v>719</v>
      </c>
      <c r="K1830" s="45" t="n">
        <v>143</v>
      </c>
      <c r="L1830" s="46" t="n"/>
      <c r="M1830" s="47" t="n"/>
      <c r="N1830" s="47" t="inlineStr">
        <is>
          <t>UCor_9jRnNNZVzTuQ92PKsaQ</t>
        </is>
      </c>
      <c r="O1830" s="48" t="n">
        <v>43630.82152777778</v>
      </c>
      <c r="P1830" s="49" t="n">
        <v>43630</v>
      </c>
      <c r="Q1830" s="47" t="n">
        <v>1438</v>
      </c>
      <c r="R1830" s="47" t="inlineStr">
        <is>
          <t>No Video ID yet</t>
        </is>
      </c>
      <c r="S1830" s="49" t="n"/>
      <c r="T1830" s="49" t="n"/>
      <c r="U1830" s="47" t="n"/>
      <c r="V1830" s="47">
        <f>IF(AND(P1830&gt;=Calendar!$K$2,P1830&lt;EDATE(Calendar!$K$2,1),OR(Calendar!$K$4="*",N1830=Calendar!$K$4)),P1830*100+COUNTIFS($P$6:$P$3267,P1830,$Q$6:$Q$3267,"&lt;="&amp;Q1830,$N$6:$N$3267,Calendar!$K$4),"")</f>
        <v/>
      </c>
      <c r="W1830" s="47">
        <f>IF(AND(B1830=Queue!$C$4,OR(Queue!$K$4="*",N1830=Queue!$K$4)),Q1830,"")</f>
        <v/>
      </c>
    </row>
    <row r="1831">
      <c r="A1831" s="38">
        <f>IF(M1831="","",HYPERLINK("https://www.youtube.com/watch?v="&amp;M1831,"▶"))</f>
        <v/>
      </c>
      <c r="B1831" s="39">
        <f>IF(C1831&lt;&gt;"",C1831,IF(P1831&lt;=IFERROR(INDEX(tblChannels[Watched Through],MATCH(N1831,tblChannels[Channel ID],0)),0),"Watched","Unwatched"))</f>
        <v/>
      </c>
      <c r="C1831" s="40" t="n"/>
      <c r="D1831" s="41" t="n"/>
      <c r="E1831" s="42" t="n">
        <v>43629.79791666667</v>
      </c>
      <c r="F1831" s="50" t="inlineStr">
        <is>
          <t>Super Carlin Brothers</t>
        </is>
      </c>
      <c r="G1831" t="inlineStr">
        <is>
          <t>Elsa: The Last Ice Bender | Frozen 2 Theory</t>
        </is>
      </c>
      <c r="H1831" s="44" t="n">
        <v>0.0078125</v>
      </c>
      <c r="I1831" s="45" t="n">
        <v>409208</v>
      </c>
      <c r="J1831" s="45" t="n">
        <v>18335</v>
      </c>
      <c r="K1831" s="45" t="n">
        <v>2592</v>
      </c>
      <c r="L1831" s="46" t="n"/>
      <c r="M1831" s="47" t="n"/>
      <c r="N1831" s="47" t="inlineStr">
        <is>
          <t>UCKZo4N0lVPccBkSiuyVh4yg</t>
        </is>
      </c>
      <c r="O1831" s="48" t="n">
        <v>43629.96458333333</v>
      </c>
      <c r="P1831" s="49" t="n">
        <v>43629</v>
      </c>
      <c r="Q1831" s="47" t="n">
        <v>1437</v>
      </c>
      <c r="R1831" s="47" t="inlineStr">
        <is>
          <t>No Video ID yet</t>
        </is>
      </c>
      <c r="S1831" s="49" t="n"/>
      <c r="T1831" s="49" t="n"/>
      <c r="U1831" s="47" t="inlineStr">
        <is>
          <t>Today Ben dives into the world of Disney’s Frozen to analyze the new trailer and try and determine if Elsa can actually control all 4 elements!</t>
        </is>
      </c>
      <c r="V1831" s="47">
        <f>IF(AND(P1831&gt;=Calendar!$K$2,P1831&lt;EDATE(Calendar!$K$2,1),OR(Calendar!$K$4="*",N1831=Calendar!$K$4)),P1831*100+COUNTIFS($P$6:$P$3267,P1831,$Q$6:$Q$3267,"&lt;="&amp;Q1831,$N$6:$N$3267,Calendar!$K$4),"")</f>
        <v/>
      </c>
      <c r="W1831" s="47">
        <f>IF(AND(B1831=Queue!$C$4,OR(Queue!$K$4="*",N1831=Queue!$K$4)),Q1831,"")</f>
        <v/>
      </c>
    </row>
    <row r="1832">
      <c r="A1832" s="38">
        <f>IF(M1832="","",HYPERLINK("https://www.youtube.com/watch?v="&amp;M1832,"▶"))</f>
        <v/>
      </c>
      <c r="B1832" s="39">
        <f>IF(C1832&lt;&gt;"",C1832,IF(P1832&lt;=IFERROR(INDEX(tblChannels[Watched Through],MATCH(N1832,tblChannels[Channel ID],0)),0),"Watched","Unwatched"))</f>
        <v/>
      </c>
      <c r="C1832" s="40" t="n"/>
      <c r="D1832" s="41" t="n"/>
      <c r="E1832" s="42" t="n">
        <v>43628.55</v>
      </c>
      <c r="F1832" s="52" t="inlineStr">
        <is>
          <t>Super Carlin Gaming</t>
        </is>
      </c>
      <c r="G1832" t="inlineStr">
        <is>
          <t>THE RISE OF JOOJ |  Pokémon X Nuzlocke #22</t>
        </is>
      </c>
      <c r="H1832" s="44" t="n">
        <v>0.0255787037037037</v>
      </c>
      <c r="I1832" s="45" t="n">
        <v>25349</v>
      </c>
      <c r="J1832" s="45" t="n">
        <v>777</v>
      </c>
      <c r="K1832" s="45" t="n">
        <v>234</v>
      </c>
      <c r="L1832" s="46" t="n"/>
      <c r="M1832" s="47" t="n"/>
      <c r="N1832" s="47" t="inlineStr">
        <is>
          <t>UCor_9jRnNNZVzTuQ92PKsaQ</t>
        </is>
      </c>
      <c r="O1832" s="48" t="n">
        <v>43628.71666666667</v>
      </c>
      <c r="P1832" s="49" t="n">
        <v>43628</v>
      </c>
      <c r="Q1832" s="47" t="n">
        <v>1436</v>
      </c>
      <c r="R1832" s="47" t="inlineStr">
        <is>
          <t>No Video ID yet</t>
        </is>
      </c>
      <c r="S1832" s="49" t="n"/>
      <c r="T1832" s="49" t="n"/>
      <c r="U1832" s="47" t="inlineStr">
        <is>
          <t>Today J and the team take on a sneaky desert filled with traps and wild Pokemon, and try and drive Team Flare out of the Power Plant!</t>
        </is>
      </c>
      <c r="V1832" s="47">
        <f>IF(AND(P1832&gt;=Calendar!$K$2,P1832&lt;EDATE(Calendar!$K$2,1),OR(Calendar!$K$4="*",N1832=Calendar!$K$4)),P1832*100+COUNTIFS($P$6:$P$3267,P1832,$Q$6:$Q$3267,"&lt;="&amp;Q1832,$N$6:$N$3267,Calendar!$K$4),"")</f>
        <v/>
      </c>
      <c r="W1832" s="47">
        <f>IF(AND(B1832=Queue!$C$4,OR(Queue!$K$4="*",N1832=Queue!$K$4)),Q1832,"")</f>
        <v/>
      </c>
    </row>
    <row r="1833">
      <c r="A1833" s="38">
        <f>IF(M1833="","",HYPERLINK("https://www.youtube.com/watch?v="&amp;M1833,"▶"))</f>
        <v/>
      </c>
      <c r="B1833" s="39">
        <f>IF(C1833&lt;&gt;"",C1833,IF(P1833&lt;=IFERROR(INDEX(tblChannels[Watched Through],MATCH(N1833,tblChannels[Channel ID],0)),0),"Watched","Unwatched"))</f>
        <v/>
      </c>
      <c r="C1833" s="40" t="n"/>
      <c r="D1833" s="41" t="n"/>
      <c r="E1833" s="42" t="n">
        <v>43627.66805555556</v>
      </c>
      <c r="F1833" s="50" t="inlineStr">
        <is>
          <t>Super Carlin Brothers</t>
        </is>
      </c>
      <c r="G1833" t="inlineStr">
        <is>
          <t>Toy Story Land's CRAZY Google Maps Easter Egg Game</t>
        </is>
      </c>
      <c r="H1833" s="44" t="n">
        <v>0.007569444444444445</v>
      </c>
      <c r="I1833" s="45" t="n">
        <v>211953</v>
      </c>
      <c r="J1833" s="45" t="n">
        <v>9641</v>
      </c>
      <c r="K1833" s="45" t="n">
        <v>542</v>
      </c>
      <c r="L1833" s="46" t="n"/>
      <c r="M1833" s="47" t="n"/>
      <c r="N1833" s="47" t="inlineStr">
        <is>
          <t>UCKZo4N0lVPccBkSiuyVh4yg</t>
        </is>
      </c>
      <c r="O1833" s="48" t="n">
        <v>43627.83472222222</v>
      </c>
      <c r="P1833" s="49" t="n">
        <v>43627</v>
      </c>
      <c r="Q1833" s="47" t="n">
        <v>1435</v>
      </c>
      <c r="R1833" s="47" t="inlineStr">
        <is>
          <t>No Video ID yet</t>
        </is>
      </c>
      <c r="S1833" s="49" t="n"/>
      <c r="T1833" s="49" t="n"/>
      <c r="U1833" s="47" t="inlineStr">
        <is>
          <t>Today J dives into the magic of Walt Disney World and unveils a SUPER SECRET Easter Egg hunt in Toy Story Land hidden in Google Maps! Dan the Pixar Fan Umbrella Story ::</t>
        </is>
      </c>
      <c r="V1833" s="47">
        <f>IF(AND(P1833&gt;=Calendar!$K$2,P1833&lt;EDATE(Calendar!$K$2,1),OR(Calendar!$K$4="*",N1833=Calendar!$K$4)),P1833*100+COUNTIFS($P$6:$P$3267,P1833,$Q$6:$Q$3267,"&lt;="&amp;Q1833,$N$6:$N$3267,Calendar!$K$4),"")</f>
        <v/>
      </c>
      <c r="W1833" s="47">
        <f>IF(AND(B1833=Queue!$C$4,OR(Queue!$K$4="*",N1833=Queue!$K$4)),Q1833,"")</f>
        <v/>
      </c>
    </row>
    <row r="1834">
      <c r="A1834" s="38">
        <f>IF(M1834="","",HYPERLINK("https://www.youtube.com/watch?v="&amp;M1834,"▶"))</f>
        <v/>
      </c>
      <c r="B1834" s="39">
        <f>IF(C1834&lt;&gt;"",C1834,IF(P1834&lt;=IFERROR(INDEX(tblChannels[Watched Through],MATCH(N1834,tblChannels[Channel ID],0)),0),"Watched","Unwatched"))</f>
        <v/>
      </c>
      <c r="C1834" s="40" t="n"/>
      <c r="D1834" s="41" t="n"/>
      <c r="E1834" s="42" t="n">
        <v>43626.57847222222</v>
      </c>
      <c r="F1834" s="52" t="inlineStr">
        <is>
          <t>Super Carlin Gaming</t>
        </is>
      </c>
      <c r="G1834" t="inlineStr">
        <is>
          <t>5th Year Senior |  Super Smash Bros #41??</t>
        </is>
      </c>
      <c r="H1834" s="44" t="n">
        <v>0.01371527777777778</v>
      </c>
      <c r="I1834" s="45" t="n">
        <v>4500</v>
      </c>
      <c r="J1834" s="45" t="n">
        <v>217</v>
      </c>
      <c r="K1834" s="45" t="n">
        <v>45</v>
      </c>
      <c r="L1834" s="46" t="n"/>
      <c r="M1834" s="47" t="n"/>
      <c r="N1834" s="47" t="inlineStr">
        <is>
          <t>UCor_9jRnNNZVzTuQ92PKsaQ</t>
        </is>
      </c>
      <c r="O1834" s="48" t="n">
        <v>43626.74513888889</v>
      </c>
      <c r="P1834" s="49" t="n">
        <v>43626</v>
      </c>
      <c r="Q1834" s="47" t="n">
        <v>1434</v>
      </c>
      <c r="R1834" s="47" t="inlineStr">
        <is>
          <t>No Video ID yet</t>
        </is>
      </c>
      <c r="S1834" s="49" t="n"/>
      <c r="T1834" s="49" t="n"/>
      <c r="U1834" s="47" t="inlineStr">
        <is>
          <t>Can we beat our super charged Amiibo’s? J, Ben and DK take turns facing off against these mighty foes while answering your questions! If you want us to challenge your Amiibo, send it to the PO Box listed below!</t>
        </is>
      </c>
      <c r="V1834" s="47">
        <f>IF(AND(P1834&gt;=Calendar!$K$2,P1834&lt;EDATE(Calendar!$K$2,1),OR(Calendar!$K$4="*",N1834=Calendar!$K$4)),P1834*100+COUNTIFS($P$6:$P$3267,P1834,$Q$6:$Q$3267,"&lt;="&amp;Q1834,$N$6:$N$3267,Calendar!$K$4),"")</f>
        <v/>
      </c>
      <c r="W1834" s="47">
        <f>IF(AND(B1834=Queue!$C$4,OR(Queue!$K$4="*",N1834=Queue!$K$4)),Q1834,"")</f>
        <v/>
      </c>
    </row>
    <row r="1835">
      <c r="A1835" s="38">
        <f>IF(M1835="","",HYPERLINK("https://www.youtube.com/watch?v="&amp;M1835,"▶"))</f>
        <v/>
      </c>
      <c r="B1835" s="39">
        <f>IF(C1835&lt;&gt;"",C1835,IF(P1835&lt;=IFERROR(INDEX(tblChannels[Watched Through],MATCH(N1835,tblChannels[Channel ID],0)),0),"Watched","Unwatched"))</f>
        <v/>
      </c>
      <c r="C1835" s="40" t="n"/>
      <c r="D1835" s="41" t="n"/>
      <c r="E1835" s="42" t="n">
        <v>43626.43402777778</v>
      </c>
      <c r="F1835" s="53" t="inlineStr">
        <is>
          <t>Jonathan Carlin</t>
        </is>
      </c>
      <c r="G1835" t="inlineStr">
        <is>
          <t>Luke Meets Mickey Mouse! | Disney World 2019</t>
        </is>
      </c>
      <c r="H1835" s="44" t="n">
        <v>0.01105324074074074</v>
      </c>
      <c r="I1835" s="45" t="n">
        <v>58687</v>
      </c>
      <c r="J1835" s="45" t="n">
        <v>2646</v>
      </c>
      <c r="K1835" s="45" t="n">
        <v>479</v>
      </c>
      <c r="L1835" s="46" t="n"/>
      <c r="M1835" s="47" t="n"/>
      <c r="N1835" s="47" t="inlineStr">
        <is>
          <t>UCYPKFe86e6nm4TVUYKLsFUQ</t>
        </is>
      </c>
      <c r="O1835" s="48" t="n">
        <v>43626.60069444445</v>
      </c>
      <c r="P1835" s="49" t="n">
        <v>43626</v>
      </c>
      <c r="Q1835" s="47" t="n">
        <v>1433</v>
      </c>
      <c r="R1835" s="47" t="inlineStr">
        <is>
          <t>No Video ID yet</t>
        </is>
      </c>
      <c r="S1835" s="49" t="n"/>
      <c r="T1835" s="49" t="n"/>
      <c r="U1835" s="47" t="inlineStr">
        <is>
          <t>This week J and the Super Carlin Family head to Walt Disney World for a week long vacation! Luke gets to enjoy a bunch of rides, see TONS of animals, and meets Mickey Mouse!</t>
        </is>
      </c>
      <c r="V1835" s="47">
        <f>IF(AND(P1835&gt;=Calendar!$K$2,P1835&lt;EDATE(Calendar!$K$2,1),OR(Calendar!$K$4="*",N1835=Calendar!$K$4)),P1835*100+COUNTIFS($P$6:$P$3267,P1835,$Q$6:$Q$3267,"&lt;="&amp;Q1835,$N$6:$N$3267,Calendar!$K$4),"")</f>
        <v/>
      </c>
      <c r="W1835" s="47">
        <f>IF(AND(B1835=Queue!$C$4,OR(Queue!$K$4="*",N1835=Queue!$K$4)),Q1835,"")</f>
        <v/>
      </c>
    </row>
    <row r="1836">
      <c r="A1836" s="38">
        <f>IF(M1836="","",HYPERLINK("https://www.youtube.com/watch?v="&amp;M1836,"▶"))</f>
        <v/>
      </c>
      <c r="B1836" s="39">
        <f>IF(C1836&lt;&gt;"",C1836,IF(P1836&lt;=IFERROR(INDEX(tblChannels[Watched Through],MATCH(N1836,tblChannels[Channel ID],0)),0),"Watched","Unwatched"))</f>
        <v/>
      </c>
      <c r="C1836" s="40" t="n"/>
      <c r="D1836" s="41" t="n"/>
      <c r="E1836" s="42" t="n">
        <v>43623.56875</v>
      </c>
      <c r="F1836" s="52" t="inlineStr">
        <is>
          <t>Super Carlin Gaming</t>
        </is>
      </c>
      <c r="G1836" t="inlineStr">
        <is>
          <t>The Acrobatic Jumpluff.. |  Pokémon X Nuzlocke #21</t>
        </is>
      </c>
      <c r="H1836" s="44" t="n">
        <v>0.02078703703703704</v>
      </c>
      <c r="I1836" s="45" t="n">
        <v>23698</v>
      </c>
      <c r="J1836" s="45" t="n">
        <v>778</v>
      </c>
      <c r="K1836" s="45" t="n">
        <v>194</v>
      </c>
      <c r="L1836" s="46" t="n"/>
      <c r="M1836" s="47" t="n"/>
      <c r="N1836" s="47" t="inlineStr">
        <is>
          <t>UCor_9jRnNNZVzTuQ92PKsaQ</t>
        </is>
      </c>
      <c r="O1836" s="48" t="n">
        <v>43623.73541666667</v>
      </c>
      <c r="P1836" s="49" t="n">
        <v>43623</v>
      </c>
      <c r="Q1836" s="47" t="n">
        <v>1432</v>
      </c>
      <c r="R1836" s="47" t="inlineStr">
        <is>
          <t>No Video ID yet</t>
        </is>
      </c>
      <c r="S1836" s="49" t="n"/>
      <c r="T1836" s="49" t="n"/>
      <c r="U1836" s="47" t="inlineStr">
        <is>
          <t>Today J and the team take on their 4th Gym Battle, to try and win the creatively named: PLANT BADGE! Will they all survive the encounter?!</t>
        </is>
      </c>
      <c r="V1836" s="47">
        <f>IF(AND(P1836&gt;=Calendar!$K$2,P1836&lt;EDATE(Calendar!$K$2,1),OR(Calendar!$K$4="*",N1836=Calendar!$K$4)),P1836*100+COUNTIFS($P$6:$P$3267,P1836,$Q$6:$Q$3267,"&lt;="&amp;Q1836,$N$6:$N$3267,Calendar!$K$4),"")</f>
        <v/>
      </c>
      <c r="W1836" s="47">
        <f>IF(AND(B1836=Queue!$C$4,OR(Queue!$K$4="*",N1836=Queue!$K$4)),Q1836,"")</f>
        <v/>
      </c>
    </row>
    <row r="1837">
      <c r="A1837" s="38">
        <f>IF(M1837="","",HYPERLINK("https://www.youtube.com/watch?v="&amp;M1837,"▶"))</f>
        <v/>
      </c>
      <c r="B1837" s="39">
        <f>IF(C1837&lt;&gt;"",C1837,IF(P1837&lt;=IFERROR(INDEX(tblChannels[Watched Through],MATCH(N1837,tblChannels[Channel ID],0)),0),"Watched","Unwatched"))</f>
        <v/>
      </c>
      <c r="C1837" s="40" t="n"/>
      <c r="D1837" s="41" t="n"/>
      <c r="E1837" s="42" t="n">
        <v>43622.79305555556</v>
      </c>
      <c r="F1837" s="50" t="inlineStr">
        <is>
          <t>Super Carlin Brothers</t>
        </is>
      </c>
      <c r="G1837" t="inlineStr">
        <is>
          <t>Who Is ACTUALLY The First Avenger?</t>
        </is>
      </c>
      <c r="H1837" s="44" t="n">
        <v>0.008090277777777778</v>
      </c>
      <c r="I1837" s="45" t="n">
        <v>349432</v>
      </c>
      <c r="J1837" s="45" t="n">
        <v>13811</v>
      </c>
      <c r="K1837" s="45" t="n">
        <v>3269</v>
      </c>
      <c r="L1837" s="46" t="n"/>
      <c r="M1837" s="47" t="n"/>
      <c r="N1837" s="47" t="inlineStr">
        <is>
          <t>UCKZo4N0lVPccBkSiuyVh4yg</t>
        </is>
      </c>
      <c r="O1837" s="48" t="n">
        <v>43622.95972222222</v>
      </c>
      <c r="P1837" s="49" t="n">
        <v>43622</v>
      </c>
      <c r="Q1837" s="47" t="n">
        <v>1431</v>
      </c>
      <c r="R1837" s="47" t="inlineStr">
        <is>
          <t>No Video ID yet</t>
        </is>
      </c>
      <c r="S1837" s="49" t="n"/>
      <c r="T1837" s="49" t="n"/>
      <c r="U1837" s="47" t="inlineStr">
        <is>
          <t>Go to or text SCB to 500500 to get a free book, 2 free Audible Originals, and a 30 day free trial. Today Ben dives into the Marvel Cinematic Universe to try and uncover who was ACTUALLY the first Avenger.</t>
        </is>
      </c>
      <c r="V1837" s="47">
        <f>IF(AND(P1837&gt;=Calendar!$K$2,P1837&lt;EDATE(Calendar!$K$2,1),OR(Calendar!$K$4="*",N1837=Calendar!$K$4)),P1837*100+COUNTIFS($P$6:$P$3267,P1837,$Q$6:$Q$3267,"&lt;="&amp;Q1837,$N$6:$N$3267,Calendar!$K$4),"")</f>
        <v/>
      </c>
      <c r="W1837" s="47">
        <f>IF(AND(B1837=Queue!$C$4,OR(Queue!$K$4="*",N1837=Queue!$K$4)),Q1837,"")</f>
        <v/>
      </c>
    </row>
    <row r="1838">
      <c r="A1838" s="38">
        <f>IF(M1838="","",HYPERLINK("https://www.youtube.com/watch?v="&amp;M1838,"▶"))</f>
        <v/>
      </c>
      <c r="B1838" s="39">
        <f>IF(C1838&lt;&gt;"",C1838,IF(P1838&lt;=IFERROR(INDEX(tblChannels[Watched Through],MATCH(N1838,tblChannels[Channel ID],0)),0),"Watched","Unwatched"))</f>
        <v/>
      </c>
      <c r="C1838" s="40" t="n"/>
      <c r="D1838" s="41" t="n"/>
      <c r="E1838" s="42" t="n">
        <v>43620.61319444444</v>
      </c>
      <c r="F1838" s="50" t="inlineStr">
        <is>
          <t>Super Carlin Brothers</t>
        </is>
      </c>
      <c r="G1838" t="inlineStr">
        <is>
          <t>Could Onward BREAK The Pixar Theory?!</t>
        </is>
      </c>
      <c r="H1838" s="44" t="n">
        <v>0.007615740740740741</v>
      </c>
      <c r="I1838" s="45" t="n">
        <v>1168410</v>
      </c>
      <c r="J1838" s="45" t="n">
        <v>40004</v>
      </c>
      <c r="K1838" s="45" t="n">
        <v>6156</v>
      </c>
      <c r="L1838" s="46" t="n"/>
      <c r="M1838" s="47" t="n"/>
      <c r="N1838" s="47" t="inlineStr">
        <is>
          <t>UCKZo4N0lVPccBkSiuyVh4yg</t>
        </is>
      </c>
      <c r="O1838" s="48" t="n">
        <v>43620.77986111111</v>
      </c>
      <c r="P1838" s="49" t="n">
        <v>43620</v>
      </c>
      <c r="Q1838" s="47" t="n">
        <v>1430</v>
      </c>
      <c r="R1838" s="47" t="inlineStr">
        <is>
          <t>No Video ID yet</t>
        </is>
      </c>
      <c r="S1838" s="49" t="n"/>
      <c r="T1838" s="49" t="n"/>
      <c r="U1838" s="47" t="inlineStr">
        <is>
          <t>DC Meet Up :: Onward Trailer :: Today J dives into the world of Pixar to try and determine, where their newest movie 'Onward' will fit into the greater Pixar Theory or if it might break the whole thing!</t>
        </is>
      </c>
      <c r="V1838" s="47">
        <f>IF(AND(P1838&gt;=Calendar!$K$2,P1838&lt;EDATE(Calendar!$K$2,1),OR(Calendar!$K$4="*",N1838=Calendar!$K$4)),P1838*100+COUNTIFS($P$6:$P$3267,P1838,$Q$6:$Q$3267,"&lt;="&amp;Q1838,$N$6:$N$3267,Calendar!$K$4),"")</f>
        <v/>
      </c>
      <c r="W1838" s="47">
        <f>IF(AND(B1838=Queue!$C$4,OR(Queue!$K$4="*",N1838=Queue!$K$4)),Q1838,"")</f>
        <v/>
      </c>
    </row>
    <row r="1839">
      <c r="A1839" s="38">
        <f>IF(M1839="","",HYPERLINK("https://www.youtube.com/watch?v="&amp;M1839,"▶"))</f>
        <v/>
      </c>
      <c r="B1839" s="39">
        <f>IF(C1839&lt;&gt;"",C1839,IF(P1839&lt;=IFERROR(INDEX(tblChannels[Watched Through],MATCH(N1839,tblChannels[Channel ID],0)),0),"Watched","Unwatched"))</f>
        <v/>
      </c>
      <c r="C1839" s="40" t="n"/>
      <c r="D1839" s="41" t="n"/>
      <c r="E1839" s="42" t="n">
        <v>43619.81180555555</v>
      </c>
      <c r="F1839" s="53" t="inlineStr">
        <is>
          <t>Jonathan Carlin</t>
        </is>
      </c>
      <c r="G1839" t="inlineStr">
        <is>
          <t>What Should I Pack for Disney World?</t>
        </is>
      </c>
      <c r="H1839" s="44" t="n">
        <v>0.005590277777777777</v>
      </c>
      <c r="I1839" s="45" t="n">
        <v>27519</v>
      </c>
      <c r="J1839" s="45" t="n">
        <v>1479</v>
      </c>
      <c r="K1839" s="45" t="n">
        <v>145</v>
      </c>
      <c r="L1839" s="46" t="n"/>
      <c r="M1839" s="47" t="n"/>
      <c r="N1839" s="47" t="inlineStr">
        <is>
          <t>UCYPKFe86e6nm4TVUYKLsFUQ</t>
        </is>
      </c>
      <c r="O1839" s="48" t="n">
        <v>43619.97847222222</v>
      </c>
      <c r="P1839" s="49" t="n">
        <v>43619</v>
      </c>
      <c r="Q1839" s="47" t="n">
        <v>1429</v>
      </c>
      <c r="R1839" s="47" t="inlineStr">
        <is>
          <t>No Video ID yet</t>
        </is>
      </c>
      <c r="S1839" s="49" t="n"/>
      <c r="T1839" s="49" t="n"/>
      <c r="U1839" s="47" t="inlineStr">
        <is>
          <t>J and Beth prepare for their pending trip to Disney World, DK prepares for Japan, Luke plays with water. Also J has a big butt.</t>
        </is>
      </c>
      <c r="V1839" s="47">
        <f>IF(AND(P1839&gt;=Calendar!$K$2,P1839&lt;EDATE(Calendar!$K$2,1),OR(Calendar!$K$4="*",N1839=Calendar!$K$4)),P1839*100+COUNTIFS($P$6:$P$3267,P1839,$Q$6:$Q$3267,"&lt;="&amp;Q1839,$N$6:$N$3267,Calendar!$K$4),"")</f>
        <v/>
      </c>
      <c r="W1839" s="47">
        <f>IF(AND(B1839=Queue!$C$4,OR(Queue!$K$4="*",N1839=Queue!$K$4)),Q1839,"")</f>
        <v/>
      </c>
    </row>
    <row r="1840">
      <c r="A1840" s="38">
        <f>IF(M1840="","",HYPERLINK("https://www.youtube.com/watch?v="&amp;M1840,"▶"))</f>
        <v/>
      </c>
      <c r="B1840" s="39">
        <f>IF(C1840&lt;&gt;"",C1840,IF(P1840&lt;=IFERROR(INDEX(tblChannels[Watched Through],MATCH(N1840,tblChannels[Channel ID],0)),0),"Watched","Unwatched"))</f>
        <v/>
      </c>
      <c r="C1840" s="40" t="n"/>
      <c r="D1840" s="41" t="n"/>
      <c r="E1840" s="42" t="n">
        <v>43615.625</v>
      </c>
      <c r="F1840" s="50" t="inlineStr">
        <is>
          <t>Super Carlin Brothers</t>
        </is>
      </c>
      <c r="G1840" t="inlineStr">
        <is>
          <t>J vs Ben: The HARDEST Hagrid Trivia Quiz EVER</t>
        </is>
      </c>
      <c r="H1840" s="44" t="n">
        <v>0.02225694444444444</v>
      </c>
      <c r="I1840" s="45" t="n">
        <v>740089</v>
      </c>
      <c r="J1840" s="45" t="n">
        <v>14741</v>
      </c>
      <c r="K1840" s="45" t="n">
        <v>1882</v>
      </c>
      <c r="L1840" s="46" t="n"/>
      <c r="M1840" s="47" t="n"/>
      <c r="N1840" s="47" t="inlineStr">
        <is>
          <t>UCKZo4N0lVPccBkSiuyVh4yg</t>
        </is>
      </c>
      <c r="O1840" s="48" t="n">
        <v>43615.79166666666</v>
      </c>
      <c r="P1840" s="49" t="n">
        <v>43615</v>
      </c>
      <c r="Q1840" s="47" t="n">
        <v>1428</v>
      </c>
      <c r="R1840" s="47" t="inlineStr">
        <is>
          <t>No Video ID yet</t>
        </is>
      </c>
      <c r="S1840" s="49" t="n"/>
      <c r="T1840" s="49" t="n"/>
      <c r="U1840" s="47" t="inlineStr">
        <is>
          <t>Get 15% off your Vincero Watch! :: Promo Code: SCB Play along with us! :: Today J and Ben face off in the Ultimate Rubeus Hagrid quiz to find out who knows Harry Potter’s biggest friend best! Open your Monster Book of Monsters and let's begin!</t>
        </is>
      </c>
      <c r="V1840" s="47">
        <f>IF(AND(P1840&gt;=Calendar!$K$2,P1840&lt;EDATE(Calendar!$K$2,1),OR(Calendar!$K$4="*",N1840=Calendar!$K$4)),P1840*100+COUNTIFS($P$6:$P$3267,P1840,$Q$6:$Q$3267,"&lt;="&amp;Q1840,$N$6:$N$3267,Calendar!$K$4),"")</f>
        <v/>
      </c>
      <c r="W1840" s="47">
        <f>IF(AND(B1840=Queue!$C$4,OR(Queue!$K$4="*",N1840=Queue!$K$4)),Q1840,"")</f>
        <v/>
      </c>
    </row>
    <row r="1841">
      <c r="A1841" s="38">
        <f>IF(M1841="","",HYPERLINK("https://www.youtube.com/watch?v="&amp;M1841,"▶"))</f>
        <v/>
      </c>
      <c r="B1841" s="39">
        <f>IF(C1841&lt;&gt;"",C1841,IF(P1841&lt;=IFERROR(INDEX(tblChannels[Watched Through],MATCH(N1841,tblChannels[Channel ID],0)),0),"Watched","Unwatched"))</f>
        <v/>
      </c>
      <c r="C1841" s="40" t="n"/>
      <c r="D1841" s="41" t="n"/>
      <c r="E1841" s="42" t="n">
        <v>43613.71875</v>
      </c>
      <c r="F1841" s="50" t="inlineStr">
        <is>
          <t>Super Carlin Brothers</t>
        </is>
      </c>
      <c r="G1841" t="inlineStr">
        <is>
          <t>Aladdin Review | Better Than The Original?</t>
        </is>
      </c>
      <c r="H1841" s="44" t="n">
        <v>0.03166666666666667</v>
      </c>
      <c r="I1841" s="45" t="n">
        <v>358855</v>
      </c>
      <c r="J1841" s="45" t="n">
        <v>10239</v>
      </c>
      <c r="K1841" s="45" t="n">
        <v>2717</v>
      </c>
      <c r="L1841" s="46" t="n"/>
      <c r="M1841" s="47" t="n"/>
      <c r="N1841" s="47" t="inlineStr">
        <is>
          <t>UCKZo4N0lVPccBkSiuyVh4yg</t>
        </is>
      </c>
      <c r="O1841" s="48" t="n">
        <v>43613.88541666666</v>
      </c>
      <c r="P1841" s="49" t="n">
        <v>43613</v>
      </c>
      <c r="Q1841" s="47" t="n">
        <v>1427</v>
      </c>
      <c r="R1841" s="47" t="inlineStr">
        <is>
          <t>No Video ID yet</t>
        </is>
      </c>
      <c r="S1841" s="49" t="n"/>
      <c r="T1841" s="49" t="n"/>
      <c r="U1841" s="47" t="inlineStr">
        <is>
          <t>Today J and Ben dive into Agrabah, to give their full spoiler review of Disney’s Aladdin and try and answer the question: Is the live-action Aladdin as good as the original?</t>
        </is>
      </c>
      <c r="V1841" s="47">
        <f>IF(AND(P1841&gt;=Calendar!$K$2,P1841&lt;EDATE(Calendar!$K$2,1),OR(Calendar!$K$4="*",N1841=Calendar!$K$4)),P1841*100+COUNTIFS($P$6:$P$3267,P1841,$Q$6:$Q$3267,"&lt;="&amp;Q1841,$N$6:$N$3267,Calendar!$K$4),"")</f>
        <v/>
      </c>
      <c r="W1841" s="47">
        <f>IF(AND(B1841=Queue!$C$4,OR(Queue!$K$4="*",N1841=Queue!$K$4)),Q1841,"")</f>
        <v/>
      </c>
    </row>
    <row r="1842">
      <c r="A1842" s="38">
        <f>IF(M1842="","",HYPERLINK("https://www.youtube.com/watch?v="&amp;M1842,"▶"))</f>
        <v/>
      </c>
      <c r="B1842" s="39">
        <f>IF(C1842&lt;&gt;"",C1842,IF(P1842&lt;=IFERROR(INDEX(tblChannels[Watched Through],MATCH(N1842,tblChannels[Channel ID],0)),0),"Watched","Unwatched"))</f>
        <v/>
      </c>
      <c r="C1842" s="40" t="n"/>
      <c r="D1842" s="41" t="n"/>
      <c r="E1842" s="42" t="n">
        <v>43612.41666666666</v>
      </c>
      <c r="F1842" s="53" t="inlineStr">
        <is>
          <t>Jonathan Carlin</t>
        </is>
      </c>
      <c r="G1842" t="inlineStr">
        <is>
          <t>How Can I Drink More Water?</t>
        </is>
      </c>
      <c r="H1842" s="44" t="n">
        <v>0.009097222222222222</v>
      </c>
      <c r="I1842" s="45" t="n">
        <v>36673</v>
      </c>
      <c r="J1842" s="45" t="n">
        <v>1826</v>
      </c>
      <c r="K1842" s="45" t="n">
        <v>393</v>
      </c>
      <c r="L1842" s="46" t="n"/>
      <c r="M1842" s="47" t="n"/>
      <c r="N1842" s="47" t="inlineStr">
        <is>
          <t>UCYPKFe86e6nm4TVUYKLsFUQ</t>
        </is>
      </c>
      <c r="O1842" s="48" t="n">
        <v>43612.58333333334</v>
      </c>
      <c r="P1842" s="49" t="n">
        <v>43612</v>
      </c>
      <c r="Q1842" s="47" t="n">
        <v>1426</v>
      </c>
      <c r="R1842" s="47" t="inlineStr">
        <is>
          <t>No Video ID yet</t>
        </is>
      </c>
      <c r="S1842" s="49" t="n"/>
      <c r="T1842" s="49" t="n"/>
      <c r="U1842" s="47" t="inlineStr">
        <is>
          <t>This week J goes on a quest to answer the question: How can i drink more water? And wonders how he can increase his daily water consumption plus Ben gets a standing desk and Luke visits the library!</t>
        </is>
      </c>
      <c r="V1842" s="47">
        <f>IF(AND(P1842&gt;=Calendar!$K$2,P1842&lt;EDATE(Calendar!$K$2,1),OR(Calendar!$K$4="*",N1842=Calendar!$K$4)),P1842*100+COUNTIFS($P$6:$P$3267,P1842,$Q$6:$Q$3267,"&lt;="&amp;Q1842,$N$6:$N$3267,Calendar!$K$4),"")</f>
        <v/>
      </c>
      <c r="W1842" s="47">
        <f>IF(AND(B1842=Queue!$C$4,OR(Queue!$K$4="*",N1842=Queue!$K$4)),Q1842,"")</f>
        <v/>
      </c>
    </row>
    <row r="1843">
      <c r="A1843" s="38">
        <f>IF(M1843="","",HYPERLINK("https://www.youtube.com/watch?v="&amp;M1843,"▶"))</f>
        <v/>
      </c>
      <c r="B1843" s="39">
        <f>IF(C1843&lt;&gt;"",C1843,IF(P1843&lt;=IFERROR(INDEX(tblChannels[Watched Through],MATCH(N1843,tblChannels[Channel ID],0)),0),"Watched","Unwatched"))</f>
        <v/>
      </c>
      <c r="C1843" s="40" t="n"/>
      <c r="D1843" s="41" t="n"/>
      <c r="E1843" s="42" t="n">
        <v>43609.4375</v>
      </c>
      <c r="F1843" s="52" t="inlineStr">
        <is>
          <t>Super Carlin Gaming</t>
        </is>
      </c>
      <c r="G1843" t="inlineStr">
        <is>
          <t>What's with all the Ice Attacks? |  Pokémon X Nuzlocke #20</t>
        </is>
      </c>
      <c r="H1843" s="44" t="n">
        <v>0.02679398148148148</v>
      </c>
      <c r="I1843" s="45" t="n">
        <v>29015</v>
      </c>
      <c r="J1843" s="45" t="n">
        <v>927</v>
      </c>
      <c r="K1843" s="45" t="n">
        <v>306</v>
      </c>
      <c r="L1843" s="46" t="n"/>
      <c r="M1843" s="47" t="n"/>
      <c r="N1843" s="47" t="inlineStr">
        <is>
          <t>UCor_9jRnNNZVzTuQ92PKsaQ</t>
        </is>
      </c>
      <c r="O1843" s="48" t="n">
        <v>43609.60416666666</v>
      </c>
      <c r="P1843" s="49" t="n">
        <v>43609</v>
      </c>
      <c r="Q1843" s="47" t="n">
        <v>1425</v>
      </c>
      <c r="R1843" s="47" t="inlineStr">
        <is>
          <t>No Video ID yet</t>
        </is>
      </c>
      <c r="S1843" s="49" t="n"/>
      <c r="T1843" s="49" t="n"/>
      <c r="U1843" s="47" t="n"/>
      <c r="V1843" s="47">
        <f>IF(AND(P1843&gt;=Calendar!$K$2,P1843&lt;EDATE(Calendar!$K$2,1),OR(Calendar!$K$4="*",N1843=Calendar!$K$4)),P1843*100+COUNTIFS($P$6:$P$3267,P1843,$Q$6:$Q$3267,"&lt;="&amp;Q1843,$N$6:$N$3267,Calendar!$K$4),"")</f>
        <v/>
      </c>
      <c r="W1843" s="47">
        <f>IF(AND(B1843=Queue!$C$4,OR(Queue!$K$4="*",N1843=Queue!$K$4)),Q1843,"")</f>
        <v/>
      </c>
    </row>
    <row r="1844">
      <c r="A1844" s="38">
        <f>IF(M1844="","",HYPERLINK("https://www.youtube.com/watch?v="&amp;M1844,"▶"))</f>
        <v/>
      </c>
      <c r="B1844" s="39">
        <f>IF(C1844&lt;&gt;"",C1844,IF(P1844&lt;=IFERROR(INDEX(tblChannels[Watched Through],MATCH(N1844,tblChannels[Channel ID],0)),0),"Watched","Unwatched"))</f>
        <v/>
      </c>
      <c r="C1844" s="40" t="n"/>
      <c r="D1844" s="41" t="n"/>
      <c r="E1844" s="42" t="n">
        <v>43608.6875</v>
      </c>
      <c r="F1844" s="50" t="inlineStr">
        <is>
          <t>Super Carlin Brothers</t>
        </is>
      </c>
      <c r="G1844" t="inlineStr">
        <is>
          <t>What Happened To Aladdin’s Mother?</t>
        </is>
      </c>
      <c r="H1844" s="44" t="n">
        <v>0.008275462962962964</v>
      </c>
      <c r="I1844" s="45" t="n">
        <v>361762</v>
      </c>
      <c r="J1844" s="45" t="n">
        <v>13221</v>
      </c>
      <c r="K1844" s="45" t="n">
        <v>1201</v>
      </c>
      <c r="L1844" s="46" t="n"/>
      <c r="M1844" s="47" t="n"/>
      <c r="N1844" s="47" t="inlineStr">
        <is>
          <t>UCKZo4N0lVPccBkSiuyVh4yg</t>
        </is>
      </c>
      <c r="O1844" s="48" t="n">
        <v>43608.85416666666</v>
      </c>
      <c r="P1844" s="49" t="n">
        <v>43608</v>
      </c>
      <c r="Q1844" s="47" t="n">
        <v>1424</v>
      </c>
      <c r="R1844" s="47" t="inlineStr">
        <is>
          <t>No Video ID yet</t>
        </is>
      </c>
      <c r="S1844" s="49" t="n"/>
      <c r="T1844" s="49" t="n"/>
      <c r="U1844" s="47" t="inlineStr">
        <is>
          <t>Today Ben dives into the world of Disney’s Aladdin to try and uncover the mystery of where Aladdin came from. Will Aladdin or Jasmine’s dead parents make an appearance in the live action version of the movie? Proud Of Your Boy ::</t>
        </is>
      </c>
      <c r="V1844" s="47">
        <f>IF(AND(P1844&gt;=Calendar!$K$2,P1844&lt;EDATE(Calendar!$K$2,1),OR(Calendar!$K$4="*",N1844=Calendar!$K$4)),P1844*100+COUNTIFS($P$6:$P$3267,P1844,$Q$6:$Q$3267,"&lt;="&amp;Q1844,$N$6:$N$3267,Calendar!$K$4),"")</f>
        <v/>
      </c>
      <c r="W1844" s="47">
        <f>IF(AND(B1844=Queue!$C$4,OR(Queue!$K$4="*",N1844=Queue!$K$4)),Q1844,"")</f>
        <v/>
      </c>
    </row>
    <row r="1845">
      <c r="A1845" s="38">
        <f>IF(M1845="","",HYPERLINK("https://www.youtube.com/watch?v="&amp;M1845,"▶"))</f>
        <v/>
      </c>
      <c r="B1845" s="39">
        <f>IF(C1845&lt;&gt;"",C1845,IF(P1845&lt;=IFERROR(INDEX(tblChannels[Watched Through],MATCH(N1845,tblChannels[Channel ID],0)),0),"Watched","Unwatched"))</f>
        <v/>
      </c>
      <c r="C1845" s="40" t="n"/>
      <c r="D1845" s="41" t="n"/>
      <c r="E1845" s="42" t="n">
        <v>43607.60972222222</v>
      </c>
      <c r="F1845" s="52" t="inlineStr">
        <is>
          <t>Super Carlin Gaming</t>
        </is>
      </c>
      <c r="G1845" t="inlineStr">
        <is>
          <t>A Dangerous Pursuit |  Pokémon X Nuzlocke #19</t>
        </is>
      </c>
      <c r="H1845" s="44" t="n">
        <v>0.02311342592592593</v>
      </c>
      <c r="I1845" s="45" t="n">
        <v>28234</v>
      </c>
      <c r="J1845" s="45" t="n">
        <v>950</v>
      </c>
      <c r="K1845" s="45" t="n">
        <v>566</v>
      </c>
      <c r="L1845" s="46" t="n"/>
      <c r="M1845" s="47" t="n"/>
      <c r="N1845" s="47" t="inlineStr">
        <is>
          <t>UCor_9jRnNNZVzTuQ92PKsaQ</t>
        </is>
      </c>
      <c r="O1845" s="48" t="n">
        <v>43607.77638888889</v>
      </c>
      <c r="P1845" s="49" t="n">
        <v>43607</v>
      </c>
      <c r="Q1845" s="47" t="n">
        <v>1423</v>
      </c>
      <c r="R1845" s="47" t="inlineStr">
        <is>
          <t>No Video ID yet</t>
        </is>
      </c>
      <c r="S1845" s="49" t="n"/>
      <c r="T1845" s="49" t="n"/>
      <c r="U1845" s="47" t="inlineStr">
        <is>
          <t>Today J and the team make their way towards their 4th gym battle and ride around on the back of a Jooj!</t>
        </is>
      </c>
      <c r="V1845" s="47">
        <f>IF(AND(P1845&gt;=Calendar!$K$2,P1845&lt;EDATE(Calendar!$K$2,1),OR(Calendar!$K$4="*",N1845=Calendar!$K$4)),P1845*100+COUNTIFS($P$6:$P$3267,P1845,$Q$6:$Q$3267,"&lt;="&amp;Q1845,$N$6:$N$3267,Calendar!$K$4),"")</f>
        <v/>
      </c>
      <c r="W1845" s="47">
        <f>IF(AND(B1845=Queue!$C$4,OR(Queue!$K$4="*",N1845=Queue!$K$4)),Q1845,"")</f>
        <v/>
      </c>
    </row>
    <row r="1846">
      <c r="A1846" s="38">
        <f>IF(M1846="","",HYPERLINK("https://www.youtube.com/watch?v="&amp;M1846,"▶"))</f>
        <v/>
      </c>
      <c r="B1846" s="39">
        <f>IF(C1846&lt;&gt;"",C1846,IF(P1846&lt;=IFERROR(INDEX(tblChannels[Watched Through],MATCH(N1846,tblChannels[Channel ID],0)),0),"Watched","Unwatched"))</f>
        <v/>
      </c>
      <c r="C1846" s="40" t="n"/>
      <c r="D1846" s="41" t="n"/>
      <c r="E1846" s="42" t="n">
        <v>43606.66319444445</v>
      </c>
      <c r="F1846" s="50" t="inlineStr">
        <is>
          <t>Super Carlin Brothers</t>
        </is>
      </c>
      <c r="G1846" t="inlineStr">
        <is>
          <t>The SECRET Message In Incredibles 2</t>
        </is>
      </c>
      <c r="H1846" s="44" t="n">
        <v>0.006377314814814815</v>
      </c>
      <c r="I1846" s="45" t="n">
        <v>377927</v>
      </c>
      <c r="J1846" s="45" t="n">
        <v>17252</v>
      </c>
      <c r="K1846" s="45" t="n">
        <v>1879</v>
      </c>
      <c r="L1846" s="46" t="n"/>
      <c r="M1846" s="47" t="n"/>
      <c r="N1846" s="47" t="inlineStr">
        <is>
          <t>UCKZo4N0lVPccBkSiuyVh4yg</t>
        </is>
      </c>
      <c r="O1846" s="48" t="n">
        <v>43606.82986111111</v>
      </c>
      <c r="P1846" s="49" t="n">
        <v>43606</v>
      </c>
      <c r="Q1846" s="47" t="n">
        <v>1422</v>
      </c>
      <c r="R1846" s="47" t="inlineStr">
        <is>
          <t>No Video ID yet</t>
        </is>
      </c>
      <c r="S1846" s="49" t="n"/>
      <c r="T1846" s="49" t="n"/>
      <c r="U1846" s="47" t="inlineStr">
        <is>
          <t>Hey Brother Sunglasses :: Today J dives into the world of Pixar’s Incredibles 2 to discuss his favorite scene, where Mrs Incredible is flying through the city on the hunt for Screen Slaver, and the hidden message in conceals about the greater goals and message of Pixar as a whole.</t>
        </is>
      </c>
      <c r="V1846" s="47">
        <f>IF(AND(P1846&gt;=Calendar!$K$2,P1846&lt;EDATE(Calendar!$K$2,1),OR(Calendar!$K$4="*",N1846=Calendar!$K$4)),P1846*100+COUNTIFS($P$6:$P$3267,P1846,$Q$6:$Q$3267,"&lt;="&amp;Q1846,$N$6:$N$3267,Calendar!$K$4),"")</f>
        <v/>
      </c>
      <c r="W1846" s="47">
        <f>IF(AND(B1846=Queue!$C$4,OR(Queue!$K$4="*",N1846=Queue!$K$4)),Q1846,"")</f>
        <v/>
      </c>
    </row>
    <row r="1847">
      <c r="A1847" s="38">
        <f>IF(M1847="","",HYPERLINK("https://www.youtube.com/watch?v="&amp;M1847,"▶"))</f>
        <v/>
      </c>
      <c r="B1847" s="39">
        <f>IF(C1847&lt;&gt;"",C1847,IF(P1847&lt;=IFERROR(INDEX(tblChannels[Watched Through],MATCH(N1847,tblChannels[Channel ID],0)),0),"Watched","Unwatched"))</f>
        <v/>
      </c>
      <c r="C1847" s="40" t="n"/>
      <c r="D1847" s="41" t="n"/>
      <c r="E1847" s="42" t="n">
        <v>43605.62361111111</v>
      </c>
      <c r="F1847" s="52" t="inlineStr">
        <is>
          <t>Super Carlin Gaming</t>
        </is>
      </c>
      <c r="G1847" t="inlineStr">
        <is>
          <t>Keeping Friends is Hard | Super Smash Bros #40</t>
        </is>
      </c>
      <c r="H1847" s="44" t="n">
        <v>0.01295138888888889</v>
      </c>
      <c r="I1847" s="45" t="n">
        <v>5542</v>
      </c>
      <c r="J1847" s="45" t="n">
        <v>246</v>
      </c>
      <c r="K1847" s="45" t="n">
        <v>60</v>
      </c>
      <c r="L1847" s="46" t="n"/>
      <c r="M1847" s="47" t="n"/>
      <c r="N1847" s="47" t="inlineStr">
        <is>
          <t>UCor_9jRnNNZVzTuQ92PKsaQ</t>
        </is>
      </c>
      <c r="O1847" s="48" t="n">
        <v>43605.79027777778</v>
      </c>
      <c r="P1847" s="49" t="n">
        <v>43605</v>
      </c>
      <c r="Q1847" s="47" t="n">
        <v>1421</v>
      </c>
      <c r="R1847" s="47" t="inlineStr">
        <is>
          <t>No Video ID yet</t>
        </is>
      </c>
      <c r="S1847" s="49" t="n"/>
      <c r="T1847" s="49" t="n"/>
      <c r="U1847" s="47" t="inlineStr">
        <is>
          <t>Can we beat our super charged Amiibo’s? J, Ben and DK take turns facing off against these mighty foes while answering your questions! If you want us to challenge your Amiibo, send it to the PO Box listed below!</t>
        </is>
      </c>
      <c r="V1847" s="47">
        <f>IF(AND(P1847&gt;=Calendar!$K$2,P1847&lt;EDATE(Calendar!$K$2,1),OR(Calendar!$K$4="*",N1847=Calendar!$K$4)),P1847*100+COUNTIFS($P$6:$P$3267,P1847,$Q$6:$Q$3267,"&lt;="&amp;Q1847,$N$6:$N$3267,Calendar!$K$4),"")</f>
        <v/>
      </c>
      <c r="W1847" s="47">
        <f>IF(AND(B1847=Queue!$C$4,OR(Queue!$K$4="*",N1847=Queue!$K$4)),Q1847,"")</f>
        <v/>
      </c>
    </row>
    <row r="1848">
      <c r="A1848" s="38">
        <f>IF(M1848="","",HYPERLINK("https://www.youtube.com/watch?v="&amp;M1848,"▶"))</f>
        <v/>
      </c>
      <c r="B1848" s="39">
        <f>IF(C1848&lt;&gt;"",C1848,IF(P1848&lt;=IFERROR(INDEX(tblChannels[Watched Through],MATCH(N1848,tblChannels[Channel ID],0)),0),"Watched","Unwatched"))</f>
        <v/>
      </c>
      <c r="C1848" s="40" t="n"/>
      <c r="D1848" s="41" t="n"/>
      <c r="E1848" s="42" t="n">
        <v>43605.45347222222</v>
      </c>
      <c r="F1848" s="53" t="inlineStr">
        <is>
          <t>Jonathan Carlin</t>
        </is>
      </c>
      <c r="G1848" t="inlineStr">
        <is>
          <t>Mother's Day! ..and LUKE GETS A HAT!</t>
        </is>
      </c>
      <c r="H1848" s="44" t="n">
        <v>0.005694444444444445</v>
      </c>
      <c r="I1848" s="45" t="n">
        <v>25972</v>
      </c>
      <c r="J1848" s="45" t="n">
        <v>1454</v>
      </c>
      <c r="K1848" s="45" t="n">
        <v>118</v>
      </c>
      <c r="L1848" s="46" t="n"/>
      <c r="M1848" s="47" t="n"/>
      <c r="N1848" s="47" t="inlineStr">
        <is>
          <t>UCYPKFe86e6nm4TVUYKLsFUQ</t>
        </is>
      </c>
      <c r="O1848" s="48" t="n">
        <v>43605.62013888889</v>
      </c>
      <c r="P1848" s="49" t="n">
        <v>43605</v>
      </c>
      <c r="Q1848" s="47" t="n">
        <v>1420</v>
      </c>
      <c r="R1848" s="47" t="inlineStr">
        <is>
          <t>No Video ID yet</t>
        </is>
      </c>
      <c r="S1848" s="49" t="n"/>
      <c r="T1848" s="49" t="n"/>
      <c r="U1848" s="47" t="inlineStr">
        <is>
          <t>Beth continues meal prepping, J opens a box of Spiderman stuff, and the whole family celebrates Mother's Day! Also Luke REALLY enjoys playing with a hat! Cook Once All Week ::</t>
        </is>
      </c>
      <c r="V1848" s="47">
        <f>IF(AND(P1848&gt;=Calendar!$K$2,P1848&lt;EDATE(Calendar!$K$2,1),OR(Calendar!$K$4="*",N1848=Calendar!$K$4)),P1848*100+COUNTIFS($P$6:$P$3267,P1848,$Q$6:$Q$3267,"&lt;="&amp;Q1848,$N$6:$N$3267,Calendar!$K$4),"")</f>
        <v/>
      </c>
      <c r="W1848" s="47">
        <f>IF(AND(B1848=Queue!$C$4,OR(Queue!$K$4="*",N1848=Queue!$K$4)),Q1848,"")</f>
        <v/>
      </c>
    </row>
    <row r="1849">
      <c r="A1849" s="38">
        <f>IF(M1849="","",HYPERLINK("https://www.youtube.com/watch?v="&amp;M1849,"▶"))</f>
        <v/>
      </c>
      <c r="B1849" s="39">
        <f>IF(C1849&lt;&gt;"",C1849,IF(P1849&lt;=IFERROR(INDEX(tblChannels[Watched Through],MATCH(N1849,tblChannels[Channel ID],0)),0),"Watched","Unwatched"))</f>
        <v/>
      </c>
      <c r="C1849" s="40" t="n"/>
      <c r="D1849" s="41" t="n"/>
      <c r="E1849" s="42" t="n">
        <v>43602.43194444444</v>
      </c>
      <c r="F1849" s="52" t="inlineStr">
        <is>
          <t>Super Carlin Gaming</t>
        </is>
      </c>
      <c r="G1849" t="inlineStr">
        <is>
          <t>LETS GET READY TO RUMBLE |  Pokémon X Nuzlocke #18</t>
        </is>
      </c>
      <c r="H1849" s="44" t="n">
        <v>0.01771990740740741</v>
      </c>
      <c r="I1849" s="45" t="n">
        <v>24886</v>
      </c>
      <c r="J1849" s="45" t="n">
        <v>751</v>
      </c>
      <c r="K1849" s="45" t="n">
        <v>342</v>
      </c>
      <c r="L1849" s="46" t="n"/>
      <c r="M1849" s="47" t="n"/>
      <c r="N1849" s="47" t="inlineStr">
        <is>
          <t>UCor_9jRnNNZVzTuQ92PKsaQ</t>
        </is>
      </c>
      <c r="O1849" s="48" t="n">
        <v>43602.59861111111</v>
      </c>
      <c r="P1849" s="49" t="n">
        <v>43602</v>
      </c>
      <c r="Q1849" s="47" t="n">
        <v>1419</v>
      </c>
      <c r="R1849" s="47" t="inlineStr">
        <is>
          <t>No Video ID yet</t>
        </is>
      </c>
      <c r="S1849" s="49" t="n"/>
      <c r="T1849" s="49" t="n"/>
      <c r="U1849" s="47" t="inlineStr">
        <is>
          <t>Today J and the Team take on their 3rd Gym Battle and try to win the RUMBLE badge - Will Goiran be able to handle Korrina's mighty Hawlucha?</t>
        </is>
      </c>
      <c r="V1849" s="47">
        <f>IF(AND(P1849&gt;=Calendar!$K$2,P1849&lt;EDATE(Calendar!$K$2,1),OR(Calendar!$K$4="*",N1849=Calendar!$K$4)),P1849*100+COUNTIFS($P$6:$P$3267,P1849,$Q$6:$Q$3267,"&lt;="&amp;Q1849,$N$6:$N$3267,Calendar!$K$4),"")</f>
        <v/>
      </c>
      <c r="W1849" s="47">
        <f>IF(AND(B1849=Queue!$C$4,OR(Queue!$K$4="*",N1849=Queue!$K$4)),Q1849,"")</f>
        <v/>
      </c>
    </row>
    <row r="1850">
      <c r="A1850" s="38">
        <f>IF(M1850="","",HYPERLINK("https://www.youtube.com/watch?v="&amp;M1850,"▶"))</f>
        <v/>
      </c>
      <c r="B1850" s="39">
        <f>IF(C1850&lt;&gt;"",C1850,IF(P1850&lt;=IFERROR(INDEX(tblChannels[Watched Through],MATCH(N1850,tblChannels[Channel ID],0)),0),"Watched","Unwatched"))</f>
        <v/>
      </c>
      <c r="C1850" s="40" t="n"/>
      <c r="D1850" s="41" t="n"/>
      <c r="E1850" s="42" t="n">
        <v>43601.75625</v>
      </c>
      <c r="F1850" s="50" t="inlineStr">
        <is>
          <t>Super Carlin Brothers</t>
        </is>
      </c>
      <c r="G1850" t="inlineStr">
        <is>
          <t>Will There ACTUALLY Be A Marvel Multiverse?</t>
        </is>
      </c>
      <c r="H1850" s="44" t="n">
        <v>0.007465277777777778</v>
      </c>
      <c r="I1850" s="45" t="n">
        <v>245847</v>
      </c>
      <c r="J1850" s="45" t="n">
        <v>13098</v>
      </c>
      <c r="K1850" s="45" t="n">
        <v>1945</v>
      </c>
      <c r="L1850" s="46" t="n"/>
      <c r="M1850" s="47" t="n"/>
      <c r="N1850" s="47" t="inlineStr">
        <is>
          <t>UCKZo4N0lVPccBkSiuyVh4yg</t>
        </is>
      </c>
      <c r="O1850" s="48" t="n">
        <v>43601.92291666667</v>
      </c>
      <c r="P1850" s="49" t="n">
        <v>43601</v>
      </c>
      <c r="Q1850" s="47" t="n">
        <v>1418</v>
      </c>
      <c r="R1850" s="47" t="inlineStr">
        <is>
          <t>No Video ID yet</t>
        </is>
      </c>
      <c r="S1850" s="49" t="n"/>
      <c r="T1850" s="49" t="n"/>
      <c r="U1850" s="47" t="inlineStr">
        <is>
          <t>HOT CHOCOLATE :: Today Ben dives into the MCU Multiverse to try and determine if there will actually be a marvel Multiverse or if Mysterio is just a fit fat liar pants!</t>
        </is>
      </c>
      <c r="V1850" s="47">
        <f>IF(AND(P1850&gt;=Calendar!$K$2,P1850&lt;EDATE(Calendar!$K$2,1),OR(Calendar!$K$4="*",N1850=Calendar!$K$4)),P1850*100+COUNTIFS($P$6:$P$3267,P1850,$Q$6:$Q$3267,"&lt;="&amp;Q1850,$N$6:$N$3267,Calendar!$K$4),"")</f>
        <v/>
      </c>
      <c r="W1850" s="47">
        <f>IF(AND(B1850=Queue!$C$4,OR(Queue!$K$4="*",N1850=Queue!$K$4)),Q1850,"")</f>
        <v/>
      </c>
    </row>
    <row r="1851">
      <c r="A1851" s="38">
        <f>IF(M1851="","",HYPERLINK("https://www.youtube.com/watch?v="&amp;M1851,"▶"))</f>
        <v/>
      </c>
      <c r="B1851" s="39">
        <f>IF(C1851&lt;&gt;"",C1851,IF(P1851&lt;=IFERROR(INDEX(tblChannels[Watched Through],MATCH(N1851,tblChannels[Channel ID],0)),0),"Watched","Unwatched"))</f>
        <v/>
      </c>
      <c r="C1851" s="40" t="n"/>
      <c r="D1851" s="41" t="n"/>
      <c r="E1851" s="42" t="n">
        <v>43600.41666666666</v>
      </c>
      <c r="F1851" s="52" t="inlineStr">
        <is>
          <t>Super Carlin Gaming</t>
        </is>
      </c>
      <c r="G1851" t="inlineStr">
        <is>
          <t>Heracrossed |  Pokémon X Nuzlocke #17</t>
        </is>
      </c>
      <c r="H1851" s="44" t="n">
        <v>0.02023148148148148</v>
      </c>
      <c r="I1851" s="45" t="n">
        <v>25419</v>
      </c>
      <c r="J1851" s="45" t="n">
        <v>806</v>
      </c>
      <c r="K1851" s="45" t="n">
        <v>192</v>
      </c>
      <c r="L1851" s="46" t="n"/>
      <c r="M1851" s="47" t="n"/>
      <c r="N1851" s="47" t="inlineStr">
        <is>
          <t>UCor_9jRnNNZVzTuQ92PKsaQ</t>
        </is>
      </c>
      <c r="O1851" s="48" t="n">
        <v>43600.58333333334</v>
      </c>
      <c r="P1851" s="49" t="n">
        <v>43600</v>
      </c>
      <c r="Q1851" s="47" t="n">
        <v>1417</v>
      </c>
      <c r="R1851" s="47" t="inlineStr">
        <is>
          <t>No Video ID yet</t>
        </is>
      </c>
      <c r="S1851" s="49" t="n"/>
      <c r="T1851" s="49" t="n"/>
      <c r="U1851" s="47" t="n"/>
      <c r="V1851" s="47">
        <f>IF(AND(P1851&gt;=Calendar!$K$2,P1851&lt;EDATE(Calendar!$K$2,1),OR(Calendar!$K$4="*",N1851=Calendar!$K$4)),P1851*100+COUNTIFS($P$6:$P$3267,P1851,$Q$6:$Q$3267,"&lt;="&amp;Q1851,$N$6:$N$3267,Calendar!$K$4),"")</f>
        <v/>
      </c>
      <c r="W1851" s="47">
        <f>IF(AND(B1851=Queue!$C$4,OR(Queue!$K$4="*",N1851=Queue!$K$4)),Q1851,"")</f>
        <v/>
      </c>
    </row>
    <row r="1852">
      <c r="A1852" s="38">
        <f>IF(M1852="","",HYPERLINK("https://www.youtube.com/watch?v="&amp;M1852,"▶"))</f>
        <v/>
      </c>
      <c r="B1852" s="39">
        <f>IF(C1852&lt;&gt;"",C1852,IF(P1852&lt;=IFERROR(INDEX(tblChannels[Watched Through],MATCH(N1852,tblChannels[Channel ID],0)),0),"Watched","Unwatched"))</f>
        <v/>
      </c>
      <c r="C1852" s="40" t="n"/>
      <c r="D1852" s="41" t="n"/>
      <c r="E1852" s="42" t="n">
        <v>43599.72708333333</v>
      </c>
      <c r="F1852" s="50" t="inlineStr">
        <is>
          <t>Super Carlin Brothers</t>
        </is>
      </c>
      <c r="G1852" t="inlineStr">
        <is>
          <t>Is Thanos Gamora’s BIOLOGICAL Father? | Avengers Theory</t>
        </is>
      </c>
      <c r="H1852" s="44" t="n">
        <v>0.009155092592592593</v>
      </c>
      <c r="I1852" s="45" t="n">
        <v>315604</v>
      </c>
      <c r="J1852" s="45" t="n">
        <v>13169</v>
      </c>
      <c r="K1852" s="45" t="n">
        <v>2000</v>
      </c>
      <c r="L1852" s="46" t="n"/>
      <c r="M1852" s="47" t="n"/>
      <c r="N1852" s="47" t="inlineStr">
        <is>
          <t>UCKZo4N0lVPccBkSiuyVh4yg</t>
        </is>
      </c>
      <c r="O1852" s="48" t="n">
        <v>43599.89375</v>
      </c>
      <c r="P1852" s="49" t="n">
        <v>43599</v>
      </c>
      <c r="Q1852" s="47" t="n">
        <v>1416</v>
      </c>
      <c r="R1852" s="47" t="inlineStr">
        <is>
          <t>No Video ID yet</t>
        </is>
      </c>
      <c r="S1852" s="49" t="n"/>
      <c r="T1852" s="49" t="n"/>
      <c r="U1852" s="47" t="inlineStr">
        <is>
          <t>HOT CHOCOLATE :: Today J dives into the Marvel Cinematic Universe to try and uncover the TRUE identity of Gamora’s Father - Is Thanos more than just an adopted father?!</t>
        </is>
      </c>
      <c r="V1852" s="47">
        <f>IF(AND(P1852&gt;=Calendar!$K$2,P1852&lt;EDATE(Calendar!$K$2,1),OR(Calendar!$K$4="*",N1852=Calendar!$K$4)),P1852*100+COUNTIFS($P$6:$P$3267,P1852,$Q$6:$Q$3267,"&lt;="&amp;Q1852,$N$6:$N$3267,Calendar!$K$4),"")</f>
        <v/>
      </c>
      <c r="W1852" s="47">
        <f>IF(AND(B1852=Queue!$C$4,OR(Queue!$K$4="*",N1852=Queue!$K$4)),Q1852,"")</f>
        <v/>
      </c>
    </row>
    <row r="1853">
      <c r="A1853" s="38">
        <f>IF(M1853="","",HYPERLINK("https://www.youtube.com/watch?v="&amp;M1853,"▶"))</f>
        <v/>
      </c>
      <c r="B1853" s="39">
        <f>IF(C1853&lt;&gt;"",C1853,IF(P1853&lt;=IFERROR(INDEX(tblChannels[Watched Through],MATCH(N1853,tblChannels[Channel ID],0)),0),"Watched","Unwatched"))</f>
        <v/>
      </c>
      <c r="C1853" s="40" t="n"/>
      <c r="D1853" s="41" t="n"/>
      <c r="E1853" s="42" t="n">
        <v>43598.6375</v>
      </c>
      <c r="F1853" s="52" t="inlineStr">
        <is>
          <t>Super Carlin Gaming</t>
        </is>
      </c>
      <c r="G1853" t="inlineStr">
        <is>
          <t>In Love With My Best Friend |  Super Smash Bros #39</t>
        </is>
      </c>
      <c r="H1853" s="44" t="n">
        <v>0.01405092592592593</v>
      </c>
      <c r="I1853" s="45" t="n">
        <v>5976</v>
      </c>
      <c r="J1853" s="45" t="n">
        <v>292</v>
      </c>
      <c r="K1853" s="45" t="n">
        <v>90</v>
      </c>
      <c r="L1853" s="46" t="n"/>
      <c r="M1853" s="47" t="n"/>
      <c r="N1853" s="47" t="inlineStr">
        <is>
          <t>UCor_9jRnNNZVzTuQ92PKsaQ</t>
        </is>
      </c>
      <c r="O1853" s="48" t="n">
        <v>43598.80416666667</v>
      </c>
      <c r="P1853" s="49" t="n">
        <v>43598</v>
      </c>
      <c r="Q1853" s="47" t="n">
        <v>1415</v>
      </c>
      <c r="R1853" s="47" t="inlineStr">
        <is>
          <t>No Video ID yet</t>
        </is>
      </c>
      <c r="S1853" s="49" t="n"/>
      <c r="T1853" s="49" t="n"/>
      <c r="U1853" s="47" t="inlineStr">
        <is>
          <t>Can we beat our super charged Amiibo’s? J, Ben and DK take turns facing off against these mighty foes while answering your questions! If you want us to challenge your Amiibo, send it to the PO Box listed below!</t>
        </is>
      </c>
      <c r="V1853" s="47">
        <f>IF(AND(P1853&gt;=Calendar!$K$2,P1853&lt;EDATE(Calendar!$K$2,1),OR(Calendar!$K$4="*",N1853=Calendar!$K$4)),P1853*100+COUNTIFS($P$6:$P$3267,P1853,$Q$6:$Q$3267,"&lt;="&amp;Q1853,$N$6:$N$3267,Calendar!$K$4),"")</f>
        <v/>
      </c>
      <c r="W1853" s="47">
        <f>IF(AND(B1853=Queue!$C$4,OR(Queue!$K$4="*",N1853=Queue!$K$4)),Q1853,"")</f>
        <v/>
      </c>
    </row>
    <row r="1854">
      <c r="A1854" s="38">
        <f>IF(M1854="","",HYPERLINK("https://www.youtube.com/watch?v="&amp;M1854,"▶"))</f>
        <v/>
      </c>
      <c r="B1854" s="39">
        <f>IF(C1854&lt;&gt;"",C1854,IF(P1854&lt;=IFERROR(INDEX(tblChannels[Watched Through],MATCH(N1854,tblChannels[Channel ID],0)),0),"Watched","Unwatched"))</f>
        <v/>
      </c>
      <c r="C1854" s="40" t="n"/>
      <c r="D1854" s="41" t="n"/>
      <c r="E1854" s="42" t="n">
        <v>43598.44375</v>
      </c>
      <c r="F1854" s="53" t="inlineStr">
        <is>
          <t>Jonathan Carlin</t>
        </is>
      </c>
      <c r="G1854" t="inlineStr">
        <is>
          <t>The Kentucky Derby Party</t>
        </is>
      </c>
      <c r="H1854" s="44" t="n">
        <v>0.009108796296296297</v>
      </c>
      <c r="I1854" s="45" t="n">
        <v>28577</v>
      </c>
      <c r="J1854" s="45" t="n">
        <v>1356</v>
      </c>
      <c r="K1854" s="45" t="n">
        <v>130</v>
      </c>
      <c r="L1854" s="46" t="n"/>
      <c r="M1854" s="47" t="n"/>
      <c r="N1854" s="47" t="inlineStr">
        <is>
          <t>UCYPKFe86e6nm4TVUYKLsFUQ</t>
        </is>
      </c>
      <c r="O1854" s="48" t="n">
        <v>43598.61041666667</v>
      </c>
      <c r="P1854" s="49" t="n">
        <v>43598</v>
      </c>
      <c r="Q1854" s="47" t="n">
        <v>1414</v>
      </c>
      <c r="R1854" s="47" t="inlineStr">
        <is>
          <t>No Video ID yet</t>
        </is>
      </c>
      <c r="S1854" s="49" t="n"/>
      <c r="T1854" s="49" t="n"/>
      <c r="U1854" s="47" t="inlineStr">
        <is>
          <t>This week the Carlin clan preps for a Kentucky Derby Party - Luke and J go for an EPIC walk, and Beth does some meal prepping! Cook Once All Week ::</t>
        </is>
      </c>
      <c r="V1854" s="47">
        <f>IF(AND(P1854&gt;=Calendar!$K$2,P1854&lt;EDATE(Calendar!$K$2,1),OR(Calendar!$K$4="*",N1854=Calendar!$K$4)),P1854*100+COUNTIFS($P$6:$P$3267,P1854,$Q$6:$Q$3267,"&lt;="&amp;Q1854,$N$6:$N$3267,Calendar!$K$4),"")</f>
        <v/>
      </c>
      <c r="W1854" s="47">
        <f>IF(AND(B1854=Queue!$C$4,OR(Queue!$K$4="*",N1854=Queue!$K$4)),Q1854,"")</f>
        <v/>
      </c>
    </row>
    <row r="1855">
      <c r="A1855" s="38">
        <f>IF(M1855="","",HYPERLINK("https://www.youtube.com/watch?v="&amp;M1855,"▶"))</f>
        <v/>
      </c>
      <c r="B1855" s="39">
        <f>IF(C1855&lt;&gt;"",C1855,IF(P1855&lt;=IFERROR(INDEX(tblChannels[Watched Through],MATCH(N1855,tblChannels[Channel ID],0)),0),"Watched","Unwatched"))</f>
        <v/>
      </c>
      <c r="C1855" s="40" t="n"/>
      <c r="D1855" s="41" t="n"/>
      <c r="E1855" s="42" t="n">
        <v>43595.68194444444</v>
      </c>
      <c r="F1855" s="52" t="inlineStr">
        <is>
          <t>Super Carlin Gaming</t>
        </is>
      </c>
      <c r="G1855" t="inlineStr">
        <is>
          <t>The Cave to Shalour City |  Pokémon X Nuzlocke #16</t>
        </is>
      </c>
      <c r="H1855" s="44" t="n">
        <v>0.0212962962962963</v>
      </c>
      <c r="I1855" s="45" t="n">
        <v>26973</v>
      </c>
      <c r="J1855" s="45" t="n">
        <v>779</v>
      </c>
      <c r="K1855" s="45" t="n">
        <v>243</v>
      </c>
      <c r="L1855" s="46" t="n"/>
      <c r="M1855" s="47" t="n"/>
      <c r="N1855" s="47" t="inlineStr">
        <is>
          <t>UCor_9jRnNNZVzTuQ92PKsaQ</t>
        </is>
      </c>
      <c r="O1855" s="48" t="n">
        <v>43595.84861111111</v>
      </c>
      <c r="P1855" s="49" t="n">
        <v>43595</v>
      </c>
      <c r="Q1855" s="47" t="n">
        <v>1413</v>
      </c>
      <c r="R1855" s="47" t="inlineStr">
        <is>
          <t>No Video ID yet</t>
        </is>
      </c>
      <c r="S1855" s="49" t="n"/>
      <c r="T1855" s="49" t="n"/>
      <c r="U1855" s="47" t="inlineStr">
        <is>
          <t>J and the team head through the rest of the Glittering Cave on their way to Shalour City!</t>
        </is>
      </c>
      <c r="V1855" s="47">
        <f>IF(AND(P1855&gt;=Calendar!$K$2,P1855&lt;EDATE(Calendar!$K$2,1),OR(Calendar!$K$4="*",N1855=Calendar!$K$4)),P1855*100+COUNTIFS($P$6:$P$3267,P1855,$Q$6:$Q$3267,"&lt;="&amp;Q1855,$N$6:$N$3267,Calendar!$K$4),"")</f>
        <v/>
      </c>
      <c r="W1855" s="47">
        <f>IF(AND(B1855=Queue!$C$4,OR(Queue!$K$4="*",N1855=Queue!$K$4)),Q1855,"")</f>
        <v/>
      </c>
    </row>
    <row r="1856">
      <c r="A1856" s="38">
        <f>IF(M1856="","",HYPERLINK("https://www.youtube.com/watch?v="&amp;M1856,"▶"))</f>
        <v/>
      </c>
      <c r="B1856" s="39">
        <f>IF(C1856&lt;&gt;"",C1856,IF(P1856&lt;=IFERROR(INDEX(tblChannels[Watched Through],MATCH(N1856,tblChannels[Channel ID],0)),0),"Watched","Unwatched"))</f>
        <v/>
      </c>
      <c r="C1856" s="40" t="n"/>
      <c r="D1856" s="41" t="n"/>
      <c r="E1856" s="42" t="n">
        <v>43594.76180555556</v>
      </c>
      <c r="F1856" s="50" t="inlineStr">
        <is>
          <t>Super Carlin Brothers</t>
        </is>
      </c>
      <c r="G1856" t="inlineStr">
        <is>
          <t>Avengers Endgame Shows Us The Five Stages Of Grief</t>
        </is>
      </c>
      <c r="H1856" s="44" t="n">
        <v>0.009537037037037037</v>
      </c>
      <c r="I1856" s="45" t="n">
        <v>704271</v>
      </c>
      <c r="J1856" s="45" t="n">
        <v>27437</v>
      </c>
      <c r="K1856" s="45" t="n">
        <v>3561</v>
      </c>
      <c r="L1856" s="46" t="n"/>
      <c r="M1856" s="47" t="n"/>
      <c r="N1856" s="47" t="inlineStr">
        <is>
          <t>UCKZo4N0lVPccBkSiuyVh4yg</t>
        </is>
      </c>
      <c r="O1856" s="48" t="n">
        <v>43594.92847222222</v>
      </c>
      <c r="P1856" s="49" t="n">
        <v>43594</v>
      </c>
      <c r="Q1856" s="47" t="n">
        <v>1412</v>
      </c>
      <c r="R1856" s="47" t="inlineStr">
        <is>
          <t>No Video ID yet</t>
        </is>
      </c>
      <c r="S1856" s="49" t="n"/>
      <c r="T1856" s="49" t="n"/>
      <c r="U1856" s="47" t="inlineStr">
        <is>
          <t>Mental Health America Screening :: Mental Health America FAQ’s :: www.mentalhealthamerica.net/faqs Today Ben dives into the Marvel Cinematic Universe to discuss how Avengers Endgame helps demonstrate the 5 stages of grief: Denial, Anger, Bargaining, Depression and Acceptance.</t>
        </is>
      </c>
      <c r="V1856" s="47">
        <f>IF(AND(P1856&gt;=Calendar!$K$2,P1856&lt;EDATE(Calendar!$K$2,1),OR(Calendar!$K$4="*",N1856=Calendar!$K$4)),P1856*100+COUNTIFS($P$6:$P$3267,P1856,$Q$6:$Q$3267,"&lt;="&amp;Q1856,$N$6:$N$3267,Calendar!$K$4),"")</f>
        <v/>
      </c>
      <c r="W1856" s="47">
        <f>IF(AND(B1856=Queue!$C$4,OR(Queue!$K$4="*",N1856=Queue!$K$4)),Q1856,"")</f>
        <v/>
      </c>
    </row>
    <row r="1857">
      <c r="A1857" s="38">
        <f>IF(M1857="","",HYPERLINK("https://www.youtube.com/watch?v="&amp;M1857,"▶"))</f>
        <v/>
      </c>
      <c r="B1857" s="39">
        <f>IF(C1857&lt;&gt;"",C1857,IF(P1857&lt;=IFERROR(INDEX(tblChannels[Watched Through],MATCH(N1857,tblChannels[Channel ID],0)),0),"Watched","Unwatched"))</f>
        <v/>
      </c>
      <c r="C1857" s="40" t="n"/>
      <c r="D1857" s="41" t="n"/>
      <c r="E1857" s="42" t="n">
        <v>43593.57013888889</v>
      </c>
      <c r="F1857" s="52" t="inlineStr">
        <is>
          <t>Super Carlin Gaming</t>
        </is>
      </c>
      <c r="G1857" t="inlineStr">
        <is>
          <t>Double-Double-Double-Slap |  Pokémon X Nuzlocke #15</t>
        </is>
      </c>
      <c r="H1857" s="44" t="n">
        <v>0.02302083333333333</v>
      </c>
      <c r="I1857" s="45" t="n">
        <v>27561</v>
      </c>
      <c r="J1857" s="45" t="n">
        <v>816</v>
      </c>
      <c r="K1857" s="45" t="n">
        <v>236</v>
      </c>
      <c r="L1857" s="46" t="n"/>
      <c r="M1857" s="47" t="n"/>
      <c r="N1857" s="47" t="inlineStr">
        <is>
          <t>UCor_9jRnNNZVzTuQ92PKsaQ</t>
        </is>
      </c>
      <c r="O1857" s="48" t="n">
        <v>43593.73680555556</v>
      </c>
      <c r="P1857" s="49" t="n">
        <v>43593</v>
      </c>
      <c r="Q1857" s="47" t="n">
        <v>1411</v>
      </c>
      <c r="R1857" s="47" t="inlineStr">
        <is>
          <t>No Video ID yet</t>
        </is>
      </c>
      <c r="S1857" s="49" t="n"/>
      <c r="T1857" s="49" t="n"/>
      <c r="U1857" s="47" t="n"/>
      <c r="V1857" s="47">
        <f>IF(AND(P1857&gt;=Calendar!$K$2,P1857&lt;EDATE(Calendar!$K$2,1),OR(Calendar!$K$4="*",N1857=Calendar!$K$4)),P1857*100+COUNTIFS($P$6:$P$3267,P1857,$Q$6:$Q$3267,"&lt;="&amp;Q1857,$N$6:$N$3267,Calendar!$K$4),"")</f>
        <v/>
      </c>
      <c r="W1857" s="47">
        <f>IF(AND(B1857=Queue!$C$4,OR(Queue!$K$4="*",N1857=Queue!$K$4)),Q1857,"")</f>
        <v/>
      </c>
    </row>
    <row r="1858">
      <c r="A1858" s="38">
        <f>IF(M1858="","",HYPERLINK("https://www.youtube.com/watch?v="&amp;M1858,"▶"))</f>
        <v/>
      </c>
      <c r="B1858" s="39">
        <f>IF(C1858&lt;&gt;"",C1858,IF(P1858&lt;=IFERROR(INDEX(tblChannels[Watched Through],MATCH(N1858,tblChannels[Channel ID],0)),0),"Watched","Unwatched"))</f>
        <v/>
      </c>
      <c r="C1858" s="40" t="n"/>
      <c r="D1858" s="41" t="n"/>
      <c r="E1858" s="42" t="n">
        <v>43592.71666666667</v>
      </c>
      <c r="F1858" s="50" t="inlineStr">
        <is>
          <t>Super Carlin Brothers</t>
        </is>
      </c>
      <c r="G1858" t="inlineStr">
        <is>
          <t>J vs Ben: Sorting Marvel Characters Into Hogwarts Houses</t>
        </is>
      </c>
      <c r="H1858" s="44" t="n">
        <v>0.0209837962962963</v>
      </c>
      <c r="I1858" s="45" t="n">
        <v>768360</v>
      </c>
      <c r="J1858" s="45" t="n">
        <v>23113</v>
      </c>
      <c r="K1858" s="45" t="n">
        <v>5814</v>
      </c>
      <c r="L1858" s="46" t="n"/>
      <c r="M1858" s="47" t="n"/>
      <c r="N1858" s="47" t="inlineStr">
        <is>
          <t>UCKZo4N0lVPccBkSiuyVh4yg</t>
        </is>
      </c>
      <c r="O1858" s="48" t="n">
        <v>43592.88333333333</v>
      </c>
      <c r="P1858" s="49" t="n">
        <v>43592</v>
      </c>
      <c r="Q1858" s="47" t="n">
        <v>1410</v>
      </c>
      <c r="R1858" s="47" t="inlineStr">
        <is>
          <t>No Video ID yet</t>
        </is>
      </c>
      <c r="S1858" s="49" t="n"/>
      <c r="T1858" s="49" t="n"/>
      <c r="U1858" s="47" t="inlineStr">
        <is>
          <t>Today J and Ben dive in to the Marvel Cinematic Universe to see who can sort the Avengers more accurately into Hogwarts houses as chosen by YOU! We received more that 15,000 survey results to help us decide the correct answers - Thanks so much for your help!</t>
        </is>
      </c>
      <c r="V1858" s="47">
        <f>IF(AND(P1858&gt;=Calendar!$K$2,P1858&lt;EDATE(Calendar!$K$2,1),OR(Calendar!$K$4="*",N1858=Calendar!$K$4)),P1858*100+COUNTIFS($P$6:$P$3267,P1858,$Q$6:$Q$3267,"&lt;="&amp;Q1858,$N$6:$N$3267,Calendar!$K$4),"")</f>
        <v/>
      </c>
      <c r="W1858" s="47">
        <f>IF(AND(B1858=Queue!$C$4,OR(Queue!$K$4="*",N1858=Queue!$K$4)),Q1858,"")</f>
        <v/>
      </c>
    </row>
    <row r="1859">
      <c r="A1859" s="38">
        <f>IF(M1859="","",HYPERLINK("https://www.youtube.com/watch?v="&amp;M1859,"▶"))</f>
        <v/>
      </c>
      <c r="B1859" s="39">
        <f>IF(C1859&lt;&gt;"",C1859,IF(P1859&lt;=IFERROR(INDEX(tblChannels[Watched Through],MATCH(N1859,tblChannels[Channel ID],0)),0),"Watched","Unwatched"))</f>
        <v/>
      </c>
      <c r="C1859" s="40" t="n"/>
      <c r="D1859" s="41" t="n"/>
      <c r="E1859" s="42" t="n">
        <v>43591.71319444444</v>
      </c>
      <c r="F1859" s="52" t="inlineStr">
        <is>
          <t>Super Carlin Gaming</t>
        </is>
      </c>
      <c r="G1859" t="inlineStr">
        <is>
          <t>Dealing With Imposter Syndrome |  Smash Bros #38</t>
        </is>
      </c>
      <c r="H1859" s="44" t="n">
        <v>0.01237268518518518</v>
      </c>
      <c r="I1859" s="45" t="n">
        <v>5118</v>
      </c>
      <c r="J1859" s="45" t="n">
        <v>267</v>
      </c>
      <c r="K1859" s="45" t="n">
        <v>57</v>
      </c>
      <c r="L1859" s="46" t="n"/>
      <c r="M1859" s="47" t="n"/>
      <c r="N1859" s="47" t="inlineStr">
        <is>
          <t>UCor_9jRnNNZVzTuQ92PKsaQ</t>
        </is>
      </c>
      <c r="O1859" s="48" t="n">
        <v>43591.87986111111</v>
      </c>
      <c r="P1859" s="49" t="n">
        <v>43591</v>
      </c>
      <c r="Q1859" s="47" t="n">
        <v>1409</v>
      </c>
      <c r="R1859" s="47" t="inlineStr">
        <is>
          <t>No Video ID yet</t>
        </is>
      </c>
      <c r="S1859" s="49" t="n"/>
      <c r="T1859" s="49" t="n"/>
      <c r="U1859" s="47" t="inlineStr">
        <is>
          <t>Can we beat our super charged Amiibo’s? J, Ben and DK take turns facing off against these mighty foes while answering your questions! If you want us to challenge your Amiibo, send it to the PO Box listed below!</t>
        </is>
      </c>
      <c r="V1859" s="47">
        <f>IF(AND(P1859&gt;=Calendar!$K$2,P1859&lt;EDATE(Calendar!$K$2,1),OR(Calendar!$K$4="*",N1859=Calendar!$K$4)),P1859*100+COUNTIFS($P$6:$P$3267,P1859,$Q$6:$Q$3267,"&lt;="&amp;Q1859,$N$6:$N$3267,Calendar!$K$4),"")</f>
        <v/>
      </c>
      <c r="W1859" s="47">
        <f>IF(AND(B1859=Queue!$C$4,OR(Queue!$K$4="*",N1859=Queue!$K$4)),Q1859,"")</f>
        <v/>
      </c>
    </row>
    <row r="1860">
      <c r="A1860" s="38">
        <f>IF(M1860="","",HYPERLINK("https://www.youtube.com/watch?v="&amp;M1860,"▶"))</f>
        <v/>
      </c>
      <c r="B1860" s="39">
        <f>IF(C1860&lt;&gt;"",C1860,IF(P1860&lt;=IFERROR(INDEX(tblChannels[Watched Through],MATCH(N1860,tblChannels[Channel ID],0)),0),"Watched","Unwatched"))</f>
        <v/>
      </c>
      <c r="C1860" s="40" t="n"/>
      <c r="D1860" s="41" t="n"/>
      <c r="E1860" s="42" t="n">
        <v>43591.56041666667</v>
      </c>
      <c r="F1860" s="53" t="inlineStr">
        <is>
          <t>Jonathan Carlin</t>
        </is>
      </c>
      <c r="G1860" t="inlineStr">
        <is>
          <t>ENDGAME FEVER</t>
        </is>
      </c>
      <c r="H1860" s="44" t="n">
        <v>0.006990740740740741</v>
      </c>
      <c r="I1860" s="45" t="n">
        <v>30453</v>
      </c>
      <c r="J1860" s="45" t="n">
        <v>1536</v>
      </c>
      <c r="K1860" s="45" t="n">
        <v>192</v>
      </c>
      <c r="L1860" s="46" t="n"/>
      <c r="M1860" s="47" t="n"/>
      <c r="N1860" s="47" t="inlineStr">
        <is>
          <t>UCYPKFe86e6nm4TVUYKLsFUQ</t>
        </is>
      </c>
      <c r="O1860" s="48" t="n">
        <v>43591.72708333333</v>
      </c>
      <c r="P1860" s="49" t="n">
        <v>43591</v>
      </c>
      <c r="Q1860" s="47" t="n">
        <v>1408</v>
      </c>
      <c r="R1860" s="47" t="inlineStr">
        <is>
          <t>No Video ID yet</t>
        </is>
      </c>
      <c r="S1860" s="49" t="n"/>
      <c r="T1860" s="49" t="n"/>
      <c r="U1860" s="47" t="inlineStr">
        <is>
          <t>Join us for our other meetups! Sunday, June 30 | Washington, DC | Toy Story 4 Saturday, July 20 | Chicago, IL | The Lion King Saturday, November 23 | Salt Lake City, UT | Frozen 2 J and the SCB Team gear up for Endgame and the first meetup of the year for Avengers Endgame in Blacksburg, Va!</t>
        </is>
      </c>
      <c r="V1860" s="47">
        <f>IF(AND(P1860&gt;=Calendar!$K$2,P1860&lt;EDATE(Calendar!$K$2,1),OR(Calendar!$K$4="*",N1860=Calendar!$K$4)),P1860*100+COUNTIFS($P$6:$P$3267,P1860,$Q$6:$Q$3267,"&lt;="&amp;Q1860,$N$6:$N$3267,Calendar!$K$4),"")</f>
        <v/>
      </c>
      <c r="W1860" s="47">
        <f>IF(AND(B1860=Queue!$C$4,OR(Queue!$K$4="*",N1860=Queue!$K$4)),Q1860,"")</f>
        <v/>
      </c>
    </row>
    <row r="1861">
      <c r="A1861" s="38">
        <f>IF(M1861="","",HYPERLINK("https://www.youtube.com/watch?v="&amp;M1861,"▶"))</f>
        <v/>
      </c>
      <c r="B1861" s="39">
        <f>IF(C1861&lt;&gt;"",C1861,IF(P1861&lt;=IFERROR(INDEX(tblChannels[Watched Through],MATCH(N1861,tblChannels[Channel ID],0)),0),"Watched","Unwatched"))</f>
        <v/>
      </c>
      <c r="C1861" s="40" t="n"/>
      <c r="D1861" s="41" t="n"/>
      <c r="E1861" s="42" t="n">
        <v>43588.4375</v>
      </c>
      <c r="F1861" s="52" t="inlineStr">
        <is>
          <t>Super Carlin Gaming</t>
        </is>
      </c>
      <c r="G1861" t="inlineStr">
        <is>
          <t>LucariOH NO! |  Pokémon X Nuzlocke #14</t>
        </is>
      </c>
      <c r="H1861" s="44" t="n">
        <v>0.02355324074074074</v>
      </c>
      <c r="I1861" s="45" t="n">
        <v>30459</v>
      </c>
      <c r="J1861" s="45" t="n">
        <v>868</v>
      </c>
      <c r="K1861" s="45" t="n">
        <v>221</v>
      </c>
      <c r="L1861" s="46" t="n"/>
      <c r="M1861" s="47" t="n"/>
      <c r="N1861" s="47" t="inlineStr">
        <is>
          <t>UCor_9jRnNNZVzTuQ92PKsaQ</t>
        </is>
      </c>
      <c r="O1861" s="48" t="n">
        <v>43588.60416666666</v>
      </c>
      <c r="P1861" s="49" t="n">
        <v>43588</v>
      </c>
      <c r="Q1861" s="47" t="n">
        <v>1407</v>
      </c>
      <c r="R1861" s="47" t="inlineStr">
        <is>
          <t>No Video ID yet</t>
        </is>
      </c>
      <c r="S1861" s="49" t="n"/>
      <c r="T1861" s="49" t="n"/>
      <c r="U1861" s="47" t="inlineStr">
        <is>
          <t>J and the team face a surprise double dose of Lucario! Can they survive?!</t>
        </is>
      </c>
      <c r="V1861" s="47">
        <f>IF(AND(P1861&gt;=Calendar!$K$2,P1861&lt;EDATE(Calendar!$K$2,1),OR(Calendar!$K$4="*",N1861=Calendar!$K$4)),P1861*100+COUNTIFS($P$6:$P$3267,P1861,$Q$6:$Q$3267,"&lt;="&amp;Q1861,$N$6:$N$3267,Calendar!$K$4),"")</f>
        <v/>
      </c>
      <c r="W1861" s="47">
        <f>IF(AND(B1861=Queue!$C$4,OR(Queue!$K$4="*",N1861=Queue!$K$4)),Q1861,"")</f>
        <v/>
      </c>
    </row>
    <row r="1862">
      <c r="A1862" s="38">
        <f>IF(M1862="","",HYPERLINK("https://www.youtube.com/watch?v="&amp;M1862,"▶"))</f>
        <v/>
      </c>
      <c r="B1862" s="39">
        <f>IF(C1862&lt;&gt;"",C1862,IF(P1862&lt;=IFERROR(INDEX(tblChannels[Watched Through],MATCH(N1862,tblChannels[Channel ID],0)),0),"Watched","Unwatched"))</f>
        <v/>
      </c>
      <c r="C1862" s="40" t="n"/>
      <c r="D1862" s="41" t="n"/>
      <c r="E1862" s="42" t="n">
        <v>43587.74305555555</v>
      </c>
      <c r="F1862" s="50" t="inlineStr">
        <is>
          <t>Super Carlin Brothers</t>
        </is>
      </c>
      <c r="G1862" t="inlineStr">
        <is>
          <t>What Happened To Gamora | Endgame Theory</t>
        </is>
      </c>
      <c r="H1862" s="44" t="n">
        <v>0.009282407407407408</v>
      </c>
      <c r="I1862" s="45" t="n">
        <v>588594</v>
      </c>
      <c r="J1862" s="45" t="n">
        <v>20706</v>
      </c>
      <c r="K1862" s="45" t="n">
        <v>4217</v>
      </c>
      <c r="L1862" s="46" t="n"/>
      <c r="M1862" s="47" t="n"/>
      <c r="N1862" s="47" t="inlineStr">
        <is>
          <t>UCKZo4N0lVPccBkSiuyVh4yg</t>
        </is>
      </c>
      <c r="O1862" s="48" t="n">
        <v>43587.90972222222</v>
      </c>
      <c r="P1862" s="49" t="n">
        <v>43587</v>
      </c>
      <c r="Q1862" s="47" t="n">
        <v>1406</v>
      </c>
      <c r="R1862" s="47" t="inlineStr">
        <is>
          <t>No Video ID yet</t>
        </is>
      </c>
      <c r="S1862" s="49" t="n"/>
      <c r="T1862" s="49" t="n"/>
      <c r="U1862" s="47" t="inlineStr">
        <is>
          <t>Today Ben dives into the Marvel Cinematic Universe to discuss a big question from the end of Avengers: Endgame: What happened to Gamora?</t>
        </is>
      </c>
      <c r="V1862" s="47">
        <f>IF(AND(P1862&gt;=Calendar!$K$2,P1862&lt;EDATE(Calendar!$K$2,1),OR(Calendar!$K$4="*",N1862=Calendar!$K$4)),P1862*100+COUNTIFS($P$6:$P$3267,P1862,$Q$6:$Q$3267,"&lt;="&amp;Q1862,$N$6:$N$3267,Calendar!$K$4),"")</f>
        <v/>
      </c>
      <c r="W1862" s="47">
        <f>IF(AND(B1862=Queue!$C$4,OR(Queue!$K$4="*",N1862=Queue!$K$4)),Q1862,"")</f>
        <v/>
      </c>
    </row>
    <row r="1863">
      <c r="A1863" s="38">
        <f>IF(M1863="","",HYPERLINK("https://www.youtube.com/watch?v="&amp;M1863,"▶"))</f>
        <v/>
      </c>
      <c r="B1863" s="39">
        <f>IF(C1863&lt;&gt;"",C1863,IF(P1863&lt;=IFERROR(INDEX(tblChannels[Watched Through],MATCH(N1863,tblChannels[Channel ID],0)),0),"Watched","Unwatched"))</f>
        <v/>
      </c>
      <c r="C1863" s="40" t="n"/>
      <c r="D1863" s="41" t="n"/>
      <c r="E1863" s="42" t="n">
        <v>43586.63541666666</v>
      </c>
      <c r="F1863" s="52" t="inlineStr">
        <is>
          <t>Super Carlin Gaming</t>
        </is>
      </c>
      <c r="G1863" t="inlineStr">
        <is>
          <t>SHE'S EVOLVING! | Pokémon X Nuzlocke #13</t>
        </is>
      </c>
      <c r="H1863" s="44" t="n">
        <v>0.0169212962962963</v>
      </c>
      <c r="I1863" s="45" t="n">
        <v>29370</v>
      </c>
      <c r="J1863" s="45" t="n">
        <v>903</v>
      </c>
      <c r="K1863" s="45" t="n">
        <v>321</v>
      </c>
      <c r="L1863" s="46" t="n"/>
      <c r="M1863" s="47" t="n"/>
      <c r="N1863" s="47" t="inlineStr">
        <is>
          <t>UCor_9jRnNNZVzTuQ92PKsaQ</t>
        </is>
      </c>
      <c r="O1863" s="48" t="n">
        <v>43586.80208333334</v>
      </c>
      <c r="P1863" s="49" t="n">
        <v>43586</v>
      </c>
      <c r="Q1863" s="47" t="n">
        <v>1405</v>
      </c>
      <c r="R1863" s="47" t="inlineStr">
        <is>
          <t>No Video ID yet</t>
        </is>
      </c>
      <c r="S1863" s="49" t="n"/>
      <c r="T1863" s="49" t="n"/>
      <c r="U1863" s="47" t="inlineStr">
        <is>
          <t>Just living that grind life...</t>
        </is>
      </c>
      <c r="V1863" s="47">
        <f>IF(AND(P1863&gt;=Calendar!$K$2,P1863&lt;EDATE(Calendar!$K$2,1),OR(Calendar!$K$4="*",N1863=Calendar!$K$4)),P1863*100+COUNTIFS($P$6:$P$3267,P1863,$Q$6:$Q$3267,"&lt;="&amp;Q1863,$N$6:$N$3267,Calendar!$K$4),"")</f>
        <v/>
      </c>
      <c r="W1863" s="47">
        <f>IF(AND(B1863=Queue!$C$4,OR(Queue!$K$4="*",N1863=Queue!$K$4)),Q1863,"")</f>
        <v/>
      </c>
    </row>
    <row r="1864">
      <c r="A1864" s="38">
        <f>IF(M1864="","",HYPERLINK("https://www.youtube.com/watch?v="&amp;M1864,"▶"))</f>
        <v/>
      </c>
      <c r="B1864" s="39">
        <f>IF(C1864&lt;&gt;"",C1864,IF(P1864&lt;=IFERROR(INDEX(tblChannels[Watched Through],MATCH(N1864,tblChannels[Channel ID],0)),0),"Watched","Unwatched"))</f>
        <v/>
      </c>
      <c r="C1864" s="40" t="n"/>
      <c r="D1864" s="41" t="n"/>
      <c r="E1864" s="42" t="n">
        <v>43585.72152777778</v>
      </c>
      <c r="F1864" s="50" t="inlineStr">
        <is>
          <t>Super Carlin Brothers</t>
        </is>
      </c>
      <c r="G1864" t="inlineStr">
        <is>
          <t>Why Thanos' Plan Would Never Work | Endgame Theory</t>
        </is>
      </c>
      <c r="H1864" s="44" t="n">
        <v>0.008159722222222223</v>
      </c>
      <c r="I1864" s="45" t="n">
        <v>639413</v>
      </c>
      <c r="J1864" s="45" t="n">
        <v>23375</v>
      </c>
      <c r="K1864" s="45" t="n">
        <v>2813</v>
      </c>
      <c r="L1864" s="46" t="n"/>
      <c r="M1864" s="47" t="n"/>
      <c r="N1864" s="47" t="inlineStr">
        <is>
          <t>UCKZo4N0lVPccBkSiuyVh4yg</t>
        </is>
      </c>
      <c r="O1864" s="48" t="n">
        <v>43585.88819444444</v>
      </c>
      <c r="P1864" s="49" t="n">
        <v>43585</v>
      </c>
      <c r="Q1864" s="47" t="n">
        <v>1404</v>
      </c>
      <c r="R1864" s="47" t="inlineStr">
        <is>
          <t>No Video ID yet</t>
        </is>
      </c>
      <c r="S1864" s="49" t="n"/>
      <c r="T1864" s="49" t="n"/>
      <c r="U1864" s="47" t="inlineStr">
        <is>
          <t>Today J dives into the Marvel Cinematic Universe to discuss Endgame and why Thanos is actually a big purple dumb dumb, and why his plan would never work.</t>
        </is>
      </c>
      <c r="V1864" s="47">
        <f>IF(AND(P1864&gt;=Calendar!$K$2,P1864&lt;EDATE(Calendar!$K$2,1),OR(Calendar!$K$4="*",N1864=Calendar!$K$4)),P1864*100+COUNTIFS($P$6:$P$3267,P1864,$Q$6:$Q$3267,"&lt;="&amp;Q1864,$N$6:$N$3267,Calendar!$K$4),"")</f>
        <v/>
      </c>
      <c r="W1864" s="47">
        <f>IF(AND(B1864=Queue!$C$4,OR(Queue!$K$4="*",N1864=Queue!$K$4)),Q1864,"")</f>
        <v/>
      </c>
    </row>
    <row r="1865">
      <c r="A1865" s="38">
        <f>IF(M1865="","",HYPERLINK("https://www.youtube.com/watch?v="&amp;M1865,"▶"))</f>
        <v/>
      </c>
      <c r="B1865" s="39">
        <f>IF(C1865&lt;&gt;"",C1865,IF(P1865&lt;=IFERROR(INDEX(tblChannels[Watched Through],MATCH(N1865,tblChannels[Channel ID],0)),0),"Watched","Unwatched"))</f>
        <v/>
      </c>
      <c r="C1865" s="40" t="n"/>
      <c r="D1865" s="41" t="n"/>
      <c r="E1865" s="42" t="n">
        <v>43584.63402777778</v>
      </c>
      <c r="F1865" s="52" t="inlineStr">
        <is>
          <t>Super Carlin Gaming</t>
        </is>
      </c>
      <c r="G1865" t="inlineStr">
        <is>
          <t>On The Hook? |  Super Smash Bros #37</t>
        </is>
      </c>
      <c r="H1865" s="44" t="n">
        <v>0.01118055555555555</v>
      </c>
      <c r="I1865" s="45" t="n">
        <v>5357</v>
      </c>
      <c r="J1865" s="45" t="n">
        <v>245</v>
      </c>
      <c r="K1865" s="45" t="n">
        <v>52</v>
      </c>
      <c r="L1865" s="46" t="n"/>
      <c r="M1865" s="47" t="n"/>
      <c r="N1865" s="47" t="inlineStr">
        <is>
          <t>UCor_9jRnNNZVzTuQ92PKsaQ</t>
        </is>
      </c>
      <c r="O1865" s="48" t="n">
        <v>43584.80069444444</v>
      </c>
      <c r="P1865" s="49" t="n">
        <v>43584</v>
      </c>
      <c r="Q1865" s="47" t="n">
        <v>1403</v>
      </c>
      <c r="R1865" s="47" t="inlineStr">
        <is>
          <t>No Video ID yet</t>
        </is>
      </c>
      <c r="S1865" s="49" t="n"/>
      <c r="T1865" s="49" t="n"/>
      <c r="U1865" s="47" t="inlineStr">
        <is>
          <t>Can we beat our super charged Amiibo’s? J, Ben and DK take turns facing off against these mighty foes while answering your questions! If you want us to challenge your Amiibo, send it to the PO Box listed below!</t>
        </is>
      </c>
      <c r="V1865" s="47">
        <f>IF(AND(P1865&gt;=Calendar!$K$2,P1865&lt;EDATE(Calendar!$K$2,1),OR(Calendar!$K$4="*",N1865=Calendar!$K$4)),P1865*100+COUNTIFS($P$6:$P$3267,P1865,$Q$6:$Q$3267,"&lt;="&amp;Q1865,$N$6:$N$3267,Calendar!$K$4),"")</f>
        <v/>
      </c>
      <c r="W1865" s="47">
        <f>IF(AND(B1865=Queue!$C$4,OR(Queue!$K$4="*",N1865=Queue!$K$4)),Q1865,"")</f>
        <v/>
      </c>
    </row>
    <row r="1866">
      <c r="A1866" s="38">
        <f>IF(M1866="","",HYPERLINK("https://www.youtube.com/watch?v="&amp;M1866,"▶"))</f>
        <v/>
      </c>
      <c r="B1866" s="39">
        <f>IF(C1866&lt;&gt;"",C1866,IF(P1866&lt;=IFERROR(INDEX(tblChannels[Watched Through],MATCH(N1866,tblChannels[Channel ID],0)),0),"Watched","Unwatched"))</f>
        <v/>
      </c>
      <c r="C1866" s="40" t="n"/>
      <c r="D1866" s="41" t="n"/>
      <c r="E1866" s="42" t="n">
        <v>43584.57847222222</v>
      </c>
      <c r="F1866" s="53" t="inlineStr">
        <is>
          <t>Jonathan Carlin</t>
        </is>
      </c>
      <c r="G1866" t="inlineStr">
        <is>
          <t>How To Make Easter S'Mores!</t>
        </is>
      </c>
      <c r="H1866" s="44" t="n">
        <v>0.003854166666666667</v>
      </c>
      <c r="I1866" s="45" t="n">
        <v>20731</v>
      </c>
      <c r="J1866" s="45" t="n">
        <v>1284</v>
      </c>
      <c r="K1866" s="45" t="n">
        <v>121</v>
      </c>
      <c r="L1866" s="46" t="n"/>
      <c r="M1866" s="47" t="n"/>
      <c r="N1866" s="47" t="inlineStr">
        <is>
          <t>UCYPKFe86e6nm4TVUYKLsFUQ</t>
        </is>
      </c>
      <c r="O1866" s="48" t="n">
        <v>43584.74513888889</v>
      </c>
      <c r="P1866" s="49" t="n">
        <v>43584</v>
      </c>
      <c r="Q1866" s="47" t="n">
        <v>1402</v>
      </c>
      <c r="R1866" s="47" t="inlineStr">
        <is>
          <t>No Video ID yet</t>
        </is>
      </c>
      <c r="S1866" s="49" t="n"/>
      <c r="T1866" s="49" t="n"/>
      <c r="U1866" s="47" t="inlineStr">
        <is>
          <t>J, Beth and Luke celebrate Easter with various cookouts and lawn care solutions!</t>
        </is>
      </c>
      <c r="V1866" s="47">
        <f>IF(AND(P1866&gt;=Calendar!$K$2,P1866&lt;EDATE(Calendar!$K$2,1),OR(Calendar!$K$4="*",N1866=Calendar!$K$4)),P1866*100+COUNTIFS($P$6:$P$3267,P1866,$Q$6:$Q$3267,"&lt;="&amp;Q1866,$N$6:$N$3267,Calendar!$K$4),"")</f>
        <v/>
      </c>
      <c r="W1866" s="47">
        <f>IF(AND(B1866=Queue!$C$4,OR(Queue!$K$4="*",N1866=Queue!$K$4)),Q1866,"")</f>
        <v/>
      </c>
    </row>
    <row r="1867">
      <c r="A1867" s="38">
        <f>IF(M1867="","",HYPERLINK("https://www.youtube.com/watch?v="&amp;M1867,"▶"))</f>
        <v/>
      </c>
      <c r="B1867" s="39">
        <f>IF(C1867&lt;&gt;"",C1867,IF(P1867&lt;=IFERROR(INDEX(tblChannels[Watched Through],MATCH(N1867,tblChannels[Channel ID],0)),0),"Watched","Unwatched"))</f>
        <v/>
      </c>
      <c r="C1867" s="40" t="n"/>
      <c r="D1867" s="41" t="n"/>
      <c r="E1867" s="42" t="n">
        <v>43581.85347222222</v>
      </c>
      <c r="F1867" s="50" t="inlineStr">
        <is>
          <t>Super Carlin Brothers</t>
        </is>
      </c>
      <c r="G1867" t="inlineStr">
        <is>
          <t>Avengers Endgame Spoiler Review</t>
        </is>
      </c>
      <c r="H1867" s="44" t="n">
        <v>0.04365740740740741</v>
      </c>
      <c r="I1867" s="45" t="n">
        <v>905517</v>
      </c>
      <c r="J1867" s="45" t="n">
        <v>26433</v>
      </c>
      <c r="K1867" s="45" t="n">
        <v>8750</v>
      </c>
      <c r="L1867" s="46" t="n"/>
      <c r="M1867" s="47" t="n"/>
      <c r="N1867" s="47" t="inlineStr">
        <is>
          <t>UCKZo4N0lVPccBkSiuyVh4yg</t>
        </is>
      </c>
      <c r="O1867" s="48" t="n">
        <v>43582.02013888889</v>
      </c>
      <c r="P1867" s="49" t="n">
        <v>43581</v>
      </c>
      <c r="Q1867" s="47" t="n">
        <v>1401</v>
      </c>
      <c r="R1867" s="47" t="inlineStr">
        <is>
          <t>No Video ID yet</t>
        </is>
      </c>
      <c r="S1867" s="49" t="n"/>
      <c r="T1867" s="49" t="n"/>
      <c r="U1867" s="47" t="inlineStr">
        <is>
          <t>For 15% off your entire purchase go to PROMO CODE: SCB Today J and Ben dive into the Marvel Cinematic Universe to discuss possibly the most anticipated movie of all time: Avengers: Endgame and give it their critical review.</t>
        </is>
      </c>
      <c r="V1867" s="47">
        <f>IF(AND(P1867&gt;=Calendar!$K$2,P1867&lt;EDATE(Calendar!$K$2,1),OR(Calendar!$K$4="*",N1867=Calendar!$K$4)),P1867*100+COUNTIFS($P$6:$P$3267,P1867,$Q$6:$Q$3267,"&lt;="&amp;Q1867,$N$6:$N$3267,Calendar!$K$4),"")</f>
        <v/>
      </c>
      <c r="W1867" s="47">
        <f>IF(AND(B1867=Queue!$C$4,OR(Queue!$K$4="*",N1867=Queue!$K$4)),Q1867,"")</f>
        <v/>
      </c>
    </row>
    <row r="1868">
      <c r="A1868" s="38">
        <f>IF(M1868="","",HYPERLINK("https://www.youtube.com/watch?v="&amp;M1868,"▶"))</f>
        <v/>
      </c>
      <c r="B1868" s="39">
        <f>IF(C1868&lt;&gt;"",C1868,IF(P1868&lt;=IFERROR(INDEX(tblChannels[Watched Through],MATCH(N1868,tblChannels[Channel ID],0)),0),"Watched","Unwatched"))</f>
        <v/>
      </c>
      <c r="C1868" s="40" t="n"/>
      <c r="D1868" s="41" t="n"/>
      <c r="E1868" s="42" t="n">
        <v>43581.56597222222</v>
      </c>
      <c r="F1868" s="52" t="inlineStr">
        <is>
          <t>Super Carlin Gaming</t>
        </is>
      </c>
      <c r="G1868" t="inlineStr">
        <is>
          <t>A Rocky Takedown |  Pokémon X Nuzlocke #12</t>
        </is>
      </c>
      <c r="H1868" s="44" t="n">
        <v>0.02335648148148148</v>
      </c>
      <c r="I1868" s="45" t="n">
        <v>33584</v>
      </c>
      <c r="J1868" s="45" t="n">
        <v>937</v>
      </c>
      <c r="K1868" s="45" t="n">
        <v>522</v>
      </c>
      <c r="L1868" s="46" t="n"/>
      <c r="M1868" s="47" t="n"/>
      <c r="N1868" s="47" t="inlineStr">
        <is>
          <t>UCor_9jRnNNZVzTuQ92PKsaQ</t>
        </is>
      </c>
      <c r="O1868" s="48" t="n">
        <v>43581.73263888889</v>
      </c>
      <c r="P1868" s="49" t="n">
        <v>43581</v>
      </c>
      <c r="Q1868" s="47" t="n">
        <v>1400</v>
      </c>
      <c r="R1868" s="47" t="inlineStr">
        <is>
          <t>No Video ID yet</t>
        </is>
      </c>
      <c r="S1868" s="49" t="n"/>
      <c r="T1868" s="49" t="n"/>
      <c r="U1868" s="47" t="inlineStr">
        <is>
          <t>Finally we make it to the 2nd gym - But can we handle their rock hard defense?!</t>
        </is>
      </c>
      <c r="V1868" s="47">
        <f>IF(AND(P1868&gt;=Calendar!$K$2,P1868&lt;EDATE(Calendar!$K$2,1),OR(Calendar!$K$4="*",N1868=Calendar!$K$4)),P1868*100+COUNTIFS($P$6:$P$3267,P1868,$Q$6:$Q$3267,"&lt;="&amp;Q1868,$N$6:$N$3267,Calendar!$K$4),"")</f>
        <v/>
      </c>
      <c r="W1868" s="47">
        <f>IF(AND(B1868=Queue!$C$4,OR(Queue!$K$4="*",N1868=Queue!$K$4)),Q1868,"")</f>
        <v/>
      </c>
    </row>
    <row r="1869">
      <c r="A1869" s="38">
        <f>IF(M1869="","",HYPERLINK("https://www.youtube.com/watch?v="&amp;M1869,"▶"))</f>
        <v/>
      </c>
      <c r="B1869" s="39">
        <f>IF(C1869&lt;&gt;"",C1869,IF(P1869&lt;=IFERROR(INDEX(tblChannels[Watched Through],MATCH(N1869,tblChannels[Channel ID],0)),0),"Watched","Unwatched"))</f>
        <v/>
      </c>
      <c r="C1869" s="40" t="n"/>
      <c r="D1869" s="41" t="n"/>
      <c r="E1869" s="42" t="n">
        <v>43579.61041666667</v>
      </c>
      <c r="F1869" s="52" t="inlineStr">
        <is>
          <t>Super Carlin Gaming</t>
        </is>
      </c>
      <c r="G1869" t="inlineStr">
        <is>
          <t>A Tough Decision |  Pokémon X Nuzlocke #11</t>
        </is>
      </c>
      <c r="H1869" s="44" t="n">
        <v>0.02638888888888889</v>
      </c>
      <c r="I1869" s="45" t="n">
        <v>33135</v>
      </c>
      <c r="J1869" s="45" t="n">
        <v>929</v>
      </c>
      <c r="K1869" s="45" t="n">
        <v>379</v>
      </c>
      <c r="L1869" s="46" t="n"/>
      <c r="M1869" s="47" t="n"/>
      <c r="N1869" s="47" t="inlineStr">
        <is>
          <t>UCor_9jRnNNZVzTuQ92PKsaQ</t>
        </is>
      </c>
      <c r="O1869" s="48" t="n">
        <v>43579.77708333333</v>
      </c>
      <c r="P1869" s="49" t="n">
        <v>43579</v>
      </c>
      <c r="Q1869" s="47" t="n">
        <v>1399</v>
      </c>
      <c r="R1869" s="47" t="inlineStr">
        <is>
          <t>No Video ID yet</t>
        </is>
      </c>
      <c r="S1869" s="49" t="n"/>
      <c r="T1869" s="49" t="n"/>
      <c r="U1869" s="47" t="inlineStr">
        <is>
          <t>It hurts!</t>
        </is>
      </c>
      <c r="V1869" s="47">
        <f>IF(AND(P1869&gt;=Calendar!$K$2,P1869&lt;EDATE(Calendar!$K$2,1),OR(Calendar!$K$4="*",N1869=Calendar!$K$4)),P1869*100+COUNTIFS($P$6:$P$3267,P1869,$Q$6:$Q$3267,"&lt;="&amp;Q1869,$N$6:$N$3267,Calendar!$K$4),"")</f>
        <v/>
      </c>
      <c r="W1869" s="47">
        <f>IF(AND(B1869=Queue!$C$4,OR(Queue!$K$4="*",N1869=Queue!$K$4)),Q1869,"")</f>
        <v/>
      </c>
    </row>
    <row r="1870">
      <c r="A1870" s="38">
        <f>IF(M1870="","",HYPERLINK("https://www.youtube.com/watch?v="&amp;M1870,"▶"))</f>
        <v/>
      </c>
      <c r="B1870" s="39">
        <f>IF(C1870&lt;&gt;"",C1870,IF(P1870&lt;=IFERROR(INDEX(tblChannels[Watched Through],MATCH(N1870,tblChannels[Channel ID],0)),0),"Watched","Unwatched"))</f>
        <v/>
      </c>
      <c r="C1870" s="40" t="n"/>
      <c r="D1870" s="41" t="n"/>
      <c r="E1870" s="42" t="n">
        <v>43578.76944444444</v>
      </c>
      <c r="F1870" s="50" t="inlineStr">
        <is>
          <t>Super Carlin Brothers</t>
        </is>
      </c>
      <c r="G1870" t="inlineStr">
        <is>
          <t>Which Villain Comes After Thanos?! | Endgame Theory</t>
        </is>
      </c>
      <c r="H1870" s="44" t="n">
        <v>0.007939814814814814</v>
      </c>
      <c r="I1870" s="45" t="n">
        <v>755258</v>
      </c>
      <c r="J1870" s="45" t="n">
        <v>19722</v>
      </c>
      <c r="K1870" s="45" t="n">
        <v>3233</v>
      </c>
      <c r="L1870" s="46" t="n"/>
      <c r="M1870" s="47" t="n"/>
      <c r="N1870" s="47" t="inlineStr">
        <is>
          <t>UCKZo4N0lVPccBkSiuyVh4yg</t>
        </is>
      </c>
      <c r="O1870" s="48" t="n">
        <v>43578.93611111111</v>
      </c>
      <c r="P1870" s="49" t="n">
        <v>43578</v>
      </c>
      <c r="Q1870" s="47" t="n">
        <v>1398</v>
      </c>
      <c r="R1870" s="47" t="inlineStr">
        <is>
          <t>No Video ID yet</t>
        </is>
      </c>
      <c r="S1870" s="49" t="n"/>
      <c r="T1870" s="49" t="n"/>
      <c r="U1870" s="47" t="inlineStr">
        <is>
          <t>Today J dives into the Marvel Cinematic Universe to try and uncover WHO will be the next villain after Thanos is defeated... IF HE IS DEFEATED!</t>
        </is>
      </c>
      <c r="V1870" s="47">
        <f>IF(AND(P1870&gt;=Calendar!$K$2,P1870&lt;EDATE(Calendar!$K$2,1),OR(Calendar!$K$4="*",N1870=Calendar!$K$4)),P1870*100+COUNTIFS($P$6:$P$3267,P1870,$Q$6:$Q$3267,"&lt;="&amp;Q1870,$N$6:$N$3267,Calendar!$K$4),"")</f>
        <v/>
      </c>
      <c r="W1870" s="47">
        <f>IF(AND(B1870=Queue!$C$4,OR(Queue!$K$4="*",N1870=Queue!$K$4)),Q1870,"")</f>
        <v/>
      </c>
    </row>
    <row r="1871">
      <c r="A1871" s="38">
        <f>IF(M1871="","",HYPERLINK("https://www.youtube.com/watch?v="&amp;M1871,"▶"))</f>
        <v/>
      </c>
      <c r="B1871" s="39">
        <f>IF(C1871&lt;&gt;"",C1871,IF(P1871&lt;=IFERROR(INDEX(tblChannels[Watched Through],MATCH(N1871,tblChannels[Channel ID],0)),0),"Watched","Unwatched"))</f>
        <v/>
      </c>
      <c r="C1871" s="40" t="n"/>
      <c r="D1871" s="41" t="n"/>
      <c r="E1871" s="42" t="n">
        <v>43577.83472222222</v>
      </c>
      <c r="F1871" s="53" t="inlineStr">
        <is>
          <t>Jonathan Carlin</t>
        </is>
      </c>
      <c r="G1871" t="inlineStr">
        <is>
          <t>RUN BETH RUN</t>
        </is>
      </c>
      <c r="H1871" s="44" t="n">
        <v>0.006851851851851852</v>
      </c>
      <c r="I1871" s="45" t="n">
        <v>23571</v>
      </c>
      <c r="J1871" s="45" t="n">
        <v>1353</v>
      </c>
      <c r="K1871" s="45" t="n">
        <v>138</v>
      </c>
      <c r="L1871" s="46" t="n"/>
      <c r="M1871" s="47" t="n"/>
      <c r="N1871" s="47" t="inlineStr">
        <is>
          <t>UCYPKFe86e6nm4TVUYKLsFUQ</t>
        </is>
      </c>
      <c r="O1871" s="48" t="n">
        <v>43578.00138888889</v>
      </c>
      <c r="P1871" s="49" t="n">
        <v>43577</v>
      </c>
      <c r="Q1871" s="47" t="n">
        <v>1397</v>
      </c>
      <c r="R1871" s="47" t="inlineStr">
        <is>
          <t>No Video ID yet</t>
        </is>
      </c>
      <c r="S1871" s="49" t="n"/>
      <c r="T1871" s="49" t="n"/>
      <c r="U1871" s="47" t="inlineStr">
        <is>
          <t>Beth preps for a big race, while J and Ben unbox everything under the sun including some swanky new Harry Potter books!</t>
        </is>
      </c>
      <c r="V1871" s="47">
        <f>IF(AND(P1871&gt;=Calendar!$K$2,P1871&lt;EDATE(Calendar!$K$2,1),OR(Calendar!$K$4="*",N1871=Calendar!$K$4)),P1871*100+COUNTIFS($P$6:$P$3267,P1871,$Q$6:$Q$3267,"&lt;="&amp;Q1871,$N$6:$N$3267,Calendar!$K$4),"")</f>
        <v/>
      </c>
      <c r="W1871" s="47">
        <f>IF(AND(B1871=Queue!$C$4,OR(Queue!$K$4="*",N1871=Queue!$K$4)),Q1871,"")</f>
        <v/>
      </c>
    </row>
    <row r="1872">
      <c r="A1872" s="38">
        <f>IF(M1872="","",HYPERLINK("https://www.youtube.com/watch?v="&amp;M1872,"▶"))</f>
        <v/>
      </c>
      <c r="B1872" s="39">
        <f>IF(C1872&lt;&gt;"",C1872,IF(P1872&lt;=IFERROR(INDEX(tblChannels[Watched Through],MATCH(N1872,tblChannels[Channel ID],0)),0),"Watched","Unwatched"))</f>
        <v/>
      </c>
      <c r="C1872" s="40" t="n"/>
      <c r="D1872" s="41" t="n"/>
      <c r="E1872" s="42" t="n">
        <v>43577.4375</v>
      </c>
      <c r="F1872" s="52" t="inlineStr">
        <is>
          <t>Super Carlin Gaming</t>
        </is>
      </c>
      <c r="G1872" t="inlineStr">
        <is>
          <t>Too Young To Be Engaged? |  Super Smash Bros #36</t>
        </is>
      </c>
      <c r="H1872" s="44" t="n">
        <v>0.01315972222222222</v>
      </c>
      <c r="I1872" s="45" t="n">
        <v>5334</v>
      </c>
      <c r="J1872" s="45" t="n">
        <v>273</v>
      </c>
      <c r="K1872" s="45" t="n">
        <v>65</v>
      </c>
      <c r="L1872" s="46" t="n"/>
      <c r="M1872" s="47" t="n"/>
      <c r="N1872" s="47" t="inlineStr">
        <is>
          <t>UCor_9jRnNNZVzTuQ92PKsaQ</t>
        </is>
      </c>
      <c r="O1872" s="48" t="n">
        <v>43577.60416666666</v>
      </c>
      <c r="P1872" s="49" t="n">
        <v>43577</v>
      </c>
      <c r="Q1872" s="47" t="n">
        <v>1396</v>
      </c>
      <c r="R1872" s="47" t="inlineStr">
        <is>
          <t>No Video ID yet</t>
        </is>
      </c>
      <c r="S1872" s="49" t="n"/>
      <c r="T1872" s="49" t="n"/>
      <c r="U1872" s="47" t="inlineStr">
        <is>
          <t>Can we beat our super charged Amiibo’s? J, Ben and DK take turns facing off against these mighty foes while answering your questions! If you want us to challenge your Amiibo, send it to the PO Box listed below!</t>
        </is>
      </c>
      <c r="V1872" s="47">
        <f>IF(AND(P1872&gt;=Calendar!$K$2,P1872&lt;EDATE(Calendar!$K$2,1),OR(Calendar!$K$4="*",N1872=Calendar!$K$4)),P1872*100+COUNTIFS($P$6:$P$3267,P1872,$Q$6:$Q$3267,"&lt;="&amp;Q1872,$N$6:$N$3267,Calendar!$K$4),"")</f>
        <v/>
      </c>
      <c r="W1872" s="47">
        <f>IF(AND(B1872=Queue!$C$4,OR(Queue!$K$4="*",N1872=Queue!$K$4)),Q1872,"")</f>
        <v/>
      </c>
    </row>
    <row r="1873">
      <c r="A1873" s="38">
        <f>IF(M1873="","",HYPERLINK("https://www.youtube.com/watch?v="&amp;M1873,"▶"))</f>
        <v/>
      </c>
      <c r="B1873" s="39">
        <f>IF(C1873&lt;&gt;"",C1873,IF(P1873&lt;=IFERROR(INDEX(tblChannels[Watched Through],MATCH(N1873,tblChannels[Channel ID],0)),0),"Watched","Unwatched"))</f>
        <v/>
      </c>
      <c r="C1873" s="40" t="n"/>
      <c r="D1873" s="41" t="n"/>
      <c r="E1873" s="42" t="n">
        <v>43574.4375</v>
      </c>
      <c r="F1873" s="52" t="inlineStr">
        <is>
          <t>Super Carlin Gaming</t>
        </is>
      </c>
      <c r="G1873" t="inlineStr">
        <is>
          <t>Fossil Find |  Pokémon X Nuzlocke #10</t>
        </is>
      </c>
      <c r="H1873" s="44" t="n">
        <v>0.01924768518518518</v>
      </c>
      <c r="I1873" s="45" t="n">
        <v>32389</v>
      </c>
      <c r="J1873" s="45" t="n">
        <v>938</v>
      </c>
      <c r="K1873" s="45" t="n">
        <v>369</v>
      </c>
      <c r="L1873" s="46" t="n"/>
      <c r="M1873" s="47" t="n"/>
      <c r="N1873" s="47" t="inlineStr">
        <is>
          <t>UCor_9jRnNNZVzTuQ92PKsaQ</t>
        </is>
      </c>
      <c r="O1873" s="48" t="n">
        <v>43574.60416666666</v>
      </c>
      <c r="P1873" s="49" t="n">
        <v>43574</v>
      </c>
      <c r="Q1873" s="47" t="n">
        <v>1395</v>
      </c>
      <c r="R1873" s="47" t="inlineStr">
        <is>
          <t>No Video ID yet</t>
        </is>
      </c>
      <c r="S1873" s="49" t="n"/>
      <c r="T1873" s="49" t="n"/>
      <c r="U1873" s="47" t="inlineStr">
        <is>
          <t>Today J and the team head into Glittering cave to take on Team Flare and hopefully locate a new fossil friend!</t>
        </is>
      </c>
      <c r="V1873" s="47">
        <f>IF(AND(P1873&gt;=Calendar!$K$2,P1873&lt;EDATE(Calendar!$K$2,1),OR(Calendar!$K$4="*",N1873=Calendar!$K$4)),P1873*100+COUNTIFS($P$6:$P$3267,P1873,$Q$6:$Q$3267,"&lt;="&amp;Q1873,$N$6:$N$3267,Calendar!$K$4),"")</f>
        <v/>
      </c>
      <c r="W1873" s="47">
        <f>IF(AND(B1873=Queue!$C$4,OR(Queue!$K$4="*",N1873=Queue!$K$4)),Q1873,"")</f>
        <v/>
      </c>
    </row>
    <row r="1874">
      <c r="A1874" s="38">
        <f>IF(M1874="","",HYPERLINK("https://www.youtube.com/watch?v="&amp;M1874,"▶"))</f>
        <v/>
      </c>
      <c r="B1874" s="39">
        <f>IF(C1874&lt;&gt;"",C1874,IF(P1874&lt;=IFERROR(INDEX(tblChannels[Watched Through],MATCH(N1874,tblChannels[Channel ID],0)),0),"Watched","Unwatched"))</f>
        <v/>
      </c>
      <c r="C1874" s="40" t="n"/>
      <c r="D1874" s="41" t="n"/>
      <c r="E1874" s="42" t="n">
        <v>43573.75972222222</v>
      </c>
      <c r="F1874" s="50" t="inlineStr">
        <is>
          <t>Super Carlin Brothers</t>
        </is>
      </c>
      <c r="G1874" t="inlineStr">
        <is>
          <t>How Dumbledore Will Destroy The Blood Pact | Harry Potter Theory</t>
        </is>
      </c>
      <c r="H1874" s="44" t="n">
        <v>0.008356481481481482</v>
      </c>
      <c r="I1874" s="45" t="n">
        <v>918413</v>
      </c>
      <c r="J1874" s="45" t="n">
        <v>23255</v>
      </c>
      <c r="K1874" s="45" t="n">
        <v>1791</v>
      </c>
      <c r="L1874" s="46" t="n"/>
      <c r="M1874" s="47" t="n"/>
      <c r="N1874" s="47" t="inlineStr">
        <is>
          <t>UCKZo4N0lVPccBkSiuyVh4yg</t>
        </is>
      </c>
      <c r="O1874" s="48" t="n">
        <v>43573.92638888889</v>
      </c>
      <c r="P1874" s="49" t="n">
        <v>43573</v>
      </c>
      <c r="Q1874" s="47" t="n">
        <v>1394</v>
      </c>
      <c r="R1874" s="47" t="inlineStr">
        <is>
          <t>No Video ID yet</t>
        </is>
      </c>
      <c r="S1874" s="49" t="n"/>
      <c r="T1874" s="49" t="n"/>
      <c r="U1874" s="47" t="inlineStr">
        <is>
          <t>Today Ben dives into the Wizarding World of Harry Potter to try and figure out how Dumbledore will ultimately defeat Grindelwald, destroy the blood pact and overcome the Elder Wand.</t>
        </is>
      </c>
      <c r="V1874" s="47">
        <f>IF(AND(P1874&gt;=Calendar!$K$2,P1874&lt;EDATE(Calendar!$K$2,1),OR(Calendar!$K$4="*",N1874=Calendar!$K$4)),P1874*100+COUNTIFS($P$6:$P$3267,P1874,$Q$6:$Q$3267,"&lt;="&amp;Q1874,$N$6:$N$3267,Calendar!$K$4),"")</f>
        <v/>
      </c>
      <c r="W1874" s="47">
        <f>IF(AND(B1874=Queue!$C$4,OR(Queue!$K$4="*",N1874=Queue!$K$4)),Q1874,"")</f>
        <v/>
      </c>
    </row>
    <row r="1875">
      <c r="A1875" s="38">
        <f>IF(M1875="","",HYPERLINK("https://www.youtube.com/watch?v="&amp;M1875,"▶"))</f>
        <v/>
      </c>
      <c r="B1875" s="39">
        <f>IF(C1875&lt;&gt;"",C1875,IF(P1875&lt;=IFERROR(INDEX(tblChannels[Watched Through],MATCH(N1875,tblChannels[Channel ID],0)),0),"Watched","Unwatched"))</f>
        <v/>
      </c>
      <c r="C1875" s="40" t="n"/>
      <c r="D1875" s="41" t="n"/>
      <c r="E1875" s="42" t="n">
        <v>43572.4375</v>
      </c>
      <c r="F1875" s="52" t="inlineStr">
        <is>
          <t>Super Carlin Gaming</t>
        </is>
      </c>
      <c r="G1875" t="inlineStr">
        <is>
          <t>Second Grass |  Pokémon X Nuzlocke #9</t>
        </is>
      </c>
      <c r="H1875" s="44" t="n">
        <v>0.02114583333333333</v>
      </c>
      <c r="I1875" s="45" t="n">
        <v>34535</v>
      </c>
      <c r="J1875" s="45" t="n">
        <v>1030</v>
      </c>
      <c r="K1875" s="45" t="n">
        <v>440</v>
      </c>
      <c r="L1875" s="46" t="n"/>
      <c r="M1875" s="47" t="n"/>
      <c r="N1875" s="47" t="inlineStr">
        <is>
          <t>UCor_9jRnNNZVzTuQ92PKsaQ</t>
        </is>
      </c>
      <c r="O1875" s="48" t="n">
        <v>43572.60416666666</v>
      </c>
      <c r="P1875" s="49" t="n">
        <v>43572</v>
      </c>
      <c r="Q1875" s="47" t="n">
        <v>1393</v>
      </c>
      <c r="R1875" s="47" t="inlineStr">
        <is>
          <t>No Video ID yet</t>
        </is>
      </c>
      <c r="S1875" s="49" t="n"/>
      <c r="T1875" s="49" t="n"/>
      <c r="U1875" s="47" t="inlineStr">
        <is>
          <t>Swarm battles amiright?!</t>
        </is>
      </c>
      <c r="V1875" s="47">
        <f>IF(AND(P1875&gt;=Calendar!$K$2,P1875&lt;EDATE(Calendar!$K$2,1),OR(Calendar!$K$4="*",N1875=Calendar!$K$4)),P1875*100+COUNTIFS($P$6:$P$3267,P1875,$Q$6:$Q$3267,"&lt;="&amp;Q1875,$N$6:$N$3267,Calendar!$K$4),"")</f>
        <v/>
      </c>
      <c r="W1875" s="47">
        <f>IF(AND(B1875=Queue!$C$4,OR(Queue!$K$4="*",N1875=Queue!$K$4)),Q1875,"")</f>
        <v/>
      </c>
    </row>
    <row r="1876">
      <c r="A1876" s="38">
        <f>IF(M1876="","",HYPERLINK("https://www.youtube.com/watch?v="&amp;M1876,"▶"))</f>
        <v/>
      </c>
      <c r="B1876" s="39">
        <f>IF(C1876&lt;&gt;"",C1876,IF(P1876&lt;=IFERROR(INDEX(tblChannels[Watched Through],MATCH(N1876,tblChannels[Channel ID],0)),0),"Watched","Unwatched"))</f>
        <v/>
      </c>
      <c r="C1876" s="40" t="n"/>
      <c r="D1876" s="41" t="n"/>
      <c r="E1876" s="42" t="n">
        <v>43571.79583333333</v>
      </c>
      <c r="F1876" s="50" t="inlineStr">
        <is>
          <t>Super Carlin Brothers</t>
        </is>
      </c>
      <c r="G1876" t="inlineStr">
        <is>
          <t>How Palpatine Almost Definitely Created Rey | Star Wars Theory</t>
        </is>
      </c>
      <c r="H1876" s="44" t="n">
        <v>0.008958333333333334</v>
      </c>
      <c r="I1876" s="45" t="n">
        <v>564647</v>
      </c>
      <c r="J1876" s="45" t="n">
        <v>15786</v>
      </c>
      <c r="K1876" s="45" t="n">
        <v>2331</v>
      </c>
      <c r="L1876" s="46" t="n"/>
      <c r="M1876" s="47" t="n"/>
      <c r="N1876" s="47" t="inlineStr">
        <is>
          <t>UCKZo4N0lVPccBkSiuyVh4yg</t>
        </is>
      </c>
      <c r="O1876" s="48" t="n">
        <v>43571.9625</v>
      </c>
      <c r="P1876" s="49" t="n">
        <v>43571</v>
      </c>
      <c r="Q1876" s="47" t="n">
        <v>1392</v>
      </c>
      <c r="R1876" s="47" t="inlineStr">
        <is>
          <t>No Video ID yet</t>
        </is>
      </c>
      <c r="S1876" s="49" t="n"/>
      <c r="T1876" s="49" t="n"/>
      <c r="U1876" s="47" t="inlineStr">
        <is>
          <t>Today J dives into the Star Wars Galaxy to dissect the new Star Wars Episode 9: The Rise of Skywalker teaser trailer and discuss a possible origin story for Rey.</t>
        </is>
      </c>
      <c r="V1876" s="47">
        <f>IF(AND(P1876&gt;=Calendar!$K$2,P1876&lt;EDATE(Calendar!$K$2,1),OR(Calendar!$K$4="*",N1876=Calendar!$K$4)),P1876*100+COUNTIFS($P$6:$P$3267,P1876,$Q$6:$Q$3267,"&lt;="&amp;Q1876,$N$6:$N$3267,Calendar!$K$4),"")</f>
        <v/>
      </c>
      <c r="W1876" s="47">
        <f>IF(AND(B1876=Queue!$C$4,OR(Queue!$K$4="*",N1876=Queue!$K$4)),Q1876,"")</f>
        <v/>
      </c>
    </row>
    <row r="1877">
      <c r="A1877" s="38">
        <f>IF(M1877="","",HYPERLINK("https://www.youtube.com/watch?v="&amp;M1877,"▶"))</f>
        <v/>
      </c>
      <c r="B1877" s="39">
        <f>IF(C1877&lt;&gt;"",C1877,IF(P1877&lt;=IFERROR(INDEX(tblChannels[Watched Through],MATCH(N1877,tblChannels[Channel ID],0)),0),"Watched","Unwatched"))</f>
        <v/>
      </c>
      <c r="C1877" s="40" t="n"/>
      <c r="D1877" s="41" t="n"/>
      <c r="E1877" s="42" t="n">
        <v>43570.51597222222</v>
      </c>
      <c r="F1877" s="52" t="inlineStr">
        <is>
          <t>Super Carlin Gaming</t>
        </is>
      </c>
      <c r="G1877" t="inlineStr">
        <is>
          <t>What To Do For Mother's Day |  Super Smash Bros #35</t>
        </is>
      </c>
      <c r="H1877" s="44" t="n">
        <v>0.01016203703703704</v>
      </c>
      <c r="I1877" s="45" t="n">
        <v>4808</v>
      </c>
      <c r="J1877" s="45" t="n">
        <v>228</v>
      </c>
      <c r="K1877" s="45" t="n">
        <v>48</v>
      </c>
      <c r="L1877" s="46" t="n"/>
      <c r="M1877" s="47" t="n"/>
      <c r="N1877" s="47" t="inlineStr">
        <is>
          <t>UCor_9jRnNNZVzTuQ92PKsaQ</t>
        </is>
      </c>
      <c r="O1877" s="48" t="n">
        <v>43570.68263888889</v>
      </c>
      <c r="P1877" s="49" t="n">
        <v>43570</v>
      </c>
      <c r="Q1877" s="47" t="n">
        <v>1391</v>
      </c>
      <c r="R1877" s="47" t="inlineStr">
        <is>
          <t>No Video ID yet</t>
        </is>
      </c>
      <c r="S1877" s="49" t="n"/>
      <c r="T1877" s="49" t="n"/>
      <c r="U1877" s="47" t="inlineStr">
        <is>
          <t>Can we beat our super charged Amiibo’s? J, Ben and DK take turns facing off against these mighty foes while answering your questions! If you want us to challenge your Amiibo, send it to the PO Box listed below!</t>
        </is>
      </c>
      <c r="V1877" s="47">
        <f>IF(AND(P1877&gt;=Calendar!$K$2,P1877&lt;EDATE(Calendar!$K$2,1),OR(Calendar!$K$4="*",N1877=Calendar!$K$4)),P1877*100+COUNTIFS($P$6:$P$3267,P1877,$Q$6:$Q$3267,"&lt;="&amp;Q1877,$N$6:$N$3267,Calendar!$K$4),"")</f>
        <v/>
      </c>
      <c r="W1877" s="47">
        <f>IF(AND(B1877=Queue!$C$4,OR(Queue!$K$4="*",N1877=Queue!$K$4)),Q1877,"")</f>
        <v/>
      </c>
    </row>
    <row r="1878">
      <c r="A1878" s="38">
        <f>IF(M1878="","",HYPERLINK("https://www.youtube.com/watch?v="&amp;M1878,"▶"))</f>
        <v/>
      </c>
      <c r="B1878" s="39">
        <f>IF(C1878&lt;&gt;"",C1878,IF(P1878&lt;=IFERROR(INDEX(tblChannels[Watched Through],MATCH(N1878,tblChannels[Channel ID],0)),0),"Watched","Unwatched"))</f>
        <v/>
      </c>
      <c r="C1878" s="40" t="n"/>
      <c r="D1878" s="41" t="n"/>
      <c r="E1878" s="42" t="n">
        <v>43570.45</v>
      </c>
      <c r="F1878" s="53" t="inlineStr">
        <is>
          <t>Jonathan Carlin</t>
        </is>
      </c>
      <c r="G1878" t="inlineStr">
        <is>
          <t>Boys Weekend: Will We Survive?</t>
        </is>
      </c>
      <c r="H1878" s="44" t="n">
        <v>0.005601851851851852</v>
      </c>
      <c r="I1878" s="45" t="n">
        <v>30557</v>
      </c>
      <c r="J1878" s="45" t="n">
        <v>1617</v>
      </c>
      <c r="K1878" s="45" t="n">
        <v>222</v>
      </c>
      <c r="L1878" s="46" t="n"/>
      <c r="M1878" s="47" t="n"/>
      <c r="N1878" s="47" t="inlineStr">
        <is>
          <t>UCYPKFe86e6nm4TVUYKLsFUQ</t>
        </is>
      </c>
      <c r="O1878" s="48" t="n">
        <v>43570.61666666667</v>
      </c>
      <c r="P1878" s="49" t="n">
        <v>43570</v>
      </c>
      <c r="Q1878" s="47" t="n">
        <v>1390</v>
      </c>
      <c r="R1878" s="47" t="inlineStr">
        <is>
          <t>No Video ID yet</t>
        </is>
      </c>
      <c r="S1878" s="49" t="n"/>
      <c r="T1878" s="49" t="n"/>
      <c r="U1878" s="47" t="inlineStr">
        <is>
          <t>This week, Ben tackles the plague, SCOTT LOVES TWIZZLERS, and Beth takes a much needed weekend off leaving J and Luke alone for the weekend!</t>
        </is>
      </c>
      <c r="V1878" s="47">
        <f>IF(AND(P1878&gt;=Calendar!$K$2,P1878&lt;EDATE(Calendar!$K$2,1),OR(Calendar!$K$4="*",N1878=Calendar!$K$4)),P1878*100+COUNTIFS($P$6:$P$3267,P1878,$Q$6:$Q$3267,"&lt;="&amp;Q1878,$N$6:$N$3267,Calendar!$K$4),"")</f>
        <v/>
      </c>
      <c r="W1878" s="47">
        <f>IF(AND(B1878=Queue!$C$4,OR(Queue!$K$4="*",N1878=Queue!$K$4)),Q1878,"")</f>
        <v/>
      </c>
    </row>
    <row r="1879">
      <c r="A1879" s="38">
        <f>IF(M1879="","",HYPERLINK("https://www.youtube.com/watch?v="&amp;M1879,"▶"))</f>
        <v/>
      </c>
      <c r="B1879" s="39">
        <f>IF(C1879&lt;&gt;"",C1879,IF(P1879&lt;=IFERROR(INDEX(tblChannels[Watched Through],MATCH(N1879,tblChannels[Channel ID],0)),0),"Watched","Unwatched"))</f>
        <v/>
      </c>
      <c r="C1879" s="40" t="n"/>
      <c r="D1879" s="41" t="n"/>
      <c r="E1879" s="42" t="n">
        <v>43567.75416666667</v>
      </c>
      <c r="F1879" s="52" t="inlineStr">
        <is>
          <t>Super Carlin Gaming</t>
        </is>
      </c>
      <c r="G1879" t="inlineStr">
        <is>
          <t>Mats &amp; Fats |  Pokémon X Nuzlocke #8</t>
        </is>
      </c>
      <c r="H1879" s="44" t="n">
        <v>0.02599537037037037</v>
      </c>
      <c r="I1879" s="45" t="n">
        <v>37557</v>
      </c>
      <c r="J1879" s="45" t="n">
        <v>1100</v>
      </c>
      <c r="K1879" s="45" t="n">
        <v>397</v>
      </c>
      <c r="L1879" s="46" t="n"/>
      <c r="M1879" s="47" t="n"/>
      <c r="N1879" s="47" t="inlineStr">
        <is>
          <t>UCor_9jRnNNZVzTuQ92PKsaQ</t>
        </is>
      </c>
      <c r="O1879" s="48" t="n">
        <v>43567.92083333333</v>
      </c>
      <c r="P1879" s="49" t="n">
        <v>43567</v>
      </c>
      <c r="Q1879" s="47" t="n">
        <v>1389</v>
      </c>
      <c r="R1879" s="47" t="inlineStr">
        <is>
          <t>No Video ID yet</t>
        </is>
      </c>
      <c r="S1879" s="49" t="n"/>
      <c r="T1879" s="49" t="n"/>
      <c r="U1879" s="47" t="inlineStr">
        <is>
          <t>The team welcomes a new member, and we let a couple others spend some time together in the day care!</t>
        </is>
      </c>
      <c r="V1879" s="47">
        <f>IF(AND(P1879&gt;=Calendar!$K$2,P1879&lt;EDATE(Calendar!$K$2,1),OR(Calendar!$K$4="*",N1879=Calendar!$K$4)),P1879*100+COUNTIFS($P$6:$P$3267,P1879,$Q$6:$Q$3267,"&lt;="&amp;Q1879,$N$6:$N$3267,Calendar!$K$4),"")</f>
        <v/>
      </c>
      <c r="W1879" s="47">
        <f>IF(AND(B1879=Queue!$C$4,OR(Queue!$K$4="*",N1879=Queue!$K$4)),Q1879,"")</f>
        <v/>
      </c>
    </row>
    <row r="1880">
      <c r="A1880" s="38">
        <f>IF(M1880="","",HYPERLINK("https://www.youtube.com/watch?v="&amp;M1880,"▶"))</f>
        <v/>
      </c>
      <c r="B1880" s="39">
        <f>IF(C1880&lt;&gt;"",C1880,IF(P1880&lt;=IFERROR(INDEX(tblChannels[Watched Through],MATCH(N1880,tblChannels[Channel ID],0)),0),"Watched","Unwatched"))</f>
        <v/>
      </c>
      <c r="C1880" s="40" t="n"/>
      <c r="D1880" s="41" t="n"/>
      <c r="E1880" s="42" t="n">
        <v>43566.69166666667</v>
      </c>
      <c r="F1880" s="50" t="inlineStr">
        <is>
          <t>Super Carlin Brothers</t>
        </is>
      </c>
      <c r="G1880" t="inlineStr">
        <is>
          <t>EVERY EASTER EGG IN TOY STORY LAND</t>
        </is>
      </c>
      <c r="H1880" s="44" t="n">
        <v>0.00681712962962963</v>
      </c>
      <c r="I1880" s="45" t="n">
        <v>198716</v>
      </c>
      <c r="J1880" s="45" t="n">
        <v>7846</v>
      </c>
      <c r="K1880" s="45" t="n">
        <v>621</v>
      </c>
      <c r="L1880" s="46" t="n"/>
      <c r="M1880" s="47" t="n"/>
      <c r="N1880" s="47" t="inlineStr">
        <is>
          <t>UCKZo4N0lVPccBkSiuyVh4yg</t>
        </is>
      </c>
      <c r="O1880" s="48" t="n">
        <v>43566.85833333333</v>
      </c>
      <c r="P1880" s="49" t="n">
        <v>43566</v>
      </c>
      <c r="Q1880" s="47" t="n">
        <v>1388</v>
      </c>
      <c r="R1880" s="47" t="inlineStr">
        <is>
          <t>No Video ID yet</t>
        </is>
      </c>
      <c r="S1880" s="49" t="n"/>
      <c r="T1880" s="49" t="n"/>
      <c r="U1880" s="47" t="inlineStr">
        <is>
          <t>This video includes a paid partnership with Disney. #ad Best Day Ever Instagram :: Today J and Ben head to Walt Disney World's Toy Story Land to try and hunt down every Easter Eggs in the park including A-113, hidden dates, interactive barcodes and MORE!</t>
        </is>
      </c>
      <c r="V1880" s="47">
        <f>IF(AND(P1880&gt;=Calendar!$K$2,P1880&lt;EDATE(Calendar!$K$2,1),OR(Calendar!$K$4="*",N1880=Calendar!$K$4)),P1880*100+COUNTIFS($P$6:$P$3267,P1880,$Q$6:$Q$3267,"&lt;="&amp;Q1880,$N$6:$N$3267,Calendar!$K$4),"")</f>
        <v/>
      </c>
      <c r="W1880" s="47">
        <f>IF(AND(B1880=Queue!$C$4,OR(Queue!$K$4="*",N1880=Queue!$K$4)),Q1880,"")</f>
        <v/>
      </c>
    </row>
    <row r="1881">
      <c r="A1881" s="38">
        <f>IF(M1881="","",HYPERLINK("https://www.youtube.com/watch?v="&amp;M1881,"▶"))</f>
        <v/>
      </c>
      <c r="B1881" s="39">
        <f>IF(C1881&lt;&gt;"",C1881,IF(P1881&lt;=IFERROR(INDEX(tblChannels[Watched Through],MATCH(N1881,tblChannels[Channel ID],0)),0),"Watched","Unwatched"))</f>
        <v/>
      </c>
      <c r="C1881" s="40" t="n"/>
      <c r="D1881" s="41" t="n"/>
      <c r="E1881" s="42" t="n">
        <v>43565.65833333333</v>
      </c>
      <c r="F1881" s="52" t="inlineStr">
        <is>
          <t>Super Carlin Gaming</t>
        </is>
      </c>
      <c r="G1881" t="inlineStr">
        <is>
          <t>A GRUMPY RAGE! |  Pokémon X Nuzlocke #7</t>
        </is>
      </c>
      <c r="H1881" s="44" t="n">
        <v>0.02300925925925926</v>
      </c>
      <c r="I1881" s="45" t="n">
        <v>38290</v>
      </c>
      <c r="J1881" s="45" t="n">
        <v>1026</v>
      </c>
      <c r="K1881" s="45" t="n">
        <v>637</v>
      </c>
      <c r="L1881" s="46" t="n"/>
      <c r="M1881" s="47" t="n"/>
      <c r="N1881" s="47" t="inlineStr">
        <is>
          <t>UCor_9jRnNNZVzTuQ92PKsaQ</t>
        </is>
      </c>
      <c r="O1881" s="48" t="n">
        <v>43565.825</v>
      </c>
      <c r="P1881" s="49" t="n">
        <v>43565</v>
      </c>
      <c r="Q1881" s="47" t="n">
        <v>1387</v>
      </c>
      <c r="R1881" s="47" t="inlineStr">
        <is>
          <t>No Video ID yet</t>
        </is>
      </c>
      <c r="S1881" s="49" t="n"/>
      <c r="T1881" s="49" t="n"/>
      <c r="U1881" s="47" t="inlineStr">
        <is>
          <t>J and the team head over to a castle.. or chateau if you will, they are forced on a date with Cauliflower and then battle a cunning Snorlax!!</t>
        </is>
      </c>
      <c r="V1881" s="47">
        <f>IF(AND(P1881&gt;=Calendar!$K$2,P1881&lt;EDATE(Calendar!$K$2,1),OR(Calendar!$K$4="*",N1881=Calendar!$K$4)),P1881*100+COUNTIFS($P$6:$P$3267,P1881,$Q$6:$Q$3267,"&lt;="&amp;Q1881,$N$6:$N$3267,Calendar!$K$4),"")</f>
        <v/>
      </c>
      <c r="W1881" s="47">
        <f>IF(AND(B1881=Queue!$C$4,OR(Queue!$K$4="*",N1881=Queue!$K$4)),Q1881,"")</f>
        <v/>
      </c>
    </row>
    <row r="1882">
      <c r="A1882" s="38">
        <f>IF(M1882="","",HYPERLINK("https://www.youtube.com/watch?v="&amp;M1882,"▶"))</f>
        <v/>
      </c>
      <c r="B1882" s="39">
        <f>IF(C1882&lt;&gt;"",C1882,IF(P1882&lt;=IFERROR(INDEX(tblChannels[Watched Through],MATCH(N1882,tblChannels[Channel ID],0)),0),"Watched","Unwatched"))</f>
        <v/>
      </c>
      <c r="C1882" s="40" t="n"/>
      <c r="D1882" s="41" t="n"/>
      <c r="E1882" s="42" t="n">
        <v>43564.71736111111</v>
      </c>
      <c r="F1882" s="50" t="inlineStr">
        <is>
          <t>Super Carlin Brothers</t>
        </is>
      </c>
      <c r="G1882" t="inlineStr">
        <is>
          <t>Grindelwald’s Skull Explained | Harry Potter Theory</t>
        </is>
      </c>
      <c r="H1882" s="44" t="n">
        <v>0.008530092592592593</v>
      </c>
      <c r="I1882" s="45" t="n">
        <v>910313</v>
      </c>
      <c r="J1882" s="45" t="n">
        <v>23803</v>
      </c>
      <c r="K1882" s="45" t="n">
        <v>2036</v>
      </c>
      <c r="L1882" s="46" t="n"/>
      <c r="M1882" s="47" t="n"/>
      <c r="N1882" s="47" t="inlineStr">
        <is>
          <t>UCKZo4N0lVPccBkSiuyVh4yg</t>
        </is>
      </c>
      <c r="O1882" s="48" t="n">
        <v>43564.88402777778</v>
      </c>
      <c r="P1882" s="49" t="n">
        <v>43564</v>
      </c>
      <c r="Q1882" s="47" t="n">
        <v>1386</v>
      </c>
      <c r="R1882" s="47" t="inlineStr">
        <is>
          <t>No Video ID yet</t>
        </is>
      </c>
      <c r="S1882" s="49" t="n"/>
      <c r="T1882" s="49" t="n"/>
      <c r="U1882" s="47" t="inlineStr">
        <is>
          <t>Carlin Brothers Coffee :: Today J dives into the Wizarding World of Harry Potter to try and explain one a most unusual artifact, introduced to us in Fantastic Beasts: The Crimes of Grindelwald - Grindelwalds Skull.</t>
        </is>
      </c>
      <c r="V1882" s="47">
        <f>IF(AND(P1882&gt;=Calendar!$K$2,P1882&lt;EDATE(Calendar!$K$2,1),OR(Calendar!$K$4="*",N1882=Calendar!$K$4)),P1882*100+COUNTIFS($P$6:$P$3267,P1882,$Q$6:$Q$3267,"&lt;="&amp;Q1882,$N$6:$N$3267,Calendar!$K$4),"")</f>
        <v/>
      </c>
      <c r="W1882" s="47">
        <f>IF(AND(B1882=Queue!$C$4,OR(Queue!$K$4="*",N1882=Queue!$K$4)),Q1882,"")</f>
        <v/>
      </c>
    </row>
    <row r="1883">
      <c r="A1883" s="38">
        <f>IF(M1883="","",HYPERLINK("https://www.youtube.com/watch?v="&amp;M1883,"▶"))</f>
        <v/>
      </c>
      <c r="B1883" s="39">
        <f>IF(C1883&lt;&gt;"",C1883,IF(P1883&lt;=IFERROR(INDEX(tblChannels[Watched Through],MATCH(N1883,tblChannels[Channel ID],0)),0),"Watched","Unwatched"))</f>
        <v/>
      </c>
      <c r="C1883" s="40" t="n"/>
      <c r="D1883" s="41" t="n"/>
      <c r="E1883" s="42" t="n">
        <v>43564.43541666667</v>
      </c>
      <c r="F1883" s="53" t="inlineStr">
        <is>
          <t>Jonathan Carlin</t>
        </is>
      </c>
      <c r="G1883" t="inlineStr">
        <is>
          <t>SOUNDPROOFING MY LIFE</t>
        </is>
      </c>
      <c r="H1883" s="44" t="n">
        <v>0.00681712962962963</v>
      </c>
      <c r="I1883" s="45" t="n">
        <v>30553</v>
      </c>
      <c r="J1883" s="45" t="n">
        <v>1549</v>
      </c>
      <c r="K1883" s="45" t="n">
        <v>152</v>
      </c>
      <c r="L1883" s="46" t="n"/>
      <c r="M1883" s="47" t="n"/>
      <c r="N1883" s="47" t="inlineStr">
        <is>
          <t>UCYPKFe86e6nm4TVUYKLsFUQ</t>
        </is>
      </c>
      <c r="O1883" s="48" t="n">
        <v>43564.60208333333</v>
      </c>
      <c r="P1883" s="49" t="n">
        <v>43564</v>
      </c>
      <c r="Q1883" s="47" t="n">
        <v>1385</v>
      </c>
      <c r="R1883" s="47" t="inlineStr">
        <is>
          <t>No Video ID yet</t>
        </is>
      </c>
      <c r="S1883" s="49" t="n"/>
      <c r="T1883" s="49" t="n"/>
      <c r="U1883" s="47" t="inlineStr">
        <is>
          <t>This week we put up soundproofing... everywhere, also Luke makes a new friend!</t>
        </is>
      </c>
      <c r="V1883" s="47">
        <f>IF(AND(P1883&gt;=Calendar!$K$2,P1883&lt;EDATE(Calendar!$K$2,1),OR(Calendar!$K$4="*",N1883=Calendar!$K$4)),P1883*100+COUNTIFS($P$6:$P$3267,P1883,$Q$6:$Q$3267,"&lt;="&amp;Q1883,$N$6:$N$3267,Calendar!$K$4),"")</f>
        <v/>
      </c>
      <c r="W1883" s="47">
        <f>IF(AND(B1883=Queue!$C$4,OR(Queue!$K$4="*",N1883=Queue!$K$4)),Q1883,"")</f>
        <v/>
      </c>
    </row>
    <row r="1884">
      <c r="A1884" s="38">
        <f>IF(M1884="","",HYPERLINK("https://www.youtube.com/watch?v="&amp;M1884,"▶"))</f>
        <v/>
      </c>
      <c r="B1884" s="39">
        <f>IF(C1884&lt;&gt;"",C1884,IF(P1884&lt;=IFERROR(INDEX(tblChannels[Watched Through],MATCH(N1884,tblChannels[Channel ID],0)),0),"Watched","Unwatched"))</f>
        <v/>
      </c>
      <c r="C1884" s="40" t="n"/>
      <c r="D1884" s="41" t="n"/>
      <c r="E1884" s="42" t="n">
        <v>43563.68125</v>
      </c>
      <c r="F1884" s="52" t="inlineStr">
        <is>
          <t>Super Carlin Gaming</t>
        </is>
      </c>
      <c r="G1884" t="inlineStr">
        <is>
          <t>President Stepping On My Toes | Super Smash Bros #34</t>
        </is>
      </c>
      <c r="H1884" s="44" t="n">
        <v>0.01388888888888889</v>
      </c>
      <c r="I1884" s="45" t="n">
        <v>5620</v>
      </c>
      <c r="J1884" s="45" t="n">
        <v>242</v>
      </c>
      <c r="K1884" s="45" t="n">
        <v>60</v>
      </c>
      <c r="L1884" s="46" t="n"/>
      <c r="M1884" s="47" t="n"/>
      <c r="N1884" s="47" t="inlineStr">
        <is>
          <t>UCor_9jRnNNZVzTuQ92PKsaQ</t>
        </is>
      </c>
      <c r="O1884" s="48" t="n">
        <v>43563.84791666667</v>
      </c>
      <c r="P1884" s="49" t="n">
        <v>43563</v>
      </c>
      <c r="Q1884" s="47" t="n">
        <v>1384</v>
      </c>
      <c r="R1884" s="47" t="inlineStr">
        <is>
          <t>No Video ID yet</t>
        </is>
      </c>
      <c r="S1884" s="49" t="n"/>
      <c r="T1884" s="49" t="n"/>
      <c r="U1884" s="47" t="inlineStr">
        <is>
          <t>Can we beat our super charged Amiibo’s? J, Ben and DK take turns facing off against these mighty foes while answering your questions! If you want us to challenge your Amiibo, send it to the PO Box listed below!</t>
        </is>
      </c>
      <c r="V1884" s="47">
        <f>IF(AND(P1884&gt;=Calendar!$K$2,P1884&lt;EDATE(Calendar!$K$2,1),OR(Calendar!$K$4="*",N1884=Calendar!$K$4)),P1884*100+COUNTIFS($P$6:$P$3267,P1884,$Q$6:$Q$3267,"&lt;="&amp;Q1884,$N$6:$N$3267,Calendar!$K$4),"")</f>
        <v/>
      </c>
      <c r="W1884" s="47">
        <f>IF(AND(B1884=Queue!$C$4,OR(Queue!$K$4="*",N1884=Queue!$K$4)),Q1884,"")</f>
        <v/>
      </c>
    </row>
    <row r="1885">
      <c r="A1885" s="38">
        <f>IF(M1885="","",HYPERLINK("https://www.youtube.com/watch?v="&amp;M1885,"▶"))</f>
        <v/>
      </c>
      <c r="B1885" s="39">
        <f>IF(C1885&lt;&gt;"",C1885,IF(P1885&lt;=IFERROR(INDEX(tblChannels[Watched Through],MATCH(N1885,tblChannels[Channel ID],0)),0),"Watched","Unwatched"))</f>
        <v/>
      </c>
      <c r="C1885" s="40" t="n"/>
      <c r="D1885" s="41" t="n"/>
      <c r="E1885" s="42" t="n">
        <v>43560.4375</v>
      </c>
      <c r="F1885" s="52" t="inlineStr">
        <is>
          <t>Super Carlin Gaming</t>
        </is>
      </c>
      <c r="G1885" t="inlineStr">
        <is>
          <t>One Wrong Turn... |  Pokémon X Nuzlocke #6</t>
        </is>
      </c>
      <c r="H1885" s="44" t="n">
        <v>0.02780092592592593</v>
      </c>
      <c r="I1885" s="45" t="n">
        <v>42884</v>
      </c>
      <c r="J1885" s="45" t="n">
        <v>1265</v>
      </c>
      <c r="K1885" s="45" t="n">
        <v>635</v>
      </c>
      <c r="L1885" s="46" t="n"/>
      <c r="M1885" s="47" t="n"/>
      <c r="N1885" s="47" t="inlineStr">
        <is>
          <t>UCor_9jRnNNZVzTuQ92PKsaQ</t>
        </is>
      </c>
      <c r="O1885" s="48" t="n">
        <v>43560.60416666666</v>
      </c>
      <c r="P1885" s="49" t="n">
        <v>43560</v>
      </c>
      <c r="Q1885" s="47" t="n">
        <v>1383</v>
      </c>
      <c r="R1885" s="47" t="inlineStr">
        <is>
          <t>No Video ID yet</t>
        </is>
      </c>
      <c r="S1885" s="49" t="n"/>
      <c r="T1885" s="49" t="n"/>
      <c r="U1885" s="47" t="n"/>
      <c r="V1885" s="47">
        <f>IF(AND(P1885&gt;=Calendar!$K$2,P1885&lt;EDATE(Calendar!$K$2,1),OR(Calendar!$K$4="*",N1885=Calendar!$K$4)),P1885*100+COUNTIFS($P$6:$P$3267,P1885,$Q$6:$Q$3267,"&lt;="&amp;Q1885,$N$6:$N$3267,Calendar!$K$4),"")</f>
        <v/>
      </c>
      <c r="W1885" s="47">
        <f>IF(AND(B1885=Queue!$C$4,OR(Queue!$K$4="*",N1885=Queue!$K$4)),Q1885,"")</f>
        <v/>
      </c>
    </row>
    <row r="1886">
      <c r="A1886" s="38">
        <f>IF(M1886="","",HYPERLINK("https://www.youtube.com/watch?v="&amp;M1886,"▶"))</f>
        <v/>
      </c>
      <c r="B1886" s="39">
        <f>IF(C1886&lt;&gt;"",C1886,IF(P1886&lt;=IFERROR(INDEX(tblChannels[Watched Through],MATCH(N1886,tblChannels[Channel ID],0)),0),"Watched","Unwatched"))</f>
        <v/>
      </c>
      <c r="C1886" s="40" t="n"/>
      <c r="D1886" s="41" t="n"/>
      <c r="E1886" s="42" t="n">
        <v>43559.80833333333</v>
      </c>
      <c r="F1886" s="50" t="inlineStr">
        <is>
          <t>Super Carlin Brothers</t>
        </is>
      </c>
      <c r="G1886" t="inlineStr">
        <is>
          <t>J vs Ben: ULTIMATE Harry Potter Defense Against The Dark Arts Quiz</t>
        </is>
      </c>
      <c r="H1886" s="44" t="n">
        <v>0.02923611111111111</v>
      </c>
      <c r="I1886" s="45" t="n">
        <v>1238542</v>
      </c>
      <c r="J1886" s="45" t="n">
        <v>19748</v>
      </c>
      <c r="K1886" s="45" t="n">
        <v>3661</v>
      </c>
      <c r="L1886" s="46" t="n"/>
      <c r="M1886" s="47" t="n"/>
      <c r="N1886" s="47" t="inlineStr">
        <is>
          <t>UCKZo4N0lVPccBkSiuyVh4yg</t>
        </is>
      </c>
      <c r="O1886" s="48" t="n">
        <v>43559.975</v>
      </c>
      <c r="P1886" s="49" t="n">
        <v>43559</v>
      </c>
      <c r="Q1886" s="47" t="n">
        <v>1382</v>
      </c>
      <c r="R1886" s="47" t="inlineStr">
        <is>
          <t>No Video ID yet</t>
        </is>
      </c>
      <c r="S1886" s="49" t="n"/>
      <c r="T1886" s="49" t="n"/>
      <c r="U1886" s="47" t="inlineStr">
        <is>
          <t>Today J and Ben face off in the ULTIMATE Defense Against The Dark Arts Harry Potter Trivia Quiz to find out who knows more about surviving the darkness in the Wizarding World.</t>
        </is>
      </c>
      <c r="V1886" s="47">
        <f>IF(AND(P1886&gt;=Calendar!$K$2,P1886&lt;EDATE(Calendar!$K$2,1),OR(Calendar!$K$4="*",N1886=Calendar!$K$4)),P1886*100+COUNTIFS($P$6:$P$3267,P1886,$Q$6:$Q$3267,"&lt;="&amp;Q1886,$N$6:$N$3267,Calendar!$K$4),"")</f>
        <v/>
      </c>
      <c r="W1886" s="47">
        <f>IF(AND(B1886=Queue!$C$4,OR(Queue!$K$4="*",N1886=Queue!$K$4)),Q1886,"")</f>
        <v/>
      </c>
    </row>
    <row r="1887">
      <c r="A1887" s="38">
        <f>IF(M1887="","",HYPERLINK("https://www.youtube.com/watch?v="&amp;M1887,"▶"))</f>
        <v/>
      </c>
      <c r="B1887" s="39">
        <f>IF(C1887&lt;&gt;"",C1887,IF(P1887&lt;=IFERROR(INDEX(tblChannels[Watched Through],MATCH(N1887,tblChannels[Channel ID],0)),0),"Watched","Unwatched"))</f>
        <v/>
      </c>
      <c r="C1887" s="40" t="n"/>
      <c r="D1887" s="41" t="n"/>
      <c r="E1887" s="42" t="n">
        <v>43558.4375</v>
      </c>
      <c r="F1887" s="52" t="inlineStr">
        <is>
          <t>Super Carlin Gaming</t>
        </is>
      </c>
      <c r="G1887" t="inlineStr">
        <is>
          <t>HALT! |  Pokémon X Nuzlocke #5</t>
        </is>
      </c>
      <c r="H1887" s="44" t="n">
        <v>0.02866898148148148</v>
      </c>
      <c r="I1887" s="45" t="n">
        <v>49195</v>
      </c>
      <c r="J1887" s="45" t="n">
        <v>1297</v>
      </c>
      <c r="K1887" s="45" t="n">
        <v>545</v>
      </c>
      <c r="L1887" s="46" t="n"/>
      <c r="M1887" s="47" t="n"/>
      <c r="N1887" s="47" t="inlineStr">
        <is>
          <t>UCor_9jRnNNZVzTuQ92PKsaQ</t>
        </is>
      </c>
      <c r="O1887" s="48" t="n">
        <v>43558.60416666666</v>
      </c>
      <c r="P1887" s="49" t="n">
        <v>43558</v>
      </c>
      <c r="Q1887" s="47" t="n">
        <v>1381</v>
      </c>
      <c r="R1887" s="47" t="inlineStr">
        <is>
          <t>No Video ID yet</t>
        </is>
      </c>
      <c r="S1887" s="49" t="n"/>
      <c r="T1887" s="49" t="n"/>
      <c r="U1887" s="47" t="inlineStr">
        <is>
          <t>We get another starter pokemon! Who will it be?!</t>
        </is>
      </c>
      <c r="V1887" s="47">
        <f>IF(AND(P1887&gt;=Calendar!$K$2,P1887&lt;EDATE(Calendar!$K$2,1),OR(Calendar!$K$4="*",N1887=Calendar!$K$4)),P1887*100+COUNTIFS($P$6:$P$3267,P1887,$Q$6:$Q$3267,"&lt;="&amp;Q1887,$N$6:$N$3267,Calendar!$K$4),"")</f>
        <v/>
      </c>
      <c r="W1887" s="47">
        <f>IF(AND(B1887=Queue!$C$4,OR(Queue!$K$4="*",N1887=Queue!$K$4)),Q1887,"")</f>
        <v/>
      </c>
    </row>
    <row r="1888">
      <c r="A1888" s="38">
        <f>IF(M1888="","",HYPERLINK("https://www.youtube.com/watch?v="&amp;M1888,"▶"))</f>
        <v/>
      </c>
      <c r="B1888" s="39">
        <f>IF(C1888&lt;&gt;"",C1888,IF(P1888&lt;=IFERROR(INDEX(tblChannels[Watched Through],MATCH(N1888,tblChannels[Channel ID],0)),0),"Watched","Unwatched"))</f>
        <v/>
      </c>
      <c r="C1888" s="40" t="n"/>
      <c r="D1888" s="41" t="n"/>
      <c r="E1888" s="42" t="n">
        <v>43557.71805555555</v>
      </c>
      <c r="F1888" s="50" t="inlineStr">
        <is>
          <t>Super Carlin Brothers</t>
        </is>
      </c>
      <c r="G1888" t="inlineStr">
        <is>
          <t>Who Is The Real Captain Marvel? | SHAZAM Vs Captain Marvel</t>
        </is>
      </c>
      <c r="H1888" s="44" t="n">
        <v>0.008402777777777778</v>
      </c>
      <c r="I1888" s="45" t="n">
        <v>291933</v>
      </c>
      <c r="J1888" s="45" t="n">
        <v>10456</v>
      </c>
      <c r="K1888" s="45" t="n">
        <v>1573</v>
      </c>
      <c r="L1888" s="46" t="n"/>
      <c r="M1888" s="47" t="n"/>
      <c r="N1888" s="47" t="inlineStr">
        <is>
          <t>UCKZo4N0lVPccBkSiuyVh4yg</t>
        </is>
      </c>
      <c r="O1888" s="48" t="n">
        <v>43557.88472222222</v>
      </c>
      <c r="P1888" s="49" t="n">
        <v>43557</v>
      </c>
      <c r="Q1888" s="47" t="n">
        <v>1380</v>
      </c>
      <c r="R1888" s="47" t="inlineStr">
        <is>
          <t>No Video ID yet</t>
        </is>
      </c>
      <c r="S1888" s="49" t="n"/>
      <c r="T1888" s="49" t="n"/>
      <c r="U1888" s="47" t="inlineStr">
        <is>
          <t>Today J dives into the wonderful world of Marvel comics to get to the bottom of who actually owns the name "Captain Marvel" and why there seem to be so many versions of the characters out there - From Shazam to Carol Danvers we got you covered!</t>
        </is>
      </c>
      <c r="V1888" s="47">
        <f>IF(AND(P1888&gt;=Calendar!$K$2,P1888&lt;EDATE(Calendar!$K$2,1),OR(Calendar!$K$4="*",N1888=Calendar!$K$4)),P1888*100+COUNTIFS($P$6:$P$3267,P1888,$Q$6:$Q$3267,"&lt;="&amp;Q1888,$N$6:$N$3267,Calendar!$K$4),"")</f>
        <v/>
      </c>
      <c r="W1888" s="47">
        <f>IF(AND(B1888=Queue!$C$4,OR(Queue!$K$4="*",N1888=Queue!$K$4)),Q1888,"")</f>
        <v/>
      </c>
    </row>
    <row r="1889">
      <c r="A1889" s="38">
        <f>IF(M1889="","",HYPERLINK("https://www.youtube.com/watch?v="&amp;M1889,"▶"))</f>
        <v/>
      </c>
      <c r="B1889" s="39">
        <f>IF(C1889&lt;&gt;"",C1889,IF(P1889&lt;=IFERROR(INDEX(tblChannels[Watched Through],MATCH(N1889,tblChannels[Channel ID],0)),0),"Watched","Unwatched"))</f>
        <v/>
      </c>
      <c r="C1889" s="40" t="n"/>
      <c r="D1889" s="41" t="n"/>
      <c r="E1889" s="42" t="n">
        <v>43556.80555555555</v>
      </c>
      <c r="F1889" s="53" t="inlineStr">
        <is>
          <t>Jonathan Carlin</t>
        </is>
      </c>
      <c r="G1889" t="inlineStr">
        <is>
          <t>SCOTT IS RYAN REYNOLDS?</t>
        </is>
      </c>
      <c r="H1889" s="44" t="n">
        <v>0.003391203703703704</v>
      </c>
      <c r="I1889" s="45" t="n">
        <v>20694</v>
      </c>
      <c r="J1889" s="45" t="n">
        <v>1242</v>
      </c>
      <c r="K1889" s="45" t="n">
        <v>96</v>
      </c>
      <c r="L1889" s="46" t="n"/>
      <c r="M1889" s="47" t="n"/>
      <c r="N1889" s="47" t="inlineStr">
        <is>
          <t>UCYPKFe86e6nm4TVUYKLsFUQ</t>
        </is>
      </c>
      <c r="O1889" s="48" t="n">
        <v>43556.97222222222</v>
      </c>
      <c r="P1889" s="49" t="n">
        <v>43556</v>
      </c>
      <c r="Q1889" s="47" t="n">
        <v>1379</v>
      </c>
      <c r="R1889" s="47" t="inlineStr">
        <is>
          <t>No Video ID yet</t>
        </is>
      </c>
      <c r="S1889" s="49" t="n"/>
      <c r="T1889" s="49" t="n"/>
      <c r="U1889" s="47" t="inlineStr">
        <is>
          <t>This week J and Ben host their monthly Patreon Hangout, try out a Tiger Keg, and Scott does his AMAZING Ryan Reynolds Impression!</t>
        </is>
      </c>
      <c r="V1889" s="47">
        <f>IF(AND(P1889&gt;=Calendar!$K$2,P1889&lt;EDATE(Calendar!$K$2,1),OR(Calendar!$K$4="*",N1889=Calendar!$K$4)),P1889*100+COUNTIFS($P$6:$P$3267,P1889,$Q$6:$Q$3267,"&lt;="&amp;Q1889,$N$6:$N$3267,Calendar!$K$4),"")</f>
        <v/>
      </c>
      <c r="W1889" s="47">
        <f>IF(AND(B1889=Queue!$C$4,OR(Queue!$K$4="*",N1889=Queue!$K$4)),Q1889,"")</f>
        <v/>
      </c>
    </row>
    <row r="1890">
      <c r="A1890" s="38">
        <f>IF(M1890="","",HYPERLINK("https://www.youtube.com/watch?v="&amp;M1890,"▶"))</f>
        <v/>
      </c>
      <c r="B1890" s="39">
        <f>IF(C1890&lt;&gt;"",C1890,IF(P1890&lt;=IFERROR(INDEX(tblChannels[Watched Through],MATCH(N1890,tblChannels[Channel ID],0)),0),"Watched","Unwatched"))</f>
        <v/>
      </c>
      <c r="C1890" s="40" t="n"/>
      <c r="D1890" s="41" t="n"/>
      <c r="E1890" s="42" t="n">
        <v>43556.4375</v>
      </c>
      <c r="F1890" s="52" t="inlineStr">
        <is>
          <t>Super Carlin Gaming</t>
        </is>
      </c>
      <c r="G1890" t="inlineStr">
        <is>
          <t>Picking The Best Man |  Super Smash Bros #33</t>
        </is>
      </c>
      <c r="H1890" s="44" t="n">
        <v>0.01378472222222222</v>
      </c>
      <c r="I1890" s="45" t="n">
        <v>6318</v>
      </c>
      <c r="J1890" s="45" t="n">
        <v>273</v>
      </c>
      <c r="K1890" s="45" t="n">
        <v>59</v>
      </c>
      <c r="L1890" s="46" t="n"/>
      <c r="M1890" s="47" t="n"/>
      <c r="N1890" s="47" t="inlineStr">
        <is>
          <t>UCor_9jRnNNZVzTuQ92PKsaQ</t>
        </is>
      </c>
      <c r="O1890" s="48" t="n">
        <v>43556.60416666666</v>
      </c>
      <c r="P1890" s="49" t="n">
        <v>43556</v>
      </c>
      <c r="Q1890" s="47" t="n">
        <v>1378</v>
      </c>
      <c r="R1890" s="47" t="inlineStr">
        <is>
          <t>No Video ID yet</t>
        </is>
      </c>
      <c r="S1890" s="49" t="n"/>
      <c r="T1890" s="49" t="n"/>
      <c r="U1890" s="47" t="inlineStr">
        <is>
          <t>Super Smash Brothers Ultimate Can we beat our super charged Amiibo’s? J, Ben and DK take turns facing off against these mighty foes while answering your questions! If you want us to challenge your Amiibo, send it to the PO Box listed below!</t>
        </is>
      </c>
      <c r="V1890" s="47">
        <f>IF(AND(P1890&gt;=Calendar!$K$2,P1890&lt;EDATE(Calendar!$K$2,1),OR(Calendar!$K$4="*",N1890=Calendar!$K$4)),P1890*100+COUNTIFS($P$6:$P$3267,P1890,$Q$6:$Q$3267,"&lt;="&amp;Q1890,$N$6:$N$3267,Calendar!$K$4),"")</f>
        <v/>
      </c>
      <c r="W1890" s="47">
        <f>IF(AND(B1890=Queue!$C$4,OR(Queue!$K$4="*",N1890=Queue!$K$4)),Q1890,"")</f>
        <v/>
      </c>
    </row>
    <row r="1891">
      <c r="A1891" s="38">
        <f>IF(M1891="","",HYPERLINK("https://www.youtube.com/watch?v="&amp;M1891,"▶"))</f>
        <v/>
      </c>
      <c r="B1891" s="39">
        <f>IF(C1891&lt;&gt;"",C1891,IF(P1891&lt;=IFERROR(INDEX(tblChannels[Watched Through],MATCH(N1891,tblChannels[Channel ID],0)),0),"Watched","Unwatched"))</f>
        <v/>
      </c>
      <c r="C1891" s="40" t="n"/>
      <c r="D1891" s="41" t="n"/>
      <c r="E1891" s="42" t="n">
        <v>43553.43472222222</v>
      </c>
      <c r="F1891" s="52" t="inlineStr">
        <is>
          <t>Super Carlin Gaming</t>
        </is>
      </c>
      <c r="G1891" t="inlineStr">
        <is>
          <t>He's Evolving! |  Pokémon X Nuzlocke #4</t>
        </is>
      </c>
      <c r="H1891" s="44" t="n">
        <v>0.02460648148148148</v>
      </c>
      <c r="I1891" s="45" t="n">
        <v>53242</v>
      </c>
      <c r="J1891" s="45" t="n">
        <v>1397</v>
      </c>
      <c r="K1891" s="45" t="n">
        <v>941</v>
      </c>
      <c r="L1891" s="46" t="n"/>
      <c r="M1891" s="47" t="n"/>
      <c r="N1891" s="47" t="inlineStr">
        <is>
          <t>UCor_9jRnNNZVzTuQ92PKsaQ</t>
        </is>
      </c>
      <c r="O1891" s="48" t="n">
        <v>43553.60138888889</v>
      </c>
      <c r="P1891" s="49" t="n">
        <v>43553</v>
      </c>
      <c r="Q1891" s="47" t="n">
        <v>1377</v>
      </c>
      <c r="R1891" s="47" t="inlineStr">
        <is>
          <t>No Video ID yet</t>
        </is>
      </c>
      <c r="S1891" s="49" t="n"/>
      <c r="T1891" s="49" t="n"/>
      <c r="U1891" s="47" t="inlineStr">
        <is>
          <t>Today J and the team make their way to Lumiose City where another starter Pokemon awaits, but first they must battle their way through Route 4! Will the team survive their first encounter with fairies?!</t>
        </is>
      </c>
      <c r="V1891" s="47">
        <f>IF(AND(P1891&gt;=Calendar!$K$2,P1891&lt;EDATE(Calendar!$K$2,1),OR(Calendar!$K$4="*",N1891=Calendar!$K$4)),P1891*100+COUNTIFS($P$6:$P$3267,P1891,$Q$6:$Q$3267,"&lt;="&amp;Q1891,$N$6:$N$3267,Calendar!$K$4),"")</f>
        <v/>
      </c>
      <c r="W1891" s="47">
        <f>IF(AND(B1891=Queue!$C$4,OR(Queue!$K$4="*",N1891=Queue!$K$4)),Q1891,"")</f>
        <v/>
      </c>
    </row>
    <row r="1892">
      <c r="A1892" s="38">
        <f>IF(M1892="","",HYPERLINK("https://www.youtube.com/watch?v="&amp;M1892,"▶"))</f>
        <v/>
      </c>
      <c r="B1892" s="39">
        <f>IF(C1892&lt;&gt;"",C1892,IF(P1892&lt;=IFERROR(INDEX(tblChannels[Watched Through],MATCH(N1892,tblChannels[Channel ID],0)),0),"Watched","Unwatched"))</f>
        <v/>
      </c>
      <c r="C1892" s="40" t="n"/>
      <c r="D1892" s="41" t="n"/>
      <c r="E1892" s="42" t="n">
        <v>43552.82916666667</v>
      </c>
      <c r="F1892" s="50" t="inlineStr">
        <is>
          <t>Super Carlin Brothers</t>
        </is>
      </c>
      <c r="G1892" t="inlineStr">
        <is>
          <t>Star Wars Episode 9 LEAKED Poster Predictions</t>
        </is>
      </c>
      <c r="H1892" s="44" t="n">
        <v>0.009884259259259259</v>
      </c>
      <c r="I1892" s="45" t="n">
        <v>186368</v>
      </c>
      <c r="J1892" s="45" t="n">
        <v>6751</v>
      </c>
      <c r="K1892" s="45" t="n">
        <v>1189</v>
      </c>
      <c r="L1892" s="46" t="n"/>
      <c r="M1892" s="47" t="n"/>
      <c r="N1892" s="47" t="inlineStr">
        <is>
          <t>UCKZo4N0lVPccBkSiuyVh4yg</t>
        </is>
      </c>
      <c r="O1892" s="48" t="n">
        <v>43552.99583333333</v>
      </c>
      <c r="P1892" s="49" t="n">
        <v>43552</v>
      </c>
      <c r="Q1892" s="47" t="n">
        <v>1376</v>
      </c>
      <c r="R1892" s="47" t="inlineStr">
        <is>
          <t>No Video ID yet</t>
        </is>
      </c>
      <c r="S1892" s="49" t="n"/>
      <c r="T1892" s="49" t="n"/>
      <c r="U1892" s="47" t="inlineStr">
        <is>
          <t>Get 20% Off LootCrate :: Promo Code: CARLIN Today Ben dives into the Star Wars Universe to try and dissect a recently leaked poster Episode 9 Poster to make as many predictions about Rey, Kylo Ren, Princess Leia, The Knights of Ren and the rest of the movie as we can!</t>
        </is>
      </c>
      <c r="V1892" s="47">
        <f>IF(AND(P1892&gt;=Calendar!$K$2,P1892&lt;EDATE(Calendar!$K$2,1),OR(Calendar!$K$4="*",N1892=Calendar!$K$4)),P1892*100+COUNTIFS($P$6:$P$3267,P1892,$Q$6:$Q$3267,"&lt;="&amp;Q1892,$N$6:$N$3267,Calendar!$K$4),"")</f>
        <v/>
      </c>
      <c r="W1892" s="47">
        <f>IF(AND(B1892=Queue!$C$4,OR(Queue!$K$4="*",N1892=Queue!$K$4)),Q1892,"")</f>
        <v/>
      </c>
    </row>
    <row r="1893">
      <c r="A1893" s="38">
        <f>IF(M1893="","",HYPERLINK("https://www.youtube.com/watch?v="&amp;M1893,"▶"))</f>
        <v/>
      </c>
      <c r="B1893" s="39">
        <f>IF(C1893&lt;&gt;"",C1893,IF(P1893&lt;=IFERROR(INDEX(tblChannels[Watched Through],MATCH(N1893,tblChannels[Channel ID],0)),0),"Watched","Unwatched"))</f>
        <v/>
      </c>
      <c r="C1893" s="40" t="n"/>
      <c r="D1893" s="41" t="n"/>
      <c r="E1893" s="42" t="n">
        <v>43551.56458333333</v>
      </c>
      <c r="F1893" s="52" t="inlineStr">
        <is>
          <t>Super Carlin Gaming</t>
        </is>
      </c>
      <c r="G1893" t="inlineStr">
        <is>
          <t>The First Gym Battle | Pokémon X Nuzlocke #3</t>
        </is>
      </c>
      <c r="H1893" s="44" t="n">
        <v>0.03072916666666667</v>
      </c>
      <c r="I1893" s="45" t="n">
        <v>64358</v>
      </c>
      <c r="J1893" s="45" t="n">
        <v>1624</v>
      </c>
      <c r="K1893" s="45" t="n">
        <v>1182</v>
      </c>
      <c r="L1893" s="46" t="n"/>
      <c r="M1893" s="47" t="n"/>
      <c r="N1893" s="47" t="inlineStr">
        <is>
          <t>UCor_9jRnNNZVzTuQ92PKsaQ</t>
        </is>
      </c>
      <c r="O1893" s="48" t="n">
        <v>43551.73125</v>
      </c>
      <c r="P1893" s="49" t="n">
        <v>43551</v>
      </c>
      <c r="Q1893" s="47" t="n">
        <v>1375</v>
      </c>
      <c r="R1893" s="47" t="inlineStr">
        <is>
          <t>No Video ID yet</t>
        </is>
      </c>
      <c r="S1893" s="49" t="n"/>
      <c r="T1893" s="49" t="n"/>
      <c r="U1893" s="47" t="inlineStr">
        <is>
          <t>J and the team head to their first Gym Battle! Will the whole team make it? Also a new team member arrives!</t>
        </is>
      </c>
      <c r="V1893" s="47">
        <f>IF(AND(P1893&gt;=Calendar!$K$2,P1893&lt;EDATE(Calendar!$K$2,1),OR(Calendar!$K$4="*",N1893=Calendar!$K$4)),P1893*100+COUNTIFS($P$6:$P$3267,P1893,$Q$6:$Q$3267,"&lt;="&amp;Q1893,$N$6:$N$3267,Calendar!$K$4),"")</f>
        <v/>
      </c>
      <c r="W1893" s="47">
        <f>IF(AND(B1893=Queue!$C$4,OR(Queue!$K$4="*",N1893=Queue!$K$4)),Q1893,"")</f>
        <v/>
      </c>
    </row>
    <row r="1894">
      <c r="A1894" s="38">
        <f>IF(M1894="","",HYPERLINK("https://www.youtube.com/watch?v="&amp;M1894,"▶"))</f>
        <v/>
      </c>
      <c r="B1894" s="39">
        <f>IF(C1894&lt;&gt;"",C1894,IF(P1894&lt;=IFERROR(INDEX(tblChannels[Watched Through],MATCH(N1894,tblChannels[Channel ID],0)),0),"Watched","Unwatched"))</f>
        <v/>
      </c>
      <c r="C1894" s="40" t="n"/>
      <c r="D1894" s="41" t="n"/>
      <c r="E1894" s="42" t="n">
        <v>43550.71458333333</v>
      </c>
      <c r="F1894" s="50" t="inlineStr">
        <is>
          <t>Super Carlin Brothers</t>
        </is>
      </c>
      <c r="G1894" t="inlineStr">
        <is>
          <t>The Truth About DUKE CABOOM | Toy Story 4</t>
        </is>
      </c>
      <c r="H1894" s="44" t="n">
        <v>0.008310185185185184</v>
      </c>
      <c r="I1894" s="45" t="n">
        <v>360210</v>
      </c>
      <c r="J1894" s="45" t="n">
        <v>11195</v>
      </c>
      <c r="K1894" s="45" t="n">
        <v>830</v>
      </c>
      <c r="L1894" s="46" t="n"/>
      <c r="M1894" s="47" t="n"/>
      <c r="N1894" s="47" t="inlineStr">
        <is>
          <t>UCKZo4N0lVPccBkSiuyVh4yg</t>
        </is>
      </c>
      <c r="O1894" s="48" t="n">
        <v>43550.88125</v>
      </c>
      <c r="P1894" s="49" t="n">
        <v>43550</v>
      </c>
      <c r="Q1894" s="47" t="n">
        <v>1374</v>
      </c>
      <c r="R1894" s="47" t="inlineStr">
        <is>
          <t>No Video ID yet</t>
        </is>
      </c>
      <c r="S1894" s="49" t="n"/>
      <c r="T1894" s="49" t="n"/>
      <c r="U1894" s="47" t="inlineStr">
        <is>
          <t>Toy Story 4 Meet Up :: Sunday, June 30 | Washington, DC :: Today J dives into the world of Disney Pixar’s Toy Story to uncover the truth about the new character Duke Caboom and his real life daredevil counterpart Ken Carter aka The Mad Canadian. The Devil At Your Heels :: Failed St. Lawrence River Jump :: Heavyweight Podcast :: Shop Our Set ►►</t>
        </is>
      </c>
      <c r="V1894" s="47">
        <f>IF(AND(P1894&gt;=Calendar!$K$2,P1894&lt;EDATE(Calendar!$K$2,1),OR(Calendar!$K$4="*",N1894=Calendar!$K$4)),P1894*100+COUNTIFS($P$6:$P$3267,P1894,$Q$6:$Q$3267,"&lt;="&amp;Q1894,$N$6:$N$3267,Calendar!$K$4),"")</f>
        <v/>
      </c>
      <c r="W1894" s="47">
        <f>IF(AND(B1894=Queue!$C$4,OR(Queue!$K$4="*",N1894=Queue!$K$4)),Q1894,"")</f>
        <v/>
      </c>
    </row>
    <row r="1895">
      <c r="A1895" s="38">
        <f>IF(M1895="","",HYPERLINK("https://www.youtube.com/watch?v="&amp;M1895,"▶"))</f>
        <v/>
      </c>
      <c r="B1895" s="39">
        <f>IF(C1895&lt;&gt;"",C1895,IF(P1895&lt;=IFERROR(INDEX(tblChannels[Watched Through],MATCH(N1895,tblChannels[Channel ID],0)),0),"Watched","Unwatched"))</f>
        <v/>
      </c>
      <c r="C1895" s="40" t="n"/>
      <c r="D1895" s="41" t="n"/>
      <c r="E1895" s="42" t="n">
        <v>43549.58680555555</v>
      </c>
      <c r="F1895" s="52" t="inlineStr">
        <is>
          <t>Super Carlin Gaming</t>
        </is>
      </c>
      <c r="G1895" t="inlineStr">
        <is>
          <t>It Used To Be So Cute...  | Super Smash Bros #32</t>
        </is>
      </c>
      <c r="H1895" s="44" t="n">
        <v>0.01314814814814815</v>
      </c>
      <c r="I1895" s="45" t="n">
        <v>7398</v>
      </c>
      <c r="J1895" s="45" t="n">
        <v>359</v>
      </c>
      <c r="K1895" s="45" t="n">
        <v>86</v>
      </c>
      <c r="L1895" s="46" t="n"/>
      <c r="M1895" s="47" t="n"/>
      <c r="N1895" s="47" t="inlineStr">
        <is>
          <t>UCor_9jRnNNZVzTuQ92PKsaQ</t>
        </is>
      </c>
      <c r="O1895" s="48" t="n">
        <v>43549.75347222222</v>
      </c>
      <c r="P1895" s="49" t="n">
        <v>43549</v>
      </c>
      <c r="Q1895" s="47" t="n">
        <v>1373</v>
      </c>
      <c r="R1895" s="47" t="inlineStr">
        <is>
          <t>No Video ID yet</t>
        </is>
      </c>
      <c r="S1895" s="49" t="n"/>
      <c r="T1895" s="49" t="n"/>
      <c r="U1895" s="47" t="inlineStr">
        <is>
          <t>J, Ben, &amp; DK enter the Battlefield and work their way toward defeating Four level 9 computers at once with RANDOM CHARACTERS!!</t>
        </is>
      </c>
      <c r="V1895" s="47">
        <f>IF(AND(P1895&gt;=Calendar!$K$2,P1895&lt;EDATE(Calendar!$K$2,1),OR(Calendar!$K$4="*",N1895=Calendar!$K$4)),P1895*100+COUNTIFS($P$6:$P$3267,P1895,$Q$6:$Q$3267,"&lt;="&amp;Q1895,$N$6:$N$3267,Calendar!$K$4),"")</f>
        <v/>
      </c>
      <c r="W1895" s="47">
        <f>IF(AND(B1895=Queue!$C$4,OR(Queue!$K$4="*",N1895=Queue!$K$4)),Q1895,"")</f>
        <v/>
      </c>
    </row>
    <row r="1896">
      <c r="A1896" s="38">
        <f>IF(M1896="","",HYPERLINK("https://www.youtube.com/watch?v="&amp;M1896,"▶"))</f>
        <v/>
      </c>
      <c r="B1896" s="39">
        <f>IF(C1896&lt;&gt;"",C1896,IF(P1896&lt;=IFERROR(INDEX(tblChannels[Watched Through],MATCH(N1896,tblChannels[Channel ID],0)),0),"Watched","Unwatched"))</f>
        <v/>
      </c>
      <c r="C1896" s="40" t="n"/>
      <c r="D1896" s="41" t="n"/>
      <c r="E1896" s="42" t="n">
        <v>43549.48541666667</v>
      </c>
      <c r="F1896" s="53" t="inlineStr">
        <is>
          <t>Jonathan Carlin</t>
        </is>
      </c>
      <c r="G1896" t="inlineStr">
        <is>
          <t>Luke's First Haircut</t>
        </is>
      </c>
      <c r="H1896" s="44" t="n">
        <v>0.006064814814814815</v>
      </c>
      <c r="I1896" s="45" t="n">
        <v>30341</v>
      </c>
      <c r="J1896" s="45" t="n">
        <v>1548</v>
      </c>
      <c r="K1896" s="45" t="n">
        <v>127</v>
      </c>
      <c r="L1896" s="46" t="n"/>
      <c r="M1896" s="47" t="n"/>
      <c r="N1896" s="47" t="inlineStr">
        <is>
          <t>UCYPKFe86e6nm4TVUYKLsFUQ</t>
        </is>
      </c>
      <c r="O1896" s="48" t="n">
        <v>43549.65208333333</v>
      </c>
      <c r="P1896" s="49" t="n">
        <v>43549</v>
      </c>
      <c r="Q1896" s="47" t="n">
        <v>1372</v>
      </c>
      <c r="R1896" s="47" t="inlineStr">
        <is>
          <t>No Video ID yet</t>
        </is>
      </c>
      <c r="S1896" s="49" t="n"/>
      <c r="T1896" s="49" t="n"/>
      <c r="U1896" s="47" t="inlineStr">
        <is>
          <t>Just when you thought that kid couldnt get any cuter! Also we welcome Scott to the office with an epic dinner and Luke breaks my glasses..</t>
        </is>
      </c>
      <c r="V1896" s="47">
        <f>IF(AND(P1896&gt;=Calendar!$K$2,P1896&lt;EDATE(Calendar!$K$2,1),OR(Calendar!$K$4="*",N1896=Calendar!$K$4)),P1896*100+COUNTIFS($P$6:$P$3267,P1896,$Q$6:$Q$3267,"&lt;="&amp;Q1896,$N$6:$N$3267,Calendar!$K$4),"")</f>
        <v/>
      </c>
      <c r="W1896" s="47">
        <f>IF(AND(B1896=Queue!$C$4,OR(Queue!$K$4="*",N1896=Queue!$K$4)),Q1896,"")</f>
        <v/>
      </c>
    </row>
    <row r="1897">
      <c r="A1897" s="38">
        <f>IF(M1897="","",HYPERLINK("https://www.youtube.com/watch?v="&amp;M1897,"▶"))</f>
        <v/>
      </c>
      <c r="B1897" s="39">
        <f>IF(C1897&lt;&gt;"",C1897,IF(P1897&lt;=IFERROR(INDEX(tblChannels[Watched Through],MATCH(N1897,tblChannels[Channel ID],0)),0),"Watched","Unwatched"))</f>
        <v/>
      </c>
      <c r="C1897" s="40" t="n"/>
      <c r="D1897" s="41" t="n"/>
      <c r="E1897" s="42" t="n">
        <v>43546.71458333333</v>
      </c>
      <c r="F1897" s="52" t="inlineStr">
        <is>
          <t>Super Carlin Gaming</t>
        </is>
      </c>
      <c r="G1897" t="inlineStr">
        <is>
          <t>The First One... | Pokémon X Nuzlocke #2</t>
        </is>
      </c>
      <c r="H1897" s="44" t="n">
        <v>0.02568287037037037</v>
      </c>
      <c r="I1897" s="45" t="n">
        <v>75719</v>
      </c>
      <c r="J1897" s="45" t="n">
        <v>2002</v>
      </c>
      <c r="K1897" s="45" t="n">
        <v>904</v>
      </c>
      <c r="L1897" s="46" t="n"/>
      <c r="M1897" s="47" t="n"/>
      <c r="N1897" s="47" t="inlineStr">
        <is>
          <t>UCor_9jRnNNZVzTuQ92PKsaQ</t>
        </is>
      </c>
      <c r="O1897" s="48" t="n">
        <v>43546.88125</v>
      </c>
      <c r="P1897" s="49" t="n">
        <v>43546</v>
      </c>
      <c r="Q1897" s="47" t="n">
        <v>1371</v>
      </c>
      <c r="R1897" s="47" t="inlineStr">
        <is>
          <t>No Video ID yet</t>
        </is>
      </c>
      <c r="S1897" s="49" t="n"/>
      <c r="T1897" s="49" t="n"/>
      <c r="U1897" s="47" t="inlineStr">
        <is>
          <t>I never thought it would happen so quickly...</t>
        </is>
      </c>
      <c r="V1897" s="47">
        <f>IF(AND(P1897&gt;=Calendar!$K$2,P1897&lt;EDATE(Calendar!$K$2,1),OR(Calendar!$K$4="*",N1897=Calendar!$K$4)),P1897*100+COUNTIFS($P$6:$P$3267,P1897,$Q$6:$Q$3267,"&lt;="&amp;Q1897,$N$6:$N$3267,Calendar!$K$4),"")</f>
        <v/>
      </c>
      <c r="W1897" s="47">
        <f>IF(AND(B1897=Queue!$C$4,OR(Queue!$K$4="*",N1897=Queue!$K$4)),Q1897,"")</f>
        <v/>
      </c>
    </row>
    <row r="1898">
      <c r="A1898" s="38">
        <f>IF(M1898="","",HYPERLINK("https://www.youtube.com/watch?v="&amp;M1898,"▶"))</f>
        <v/>
      </c>
      <c r="B1898" s="39">
        <f>IF(C1898&lt;&gt;"",C1898,IF(P1898&lt;=IFERROR(INDEX(tblChannels[Watched Through],MATCH(N1898,tblChannels[Channel ID],0)),0),"Watched","Unwatched"))</f>
        <v/>
      </c>
      <c r="C1898" s="40" t="n"/>
      <c r="D1898" s="41" t="n"/>
      <c r="E1898" s="42" t="n">
        <v>43545.80763888889</v>
      </c>
      <c r="F1898" s="50" t="inlineStr">
        <is>
          <t>Super Carlin Brothers</t>
        </is>
      </c>
      <c r="G1898" t="inlineStr">
        <is>
          <t>Bo Peep Is The Villain In Toy Story 4? | Pixar Theory</t>
        </is>
      </c>
      <c r="H1898" s="44" t="n">
        <v>0.009421296296296296</v>
      </c>
      <c r="I1898" s="45" t="n">
        <v>847980</v>
      </c>
      <c r="J1898" s="45" t="n">
        <v>26039</v>
      </c>
      <c r="K1898" s="45" t="n">
        <v>4144</v>
      </c>
      <c r="L1898" s="46" t="n"/>
      <c r="M1898" s="47" t="n"/>
      <c r="N1898" s="47" t="inlineStr">
        <is>
          <t>UCKZo4N0lVPccBkSiuyVh4yg</t>
        </is>
      </c>
      <c r="O1898" s="48" t="n">
        <v>43545.97430555556</v>
      </c>
      <c r="P1898" s="49" t="n">
        <v>43545</v>
      </c>
      <c r="Q1898" s="47" t="n">
        <v>1370</v>
      </c>
      <c r="R1898" s="47" t="inlineStr">
        <is>
          <t>No Video ID yet</t>
        </is>
      </c>
      <c r="S1898" s="49" t="n"/>
      <c r="T1898" s="49" t="n"/>
      <c r="U1898" s="47" t="inlineStr">
        <is>
          <t>Today Ben dives into the world of Disney Pixar’s Toy Story to break down the latest trailer for Toy Story 4 and try and determine if our beloved Bo Peep is actually a Wolf in Sheep’s clothing! The SCB 2019 Meet Up Schedule: Saturday, April 27 | Blacksburg, VA | Avengers: Endgame Sunday, June 30 | Washington, DC | Toy Story 4 Saturday, July 20 | Chicago, IL | The Lion King Saturday, November 23 | Salt Lake City, UT | Frozen 2</t>
        </is>
      </c>
      <c r="V1898" s="47">
        <f>IF(AND(P1898&gt;=Calendar!$K$2,P1898&lt;EDATE(Calendar!$K$2,1),OR(Calendar!$K$4="*",N1898=Calendar!$K$4)),P1898*100+COUNTIFS($P$6:$P$3267,P1898,$Q$6:$Q$3267,"&lt;="&amp;Q1898,$N$6:$N$3267,Calendar!$K$4),"")</f>
        <v/>
      </c>
      <c r="W1898" s="47">
        <f>IF(AND(B1898=Queue!$C$4,OR(Queue!$K$4="*",N1898=Queue!$K$4)),Q1898,"")</f>
        <v/>
      </c>
    </row>
    <row r="1899">
      <c r="A1899" s="38">
        <f>IF(M1899="","",HYPERLINK("https://www.youtube.com/watch?v="&amp;M1899,"▶"))</f>
        <v/>
      </c>
      <c r="B1899" s="39">
        <f>IF(C1899&lt;&gt;"",C1899,IF(P1899&lt;=IFERROR(INDEX(tblChannels[Watched Through],MATCH(N1899,tblChannels[Channel ID],0)),0),"Watched","Unwatched"))</f>
        <v/>
      </c>
      <c r="C1899" s="40" t="n"/>
      <c r="D1899" s="41" t="n"/>
      <c r="E1899" s="42" t="n">
        <v>43544.43541666667</v>
      </c>
      <c r="F1899" s="52" t="inlineStr">
        <is>
          <t>Super Carlin Gaming</t>
        </is>
      </c>
      <c r="G1899" t="inlineStr">
        <is>
          <t>Luke Chooses Our Starter | Pokémon X Nuzlocke #1</t>
        </is>
      </c>
      <c r="H1899" s="44" t="n">
        <v>0.02041666666666667</v>
      </c>
      <c r="I1899" s="45" t="n">
        <v>164610</v>
      </c>
      <c r="J1899" s="45" t="n">
        <v>4157</v>
      </c>
      <c r="K1899" s="45" t="n">
        <v>2146</v>
      </c>
      <c r="L1899" s="46" t="n"/>
      <c r="M1899" s="47" t="n"/>
      <c r="N1899" s="47" t="inlineStr">
        <is>
          <t>UCor_9jRnNNZVzTuQ92PKsaQ</t>
        </is>
      </c>
      <c r="O1899" s="48" t="n">
        <v>43544.60208333333</v>
      </c>
      <c r="P1899" s="49" t="n">
        <v>43544</v>
      </c>
      <c r="Q1899" s="47" t="n">
        <v>1369</v>
      </c>
      <c r="R1899" s="47" t="inlineStr">
        <is>
          <t>No Video ID yet</t>
        </is>
      </c>
      <c r="S1899" s="49" t="n"/>
      <c r="T1899" s="49" t="n"/>
      <c r="U1899" s="47" t="inlineStr">
        <is>
          <t>Welcome everyone to a brand new season of the Nuzlocke Challenge! Today Luke picks our starter pokemon and we begin our journey by catching at least one new friend!</t>
        </is>
      </c>
      <c r="V1899" s="47">
        <f>IF(AND(P1899&gt;=Calendar!$K$2,P1899&lt;EDATE(Calendar!$K$2,1),OR(Calendar!$K$4="*",N1899=Calendar!$K$4)),P1899*100+COUNTIFS($P$6:$P$3267,P1899,$Q$6:$Q$3267,"&lt;="&amp;Q1899,$N$6:$N$3267,Calendar!$K$4),"")</f>
        <v/>
      </c>
      <c r="W1899" s="47">
        <f>IF(AND(B1899=Queue!$C$4,OR(Queue!$K$4="*",N1899=Queue!$K$4)),Q1899,"")</f>
        <v/>
      </c>
    </row>
    <row r="1900">
      <c r="A1900" s="38">
        <f>IF(M1900="","",HYPERLINK("https://www.youtube.com/watch?v="&amp;M1900,"▶"))</f>
        <v/>
      </c>
      <c r="B1900" s="39">
        <f>IF(C1900&lt;&gt;"",C1900,IF(P1900&lt;=IFERROR(INDEX(tblChannels[Watched Through],MATCH(N1900,tblChannels[Channel ID],0)),0),"Watched","Unwatched"))</f>
        <v/>
      </c>
      <c r="C1900" s="40" t="n"/>
      <c r="D1900" s="41" t="n"/>
      <c r="E1900" s="42" t="n">
        <v>43543.87430555555</v>
      </c>
      <c r="F1900" s="50" t="inlineStr">
        <is>
          <t>Super Carlin Brothers</t>
        </is>
      </c>
      <c r="G1900" t="inlineStr">
        <is>
          <t>How Endgame Will End | The Quantum Resource Theory</t>
        </is>
      </c>
      <c r="H1900" s="44" t="n">
        <v>0.01061342592592593</v>
      </c>
      <c r="I1900" s="45" t="n">
        <v>524309</v>
      </c>
      <c r="J1900" s="45" t="n">
        <v>19895</v>
      </c>
      <c r="K1900" s="45" t="n">
        <v>2546</v>
      </c>
      <c r="L1900" s="46" t="n"/>
      <c r="M1900" s="47" t="n"/>
      <c r="N1900" s="47" t="inlineStr">
        <is>
          <t>UCKZo4N0lVPccBkSiuyVh4yg</t>
        </is>
      </c>
      <c r="O1900" s="48" t="n">
        <v>43544.04097222222</v>
      </c>
      <c r="P1900" s="49" t="n">
        <v>43543</v>
      </c>
      <c r="Q1900" s="47" t="n">
        <v>1368</v>
      </c>
      <c r="R1900" s="47" t="inlineStr">
        <is>
          <t>No Video ID yet</t>
        </is>
      </c>
      <c r="S1900" s="49" t="n"/>
      <c r="T1900" s="49" t="n"/>
      <c r="U1900" s="47" t="inlineStr">
        <is>
          <t>Get 15% off your Vincero Watch! :: Promo Code: SCB Today J dives into the MCU to breakdown the latest trailer for Avengers Endgame to explain the Quantum Resources Theory and determine what the Avengers new Quantum suits might be used for.</t>
        </is>
      </c>
      <c r="V1900" s="47">
        <f>IF(AND(P1900&gt;=Calendar!$K$2,P1900&lt;EDATE(Calendar!$K$2,1),OR(Calendar!$K$4="*",N1900=Calendar!$K$4)),P1900*100+COUNTIFS($P$6:$P$3267,P1900,$Q$6:$Q$3267,"&lt;="&amp;Q1900,$N$6:$N$3267,Calendar!$K$4),"")</f>
        <v/>
      </c>
      <c r="W1900" s="47">
        <f>IF(AND(B1900=Queue!$C$4,OR(Queue!$K$4="*",N1900=Queue!$K$4)),Q1900,"")</f>
        <v/>
      </c>
    </row>
    <row r="1901">
      <c r="A1901" s="38">
        <f>IF(M1901="","",HYPERLINK("https://www.youtube.com/watch?v="&amp;M1901,"▶"))</f>
        <v/>
      </c>
      <c r="B1901" s="39">
        <f>IF(C1901&lt;&gt;"",C1901,IF(P1901&lt;=IFERROR(INDEX(tblChannels[Watched Through],MATCH(N1901,tblChannels[Channel ID],0)),0),"Watched","Unwatched"))</f>
        <v/>
      </c>
      <c r="C1901" s="40" t="n"/>
      <c r="D1901" s="41" t="n"/>
      <c r="E1901" s="42" t="n">
        <v>43542.69236111111</v>
      </c>
      <c r="F1901" s="53" t="inlineStr">
        <is>
          <t>Jonathan Carlin</t>
        </is>
      </c>
      <c r="G1901" t="inlineStr">
        <is>
          <t>GLAMPING IN ASHEVILLE</t>
        </is>
      </c>
      <c r="H1901" s="44" t="n">
        <v>0.006770833333333334</v>
      </c>
      <c r="I1901" s="45" t="n">
        <v>26661</v>
      </c>
      <c r="J1901" s="45" t="n">
        <v>1412</v>
      </c>
      <c r="K1901" s="45" t="n">
        <v>186</v>
      </c>
      <c r="L1901" s="46" t="n"/>
      <c r="M1901" s="47" t="n"/>
      <c r="N1901" s="47" t="inlineStr">
        <is>
          <t>UCYPKFe86e6nm4TVUYKLsFUQ</t>
        </is>
      </c>
      <c r="O1901" s="48" t="n">
        <v>43542.85902777778</v>
      </c>
      <c r="P1901" s="49" t="n">
        <v>43542</v>
      </c>
      <c r="Q1901" s="47" t="n">
        <v>1367</v>
      </c>
      <c r="R1901" s="47" t="inlineStr">
        <is>
          <t>No Video ID yet</t>
        </is>
      </c>
      <c r="S1901" s="49" t="n"/>
      <c r="T1901" s="49" t="n"/>
      <c r="U1901" s="47" t="inlineStr">
        <is>
          <t>This week J, Beth, Ben, Alyce and some friends go Glamping in Asheville, NC and visit the Sierra Nevada Brewery, the New Belgium Brewery and the Biltmore!</t>
        </is>
      </c>
      <c r="V1901" s="47">
        <f>IF(AND(P1901&gt;=Calendar!$K$2,P1901&lt;EDATE(Calendar!$K$2,1),OR(Calendar!$K$4="*",N1901=Calendar!$K$4)),P1901*100+COUNTIFS($P$6:$P$3267,P1901,$Q$6:$Q$3267,"&lt;="&amp;Q1901,$N$6:$N$3267,Calendar!$K$4),"")</f>
        <v/>
      </c>
      <c r="W1901" s="47">
        <f>IF(AND(B1901=Queue!$C$4,OR(Queue!$K$4="*",N1901=Queue!$K$4)),Q1901,"")</f>
        <v/>
      </c>
    </row>
    <row r="1902">
      <c r="A1902" s="38">
        <f>IF(M1902="","",HYPERLINK("https://www.youtube.com/watch?v="&amp;M1902,"▶"))</f>
        <v/>
      </c>
      <c r="B1902" s="39">
        <f>IF(C1902&lt;&gt;"",C1902,IF(P1902&lt;=IFERROR(INDEX(tblChannels[Watched Through],MATCH(N1902,tblChannels[Channel ID],0)),0),"Watched","Unwatched"))</f>
        <v/>
      </c>
      <c r="C1902" s="40" t="n"/>
      <c r="D1902" s="41" t="n"/>
      <c r="E1902" s="42" t="n">
        <v>43542.63680555556</v>
      </c>
      <c r="F1902" s="52" t="inlineStr">
        <is>
          <t>Super Carlin Gaming</t>
        </is>
      </c>
      <c r="G1902" t="inlineStr">
        <is>
          <t>The Stinky Co-Worker | Super Smash Bros #31</t>
        </is>
      </c>
      <c r="H1902" s="44" t="n">
        <v>0.01849537037037037</v>
      </c>
      <c r="I1902" s="45" t="n">
        <v>7700</v>
      </c>
      <c r="J1902" s="45" t="n">
        <v>333</v>
      </c>
      <c r="K1902" s="45" t="n">
        <v>83</v>
      </c>
      <c r="L1902" s="46" t="n"/>
      <c r="M1902" s="47" t="n"/>
      <c r="N1902" s="47" t="inlineStr">
        <is>
          <t>UCor_9jRnNNZVzTuQ92PKsaQ</t>
        </is>
      </c>
      <c r="O1902" s="48" t="n">
        <v>43542.80347222222</v>
      </c>
      <c r="P1902" s="49" t="n">
        <v>43542</v>
      </c>
      <c r="Q1902" s="47" t="n">
        <v>1366</v>
      </c>
      <c r="R1902" s="47" t="inlineStr">
        <is>
          <t>No Video ID yet</t>
        </is>
      </c>
      <c r="S1902" s="49" t="n"/>
      <c r="T1902" s="49" t="n"/>
      <c r="U1902" s="47" t="inlineStr">
        <is>
          <t>J, Ben, &amp; DK enter the Battlefield and work their way toward defeating Four level 9 computers at once with RANDOM CHARACTERS!!</t>
        </is>
      </c>
      <c r="V1902" s="47">
        <f>IF(AND(P1902&gt;=Calendar!$K$2,P1902&lt;EDATE(Calendar!$K$2,1),OR(Calendar!$K$4="*",N1902=Calendar!$K$4)),P1902*100+COUNTIFS($P$6:$P$3267,P1902,$Q$6:$Q$3267,"&lt;="&amp;Q1902,$N$6:$N$3267,Calendar!$K$4),"")</f>
        <v/>
      </c>
      <c r="W1902" s="47">
        <f>IF(AND(B1902=Queue!$C$4,OR(Queue!$K$4="*",N1902=Queue!$K$4)),Q1902,"")</f>
        <v/>
      </c>
    </row>
    <row r="1903">
      <c r="A1903" s="38">
        <f>IF(M1903="","",HYPERLINK("https://www.youtube.com/watch?v="&amp;M1903,"▶"))</f>
        <v/>
      </c>
      <c r="B1903" s="39">
        <f>IF(C1903&lt;&gt;"",C1903,IF(P1903&lt;=IFERROR(INDEX(tblChannels[Watched Through],MATCH(N1903,tblChannels[Channel ID],0)),0),"Watched","Unwatched"))</f>
        <v/>
      </c>
      <c r="C1903" s="40" t="n"/>
      <c r="D1903" s="41" t="n"/>
      <c r="E1903" s="42" t="n">
        <v>43539.67916666667</v>
      </c>
      <c r="F1903" s="52" t="inlineStr">
        <is>
          <t>Super Carlin Gaming</t>
        </is>
      </c>
      <c r="G1903" t="inlineStr">
        <is>
          <t>Is My Girlfriend Good Enough For Me? | Super Smash Bros #30</t>
        </is>
      </c>
      <c r="H1903" s="44" t="n">
        <v>0.009537037037037037</v>
      </c>
      <c r="I1903" s="45" t="n">
        <v>6555</v>
      </c>
      <c r="J1903" s="45" t="n">
        <v>324</v>
      </c>
      <c r="K1903" s="45" t="n">
        <v>68</v>
      </c>
      <c r="L1903" s="46" t="n"/>
      <c r="M1903" s="47" t="n"/>
      <c r="N1903" s="47" t="inlineStr">
        <is>
          <t>UCor_9jRnNNZVzTuQ92PKsaQ</t>
        </is>
      </c>
      <c r="O1903" s="48" t="n">
        <v>43539.84583333333</v>
      </c>
      <c r="P1903" s="49" t="n">
        <v>43539</v>
      </c>
      <c r="Q1903" s="47" t="n">
        <v>1365</v>
      </c>
      <c r="R1903" s="47" t="inlineStr">
        <is>
          <t>No Video ID yet</t>
        </is>
      </c>
      <c r="S1903" s="49" t="n"/>
      <c r="T1903" s="49" t="n"/>
      <c r="U1903" s="47" t="n"/>
      <c r="V1903" s="47">
        <f>IF(AND(P1903&gt;=Calendar!$K$2,P1903&lt;EDATE(Calendar!$K$2,1),OR(Calendar!$K$4="*",N1903=Calendar!$K$4)),P1903*100+COUNTIFS($P$6:$P$3267,P1903,$Q$6:$Q$3267,"&lt;="&amp;Q1903,$N$6:$N$3267,Calendar!$K$4),"")</f>
        <v/>
      </c>
      <c r="W1903" s="47">
        <f>IF(AND(B1903=Queue!$C$4,OR(Queue!$K$4="*",N1903=Queue!$K$4)),Q1903,"")</f>
        <v/>
      </c>
    </row>
    <row r="1904">
      <c r="A1904" s="38">
        <f>IF(M1904="","",HYPERLINK("https://www.youtube.com/watch?v="&amp;M1904,"▶"))</f>
        <v/>
      </c>
      <c r="B1904" s="39">
        <f>IF(C1904&lt;&gt;"",C1904,IF(P1904&lt;=IFERROR(INDEX(tblChannels[Watched Through],MATCH(N1904,tblChannels[Channel ID],0)),0),"Watched","Unwatched"))</f>
        <v/>
      </c>
      <c r="C1904" s="40" t="n"/>
      <c r="D1904" s="41" t="n"/>
      <c r="E1904" s="42" t="n">
        <v>43538.75277777778</v>
      </c>
      <c r="F1904" s="50" t="inlineStr">
        <is>
          <t>Super Carlin Brothers</t>
        </is>
      </c>
      <c r="G1904" t="inlineStr">
        <is>
          <t>Why Didn’t Nick Fury Call Captain Marvel Earlier? | Marvel Theory</t>
        </is>
      </c>
      <c r="H1904" s="44" t="n">
        <v>0.008171296296296296</v>
      </c>
      <c r="I1904" s="45" t="n">
        <v>461543</v>
      </c>
      <c r="J1904" s="45" t="n">
        <v>16359</v>
      </c>
      <c r="K1904" s="45" t="n">
        <v>1836</v>
      </c>
      <c r="L1904" s="46" t="n"/>
      <c r="M1904" s="47" t="n"/>
      <c r="N1904" s="47" t="inlineStr">
        <is>
          <t>UCKZo4N0lVPccBkSiuyVh4yg</t>
        </is>
      </c>
      <c r="O1904" s="48" t="n">
        <v>43538.91944444444</v>
      </c>
      <c r="P1904" s="49" t="n">
        <v>43538</v>
      </c>
      <c r="Q1904" s="47" t="n">
        <v>1364</v>
      </c>
      <c r="R1904" s="47" t="inlineStr">
        <is>
          <t>No Video ID yet</t>
        </is>
      </c>
      <c r="S1904" s="49" t="n"/>
      <c r="T1904" s="49" t="n"/>
      <c r="U1904" s="47" t="inlineStr">
        <is>
          <t>Go to or text SCB to 500-500 to get a free book, 2 free Audible Originals, and a 30 day free trial! Today Ben dives into the MCU to try and answer the big question we all had walking out of Captain Marvel: If Nick Fury had that beeper the whole time.. Why didnt he call her earlier?</t>
        </is>
      </c>
      <c r="V1904" s="47">
        <f>IF(AND(P1904&gt;=Calendar!$K$2,P1904&lt;EDATE(Calendar!$K$2,1),OR(Calendar!$K$4="*",N1904=Calendar!$K$4)),P1904*100+COUNTIFS($P$6:$P$3267,P1904,$Q$6:$Q$3267,"&lt;="&amp;Q1904,$N$6:$N$3267,Calendar!$K$4),"")</f>
        <v/>
      </c>
      <c r="W1904" s="47">
        <f>IF(AND(B1904=Queue!$C$4,OR(Queue!$K$4="*",N1904=Queue!$K$4)),Q1904,"")</f>
        <v/>
      </c>
    </row>
    <row r="1905">
      <c r="A1905" s="38">
        <f>IF(M1905="","",HYPERLINK("https://www.youtube.com/watch?v="&amp;M1905,"▶"))</f>
        <v/>
      </c>
      <c r="B1905" s="39">
        <f>IF(C1905&lt;&gt;"",C1905,IF(P1905&lt;=IFERROR(INDEX(tblChannels[Watched Through],MATCH(N1905,tblChannels[Channel ID],0)),0),"Watched","Unwatched"))</f>
        <v/>
      </c>
      <c r="C1905" s="40" t="n"/>
      <c r="D1905" s="41" t="n"/>
      <c r="E1905" s="42" t="n">
        <v>43537.4375</v>
      </c>
      <c r="F1905" s="52" t="inlineStr">
        <is>
          <t>Super Carlin Gaming</t>
        </is>
      </c>
      <c r="G1905" t="inlineStr">
        <is>
          <t>Prom as a First Date? | Super Smash Bros #29</t>
        </is>
      </c>
      <c r="H1905" s="44" t="n">
        <v>0.009305555555555555</v>
      </c>
      <c r="I1905" s="45" t="n">
        <v>6331</v>
      </c>
      <c r="J1905" s="45" t="n">
        <v>283</v>
      </c>
      <c r="K1905" s="45" t="n">
        <v>70</v>
      </c>
      <c r="L1905" s="46" t="n"/>
      <c r="M1905" s="47" t="n"/>
      <c r="N1905" s="47" t="inlineStr">
        <is>
          <t>UCor_9jRnNNZVzTuQ92PKsaQ</t>
        </is>
      </c>
      <c r="O1905" s="48" t="n">
        <v>43537.60416666666</v>
      </c>
      <c r="P1905" s="49" t="n">
        <v>43537</v>
      </c>
      <c r="Q1905" s="47" t="n">
        <v>1363</v>
      </c>
      <c r="R1905" s="47" t="inlineStr">
        <is>
          <t>No Video ID yet</t>
        </is>
      </c>
      <c r="S1905" s="49" t="n"/>
      <c r="T1905" s="49" t="n"/>
      <c r="U1905" s="47" t="inlineStr">
        <is>
          <t>J, Ben, &amp; DK enter the Battlefield and work their way toward defeating FOUR level 9 computers at once!</t>
        </is>
      </c>
      <c r="V1905" s="47">
        <f>IF(AND(P1905&gt;=Calendar!$K$2,P1905&lt;EDATE(Calendar!$K$2,1),OR(Calendar!$K$4="*",N1905=Calendar!$K$4)),P1905*100+COUNTIFS($P$6:$P$3267,P1905,$Q$6:$Q$3267,"&lt;="&amp;Q1905,$N$6:$N$3267,Calendar!$K$4),"")</f>
        <v/>
      </c>
      <c r="W1905" s="47">
        <f>IF(AND(B1905=Queue!$C$4,OR(Queue!$K$4="*",N1905=Queue!$K$4)),Q1905,"")</f>
        <v/>
      </c>
    </row>
    <row r="1906">
      <c r="A1906" s="38">
        <f>IF(M1906="","",HYPERLINK("https://www.youtube.com/watch?v="&amp;M1906,"▶"))</f>
        <v/>
      </c>
      <c r="B1906" s="39">
        <f>IF(C1906&lt;&gt;"",C1906,IF(P1906&lt;=IFERROR(INDEX(tblChannels[Watched Through],MATCH(N1906,tblChannels[Channel ID],0)),0),"Watched","Unwatched"))</f>
        <v/>
      </c>
      <c r="C1906" s="40" t="n"/>
      <c r="D1906" s="41" t="n"/>
      <c r="E1906" s="42" t="n">
        <v>43536.71736111111</v>
      </c>
      <c r="F1906" s="50" t="inlineStr">
        <is>
          <t>Super Carlin Brothers</t>
        </is>
      </c>
      <c r="G1906" t="inlineStr">
        <is>
          <t>Which Avenger Is A Skrull? | Marvel Theory</t>
        </is>
      </c>
      <c r="H1906" s="44" t="n">
        <v>0.007395833333333333</v>
      </c>
      <c r="I1906" s="45" t="n">
        <v>323421</v>
      </c>
      <c r="J1906" s="45" t="n">
        <v>10408</v>
      </c>
      <c r="K1906" s="45" t="n">
        <v>2393</v>
      </c>
      <c r="L1906" s="46" t="n"/>
      <c r="M1906" s="47" t="n"/>
      <c r="N1906" s="47" t="inlineStr">
        <is>
          <t>UCKZo4N0lVPccBkSiuyVh4yg</t>
        </is>
      </c>
      <c r="O1906" s="48" t="n">
        <v>43536.88402777778</v>
      </c>
      <c r="P1906" s="49" t="n">
        <v>43536</v>
      </c>
      <c r="Q1906" s="47" t="n">
        <v>1362</v>
      </c>
      <c r="R1906" s="47" t="inlineStr">
        <is>
          <t>No Video ID yet</t>
        </is>
      </c>
      <c r="S1906" s="49" t="n"/>
      <c r="T1906" s="49" t="n"/>
      <c r="U1906" s="47" t="inlineStr">
        <is>
          <t>The SCB 2019 Meet Up Schedule: Saturday, April 27 | Blacksburg, VA | Avengers: Endgame Sunday, June 30 | Washington, DC | Toy Story 4 Saturday, July 20 | Chicago, IL | The Lion King Saturday, November 23 | Salt Lake City, UT | Frozen 2 Today J dives into the Marvel Cinematic Universe to try and uncover which of the Avengers is most likely to be a Skrull from Captain Marvel!</t>
        </is>
      </c>
      <c r="V1906" s="47">
        <f>IF(AND(P1906&gt;=Calendar!$K$2,P1906&lt;EDATE(Calendar!$K$2,1),OR(Calendar!$K$4="*",N1906=Calendar!$K$4)),P1906*100+COUNTIFS($P$6:$P$3267,P1906,$Q$6:$Q$3267,"&lt;="&amp;Q1906,$N$6:$N$3267,Calendar!$K$4),"")</f>
        <v/>
      </c>
      <c r="W1906" s="47">
        <f>IF(AND(B1906=Queue!$C$4,OR(Queue!$K$4="*",N1906=Queue!$K$4)),Q1906,"")</f>
        <v/>
      </c>
    </row>
    <row r="1907">
      <c r="A1907" s="38">
        <f>IF(M1907="","",HYPERLINK("https://www.youtube.com/watch?v="&amp;M1907,"▶"))</f>
        <v/>
      </c>
      <c r="B1907" s="39">
        <f>IF(C1907&lt;&gt;"",C1907,IF(P1907&lt;=IFERROR(INDEX(tblChannels[Watched Through],MATCH(N1907,tblChannels[Channel ID],0)),0),"Watched","Unwatched"))</f>
        <v/>
      </c>
      <c r="C1907" s="40" t="n"/>
      <c r="D1907" s="41" t="n"/>
      <c r="E1907" s="42" t="n">
        <v>43535.69236111111</v>
      </c>
      <c r="F1907" s="52" t="inlineStr">
        <is>
          <t>Super Carlin Gaming</t>
        </is>
      </c>
      <c r="G1907" t="inlineStr">
        <is>
          <t>Where to Study Abroad? | Super Smash Bros #28</t>
        </is>
      </c>
      <c r="H1907" s="44" t="n">
        <v>0.01435185185185185</v>
      </c>
      <c r="I1907" s="45" t="n">
        <v>6233</v>
      </c>
      <c r="J1907" s="45" t="n">
        <v>288</v>
      </c>
      <c r="K1907" s="45" t="n">
        <v>91</v>
      </c>
      <c r="L1907" s="46" t="n"/>
      <c r="M1907" s="47" t="n"/>
      <c r="N1907" s="47" t="inlineStr">
        <is>
          <t>UCor_9jRnNNZVzTuQ92PKsaQ</t>
        </is>
      </c>
      <c r="O1907" s="48" t="n">
        <v>43535.85902777778</v>
      </c>
      <c r="P1907" s="49" t="n">
        <v>43535</v>
      </c>
      <c r="Q1907" s="47" t="n">
        <v>1361</v>
      </c>
      <c r="R1907" s="47" t="inlineStr">
        <is>
          <t>No Video ID yet</t>
        </is>
      </c>
      <c r="S1907" s="49" t="n"/>
      <c r="T1907" s="49" t="n"/>
      <c r="U1907" s="47" t="inlineStr">
        <is>
          <t>J, Ben, &amp; DK enter the Battlefield and work their way toward defeating FOUR level 9 computers at once!</t>
        </is>
      </c>
      <c r="V1907" s="47">
        <f>IF(AND(P1907&gt;=Calendar!$K$2,P1907&lt;EDATE(Calendar!$K$2,1),OR(Calendar!$K$4="*",N1907=Calendar!$K$4)),P1907*100+COUNTIFS($P$6:$P$3267,P1907,$Q$6:$Q$3267,"&lt;="&amp;Q1907,$N$6:$N$3267,Calendar!$K$4),"")</f>
        <v/>
      </c>
      <c r="W1907" s="47">
        <f>IF(AND(B1907=Queue!$C$4,OR(Queue!$K$4="*",N1907=Queue!$K$4)),Q1907,"")</f>
        <v/>
      </c>
    </row>
    <row r="1908">
      <c r="A1908" s="38">
        <f>IF(M1908="","",HYPERLINK("https://www.youtube.com/watch?v="&amp;M1908,"▶"))</f>
        <v/>
      </c>
      <c r="B1908" s="39">
        <f>IF(C1908&lt;&gt;"",C1908,IF(P1908&lt;=IFERROR(INDEX(tblChannels[Watched Through],MATCH(N1908,tblChannels[Channel ID],0)),0),"Watched","Unwatched"))</f>
        <v/>
      </c>
      <c r="C1908" s="40" t="n"/>
      <c r="D1908" s="41" t="n"/>
      <c r="E1908" s="42" t="n">
        <v>43535.43194444444</v>
      </c>
      <c r="F1908" s="53" t="inlineStr">
        <is>
          <t>Jonathan Carlin</t>
        </is>
      </c>
      <c r="G1908" t="inlineStr">
        <is>
          <t>BEN &amp; ALYCE GET ENGAGED!!</t>
        </is>
      </c>
      <c r="H1908" s="44" t="n">
        <v>0.006168981481481482</v>
      </c>
      <c r="I1908" s="45" t="n">
        <v>82535</v>
      </c>
      <c r="J1908" s="45" t="n">
        <v>5198</v>
      </c>
      <c r="K1908" s="45" t="n">
        <v>731</v>
      </c>
      <c r="L1908" s="46" t="n"/>
      <c r="M1908" s="47" t="n"/>
      <c r="N1908" s="47" t="inlineStr">
        <is>
          <t>UCYPKFe86e6nm4TVUYKLsFUQ</t>
        </is>
      </c>
      <c r="O1908" s="48" t="n">
        <v>43535.59861111111</v>
      </c>
      <c r="P1908" s="49" t="n">
        <v>43535</v>
      </c>
      <c r="Q1908" s="47" t="n">
        <v>1360</v>
      </c>
      <c r="R1908" s="47" t="inlineStr">
        <is>
          <t>No Video ID yet</t>
        </is>
      </c>
      <c r="S1908" s="49" t="n"/>
      <c r="T1908" s="49" t="n"/>
      <c r="U1908" s="47" t="inlineStr">
        <is>
          <t>Ben &amp; Alyce get engaged!!!! Also some other less important stuff happens.</t>
        </is>
      </c>
      <c r="V1908" s="47">
        <f>IF(AND(P1908&gt;=Calendar!$K$2,P1908&lt;EDATE(Calendar!$K$2,1),OR(Calendar!$K$4="*",N1908=Calendar!$K$4)),P1908*100+COUNTIFS($P$6:$P$3267,P1908,$Q$6:$Q$3267,"&lt;="&amp;Q1908,$N$6:$N$3267,Calendar!$K$4),"")</f>
        <v/>
      </c>
      <c r="W1908" s="47">
        <f>IF(AND(B1908=Queue!$C$4,OR(Queue!$K$4="*",N1908=Queue!$K$4)),Q1908,"")</f>
        <v/>
      </c>
    </row>
    <row r="1909">
      <c r="A1909" s="38">
        <f>IF(M1909="","",HYPERLINK("https://www.youtube.com/watch?v="&amp;M1909,"▶"))</f>
        <v/>
      </c>
      <c r="B1909" s="39">
        <f>IF(C1909&lt;&gt;"",C1909,IF(P1909&lt;=IFERROR(INDEX(tblChannels[Watched Through],MATCH(N1909,tblChannels[Channel ID],0)),0),"Watched","Unwatched"))</f>
        <v/>
      </c>
      <c r="C1909" s="40" t="n"/>
      <c r="D1909" s="41" t="n"/>
      <c r="E1909" s="42" t="n">
        <v>43532.78472222222</v>
      </c>
      <c r="F1909" s="50" t="inlineStr">
        <is>
          <t>Super Carlin Brothers</t>
        </is>
      </c>
      <c r="G1909" t="inlineStr">
        <is>
          <t>CAPTAIN MARVEL - Movie Review (Spoilers)</t>
        </is>
      </c>
      <c r="H1909" s="44" t="n">
        <v>0.03377314814814815</v>
      </c>
      <c r="I1909" s="45" t="n">
        <v>323080</v>
      </c>
      <c r="J1909" s="45" t="n">
        <v>9951</v>
      </c>
      <c r="K1909" s="45" t="n">
        <v>3080</v>
      </c>
      <c r="L1909" s="46" t="n"/>
      <c r="M1909" s="47" t="n"/>
      <c r="N1909" s="47" t="inlineStr">
        <is>
          <t>UCKZo4N0lVPccBkSiuyVh4yg</t>
        </is>
      </c>
      <c r="O1909" s="48" t="n">
        <v>43532.99305555555</v>
      </c>
      <c r="P1909" s="49" t="n">
        <v>43532</v>
      </c>
      <c r="Q1909" s="47" t="n">
        <v>1359</v>
      </c>
      <c r="R1909" s="47" t="inlineStr">
        <is>
          <t>No Video ID yet</t>
        </is>
      </c>
      <c r="S1909" s="49" t="n"/>
      <c r="T1909" s="49" t="n"/>
      <c r="U1909" s="47" t="inlineStr">
        <is>
          <t>Get 20% Off LootCrate :: Promo Code: CARLIN Today J and Ben dive into the MCU to give their Full Spoiler Review of Captain Marvel! Is she the new most powerful avenger? Can she beat Thanos? Is this the best Marvel movie of them all?</t>
        </is>
      </c>
      <c r="V1909" s="47">
        <f>IF(AND(P1909&gt;=Calendar!$K$2,P1909&lt;EDATE(Calendar!$K$2,1),OR(Calendar!$K$4="*",N1909=Calendar!$K$4)),P1909*100+COUNTIFS($P$6:$P$3267,P1909,$Q$6:$Q$3267,"&lt;="&amp;Q1909,$N$6:$N$3267,Calendar!$K$4),"")</f>
        <v/>
      </c>
      <c r="W1909" s="47">
        <f>IF(AND(B1909=Queue!$C$4,OR(Queue!$K$4="*",N1909=Queue!$K$4)),Q1909,"")</f>
        <v/>
      </c>
    </row>
    <row r="1910">
      <c r="A1910" s="38">
        <f>IF(M1910="","",HYPERLINK("https://www.youtube.com/watch?v="&amp;M1910,"▶"))</f>
        <v/>
      </c>
      <c r="B1910" s="39">
        <f>IF(C1910&lt;&gt;"",C1910,IF(P1910&lt;=IFERROR(INDEX(tblChannels[Watched Through],MATCH(N1910,tblChannels[Channel ID],0)),0),"Watched","Unwatched"))</f>
        <v/>
      </c>
      <c r="C1910" s="40" t="n"/>
      <c r="D1910" s="41" t="n"/>
      <c r="E1910" s="42" t="n">
        <v>43532.4375</v>
      </c>
      <c r="F1910" s="52" t="inlineStr">
        <is>
          <t>Super Carlin Gaming</t>
        </is>
      </c>
      <c r="G1910" t="inlineStr">
        <is>
          <t>I Don't Know What To Do With My Life | Super Smash Bros #27</t>
        </is>
      </c>
      <c r="H1910" s="44" t="n">
        <v>0.008379629629629629</v>
      </c>
      <c r="I1910" s="45" t="n">
        <v>6417</v>
      </c>
      <c r="J1910" s="45" t="n">
        <v>292</v>
      </c>
      <c r="K1910" s="45" t="n">
        <v>54</v>
      </c>
      <c r="L1910" s="46" t="n"/>
      <c r="M1910" s="47" t="n"/>
      <c r="N1910" s="47" t="inlineStr">
        <is>
          <t>UCor_9jRnNNZVzTuQ92PKsaQ</t>
        </is>
      </c>
      <c r="O1910" s="48" t="n">
        <v>43532.64583333334</v>
      </c>
      <c r="P1910" s="49" t="n">
        <v>43532</v>
      </c>
      <c r="Q1910" s="47" t="n">
        <v>1358</v>
      </c>
      <c r="R1910" s="47" t="inlineStr">
        <is>
          <t>No Video ID yet</t>
        </is>
      </c>
      <c r="S1910" s="49" t="n"/>
      <c r="T1910" s="49" t="n"/>
      <c r="U1910" s="47" t="n"/>
      <c r="V1910" s="47">
        <f>IF(AND(P1910&gt;=Calendar!$K$2,P1910&lt;EDATE(Calendar!$K$2,1),OR(Calendar!$K$4="*",N1910=Calendar!$K$4)),P1910*100+COUNTIFS($P$6:$P$3267,P1910,$Q$6:$Q$3267,"&lt;="&amp;Q1910,$N$6:$N$3267,Calendar!$K$4),"")</f>
        <v/>
      </c>
      <c r="W1910" s="47">
        <f>IF(AND(B1910=Queue!$C$4,OR(Queue!$K$4="*",N1910=Queue!$K$4)),Q1910,"")</f>
        <v/>
      </c>
    </row>
    <row r="1911">
      <c r="A1911" s="38">
        <f>IF(M1911="","",HYPERLINK("https://www.youtube.com/watch?v="&amp;M1911,"▶"))</f>
        <v/>
      </c>
      <c r="B1911" s="39">
        <f>IF(C1911&lt;&gt;"",C1911,IF(P1911&lt;=IFERROR(INDEX(tblChannels[Watched Through],MATCH(N1911,tblChannels[Channel ID],0)),0),"Watched","Unwatched"))</f>
        <v/>
      </c>
      <c r="C1911" s="40" t="n"/>
      <c r="D1911" s="41" t="n"/>
      <c r="E1911" s="42" t="n">
        <v>43530.56736111111</v>
      </c>
      <c r="F1911" s="52" t="inlineStr">
        <is>
          <t>Super Carlin Gaming</t>
        </is>
      </c>
      <c r="G1911" t="inlineStr">
        <is>
          <t>Head of the Committee | Super Smash Bros #26</t>
        </is>
      </c>
      <c r="H1911" s="44" t="n">
        <v>0.009375</v>
      </c>
      <c r="I1911" s="45" t="n">
        <v>6080</v>
      </c>
      <c r="J1911" s="45" t="n">
        <v>311</v>
      </c>
      <c r="K1911" s="45" t="n">
        <v>51</v>
      </c>
      <c r="L1911" s="46" t="n"/>
      <c r="M1911" s="47" t="n"/>
      <c r="N1911" s="47" t="inlineStr">
        <is>
          <t>UCor_9jRnNNZVzTuQ92PKsaQ</t>
        </is>
      </c>
      <c r="O1911" s="48" t="n">
        <v>43530.77569444444</v>
      </c>
      <c r="P1911" s="49" t="n">
        <v>43530</v>
      </c>
      <c r="Q1911" s="47" t="n">
        <v>1357</v>
      </c>
      <c r="R1911" s="47" t="inlineStr">
        <is>
          <t>No Video ID yet</t>
        </is>
      </c>
      <c r="S1911" s="49" t="n"/>
      <c r="T1911" s="49" t="n"/>
      <c r="U1911" s="47" t="inlineStr">
        <is>
          <t>You can send Amiibos to our PO box!</t>
        </is>
      </c>
      <c r="V1911" s="47">
        <f>IF(AND(P1911&gt;=Calendar!$K$2,P1911&lt;EDATE(Calendar!$K$2,1),OR(Calendar!$K$4="*",N1911=Calendar!$K$4)),P1911*100+COUNTIFS($P$6:$P$3267,P1911,$Q$6:$Q$3267,"&lt;="&amp;Q1911,$N$6:$N$3267,Calendar!$K$4),"")</f>
        <v/>
      </c>
      <c r="W1911" s="47">
        <f>IF(AND(B1911=Queue!$C$4,OR(Queue!$K$4="*",N1911=Queue!$K$4)),Q1911,"")</f>
        <v/>
      </c>
    </row>
    <row r="1912">
      <c r="A1912" s="38">
        <f>IF(M1912="","",HYPERLINK("https://www.youtube.com/watch?v="&amp;M1912,"▶"))</f>
        <v/>
      </c>
      <c r="B1912" s="39">
        <f>IF(C1912&lt;&gt;"",C1912,IF(P1912&lt;=IFERROR(INDEX(tblChannels[Watched Through],MATCH(N1912,tblChannels[Channel ID],0)),0),"Watched","Unwatched"))</f>
        <v/>
      </c>
      <c r="C1912" s="40" t="n"/>
      <c r="D1912" s="41" t="n"/>
      <c r="E1912" s="42" t="n">
        <v>43529.71597222222</v>
      </c>
      <c r="F1912" s="50" t="inlineStr">
        <is>
          <t>Super Carlin Brothers</t>
        </is>
      </c>
      <c r="G1912" t="inlineStr">
        <is>
          <t>J vs Ben: Ultimate MCU Trivia Quiz</t>
        </is>
      </c>
      <c r="H1912" s="44" t="n">
        <v>0.01414351851851852</v>
      </c>
      <c r="I1912" s="45" t="n">
        <v>432481</v>
      </c>
      <c r="J1912" s="45" t="n">
        <v>12862</v>
      </c>
      <c r="K1912" s="45" t="n">
        <v>2219</v>
      </c>
      <c r="L1912" s="46" t="n"/>
      <c r="M1912" s="47" t="n"/>
      <c r="N1912" s="47" t="inlineStr">
        <is>
          <t>UCKZo4N0lVPccBkSiuyVh4yg</t>
        </is>
      </c>
      <c r="O1912" s="48" t="n">
        <v>43529.92430555556</v>
      </c>
      <c r="P1912" s="49" t="n">
        <v>43529</v>
      </c>
      <c r="Q1912" s="47" t="n">
        <v>1356</v>
      </c>
      <c r="R1912" s="47" t="inlineStr">
        <is>
          <t>No Video ID yet</t>
        </is>
      </c>
      <c r="S1912" s="49" t="n"/>
      <c r="T1912" s="49" t="n"/>
      <c r="U1912" s="47" t="inlineStr">
        <is>
          <t>In preparation for Caption Marvel J and Ben are facing off in the ULTIMATE Marvel Cinematic Universe to see who knows more about our favorite superheroes!</t>
        </is>
      </c>
      <c r="V1912" s="47">
        <f>IF(AND(P1912&gt;=Calendar!$K$2,P1912&lt;EDATE(Calendar!$K$2,1),OR(Calendar!$K$4="*",N1912=Calendar!$K$4)),P1912*100+COUNTIFS($P$6:$P$3267,P1912,$Q$6:$Q$3267,"&lt;="&amp;Q1912,$N$6:$N$3267,Calendar!$K$4),"")</f>
        <v/>
      </c>
      <c r="W1912" s="47">
        <f>IF(AND(B1912=Queue!$C$4,OR(Queue!$K$4="*",N1912=Queue!$K$4)),Q1912,"")</f>
        <v/>
      </c>
    </row>
    <row r="1913">
      <c r="A1913" s="38">
        <f>IF(M1913="","",HYPERLINK("https://www.youtube.com/watch?v="&amp;M1913,"▶"))</f>
        <v/>
      </c>
      <c r="B1913" s="39">
        <f>IF(C1913&lt;&gt;"",C1913,IF(P1913&lt;=IFERROR(INDEX(tblChannels[Watched Through],MATCH(N1913,tblChannels[Channel ID],0)),0),"Watched","Unwatched"))</f>
        <v/>
      </c>
      <c r="C1913" s="40" t="n"/>
      <c r="D1913" s="41" t="n"/>
      <c r="E1913" s="42" t="n">
        <v>43528.66041666667</v>
      </c>
      <c r="F1913" s="52" t="inlineStr">
        <is>
          <t>Super Carlin Gaming</t>
        </is>
      </c>
      <c r="G1913" t="inlineStr">
        <is>
          <t>How Can I Talk With My Parents | Super Smash Bros #25</t>
        </is>
      </c>
      <c r="H1913" s="44" t="n">
        <v>0.01456018518518518</v>
      </c>
      <c r="I1913" s="45" t="n">
        <v>7342</v>
      </c>
      <c r="J1913" s="45" t="n">
        <v>358</v>
      </c>
      <c r="K1913" s="45" t="n">
        <v>92</v>
      </c>
      <c r="L1913" s="46" t="n"/>
      <c r="M1913" s="47" t="n"/>
      <c r="N1913" s="47" t="inlineStr">
        <is>
          <t>UCor_9jRnNNZVzTuQ92PKsaQ</t>
        </is>
      </c>
      <c r="O1913" s="48" t="n">
        <v>43528.86875</v>
      </c>
      <c r="P1913" s="49" t="n">
        <v>43528</v>
      </c>
      <c r="Q1913" s="47" t="n">
        <v>1355</v>
      </c>
      <c r="R1913" s="47" t="inlineStr">
        <is>
          <t>No Video ID yet</t>
        </is>
      </c>
      <c r="S1913" s="49" t="n"/>
      <c r="T1913" s="49" t="n"/>
      <c r="U1913" s="47" t="n"/>
      <c r="V1913" s="47">
        <f>IF(AND(P1913&gt;=Calendar!$K$2,P1913&lt;EDATE(Calendar!$K$2,1),OR(Calendar!$K$4="*",N1913=Calendar!$K$4)),P1913*100+COUNTIFS($P$6:$P$3267,P1913,$Q$6:$Q$3267,"&lt;="&amp;Q1913,$N$6:$N$3267,Calendar!$K$4),"")</f>
        <v/>
      </c>
      <c r="W1913" s="47">
        <f>IF(AND(B1913=Queue!$C$4,OR(Queue!$K$4="*",N1913=Queue!$K$4)),Q1913,"")</f>
        <v/>
      </c>
    </row>
    <row r="1914">
      <c r="A1914" s="38">
        <f>IF(M1914="","",HYPERLINK("https://www.youtube.com/watch?v="&amp;M1914,"▶"))</f>
        <v/>
      </c>
      <c r="B1914" s="39">
        <f>IF(C1914&lt;&gt;"",C1914,IF(P1914&lt;=IFERROR(INDEX(tblChannels[Watched Through],MATCH(N1914,tblChannels[Channel ID],0)),0),"Watched","Unwatched"))</f>
        <v/>
      </c>
      <c r="C1914" s="40" t="n"/>
      <c r="D1914" s="41" t="n"/>
      <c r="E1914" s="42" t="n">
        <v>43528.41666666666</v>
      </c>
      <c r="F1914" s="53" t="inlineStr">
        <is>
          <t>Jonathan Carlin</t>
        </is>
      </c>
      <c r="G1914" t="inlineStr">
        <is>
          <t>GETTING AHEAD</t>
        </is>
      </c>
      <c r="H1914" s="44" t="n">
        <v>0.007002314814814815</v>
      </c>
      <c r="I1914" s="45" t="n">
        <v>28776</v>
      </c>
      <c r="J1914" s="45" t="n">
        <v>1619</v>
      </c>
      <c r="K1914" s="45" t="n">
        <v>160</v>
      </c>
      <c r="L1914" s="46" t="n"/>
      <c r="M1914" s="47" t="n"/>
      <c r="N1914" s="47" t="inlineStr">
        <is>
          <t>UCYPKFe86e6nm4TVUYKLsFUQ</t>
        </is>
      </c>
      <c r="O1914" s="48" t="n">
        <v>43528.625</v>
      </c>
      <c r="P1914" s="49" t="n">
        <v>43528</v>
      </c>
      <c r="Q1914" s="47" t="n">
        <v>1354</v>
      </c>
      <c r="R1914" s="47" t="inlineStr">
        <is>
          <t>No Video ID yet</t>
        </is>
      </c>
      <c r="S1914" s="49" t="n"/>
      <c r="T1914" s="49" t="n"/>
      <c r="U1914" s="47" t="inlineStr">
        <is>
          <t>This week Beth tackles a nine pound Shoulder Butt, J and the SCB team are somehow getting ahead on work and Luke does lots of adorable playing!</t>
        </is>
      </c>
      <c r="V1914" s="47">
        <f>IF(AND(P1914&gt;=Calendar!$K$2,P1914&lt;EDATE(Calendar!$K$2,1),OR(Calendar!$K$4="*",N1914=Calendar!$K$4)),P1914*100+COUNTIFS($P$6:$P$3267,P1914,$Q$6:$Q$3267,"&lt;="&amp;Q1914,$N$6:$N$3267,Calendar!$K$4),"")</f>
        <v/>
      </c>
      <c r="W1914" s="47">
        <f>IF(AND(B1914=Queue!$C$4,OR(Queue!$K$4="*",N1914=Queue!$K$4)),Q1914,"")</f>
        <v/>
      </c>
    </row>
    <row r="1915">
      <c r="A1915" s="38">
        <f>IF(M1915="","",HYPERLINK("https://www.youtube.com/watch?v="&amp;M1915,"▶"))</f>
        <v/>
      </c>
      <c r="B1915" s="39">
        <f>IF(C1915&lt;&gt;"",C1915,IF(P1915&lt;=IFERROR(INDEX(tblChannels[Watched Through],MATCH(N1915,tblChannels[Channel ID],0)),0),"Watched","Unwatched"))</f>
        <v/>
      </c>
      <c r="C1915" s="40" t="n"/>
      <c r="D1915" s="41" t="n"/>
      <c r="E1915" s="42" t="n">
        <v>43526.49861111111</v>
      </c>
      <c r="F1915" s="50" t="inlineStr">
        <is>
          <t>Super Carlin Brothers</t>
        </is>
      </c>
      <c r="G1915" t="inlineStr">
        <is>
          <t>Super Carlin Brothers Meet Ups Announcement!</t>
        </is>
      </c>
      <c r="H1915" s="44" t="n">
        <v>0.00193287037037037</v>
      </c>
      <c r="I1915" s="45" t="n">
        <v>117733</v>
      </c>
      <c r="J1915" s="45" t="n">
        <v>6031</v>
      </c>
      <c r="K1915" s="45" t="n">
        <v>811</v>
      </c>
      <c r="L1915" s="46" t="n"/>
      <c r="M1915" s="47" t="n"/>
      <c r="N1915" s="47" t="inlineStr">
        <is>
          <t>UCKZo4N0lVPccBkSiuyVh4yg</t>
        </is>
      </c>
      <c r="O1915" s="48" t="n">
        <v>43526.70694444444</v>
      </c>
      <c r="P1915" s="49" t="n">
        <v>43526</v>
      </c>
      <c r="Q1915" s="47" t="n">
        <v>1353</v>
      </c>
      <c r="R1915" s="47" t="inlineStr">
        <is>
          <t>No Video ID yet</t>
        </is>
      </c>
      <c r="S1915" s="49" t="n"/>
      <c r="T1915" s="49" t="n"/>
      <c r="U1915" s="47" t="inlineStr">
        <is>
          <t>The SCB 2019 Meet Up Schedule: Saturday, April 27 | Blacksburg, VA | Avengers: Endgame Sunday, June 30 | Washington, DC | Toy Story 4 Saturday, July 20 | Chicago, IL | The Lion King Saturday, November 23 | Salt Lake City, UT | Frozen 2</t>
        </is>
      </c>
      <c r="V1915" s="47">
        <f>IF(AND(P1915&gt;=Calendar!$K$2,P1915&lt;EDATE(Calendar!$K$2,1),OR(Calendar!$K$4="*",N1915=Calendar!$K$4)),P1915*100+COUNTIFS($P$6:$P$3267,P1915,$Q$6:$Q$3267,"&lt;="&amp;Q1915,$N$6:$N$3267,Calendar!$K$4),"")</f>
        <v/>
      </c>
      <c r="W1915" s="47">
        <f>IF(AND(B1915=Queue!$C$4,OR(Queue!$K$4="*",N1915=Queue!$K$4)),Q1915,"")</f>
        <v/>
      </c>
    </row>
    <row r="1916">
      <c r="A1916" s="38">
        <f>IF(M1916="","",HYPERLINK("https://www.youtube.com/watch?v="&amp;M1916,"▶"))</f>
        <v/>
      </c>
      <c r="B1916" s="39">
        <f>IF(C1916&lt;&gt;"",C1916,IF(P1916&lt;=IFERROR(INDEX(tblChannels[Watched Through],MATCH(N1916,tblChannels[Channel ID],0)),0),"Watched","Unwatched"))</f>
        <v/>
      </c>
      <c r="C1916" s="40" t="n"/>
      <c r="D1916" s="41" t="n"/>
      <c r="E1916" s="42" t="n">
        <v>43525.60972222222</v>
      </c>
      <c r="F1916" s="52" t="inlineStr">
        <is>
          <t>Super Carlin Gaming</t>
        </is>
      </c>
      <c r="G1916" t="inlineStr">
        <is>
          <t>Should I Get Random Roommates? | Super Smash Bros #24</t>
        </is>
      </c>
      <c r="H1916" s="44" t="n">
        <v>0.01041666666666667</v>
      </c>
      <c r="I1916" s="45" t="n">
        <v>7173</v>
      </c>
      <c r="J1916" s="45" t="n">
        <v>336</v>
      </c>
      <c r="K1916" s="45" t="n">
        <v>58</v>
      </c>
      <c r="L1916" s="46" t="n"/>
      <c r="M1916" s="47" t="n"/>
      <c r="N1916" s="47" t="inlineStr">
        <is>
          <t>UCor_9jRnNNZVzTuQ92PKsaQ</t>
        </is>
      </c>
      <c r="O1916" s="48" t="n">
        <v>43525.81805555556</v>
      </c>
      <c r="P1916" s="49" t="n">
        <v>43525</v>
      </c>
      <c r="Q1916" s="47" t="n">
        <v>1352</v>
      </c>
      <c r="R1916" s="47" t="inlineStr">
        <is>
          <t>No Video ID yet</t>
        </is>
      </c>
      <c r="S1916" s="49" t="n"/>
      <c r="T1916" s="49" t="n"/>
      <c r="U1916" s="47" t="inlineStr">
        <is>
          <t>To Random... or not to random.. that is the question!</t>
        </is>
      </c>
      <c r="V1916" s="47">
        <f>IF(AND(P1916&gt;=Calendar!$K$2,P1916&lt;EDATE(Calendar!$K$2,1),OR(Calendar!$K$4="*",N1916=Calendar!$K$4)),P1916*100+COUNTIFS($P$6:$P$3267,P1916,$Q$6:$Q$3267,"&lt;="&amp;Q1916,$N$6:$N$3267,Calendar!$K$4),"")</f>
        <v/>
      </c>
      <c r="W1916" s="47">
        <f>IF(AND(B1916=Queue!$C$4,OR(Queue!$K$4="*",N1916=Queue!$K$4)),Q1916,"")</f>
        <v/>
      </c>
    </row>
    <row r="1917">
      <c r="A1917" s="38">
        <f>IF(M1917="","",HYPERLINK("https://www.youtube.com/watch?v="&amp;M1917,"▶"))</f>
        <v/>
      </c>
      <c r="B1917" s="39">
        <f>IF(C1917&lt;&gt;"",C1917,IF(P1917&lt;=IFERROR(INDEX(tblChannels[Watched Through],MATCH(N1917,tblChannels[Channel ID],0)),0),"Watched","Unwatched"))</f>
        <v/>
      </c>
      <c r="C1917" s="40" t="n"/>
      <c r="D1917" s="41" t="n"/>
      <c r="E1917" s="42" t="n">
        <v>43524.70347222222</v>
      </c>
      <c r="F1917" s="50" t="inlineStr">
        <is>
          <t>Super Carlin Brothers</t>
        </is>
      </c>
      <c r="G1917" t="inlineStr">
        <is>
          <t>The Body Swap Scene Explained | Crimes of Grindelwald</t>
        </is>
      </c>
      <c r="H1917" s="44" t="n">
        <v>0.008344907407407407</v>
      </c>
      <c r="I1917" s="45" t="n">
        <v>531781</v>
      </c>
      <c r="J1917" s="45" t="n">
        <v>17986</v>
      </c>
      <c r="K1917" s="45" t="n">
        <v>3977</v>
      </c>
      <c r="L1917" s="46" t="n"/>
      <c r="M1917" s="47" t="n"/>
      <c r="N1917" s="47" t="inlineStr">
        <is>
          <t>UCKZo4N0lVPccBkSiuyVh4yg</t>
        </is>
      </c>
      <c r="O1917" s="48" t="n">
        <v>43524.91180555556</v>
      </c>
      <c r="P1917" s="49" t="n">
        <v>43524</v>
      </c>
      <c r="Q1917" s="47" t="n">
        <v>1351</v>
      </c>
      <c r="R1917" s="47" t="inlineStr">
        <is>
          <t>No Video ID yet</t>
        </is>
      </c>
      <c r="S1917" s="49" t="n"/>
      <c r="T1917" s="49" t="n"/>
      <c r="U1917" s="47" t="inlineStr">
        <is>
          <t>Today Ben dives into the Wizarding World of Harry Potter to try and explain the really confusing body swap scene at the beginning of Fantastic Beasts and Crimes of Grindelwald!</t>
        </is>
      </c>
      <c r="V1917" s="47">
        <f>IF(AND(P1917&gt;=Calendar!$K$2,P1917&lt;EDATE(Calendar!$K$2,1),OR(Calendar!$K$4="*",N1917=Calendar!$K$4)),P1917*100+COUNTIFS($P$6:$P$3267,P1917,$Q$6:$Q$3267,"&lt;="&amp;Q1917,$N$6:$N$3267,Calendar!$K$4),"")</f>
        <v/>
      </c>
      <c r="W1917" s="47">
        <f>IF(AND(B1917=Queue!$C$4,OR(Queue!$K$4="*",N1917=Queue!$K$4)),Q1917,"")</f>
        <v/>
      </c>
    </row>
    <row r="1918">
      <c r="A1918" s="38">
        <f>IF(M1918="","",HYPERLINK("https://www.youtube.com/watch?v="&amp;M1918,"▶"))</f>
        <v/>
      </c>
      <c r="B1918" s="39">
        <f>IF(C1918&lt;&gt;"",C1918,IF(P1918&lt;=IFERROR(INDEX(tblChannels[Watched Through],MATCH(N1918,tblChannels[Channel ID],0)),0),"Watched","Unwatched"))</f>
        <v/>
      </c>
      <c r="C1918" s="40" t="n"/>
      <c r="D1918" s="41" t="n"/>
      <c r="E1918" s="42" t="n">
        <v>43523.53819444445</v>
      </c>
      <c r="F1918" s="52" t="inlineStr">
        <is>
          <t>Super Carlin Gaming</t>
        </is>
      </c>
      <c r="G1918" t="inlineStr">
        <is>
          <t>I'm a Good Leader | Super Smash Bros #23</t>
        </is>
      </c>
      <c r="H1918" s="44" t="n">
        <v>0.01251157407407407</v>
      </c>
      <c r="I1918" s="45" t="n">
        <v>6581</v>
      </c>
      <c r="J1918" s="45" t="n">
        <v>338</v>
      </c>
      <c r="K1918" s="45" t="n">
        <v>90</v>
      </c>
      <c r="L1918" s="46" t="n"/>
      <c r="M1918" s="47" t="n"/>
      <c r="N1918" s="47" t="inlineStr">
        <is>
          <t>UCor_9jRnNNZVzTuQ92PKsaQ</t>
        </is>
      </c>
      <c r="O1918" s="48" t="n">
        <v>43523.74652777778</v>
      </c>
      <c r="P1918" s="49" t="n">
        <v>43523</v>
      </c>
      <c r="Q1918" s="47" t="n">
        <v>1350</v>
      </c>
      <c r="R1918" s="47" t="inlineStr">
        <is>
          <t>No Video ID yet</t>
        </is>
      </c>
      <c r="S1918" s="49" t="n"/>
      <c r="T1918" s="49" t="n"/>
      <c r="U1918" s="47" t="n"/>
      <c r="V1918" s="47">
        <f>IF(AND(P1918&gt;=Calendar!$K$2,P1918&lt;EDATE(Calendar!$K$2,1),OR(Calendar!$K$4="*",N1918=Calendar!$K$4)),P1918*100+COUNTIFS($P$6:$P$3267,P1918,$Q$6:$Q$3267,"&lt;="&amp;Q1918,$N$6:$N$3267,Calendar!$K$4),"")</f>
        <v/>
      </c>
      <c r="W1918" s="47">
        <f>IF(AND(B1918=Queue!$C$4,OR(Queue!$K$4="*",N1918=Queue!$K$4)),Q1918,"")</f>
        <v/>
      </c>
    </row>
    <row r="1919">
      <c r="A1919" s="38">
        <f>IF(M1919="","",HYPERLINK("https://www.youtube.com/watch?v="&amp;M1919,"▶"))</f>
        <v/>
      </c>
      <c r="B1919" s="39">
        <f>IF(C1919&lt;&gt;"",C1919,IF(P1919&lt;=IFERROR(INDEX(tblChannels[Watched Through],MATCH(N1919,tblChannels[Channel ID],0)),0),"Watched","Unwatched"))</f>
        <v/>
      </c>
      <c r="C1919" s="40" t="n"/>
      <c r="D1919" s="41" t="n"/>
      <c r="E1919" s="42" t="n">
        <v>43522.65763888889</v>
      </c>
      <c r="F1919" s="50" t="inlineStr">
        <is>
          <t>Super Carlin Brothers</t>
        </is>
      </c>
      <c r="G1919" t="inlineStr">
        <is>
          <t>Why Azkaban Uses Dementors | Harry Potter Explained</t>
        </is>
      </c>
      <c r="H1919" s="44" t="n">
        <v>0.008518518518518519</v>
      </c>
      <c r="I1919" s="45" t="n">
        <v>1202540</v>
      </c>
      <c r="J1919" s="45" t="n">
        <v>30508</v>
      </c>
      <c r="K1919" s="45" t="n">
        <v>2515</v>
      </c>
      <c r="L1919" s="46" t="n"/>
      <c r="M1919" s="47" t="n"/>
      <c r="N1919" s="47" t="inlineStr">
        <is>
          <t>UCKZo4N0lVPccBkSiuyVh4yg</t>
        </is>
      </c>
      <c r="O1919" s="48" t="n">
        <v>43522.86597222222</v>
      </c>
      <c r="P1919" s="49" t="n">
        <v>43522</v>
      </c>
      <c r="Q1919" s="47" t="n">
        <v>1349</v>
      </c>
      <c r="R1919" s="47" t="inlineStr">
        <is>
          <t>No Video ID yet</t>
        </is>
      </c>
      <c r="S1919" s="49" t="n"/>
      <c r="T1919" s="49" t="n"/>
      <c r="U1919" s="47" t="inlineStr">
        <is>
          <t>Get 20% Off LootCrate :: Promo Code: CARLIN Full Azkaban Article :: Today J dives into the Wizarding World of Harry Potter to discuss how Azkaban became the most terrifying prison in the world and how they rationalize using dementors to torture their prisoners.</t>
        </is>
      </c>
      <c r="V1919" s="47">
        <f>IF(AND(P1919&gt;=Calendar!$K$2,P1919&lt;EDATE(Calendar!$K$2,1),OR(Calendar!$K$4="*",N1919=Calendar!$K$4)),P1919*100+COUNTIFS($P$6:$P$3267,P1919,$Q$6:$Q$3267,"&lt;="&amp;Q1919,$N$6:$N$3267,Calendar!$K$4),"")</f>
        <v/>
      </c>
      <c r="W1919" s="47">
        <f>IF(AND(B1919=Queue!$C$4,OR(Queue!$K$4="*",N1919=Queue!$K$4)),Q1919,"")</f>
        <v/>
      </c>
    </row>
    <row r="1920">
      <c r="A1920" s="38">
        <f>IF(M1920="","",HYPERLINK("https://www.youtube.com/watch?v="&amp;M1920,"▶"))</f>
        <v/>
      </c>
      <c r="B1920" s="39">
        <f>IF(C1920&lt;&gt;"",C1920,IF(P1920&lt;=IFERROR(INDEX(tblChannels[Watched Through],MATCH(N1920,tblChannels[Channel ID],0)),0),"Watched","Unwatched"))</f>
        <v/>
      </c>
      <c r="C1920" s="40" t="n"/>
      <c r="D1920" s="41" t="n"/>
      <c r="E1920" s="42" t="n">
        <v>43521.54652777778</v>
      </c>
      <c r="F1920" s="53" t="inlineStr">
        <is>
          <t>Jonathan Carlin</t>
        </is>
      </c>
      <c r="G1920" t="inlineStr">
        <is>
          <t>Valentines Disney Surprise!</t>
        </is>
      </c>
      <c r="H1920" s="44" t="n">
        <v>0.007222222222222222</v>
      </c>
      <c r="I1920" s="45" t="n">
        <v>30285</v>
      </c>
      <c r="J1920" s="45" t="n">
        <v>1588</v>
      </c>
      <c r="K1920" s="45" t="n">
        <v>188</v>
      </c>
      <c r="L1920" s="46" t="n"/>
      <c r="M1920" s="47" t="n"/>
      <c r="N1920" s="47" t="inlineStr">
        <is>
          <t>UCYPKFe86e6nm4TVUYKLsFUQ</t>
        </is>
      </c>
      <c r="O1920" s="48" t="n">
        <v>43521.75486111111</v>
      </c>
      <c r="P1920" s="49" t="n">
        <v>43521</v>
      </c>
      <c r="Q1920" s="47" t="n">
        <v>1348</v>
      </c>
      <c r="R1920" s="47" t="inlineStr">
        <is>
          <t>No Video ID yet</t>
        </is>
      </c>
      <c r="S1920" s="49" t="n"/>
      <c r="T1920" s="49" t="n"/>
      <c r="U1920" s="47" t="inlineStr">
        <is>
          <t>J and Beth celebrate Valentines Day with a big surprise and Luke explores Kid's Square in downtown Roanoke!</t>
        </is>
      </c>
      <c r="V1920" s="47">
        <f>IF(AND(P1920&gt;=Calendar!$K$2,P1920&lt;EDATE(Calendar!$K$2,1),OR(Calendar!$K$4="*",N1920=Calendar!$K$4)),P1920*100+COUNTIFS($P$6:$P$3267,P1920,$Q$6:$Q$3267,"&lt;="&amp;Q1920,$N$6:$N$3267,Calendar!$K$4),"")</f>
        <v/>
      </c>
      <c r="W1920" s="47">
        <f>IF(AND(B1920=Queue!$C$4,OR(Queue!$K$4="*",N1920=Queue!$K$4)),Q1920,"")</f>
        <v/>
      </c>
    </row>
    <row r="1921">
      <c r="A1921" s="38">
        <f>IF(M1921="","",HYPERLINK("https://www.youtube.com/watch?v="&amp;M1921,"▶"))</f>
        <v/>
      </c>
      <c r="B1921" s="39">
        <f>IF(C1921&lt;&gt;"",C1921,IF(P1921&lt;=IFERROR(INDEX(tblChannels[Watched Through],MATCH(N1921,tblChannels[Channel ID],0)),0),"Watched","Unwatched"))</f>
        <v/>
      </c>
      <c r="C1921" s="40" t="n"/>
      <c r="D1921" s="41" t="n"/>
      <c r="E1921" s="42" t="n">
        <v>43521.48263888889</v>
      </c>
      <c r="F1921" s="52" t="inlineStr">
        <is>
          <t>Super Carlin Gaming</t>
        </is>
      </c>
      <c r="G1921" t="inlineStr">
        <is>
          <t>The Career Backup Plan | Super Smash Bros #22</t>
        </is>
      </c>
      <c r="H1921" s="44" t="n">
        <v>0.01251157407407407</v>
      </c>
      <c r="I1921" s="45" t="n">
        <v>7480</v>
      </c>
      <c r="J1921" s="45" t="n">
        <v>377</v>
      </c>
      <c r="K1921" s="45" t="n">
        <v>110</v>
      </c>
      <c r="L1921" s="46" t="n"/>
      <c r="M1921" s="47" t="n"/>
      <c r="N1921" s="47" t="inlineStr">
        <is>
          <t>UCor_9jRnNNZVzTuQ92PKsaQ</t>
        </is>
      </c>
      <c r="O1921" s="48" t="n">
        <v>43521.69097222222</v>
      </c>
      <c r="P1921" s="49" t="n">
        <v>43521</v>
      </c>
      <c r="Q1921" s="47" t="n">
        <v>1347</v>
      </c>
      <c r="R1921" s="47" t="inlineStr">
        <is>
          <t>No Video ID yet</t>
        </is>
      </c>
      <c r="S1921" s="49" t="n"/>
      <c r="T1921" s="49" t="n"/>
      <c r="U1921" s="47" t="n"/>
      <c r="V1921" s="47">
        <f>IF(AND(P1921&gt;=Calendar!$K$2,P1921&lt;EDATE(Calendar!$K$2,1),OR(Calendar!$K$4="*",N1921=Calendar!$K$4)),P1921*100+COUNTIFS($P$6:$P$3267,P1921,$Q$6:$Q$3267,"&lt;="&amp;Q1921,$N$6:$N$3267,Calendar!$K$4),"")</f>
        <v/>
      </c>
      <c r="W1921" s="47">
        <f>IF(AND(B1921=Queue!$C$4,OR(Queue!$K$4="*",N1921=Queue!$K$4)),Q1921,"")</f>
        <v/>
      </c>
    </row>
    <row r="1922">
      <c r="A1922" s="38">
        <f>IF(M1922="","",HYPERLINK("https://www.youtube.com/watch?v="&amp;M1922,"▶"))</f>
        <v/>
      </c>
      <c r="B1922" s="39">
        <f>IF(C1922&lt;&gt;"",C1922,IF(P1922&lt;=IFERROR(INDEX(tblChannels[Watched Through],MATCH(N1922,tblChannels[Channel ID],0)),0),"Watched","Unwatched"))</f>
        <v/>
      </c>
      <c r="C1922" s="40" t="n"/>
      <c r="D1922" s="41" t="n"/>
      <c r="E1922" s="42" t="n">
        <v>43518.56736111111</v>
      </c>
      <c r="F1922" s="52" t="inlineStr">
        <is>
          <t>Super Carlin Gaming</t>
        </is>
      </c>
      <c r="G1922" t="inlineStr">
        <is>
          <t>Best Friend Dating My Enemy | Super Smash Bros #21</t>
        </is>
      </c>
      <c r="H1922" s="44" t="n">
        <v>0.009606481481481481</v>
      </c>
      <c r="I1922" s="45" t="n">
        <v>8444</v>
      </c>
      <c r="J1922" s="45" t="n">
        <v>401</v>
      </c>
      <c r="K1922" s="45" t="n">
        <v>107</v>
      </c>
      <c r="L1922" s="46" t="n"/>
      <c r="M1922" s="47" t="n"/>
      <c r="N1922" s="47" t="inlineStr">
        <is>
          <t>UCor_9jRnNNZVzTuQ92PKsaQ</t>
        </is>
      </c>
      <c r="O1922" s="48" t="n">
        <v>43518.77569444444</v>
      </c>
      <c r="P1922" s="49" t="n">
        <v>43518</v>
      </c>
      <c r="Q1922" s="47" t="n">
        <v>1346</v>
      </c>
      <c r="R1922" s="47" t="inlineStr">
        <is>
          <t>No Video ID yet</t>
        </is>
      </c>
      <c r="S1922" s="49" t="n"/>
      <c r="T1922" s="49" t="n"/>
      <c r="U1922" s="47" t="n"/>
      <c r="V1922" s="47">
        <f>IF(AND(P1922&gt;=Calendar!$K$2,P1922&lt;EDATE(Calendar!$K$2,1),OR(Calendar!$K$4="*",N1922=Calendar!$K$4)),P1922*100+COUNTIFS($P$6:$P$3267,P1922,$Q$6:$Q$3267,"&lt;="&amp;Q1922,$N$6:$N$3267,Calendar!$K$4),"")</f>
        <v/>
      </c>
      <c r="W1922" s="47">
        <f>IF(AND(B1922=Queue!$C$4,OR(Queue!$K$4="*",N1922=Queue!$K$4)),Q1922,"")</f>
        <v/>
      </c>
    </row>
    <row r="1923">
      <c r="A1923" s="38">
        <f>IF(M1923="","",HYPERLINK("https://www.youtube.com/watch?v="&amp;M1923,"▶"))</f>
        <v/>
      </c>
      <c r="B1923" s="39">
        <f>IF(C1923&lt;&gt;"",C1923,IF(P1923&lt;=IFERROR(INDEX(tblChannels[Watched Through],MATCH(N1923,tblChannels[Channel ID],0)),0),"Watched","Unwatched"))</f>
        <v/>
      </c>
      <c r="C1923" s="40" t="n"/>
      <c r="D1923" s="41" t="n"/>
      <c r="E1923" s="42" t="n">
        <v>43518.41666666666</v>
      </c>
      <c r="F1923" s="53" t="inlineStr">
        <is>
          <t>Jonathan Carlin</t>
        </is>
      </c>
      <c r="G1923" t="inlineStr">
        <is>
          <t>TURNING 31</t>
        </is>
      </c>
      <c r="H1923" s="44" t="n">
        <v>0.009155092592592593</v>
      </c>
      <c r="I1923" s="45" t="n">
        <v>32879</v>
      </c>
      <c r="J1923" s="45" t="n">
        <v>1659</v>
      </c>
      <c r="K1923" s="45" t="n">
        <v>238</v>
      </c>
      <c r="L1923" s="46" t="n"/>
      <c r="M1923" s="47" t="n"/>
      <c r="N1923" s="47" t="inlineStr">
        <is>
          <t>UCYPKFe86e6nm4TVUYKLsFUQ</t>
        </is>
      </c>
      <c r="O1923" s="48" t="n">
        <v>43518.625</v>
      </c>
      <c r="P1923" s="49" t="n">
        <v>43518</v>
      </c>
      <c r="Q1923" s="47" t="n">
        <v>1345</v>
      </c>
      <c r="R1923" s="47" t="inlineStr">
        <is>
          <t>No Video ID yet</t>
        </is>
      </c>
      <c r="S1923" s="49" t="n"/>
      <c r="T1923" s="49" t="n"/>
      <c r="U1923" s="47" t="inlineStr">
        <is>
          <t>This week J celebrates his 31st Birthday, loses his shoes and attends the Square Society's Annual Black &amp; White Ball with Beth, Ben and Alyce.</t>
        </is>
      </c>
      <c r="V1923" s="47">
        <f>IF(AND(P1923&gt;=Calendar!$K$2,P1923&lt;EDATE(Calendar!$K$2,1),OR(Calendar!$K$4="*",N1923=Calendar!$K$4)),P1923*100+COUNTIFS($P$6:$P$3267,P1923,$Q$6:$Q$3267,"&lt;="&amp;Q1923,$N$6:$N$3267,Calendar!$K$4),"")</f>
        <v/>
      </c>
      <c r="W1923" s="47">
        <f>IF(AND(B1923=Queue!$C$4,OR(Queue!$K$4="*",N1923=Queue!$K$4)),Q1923,"")</f>
        <v/>
      </c>
    </row>
    <row r="1924">
      <c r="A1924" s="38">
        <f>IF(M1924="","",HYPERLINK("https://www.youtube.com/watch?v="&amp;M1924,"▶"))</f>
        <v/>
      </c>
      <c r="B1924" s="39">
        <f>IF(C1924&lt;&gt;"",C1924,IF(P1924&lt;=IFERROR(INDEX(tblChannels[Watched Through],MATCH(N1924,tblChannels[Channel ID],0)),0),"Watched","Unwatched"))</f>
        <v/>
      </c>
      <c r="C1924" s="40" t="n"/>
      <c r="D1924" s="41" t="n"/>
      <c r="E1924" s="42" t="n">
        <v>43517.69444444445</v>
      </c>
      <c r="F1924" s="50" t="inlineStr">
        <is>
          <t>Super Carlin Brothers</t>
        </is>
      </c>
      <c r="G1924" t="inlineStr">
        <is>
          <t>Is Jacob A Squib? | Fantastic Beasts Theory</t>
        </is>
      </c>
      <c r="H1924" s="44" t="n">
        <v>0.008483796296296297</v>
      </c>
      <c r="I1924" s="45" t="n">
        <v>641875</v>
      </c>
      <c r="J1924" s="45" t="n">
        <v>19532</v>
      </c>
      <c r="K1924" s="45" t="n">
        <v>2264</v>
      </c>
      <c r="L1924" s="46" t="n"/>
      <c r="M1924" s="47" t="n"/>
      <c r="N1924" s="47" t="inlineStr">
        <is>
          <t>UCKZo4N0lVPccBkSiuyVh4yg</t>
        </is>
      </c>
      <c r="O1924" s="48" t="n">
        <v>43517.90277777778</v>
      </c>
      <c r="P1924" s="49" t="n">
        <v>43517</v>
      </c>
      <c r="Q1924" s="47" t="n">
        <v>1344</v>
      </c>
      <c r="R1924" s="47" t="inlineStr">
        <is>
          <t>No Video ID yet</t>
        </is>
      </c>
      <c r="S1924" s="49" t="n"/>
      <c r="T1924" s="49" t="n"/>
      <c r="U1924" s="47" t="inlineStr">
        <is>
          <t>We Finish Each Other's Salamanders Shirt :: Today J dives into the Wizarding World of Harry Potter to discuss a new theory from Fantastic Beasts: The Crimes of Grindelwald - Is Jacob Kowalski a Squib?</t>
        </is>
      </c>
      <c r="V1924" s="47">
        <f>IF(AND(P1924&gt;=Calendar!$K$2,P1924&lt;EDATE(Calendar!$K$2,1),OR(Calendar!$K$4="*",N1924=Calendar!$K$4)),P1924*100+COUNTIFS($P$6:$P$3267,P1924,$Q$6:$Q$3267,"&lt;="&amp;Q1924,$N$6:$N$3267,Calendar!$K$4),"")</f>
        <v/>
      </c>
      <c r="W1924" s="47">
        <f>IF(AND(B1924=Queue!$C$4,OR(Queue!$K$4="*",N1924=Queue!$K$4)),Q1924,"")</f>
        <v/>
      </c>
    </row>
    <row r="1925">
      <c r="A1925" s="38">
        <f>IF(M1925="","",HYPERLINK("https://www.youtube.com/watch?v="&amp;M1925,"▶"))</f>
        <v/>
      </c>
      <c r="B1925" s="39">
        <f>IF(C1925&lt;&gt;"",C1925,IF(P1925&lt;=IFERROR(INDEX(tblChannels[Watched Through],MATCH(N1925,tblChannels[Channel ID],0)),0),"Watched","Unwatched"))</f>
        <v/>
      </c>
      <c r="C1925" s="40" t="n"/>
      <c r="D1925" s="41" t="n"/>
      <c r="E1925" s="42" t="n">
        <v>43516.67430555556</v>
      </c>
      <c r="F1925" s="52" t="inlineStr">
        <is>
          <t>Super Carlin Gaming</t>
        </is>
      </c>
      <c r="G1925" t="inlineStr">
        <is>
          <t>Friend is Jealous of Me | Super Smash Bros #20</t>
        </is>
      </c>
      <c r="H1925" s="44" t="n">
        <v>0.008217592592592592</v>
      </c>
      <c r="I1925" s="45" t="n">
        <v>8309</v>
      </c>
      <c r="J1925" s="45" t="n">
        <v>422</v>
      </c>
      <c r="K1925" s="45" t="n">
        <v>74</v>
      </c>
      <c r="L1925" s="46" t="n"/>
      <c r="M1925" s="47" t="n"/>
      <c r="N1925" s="47" t="inlineStr">
        <is>
          <t>UCor_9jRnNNZVzTuQ92PKsaQ</t>
        </is>
      </c>
      <c r="O1925" s="48" t="n">
        <v>43516.88263888889</v>
      </c>
      <c r="P1925" s="49" t="n">
        <v>43516</v>
      </c>
      <c r="Q1925" s="47" t="n">
        <v>1343</v>
      </c>
      <c r="R1925" s="47" t="inlineStr">
        <is>
          <t>No Video ID yet</t>
        </is>
      </c>
      <c r="S1925" s="49" t="n"/>
      <c r="T1925" s="49" t="n"/>
      <c r="U1925" s="47" t="n"/>
      <c r="V1925" s="47">
        <f>IF(AND(P1925&gt;=Calendar!$K$2,P1925&lt;EDATE(Calendar!$K$2,1),OR(Calendar!$K$4="*",N1925=Calendar!$K$4)),P1925*100+COUNTIFS($P$6:$P$3267,P1925,$Q$6:$Q$3267,"&lt;="&amp;Q1925,$N$6:$N$3267,Calendar!$K$4),"")</f>
        <v/>
      </c>
      <c r="W1925" s="47">
        <f>IF(AND(B1925=Queue!$C$4,OR(Queue!$K$4="*",N1925=Queue!$K$4)),Q1925,"")</f>
        <v/>
      </c>
    </row>
    <row r="1926">
      <c r="A1926" s="38">
        <f>IF(M1926="","",HYPERLINK("https://www.youtube.com/watch?v="&amp;M1926,"▶"))</f>
        <v/>
      </c>
      <c r="B1926" s="39">
        <f>IF(C1926&lt;&gt;"",C1926,IF(P1926&lt;=IFERROR(INDEX(tblChannels[Watched Through],MATCH(N1926,tblChannels[Channel ID],0)),0),"Watched","Unwatched"))</f>
        <v/>
      </c>
      <c r="C1926" s="40" t="n"/>
      <c r="D1926" s="41" t="n"/>
      <c r="E1926" s="42" t="n">
        <v>43516.41666666666</v>
      </c>
      <c r="F1926" s="53" t="inlineStr">
        <is>
          <t>Jonathan Carlin</t>
        </is>
      </c>
      <c r="G1926" t="inlineStr">
        <is>
          <t>MOVING TO THE NEW OFFICE!</t>
        </is>
      </c>
      <c r="H1926" s="44" t="n">
        <v>0.005347222222222222</v>
      </c>
      <c r="I1926" s="45" t="n">
        <v>34983</v>
      </c>
      <c r="J1926" s="45" t="n">
        <v>1894</v>
      </c>
      <c r="K1926" s="45" t="n">
        <v>218</v>
      </c>
      <c r="L1926" s="46" t="n"/>
      <c r="M1926" s="47" t="n"/>
      <c r="N1926" s="47" t="inlineStr">
        <is>
          <t>UCYPKFe86e6nm4TVUYKLsFUQ</t>
        </is>
      </c>
      <c r="O1926" s="48" t="n">
        <v>43516.625</v>
      </c>
      <c r="P1926" s="49" t="n">
        <v>43516</v>
      </c>
      <c r="Q1926" s="47" t="n">
        <v>1342</v>
      </c>
      <c r="R1926" s="47" t="inlineStr">
        <is>
          <t>No Video ID yet</t>
        </is>
      </c>
      <c r="S1926" s="49" t="n"/>
      <c r="T1926" s="49" t="n"/>
      <c r="U1926" s="47" t="inlineStr">
        <is>
          <t>This week J and the SCB crew pack up and move upwards and onwards to an awesome new space! Beth battles with a new washing machine!</t>
        </is>
      </c>
      <c r="V1926" s="47">
        <f>IF(AND(P1926&gt;=Calendar!$K$2,P1926&lt;EDATE(Calendar!$K$2,1),OR(Calendar!$K$4="*",N1926=Calendar!$K$4)),P1926*100+COUNTIFS($P$6:$P$3267,P1926,$Q$6:$Q$3267,"&lt;="&amp;Q1926,$N$6:$N$3267,Calendar!$K$4),"")</f>
        <v/>
      </c>
      <c r="W1926" s="47">
        <f>IF(AND(B1926=Queue!$C$4,OR(Queue!$K$4="*",N1926=Queue!$K$4)),Q1926,"")</f>
        <v/>
      </c>
    </row>
    <row r="1927">
      <c r="A1927" s="38">
        <f>IF(M1927="","",HYPERLINK("https://www.youtube.com/watch?v="&amp;M1927,"▶"))</f>
        <v/>
      </c>
      <c r="B1927" s="39">
        <f>IF(C1927&lt;&gt;"",C1927,IF(P1927&lt;=IFERROR(INDEX(tblChannels[Watched Through],MATCH(N1927,tblChannels[Channel ID],0)),0),"Watched","Unwatched"))</f>
        <v/>
      </c>
      <c r="C1927" s="40" t="n"/>
      <c r="D1927" s="41" t="n"/>
      <c r="E1927" s="42" t="n">
        <v>43515.78819444445</v>
      </c>
      <c r="F1927" s="50" t="inlineStr">
        <is>
          <t>Super Carlin Brothers</t>
        </is>
      </c>
      <c r="G1927" t="inlineStr">
        <is>
          <t>FROZEN 2 RUNES DECIPHERED!</t>
        </is>
      </c>
      <c r="H1927" s="44" t="n">
        <v>0.00982638888888889</v>
      </c>
      <c r="I1927" s="45" t="n">
        <v>593747</v>
      </c>
      <c r="J1927" s="45" t="n">
        <v>25904</v>
      </c>
      <c r="K1927" s="45" t="n">
        <v>4201</v>
      </c>
      <c r="L1927" s="46" t="n"/>
      <c r="M1927" s="47" t="n"/>
      <c r="N1927" s="47" t="inlineStr">
        <is>
          <t>UCKZo4N0lVPccBkSiuyVh4yg</t>
        </is>
      </c>
      <c r="O1927" s="48" t="n">
        <v>43515.99652777778</v>
      </c>
      <c r="P1927" s="49" t="n">
        <v>43515</v>
      </c>
      <c r="Q1927" s="47" t="n">
        <v>1341</v>
      </c>
      <c r="R1927" s="47" t="inlineStr">
        <is>
          <t>No Video ID yet</t>
        </is>
      </c>
      <c r="S1927" s="49" t="n"/>
      <c r="T1927" s="49" t="n"/>
      <c r="U1927" s="47" t="inlineStr">
        <is>
          <t>We Finish Each Other Salamanders T-Shirt :: Today Ben dives into the magical land of Arendelle to discuss the latest trailer for Frozen 2 recently released by Disney and to try and decipher its mysterious runes, and *ahem* snowflake.</t>
        </is>
      </c>
      <c r="V1927" s="47">
        <f>IF(AND(P1927&gt;=Calendar!$K$2,P1927&lt;EDATE(Calendar!$K$2,1),OR(Calendar!$K$4="*",N1927=Calendar!$K$4)),P1927*100+COUNTIFS($P$6:$P$3267,P1927,$Q$6:$Q$3267,"&lt;="&amp;Q1927,$N$6:$N$3267,Calendar!$K$4),"")</f>
        <v/>
      </c>
      <c r="W1927" s="47">
        <f>IF(AND(B1927=Queue!$C$4,OR(Queue!$K$4="*",N1927=Queue!$K$4)),Q1927,"")</f>
        <v/>
      </c>
    </row>
    <row r="1928">
      <c r="A1928" s="38">
        <f>IF(M1928="","",HYPERLINK("https://www.youtube.com/watch?v="&amp;M1928,"▶"))</f>
        <v/>
      </c>
      <c r="B1928" s="39">
        <f>IF(C1928&lt;&gt;"",C1928,IF(P1928&lt;=IFERROR(INDEX(tblChannels[Watched Through],MATCH(N1928,tblChannels[Channel ID],0)),0),"Watched","Unwatched"))</f>
        <v/>
      </c>
      <c r="C1928" s="40" t="n"/>
      <c r="D1928" s="41" t="n"/>
      <c r="E1928" s="42" t="n">
        <v>43514.72638888889</v>
      </c>
      <c r="F1928" s="52" t="inlineStr">
        <is>
          <t>Super Carlin Gaming</t>
        </is>
      </c>
      <c r="G1928" t="inlineStr">
        <is>
          <t>Track or Dance? | Super Smash Bros #19</t>
        </is>
      </c>
      <c r="H1928" s="44" t="n">
        <v>0.009513888888888889</v>
      </c>
      <c r="I1928" s="45" t="n">
        <v>7934</v>
      </c>
      <c r="J1928" s="45" t="n">
        <v>435</v>
      </c>
      <c r="K1928" s="45" t="n">
        <v>78</v>
      </c>
      <c r="L1928" s="46" t="n"/>
      <c r="M1928" s="47" t="n"/>
      <c r="N1928" s="47" t="inlineStr">
        <is>
          <t>UCor_9jRnNNZVzTuQ92PKsaQ</t>
        </is>
      </c>
      <c r="O1928" s="48" t="n">
        <v>43514.93472222222</v>
      </c>
      <c r="P1928" s="49" t="n">
        <v>43514</v>
      </c>
      <c r="Q1928" s="47" t="n">
        <v>1340</v>
      </c>
      <c r="R1928" s="47" t="inlineStr">
        <is>
          <t>No Video ID yet</t>
        </is>
      </c>
      <c r="S1928" s="49" t="n"/>
      <c r="T1928" s="49" t="n"/>
      <c r="U1928" s="47" t="n"/>
      <c r="V1928" s="47">
        <f>IF(AND(P1928&gt;=Calendar!$K$2,P1928&lt;EDATE(Calendar!$K$2,1),OR(Calendar!$K$4="*",N1928=Calendar!$K$4)),P1928*100+COUNTIFS($P$6:$P$3267,P1928,$Q$6:$Q$3267,"&lt;="&amp;Q1928,$N$6:$N$3267,Calendar!$K$4),"")</f>
        <v/>
      </c>
      <c r="W1928" s="47">
        <f>IF(AND(B1928=Queue!$C$4,OR(Queue!$K$4="*",N1928=Queue!$K$4)),Q1928,"")</f>
        <v/>
      </c>
    </row>
    <row r="1929">
      <c r="A1929" s="38">
        <f>IF(M1929="","",HYPERLINK("https://www.youtube.com/watch?v="&amp;M1929,"▶"))</f>
        <v/>
      </c>
      <c r="B1929" s="39">
        <f>IF(C1929&lt;&gt;"",C1929,IF(P1929&lt;=IFERROR(INDEX(tblChannels[Watched Through],MATCH(N1929,tblChannels[Channel ID],0)),0),"Watched","Unwatched"))</f>
        <v/>
      </c>
      <c r="C1929" s="40" t="n"/>
      <c r="D1929" s="41" t="n"/>
      <c r="E1929" s="42" t="n">
        <v>43514.42361111111</v>
      </c>
      <c r="F1929" s="53" t="inlineStr">
        <is>
          <t>Jonathan Carlin</t>
        </is>
      </c>
      <c r="G1929" t="inlineStr">
        <is>
          <t>LUKE'S FIRST STEPS!</t>
        </is>
      </c>
      <c r="H1929" s="44" t="n">
        <v>0.006400462962962963</v>
      </c>
      <c r="I1929" s="45" t="n">
        <v>35201</v>
      </c>
      <c r="J1929" s="45" t="n">
        <v>2051</v>
      </c>
      <c r="K1929" s="45" t="n">
        <v>262</v>
      </c>
      <c r="L1929" s="46" t="n"/>
      <c r="M1929" s="47" t="n"/>
      <c r="N1929" s="47" t="inlineStr">
        <is>
          <t>UCYPKFe86e6nm4TVUYKLsFUQ</t>
        </is>
      </c>
      <c r="O1929" s="48" t="n">
        <v>43514.63194444445</v>
      </c>
      <c r="P1929" s="49" t="n">
        <v>43514</v>
      </c>
      <c r="Q1929" s="47" t="n">
        <v>1339</v>
      </c>
      <c r="R1929" s="47" t="inlineStr">
        <is>
          <t>No Video ID yet</t>
        </is>
      </c>
      <c r="S1929" s="49" t="n"/>
      <c r="T1929" s="49" t="n"/>
      <c r="U1929" s="47" t="inlineStr">
        <is>
          <t>This week our dryer breaks down at the worst possible time as suddenly everybody gets sick... BUT Luke does pick up an awesome new skill!</t>
        </is>
      </c>
      <c r="V1929" s="47">
        <f>IF(AND(P1929&gt;=Calendar!$K$2,P1929&lt;EDATE(Calendar!$K$2,1),OR(Calendar!$K$4="*",N1929=Calendar!$K$4)),P1929*100+COUNTIFS($P$6:$P$3267,P1929,$Q$6:$Q$3267,"&lt;="&amp;Q1929,$N$6:$N$3267,Calendar!$K$4),"")</f>
        <v/>
      </c>
      <c r="W1929" s="47">
        <f>IF(AND(B1929=Queue!$C$4,OR(Queue!$K$4="*",N1929=Queue!$K$4)),Q1929,"")</f>
        <v/>
      </c>
    </row>
    <row r="1930">
      <c r="A1930" s="38">
        <f>IF(M1930="","",HYPERLINK("https://www.youtube.com/watch?v="&amp;M1930,"▶"))</f>
        <v/>
      </c>
      <c r="B1930" s="39">
        <f>IF(C1930&lt;&gt;"",C1930,IF(P1930&lt;=IFERROR(INDEX(tblChannels[Watched Through],MATCH(N1930,tblChannels[Channel ID],0)),0),"Watched","Unwatched"))</f>
        <v/>
      </c>
      <c r="C1930" s="40" t="n"/>
      <c r="D1930" s="41" t="n"/>
      <c r="E1930" s="42" t="n">
        <v>43511.56944444445</v>
      </c>
      <c r="F1930" s="52" t="inlineStr">
        <is>
          <t>Super Carlin Gaming</t>
        </is>
      </c>
      <c r="G1930" t="inlineStr">
        <is>
          <t>Parents Won't Let Me Drive! | Super Smash Bros #18</t>
        </is>
      </c>
      <c r="H1930" s="44" t="n">
        <v>0.008391203703703705</v>
      </c>
      <c r="I1930" s="45" t="n">
        <v>7675</v>
      </c>
      <c r="J1930" s="45" t="n">
        <v>422</v>
      </c>
      <c r="K1930" s="45" t="n">
        <v>70</v>
      </c>
      <c r="L1930" s="46" t="n"/>
      <c r="M1930" s="47" t="n"/>
      <c r="N1930" s="47" t="inlineStr">
        <is>
          <t>UCor_9jRnNNZVzTuQ92PKsaQ</t>
        </is>
      </c>
      <c r="O1930" s="48" t="n">
        <v>43511.77777777778</v>
      </c>
      <c r="P1930" s="49" t="n">
        <v>43511</v>
      </c>
      <c r="Q1930" s="47" t="n">
        <v>1338</v>
      </c>
      <c r="R1930" s="47" t="inlineStr">
        <is>
          <t>No Video ID yet</t>
        </is>
      </c>
      <c r="S1930" s="49" t="n"/>
      <c r="T1930" s="49" t="n"/>
      <c r="U1930" s="47" t="n"/>
      <c r="V1930" s="47">
        <f>IF(AND(P1930&gt;=Calendar!$K$2,P1930&lt;EDATE(Calendar!$K$2,1),OR(Calendar!$K$4="*",N1930=Calendar!$K$4)),P1930*100+COUNTIFS($P$6:$P$3267,P1930,$Q$6:$Q$3267,"&lt;="&amp;Q1930,$N$6:$N$3267,Calendar!$K$4),"")</f>
        <v/>
      </c>
      <c r="W1930" s="47">
        <f>IF(AND(B1930=Queue!$C$4,OR(Queue!$K$4="*",N1930=Queue!$K$4)),Q1930,"")</f>
        <v/>
      </c>
    </row>
    <row r="1931">
      <c r="A1931" s="38">
        <f>IF(M1931="","",HYPERLINK("https://www.youtube.com/watch?v="&amp;M1931,"▶"))</f>
        <v/>
      </c>
      <c r="B1931" s="39">
        <f>IF(C1931&lt;&gt;"",C1931,IF(P1931&lt;=IFERROR(INDEX(tblChannels[Watched Through],MATCH(N1931,tblChannels[Channel ID],0)),0),"Watched","Unwatched"))</f>
        <v/>
      </c>
      <c r="C1931" s="40" t="n"/>
      <c r="D1931" s="41" t="n"/>
      <c r="E1931" s="42" t="n">
        <v>43510.70208333333</v>
      </c>
      <c r="F1931" s="50" t="inlineStr">
        <is>
          <t>Super Carlin Brothers</t>
        </is>
      </c>
      <c r="G1931" t="inlineStr">
        <is>
          <t>J vs Ben: ULTIMATE Harry Potter Valentine’s Day Quiz</t>
        </is>
      </c>
      <c r="H1931" s="44" t="n">
        <v>0.02334490740740741</v>
      </c>
      <c r="I1931" s="45" t="n">
        <v>640931</v>
      </c>
      <c r="J1931" s="45" t="n">
        <v>14015</v>
      </c>
      <c r="K1931" s="45" t="n">
        <v>2521</v>
      </c>
      <c r="L1931" s="46" t="n"/>
      <c r="M1931" s="47" t="n"/>
      <c r="N1931" s="47" t="inlineStr">
        <is>
          <t>UCKZo4N0lVPccBkSiuyVh4yg</t>
        </is>
      </c>
      <c r="O1931" s="48" t="n">
        <v>43510.91041666667</v>
      </c>
      <c r="P1931" s="49" t="n">
        <v>43510</v>
      </c>
      <c r="Q1931" s="47" t="n">
        <v>1337</v>
      </c>
      <c r="R1931" s="47" t="inlineStr">
        <is>
          <t>No Video ID yet</t>
        </is>
      </c>
      <c r="S1931" s="49" t="n"/>
      <c r="T1931" s="49" t="n"/>
      <c r="U1931" s="47" t="inlineStr">
        <is>
          <t>We Finish Each Other’s Salamanders T-Shirt :: Today J and Ben face off in the ULTIMATE Vivacious Valentines Day Harry Potter Trivia Quiz to find out who knows more about Love in the Wizarding World.</t>
        </is>
      </c>
      <c r="V1931" s="47">
        <f>IF(AND(P1931&gt;=Calendar!$K$2,P1931&lt;EDATE(Calendar!$K$2,1),OR(Calendar!$K$4="*",N1931=Calendar!$K$4)),P1931*100+COUNTIFS($P$6:$P$3267,P1931,$Q$6:$Q$3267,"&lt;="&amp;Q1931,$N$6:$N$3267,Calendar!$K$4),"")</f>
        <v/>
      </c>
      <c r="W1931" s="47">
        <f>IF(AND(B1931=Queue!$C$4,OR(Queue!$K$4="*",N1931=Queue!$K$4)),Q1931,"")</f>
        <v/>
      </c>
    </row>
    <row r="1932">
      <c r="A1932" s="38">
        <f>IF(M1932="","",HYPERLINK("https://www.youtube.com/watch?v="&amp;M1932,"▶"))</f>
        <v/>
      </c>
      <c r="B1932" s="39">
        <f>IF(C1932&lt;&gt;"",C1932,IF(P1932&lt;=IFERROR(INDEX(tblChannels[Watched Through],MATCH(N1932,tblChannels[Channel ID],0)),0),"Watched","Unwatched"))</f>
        <v/>
      </c>
      <c r="C1932" s="40" t="n"/>
      <c r="D1932" s="41" t="n"/>
      <c r="E1932" s="42" t="n">
        <v>43510.63194444445</v>
      </c>
      <c r="F1932" s="53" t="inlineStr">
        <is>
          <t>Jonathan Carlin</t>
        </is>
      </c>
      <c r="G1932" t="inlineStr">
        <is>
          <t>How To Get Hurt While Sleeping..</t>
        </is>
      </c>
      <c r="H1932" s="44" t="n">
        <v>0.006423611111111111</v>
      </c>
      <c r="I1932" s="45" t="n">
        <v>31391</v>
      </c>
      <c r="J1932" s="45" t="n">
        <v>1546</v>
      </c>
      <c r="K1932" s="45" t="n">
        <v>194</v>
      </c>
      <c r="L1932" s="46" t="n"/>
      <c r="M1932" s="47" t="n"/>
      <c r="N1932" s="47" t="inlineStr">
        <is>
          <t>UCYPKFe86e6nm4TVUYKLsFUQ</t>
        </is>
      </c>
      <c r="O1932" s="48" t="n">
        <v>43510.84027777778</v>
      </c>
      <c r="P1932" s="49" t="n">
        <v>43510</v>
      </c>
      <c r="Q1932" s="47" t="n">
        <v>1336</v>
      </c>
      <c r="R1932" s="47" t="inlineStr">
        <is>
          <t>No Video ID yet</t>
        </is>
      </c>
      <c r="S1932" s="49" t="n"/>
      <c r="T1932" s="49" t="n"/>
      <c r="U1932" s="47" t="inlineStr">
        <is>
          <t>This week J and Ben get some awesome packages in the mail from Warner Brothers, Beth makes the worlds best peanut butter and Luke has some chicken!</t>
        </is>
      </c>
      <c r="V1932" s="47">
        <f>IF(AND(P1932&gt;=Calendar!$K$2,P1932&lt;EDATE(Calendar!$K$2,1),OR(Calendar!$K$4="*",N1932=Calendar!$K$4)),P1932*100+COUNTIFS($P$6:$P$3267,P1932,$Q$6:$Q$3267,"&lt;="&amp;Q1932,$N$6:$N$3267,Calendar!$K$4),"")</f>
        <v/>
      </c>
      <c r="W1932" s="47">
        <f>IF(AND(B1932=Queue!$C$4,OR(Queue!$K$4="*",N1932=Queue!$K$4)),Q1932,"")</f>
        <v/>
      </c>
    </row>
    <row r="1933">
      <c r="A1933" s="38">
        <f>IF(M1933="","",HYPERLINK("https://www.youtube.com/watch?v="&amp;M1933,"▶"))</f>
        <v/>
      </c>
      <c r="B1933" s="39">
        <f>IF(C1933&lt;&gt;"",C1933,IF(P1933&lt;=IFERROR(INDEX(tblChannels[Watched Through],MATCH(N1933,tblChannels[Channel ID],0)),0),"Watched","Unwatched"))</f>
        <v/>
      </c>
      <c r="C1933" s="40" t="n"/>
      <c r="D1933" s="41" t="n"/>
      <c r="E1933" s="42" t="n">
        <v>43509.45763888889</v>
      </c>
      <c r="F1933" s="52" t="inlineStr">
        <is>
          <t>Super Carlin Gaming</t>
        </is>
      </c>
      <c r="G1933" t="inlineStr">
        <is>
          <t>Separate the Good Memories from the Bad | Super Smash Bros #17</t>
        </is>
      </c>
      <c r="H1933" s="44" t="n">
        <v>0.007673611111111111</v>
      </c>
      <c r="I1933" s="45" t="n">
        <v>7784</v>
      </c>
      <c r="J1933" s="45" t="n">
        <v>426</v>
      </c>
      <c r="K1933" s="45" t="n">
        <v>67</v>
      </c>
      <c r="L1933" s="46" t="n"/>
      <c r="M1933" s="47" t="n"/>
      <c r="N1933" s="47" t="inlineStr">
        <is>
          <t>UCor_9jRnNNZVzTuQ92PKsaQ</t>
        </is>
      </c>
      <c r="O1933" s="48" t="n">
        <v>43509.66597222222</v>
      </c>
      <c r="P1933" s="49" t="n">
        <v>43509</v>
      </c>
      <c r="Q1933" s="47" t="n">
        <v>1335</v>
      </c>
      <c r="R1933" s="47" t="inlineStr">
        <is>
          <t>No Video ID yet</t>
        </is>
      </c>
      <c r="S1933" s="49" t="n"/>
      <c r="T1933" s="49" t="n"/>
      <c r="U1933" s="47" t="n"/>
      <c r="V1933" s="47">
        <f>IF(AND(P1933&gt;=Calendar!$K$2,P1933&lt;EDATE(Calendar!$K$2,1),OR(Calendar!$K$4="*",N1933=Calendar!$K$4)),P1933*100+COUNTIFS($P$6:$P$3267,P1933,$Q$6:$Q$3267,"&lt;="&amp;Q1933,$N$6:$N$3267,Calendar!$K$4),"")</f>
        <v/>
      </c>
      <c r="W1933" s="47">
        <f>IF(AND(B1933=Queue!$C$4,OR(Queue!$K$4="*",N1933=Queue!$K$4)),Q1933,"")</f>
        <v/>
      </c>
    </row>
    <row r="1934">
      <c r="A1934" s="38">
        <f>IF(M1934="","",HYPERLINK("https://www.youtube.com/watch?v="&amp;M1934,"▶"))</f>
        <v/>
      </c>
      <c r="B1934" s="39">
        <f>IF(C1934&lt;&gt;"",C1934,IF(P1934&lt;=IFERROR(INDEX(tblChannels[Watched Through],MATCH(N1934,tblChannels[Channel ID],0)),0),"Watched","Unwatched"))</f>
        <v/>
      </c>
      <c r="C1934" s="40" t="n"/>
      <c r="D1934" s="41" t="n"/>
      <c r="E1934" s="42" t="n">
        <v>43508.85138888889</v>
      </c>
      <c r="F1934" s="50" t="inlineStr">
        <is>
          <t>Super Carlin Brothers</t>
        </is>
      </c>
      <c r="G1934" t="inlineStr">
        <is>
          <t>Which Infinity Stone Is The Most Powerful? | Avengers Theory</t>
        </is>
      </c>
      <c r="H1934" s="44" t="n">
        <v>0.009976851851851851</v>
      </c>
      <c r="I1934" s="45" t="n">
        <v>1938006</v>
      </c>
      <c r="J1934" s="45" t="n">
        <v>39483</v>
      </c>
      <c r="K1934" s="45" t="n">
        <v>6426</v>
      </c>
      <c r="L1934" s="46" t="n"/>
      <c r="M1934" s="47" t="n"/>
      <c r="N1934" s="47" t="inlineStr">
        <is>
          <t>UCKZo4N0lVPccBkSiuyVh4yg</t>
        </is>
      </c>
      <c r="O1934" s="48" t="n">
        <v>43509.05972222222</v>
      </c>
      <c r="P1934" s="49" t="n">
        <v>43508</v>
      </c>
      <c r="Q1934" s="47" t="n">
        <v>1334</v>
      </c>
      <c r="R1934" s="47" t="inlineStr">
        <is>
          <t>No Video ID yet</t>
        </is>
      </c>
      <c r="S1934" s="49" t="n"/>
      <c r="T1934" s="49" t="n"/>
      <c r="U1934" s="47" t="inlineStr">
        <is>
          <t>Thanos Infinity Pop Vinyls :: Today, as we draw closer and closer to Marvel’s Avengers:End Game, J dives into the Marvel Cinematic Universe to try and determine which Infinity Stone is the most powerful of them all! Power? Space? Mind? Time? Soul? Reality?</t>
        </is>
      </c>
      <c r="V1934" s="47">
        <f>IF(AND(P1934&gt;=Calendar!$K$2,P1934&lt;EDATE(Calendar!$K$2,1),OR(Calendar!$K$4="*",N1934=Calendar!$K$4)),P1934*100+COUNTIFS($P$6:$P$3267,P1934,$Q$6:$Q$3267,"&lt;="&amp;Q1934,$N$6:$N$3267,Calendar!$K$4),"")</f>
        <v/>
      </c>
      <c r="W1934" s="47">
        <f>IF(AND(B1934=Queue!$C$4,OR(Queue!$K$4="*",N1934=Queue!$K$4)),Q1934,"")</f>
        <v/>
      </c>
    </row>
    <row r="1935">
      <c r="A1935" s="38">
        <f>IF(M1935="","",HYPERLINK("https://www.youtube.com/watch?v="&amp;M1935,"▶"))</f>
        <v/>
      </c>
      <c r="B1935" s="39">
        <f>IF(C1935&lt;&gt;"",C1935,IF(P1935&lt;=IFERROR(INDEX(tblChannels[Watched Through],MATCH(N1935,tblChannels[Channel ID],0)),0),"Watched","Unwatched"))</f>
        <v/>
      </c>
      <c r="C1935" s="40" t="n"/>
      <c r="D1935" s="41" t="n"/>
      <c r="E1935" s="42" t="n">
        <v>43507.64027777778</v>
      </c>
      <c r="F1935" s="52" t="inlineStr">
        <is>
          <t>Super Carlin Gaming</t>
        </is>
      </c>
      <c r="G1935" t="inlineStr">
        <is>
          <t>Abandoning Your Old Friends | Super Smash Bros #16</t>
        </is>
      </c>
      <c r="H1935" s="44" t="n">
        <v>0.00849537037037037</v>
      </c>
      <c r="I1935" s="45" t="n">
        <v>9091</v>
      </c>
      <c r="J1935" s="45" t="n">
        <v>431</v>
      </c>
      <c r="K1935" s="45" t="n">
        <v>61</v>
      </c>
      <c r="L1935" s="46" t="n"/>
      <c r="M1935" s="47" t="n"/>
      <c r="N1935" s="47" t="inlineStr">
        <is>
          <t>UCor_9jRnNNZVzTuQ92PKsaQ</t>
        </is>
      </c>
      <c r="O1935" s="48" t="n">
        <v>43507.84861111111</v>
      </c>
      <c r="P1935" s="49" t="n">
        <v>43507</v>
      </c>
      <c r="Q1935" s="47" t="n">
        <v>1333</v>
      </c>
      <c r="R1935" s="47" t="inlineStr">
        <is>
          <t>No Video ID yet</t>
        </is>
      </c>
      <c r="S1935" s="49" t="n"/>
      <c r="T1935" s="49" t="n"/>
      <c r="U1935" s="47" t="n"/>
      <c r="V1935" s="47">
        <f>IF(AND(P1935&gt;=Calendar!$K$2,P1935&lt;EDATE(Calendar!$K$2,1),OR(Calendar!$K$4="*",N1935=Calendar!$K$4)),P1935*100+COUNTIFS($P$6:$P$3267,P1935,$Q$6:$Q$3267,"&lt;="&amp;Q1935,$N$6:$N$3267,Calendar!$K$4),"")</f>
        <v/>
      </c>
      <c r="W1935" s="47">
        <f>IF(AND(B1935=Queue!$C$4,OR(Queue!$K$4="*",N1935=Queue!$K$4)),Q1935,"")</f>
        <v/>
      </c>
    </row>
    <row r="1936">
      <c r="A1936" s="38">
        <f>IF(M1936="","",HYPERLINK("https://www.youtube.com/watch?v="&amp;M1936,"▶"))</f>
        <v/>
      </c>
      <c r="B1936" s="39">
        <f>IF(C1936&lt;&gt;"",C1936,IF(P1936&lt;=IFERROR(INDEX(tblChannels[Watched Through],MATCH(N1936,tblChannels[Channel ID],0)),0),"Watched","Unwatched"))</f>
        <v/>
      </c>
      <c r="C1936" s="40" t="n"/>
      <c r="D1936" s="41" t="n"/>
      <c r="E1936" s="42" t="n">
        <v>43507.63472222222</v>
      </c>
      <c r="F1936" s="53" t="inlineStr">
        <is>
          <t>Jonathan Carlin</t>
        </is>
      </c>
      <c r="G1936" t="inlineStr">
        <is>
          <t>SKI TRIP - Don't Hurt Yourself!</t>
        </is>
      </c>
      <c r="H1936" s="44" t="n">
        <v>0.009837962962962963</v>
      </c>
      <c r="I1936" s="45" t="n">
        <v>29754</v>
      </c>
      <c r="J1936" s="45" t="n">
        <v>1467</v>
      </c>
      <c r="K1936" s="45" t="n">
        <v>253</v>
      </c>
      <c r="L1936" s="46" t="n"/>
      <c r="M1936" s="47" t="n"/>
      <c r="N1936" s="47" t="inlineStr">
        <is>
          <t>UCYPKFe86e6nm4TVUYKLsFUQ</t>
        </is>
      </c>
      <c r="O1936" s="48" t="n">
        <v>43507.84305555555</v>
      </c>
      <c r="P1936" s="49" t="n">
        <v>43507</v>
      </c>
      <c r="Q1936" s="47" t="n">
        <v>1332</v>
      </c>
      <c r="R1936" s="47" t="inlineStr">
        <is>
          <t>No Video ID yet</t>
        </is>
      </c>
      <c r="S1936" s="49" t="n"/>
      <c r="T1936" s="49" t="n"/>
      <c r="U1936" s="47" t="inlineStr">
        <is>
          <t>J adopts a new life style and tries not to get hurt leading up to long awaited ski trip - Luke meets some adorable puppies, and Beth just tries to make sure J wears his helmet.</t>
        </is>
      </c>
      <c r="V1936" s="47">
        <f>IF(AND(P1936&gt;=Calendar!$K$2,P1936&lt;EDATE(Calendar!$K$2,1),OR(Calendar!$K$4="*",N1936=Calendar!$K$4)),P1936*100+COUNTIFS($P$6:$P$3267,P1936,$Q$6:$Q$3267,"&lt;="&amp;Q1936,$N$6:$N$3267,Calendar!$K$4),"")</f>
        <v/>
      </c>
      <c r="W1936" s="47">
        <f>IF(AND(B1936=Queue!$C$4,OR(Queue!$K$4="*",N1936=Queue!$K$4)),Q1936,"")</f>
        <v/>
      </c>
    </row>
    <row r="1937">
      <c r="A1937" s="38">
        <f>IF(M1937="","",HYPERLINK("https://www.youtube.com/watch?v="&amp;M1937,"▶"))</f>
        <v/>
      </c>
      <c r="B1937" s="39">
        <f>IF(C1937&lt;&gt;"",C1937,IF(P1937&lt;=IFERROR(INDEX(tblChannels[Watched Through],MATCH(N1937,tblChannels[Channel ID],0)),0),"Watched","Unwatched"))</f>
        <v/>
      </c>
      <c r="C1937" s="40" t="n"/>
      <c r="D1937" s="41" t="n"/>
      <c r="E1937" s="42" t="n">
        <v>43504.4375</v>
      </c>
      <c r="F1937" s="52" t="inlineStr">
        <is>
          <t>Super Carlin Gaming</t>
        </is>
      </c>
      <c r="G1937" t="inlineStr">
        <is>
          <t>I Can't Get a New Job | Super Smash Bros #15</t>
        </is>
      </c>
      <c r="H1937" s="44" t="n">
        <v>0.008657407407407407</v>
      </c>
      <c r="I1937" s="45" t="n">
        <v>8419</v>
      </c>
      <c r="J1937" s="45" t="n">
        <v>364</v>
      </c>
      <c r="K1937" s="45" t="n">
        <v>84</v>
      </c>
      <c r="L1937" s="46" t="n"/>
      <c r="M1937" s="47" t="n"/>
      <c r="N1937" s="47" t="inlineStr">
        <is>
          <t>UCor_9jRnNNZVzTuQ92PKsaQ</t>
        </is>
      </c>
      <c r="O1937" s="48" t="n">
        <v>43504.64583333334</v>
      </c>
      <c r="P1937" s="49" t="n">
        <v>43504</v>
      </c>
      <c r="Q1937" s="47" t="n">
        <v>1331</v>
      </c>
      <c r="R1937" s="47" t="inlineStr">
        <is>
          <t>No Video ID yet</t>
        </is>
      </c>
      <c r="S1937" s="49" t="n"/>
      <c r="T1937" s="49" t="n"/>
      <c r="U1937" s="47" t="n"/>
      <c r="V1937" s="47">
        <f>IF(AND(P1937&gt;=Calendar!$K$2,P1937&lt;EDATE(Calendar!$K$2,1),OR(Calendar!$K$4="*",N1937=Calendar!$K$4)),P1937*100+COUNTIFS($P$6:$P$3267,P1937,$Q$6:$Q$3267,"&lt;="&amp;Q1937,$N$6:$N$3267,Calendar!$K$4),"")</f>
        <v/>
      </c>
      <c r="W1937" s="47">
        <f>IF(AND(B1937=Queue!$C$4,OR(Queue!$K$4="*",N1937=Queue!$K$4)),Q1937,"")</f>
        <v/>
      </c>
    </row>
    <row r="1938">
      <c r="A1938" s="38">
        <f>IF(M1938="","",HYPERLINK("https://www.youtube.com/watch?v="&amp;M1938,"▶"))</f>
        <v/>
      </c>
      <c r="B1938" s="39">
        <f>IF(C1938&lt;&gt;"",C1938,IF(P1938&lt;=IFERROR(INDEX(tblChannels[Watched Through],MATCH(N1938,tblChannels[Channel ID],0)),0),"Watched","Unwatched"))</f>
        <v/>
      </c>
      <c r="C1938" s="40" t="n"/>
      <c r="D1938" s="41" t="n"/>
      <c r="E1938" s="42" t="n">
        <v>43503.68819444445</v>
      </c>
      <c r="F1938" s="50" t="inlineStr">
        <is>
          <t>Super Carlin Brothers</t>
        </is>
      </c>
      <c r="G1938" t="inlineStr">
        <is>
          <t>Who Does Thanos Fear Most? | Avengers Theory</t>
        </is>
      </c>
      <c r="H1938" s="44" t="n">
        <v>0.008923611111111111</v>
      </c>
      <c r="I1938" s="45" t="n">
        <v>893635</v>
      </c>
      <c r="J1938" s="45" t="n">
        <v>22857</v>
      </c>
      <c r="K1938" s="45" t="n">
        <v>3356</v>
      </c>
      <c r="L1938" s="46" t="n"/>
      <c r="M1938" s="47" t="n"/>
      <c r="N1938" s="47" t="inlineStr">
        <is>
          <t>UCKZo4N0lVPccBkSiuyVh4yg</t>
        </is>
      </c>
      <c r="O1938" s="48" t="n">
        <v>43503.89652777778</v>
      </c>
      <c r="P1938" s="49" t="n">
        <v>43503</v>
      </c>
      <c r="Q1938" s="47" t="n">
        <v>1330</v>
      </c>
      <c r="R1938" s="47" t="inlineStr">
        <is>
          <t>No Video ID yet</t>
        </is>
      </c>
      <c r="S1938" s="49" t="n"/>
      <c r="T1938" s="49" t="n"/>
      <c r="U1938" s="47" t="inlineStr">
        <is>
          <t>Get 15% off your Vincero Watch order with Promo Code: SCB Vincero Watches :: Digital Meet &amp; Greet :: Today Ben dives in the Marvel Cinematic Universe to try and uncover which Avenger the Mad Titan, Thanos, fears above all else and who may land the final blow in End Game.</t>
        </is>
      </c>
      <c r="V1938" s="47">
        <f>IF(AND(P1938&gt;=Calendar!$K$2,P1938&lt;EDATE(Calendar!$K$2,1),OR(Calendar!$K$4="*",N1938=Calendar!$K$4)),P1938*100+COUNTIFS($P$6:$P$3267,P1938,$Q$6:$Q$3267,"&lt;="&amp;Q1938,$N$6:$N$3267,Calendar!$K$4),"")</f>
        <v/>
      </c>
      <c r="W1938" s="47">
        <f>IF(AND(B1938=Queue!$C$4,OR(Queue!$K$4="*",N1938=Queue!$K$4)),Q1938,"")</f>
        <v/>
      </c>
    </row>
    <row r="1939">
      <c r="A1939" s="38">
        <f>IF(M1939="","",HYPERLINK("https://www.youtube.com/watch?v="&amp;M1939,"▶"))</f>
        <v/>
      </c>
      <c r="B1939" s="39">
        <f>IF(C1939&lt;&gt;"",C1939,IF(P1939&lt;=IFERROR(INDEX(tblChannels[Watched Through],MATCH(N1939,tblChannels[Channel ID],0)),0),"Watched","Unwatched"))</f>
        <v/>
      </c>
      <c r="C1939" s="40" t="n"/>
      <c r="D1939" s="41" t="n"/>
      <c r="E1939" s="42" t="n">
        <v>43502.47569444445</v>
      </c>
      <c r="F1939" s="52" t="inlineStr">
        <is>
          <t>Super Carlin Gaming</t>
        </is>
      </c>
      <c r="G1939" t="inlineStr">
        <is>
          <t>My Parents are Treating Me Like a Child | Super Smash Bros #14</t>
        </is>
      </c>
      <c r="H1939" s="44" t="n">
        <v>0.007824074074074074</v>
      </c>
      <c r="I1939" s="45" t="n">
        <v>8717</v>
      </c>
      <c r="J1939" s="45" t="n">
        <v>374</v>
      </c>
      <c r="K1939" s="45" t="n">
        <v>73</v>
      </c>
      <c r="L1939" s="46" t="n"/>
      <c r="M1939" s="47" t="n"/>
      <c r="N1939" s="47" t="inlineStr">
        <is>
          <t>UCor_9jRnNNZVzTuQ92PKsaQ</t>
        </is>
      </c>
      <c r="O1939" s="48" t="n">
        <v>43502.68402777778</v>
      </c>
      <c r="P1939" s="49" t="n">
        <v>43502</v>
      </c>
      <c r="Q1939" s="47" t="n">
        <v>1329</v>
      </c>
      <c r="R1939" s="47" t="inlineStr">
        <is>
          <t>No Video ID yet</t>
        </is>
      </c>
      <c r="S1939" s="49" t="n"/>
      <c r="T1939" s="49" t="n"/>
      <c r="U1939" s="47" t="n"/>
      <c r="V1939" s="47">
        <f>IF(AND(P1939&gt;=Calendar!$K$2,P1939&lt;EDATE(Calendar!$K$2,1),OR(Calendar!$K$4="*",N1939=Calendar!$K$4)),P1939*100+COUNTIFS($P$6:$P$3267,P1939,$Q$6:$Q$3267,"&lt;="&amp;Q1939,$N$6:$N$3267,Calendar!$K$4),"")</f>
        <v/>
      </c>
      <c r="W1939" s="47">
        <f>IF(AND(B1939=Queue!$C$4,OR(Queue!$K$4="*",N1939=Queue!$K$4)),Q1939,"")</f>
        <v/>
      </c>
    </row>
    <row r="1940">
      <c r="A1940" s="38">
        <f>IF(M1940="","",HYPERLINK("https://www.youtube.com/watch?v="&amp;M1940,"▶"))</f>
        <v/>
      </c>
      <c r="B1940" s="39">
        <f>IF(C1940&lt;&gt;"",C1940,IF(P1940&lt;=IFERROR(INDEX(tblChannels[Watched Through],MATCH(N1940,tblChannels[Channel ID],0)),0),"Watched","Unwatched"))</f>
        <v/>
      </c>
      <c r="C1940" s="40" t="n"/>
      <c r="D1940" s="41" t="n"/>
      <c r="E1940" s="42" t="n">
        <v>43502.41527777778</v>
      </c>
      <c r="F1940" s="53" t="inlineStr">
        <is>
          <t>Jonathan Carlin</t>
        </is>
      </c>
      <c r="G1940" t="inlineStr">
        <is>
          <t>The mini New Year's Vlog!</t>
        </is>
      </c>
      <c r="H1940" s="44" t="n">
        <v>0.003761574074074074</v>
      </c>
      <c r="I1940" s="45" t="n">
        <v>19864</v>
      </c>
      <c r="J1940" s="45" t="n">
        <v>1123</v>
      </c>
      <c r="K1940" s="45" t="n">
        <v>119</v>
      </c>
      <c r="L1940" s="46" t="n"/>
      <c r="M1940" s="47" t="n"/>
      <c r="N1940" s="47" t="inlineStr">
        <is>
          <t>UCYPKFe86e6nm4TVUYKLsFUQ</t>
        </is>
      </c>
      <c r="O1940" s="48" t="n">
        <v>43502.62361111111</v>
      </c>
      <c r="P1940" s="49" t="n">
        <v>43502</v>
      </c>
      <c r="Q1940" s="47" t="n">
        <v>1328</v>
      </c>
      <c r="R1940" s="47" t="inlineStr">
        <is>
          <t>No Video ID yet</t>
        </is>
      </c>
      <c r="S1940" s="49" t="n"/>
      <c r="T1940" s="49" t="n"/>
      <c r="U1940" s="47" t="inlineStr">
        <is>
          <t>What 2 vlogs in one week?! MADNESS! This week J, Beth and Luke celebrate even more Christmases, ring in the New Year and go over their New Year's Resolutions!</t>
        </is>
      </c>
      <c r="V1940" s="47">
        <f>IF(AND(P1940&gt;=Calendar!$K$2,P1940&lt;EDATE(Calendar!$K$2,1),OR(Calendar!$K$4="*",N1940=Calendar!$K$4)),P1940*100+COUNTIFS($P$6:$P$3267,P1940,$Q$6:$Q$3267,"&lt;="&amp;Q1940,$N$6:$N$3267,Calendar!$K$4),"")</f>
        <v/>
      </c>
      <c r="W1940" s="47">
        <f>IF(AND(B1940=Queue!$C$4,OR(Queue!$K$4="*",N1940=Queue!$K$4)),Q1940,"")</f>
        <v/>
      </c>
    </row>
    <row r="1941">
      <c r="A1941" s="38">
        <f>IF(M1941="","",HYPERLINK("https://www.youtube.com/watch?v="&amp;M1941,"▶"))</f>
        <v/>
      </c>
      <c r="B1941" s="39">
        <f>IF(C1941&lt;&gt;"",C1941,IF(P1941&lt;=IFERROR(INDEX(tblChannels[Watched Through],MATCH(N1941,tblChannels[Channel ID],0)),0),"Watched","Unwatched"))</f>
        <v/>
      </c>
      <c r="C1941" s="40" t="n"/>
      <c r="D1941" s="41" t="n"/>
      <c r="E1941" s="42" t="n">
        <v>43501.79791666667</v>
      </c>
      <c r="F1941" s="50" t="inlineStr">
        <is>
          <t>Super Carlin Brothers</t>
        </is>
      </c>
      <c r="G1941" t="inlineStr">
        <is>
          <t>Was Salazar Slytherin EVIL? | Harry Potter</t>
        </is>
      </c>
      <c r="H1941" s="44" t="n">
        <v>0.009189814814814816</v>
      </c>
      <c r="I1941" s="45" t="n">
        <v>1213136</v>
      </c>
      <c r="J1941" s="45" t="n">
        <v>33229</v>
      </c>
      <c r="K1941" s="45" t="n">
        <v>5072</v>
      </c>
      <c r="L1941" s="46" t="n"/>
      <c r="M1941" s="47" t="n"/>
      <c r="N1941" s="47" t="inlineStr">
        <is>
          <t>UCKZo4N0lVPccBkSiuyVh4yg</t>
        </is>
      </c>
      <c r="O1941" s="48" t="n">
        <v>43502.00625</v>
      </c>
      <c r="P1941" s="49" t="n">
        <v>43501</v>
      </c>
      <c r="Q1941" s="47" t="n">
        <v>1327</v>
      </c>
      <c r="R1941" s="47" t="inlineStr">
        <is>
          <t>No Video ID yet</t>
        </is>
      </c>
      <c r="S1941" s="49" t="n"/>
      <c r="T1941" s="49" t="n"/>
      <c r="U1941" s="47" t="inlineStr">
        <is>
          <t>Digital Meet &amp; Greet :: Today J dives into the Wizarding World of Harry Potter to discuss whether or not its most infamous founder, Salazar Slytherin, was evil or just misunderstood? (Spoilers.. he's not great)</t>
        </is>
      </c>
      <c r="V1941" s="47">
        <f>IF(AND(P1941&gt;=Calendar!$K$2,P1941&lt;EDATE(Calendar!$K$2,1),OR(Calendar!$K$4="*",N1941=Calendar!$K$4)),P1941*100+COUNTIFS($P$6:$P$3267,P1941,$Q$6:$Q$3267,"&lt;="&amp;Q1941,$N$6:$N$3267,Calendar!$K$4),"")</f>
        <v/>
      </c>
      <c r="W1941" s="47">
        <f>IF(AND(B1941=Queue!$C$4,OR(Queue!$K$4="*",N1941=Queue!$K$4)),Q1941,"")</f>
        <v/>
      </c>
    </row>
    <row r="1942">
      <c r="A1942" s="38">
        <f>IF(M1942="","",HYPERLINK("https://www.youtube.com/watch?v="&amp;M1942,"▶"))</f>
        <v/>
      </c>
      <c r="B1942" s="39">
        <f>IF(C1942&lt;&gt;"",C1942,IF(P1942&lt;=IFERROR(INDEX(tblChannels[Watched Through],MATCH(N1942,tblChannels[Channel ID],0)),0),"Watched","Unwatched"))</f>
        <v/>
      </c>
      <c r="C1942" s="40" t="n"/>
      <c r="D1942" s="41" t="n"/>
      <c r="E1942" s="42" t="n">
        <v>43500.71458333333</v>
      </c>
      <c r="F1942" s="53" t="inlineStr">
        <is>
          <t>Jonathan Carlin</t>
        </is>
      </c>
      <c r="G1942" t="inlineStr">
        <is>
          <t>THE MEGA CHRISTMAS VLOG</t>
        </is>
      </c>
      <c r="H1942" s="44" t="n">
        <v>0.01386574074074074</v>
      </c>
      <c r="I1942" s="45" t="n">
        <v>44310</v>
      </c>
      <c r="J1942" s="45" t="n">
        <v>1822</v>
      </c>
      <c r="K1942" s="45" t="n">
        <v>253</v>
      </c>
      <c r="L1942" s="46" t="n"/>
      <c r="M1942" s="47" t="n"/>
      <c r="N1942" s="47" t="inlineStr">
        <is>
          <t>UCYPKFe86e6nm4TVUYKLsFUQ</t>
        </is>
      </c>
      <c r="O1942" s="48" t="n">
        <v>43500.92291666667</v>
      </c>
      <c r="P1942" s="49" t="n">
        <v>43500</v>
      </c>
      <c r="Q1942" s="47" t="n">
        <v>1326</v>
      </c>
      <c r="R1942" s="47" t="inlineStr">
        <is>
          <t>No Video ID yet</t>
        </is>
      </c>
      <c r="S1942" s="49" t="n"/>
      <c r="T1942" s="49" t="n"/>
      <c r="U1942" s="47" t="inlineStr">
        <is>
          <t>J, Beth, Luke and the rest of the family head north for Christmas where Tyler has a BIG announcement...</t>
        </is>
      </c>
      <c r="V1942" s="47">
        <f>IF(AND(P1942&gt;=Calendar!$K$2,P1942&lt;EDATE(Calendar!$K$2,1),OR(Calendar!$K$4="*",N1942=Calendar!$K$4)),P1942*100+COUNTIFS($P$6:$P$3267,P1942,$Q$6:$Q$3267,"&lt;="&amp;Q1942,$N$6:$N$3267,Calendar!$K$4),"")</f>
        <v/>
      </c>
      <c r="W1942" s="47">
        <f>IF(AND(B1942=Queue!$C$4,OR(Queue!$K$4="*",N1942=Queue!$K$4)),Q1942,"")</f>
        <v/>
      </c>
    </row>
    <row r="1943">
      <c r="A1943" s="38">
        <f>IF(M1943="","",HYPERLINK("https://www.youtube.com/watch?v="&amp;M1943,"▶"))</f>
        <v/>
      </c>
      <c r="B1943" s="39">
        <f>IF(C1943&lt;&gt;"",C1943,IF(P1943&lt;=IFERROR(INDEX(tblChannels[Watched Through],MATCH(N1943,tblChannels[Channel ID],0)),0),"Watched","Unwatched"))</f>
        <v/>
      </c>
      <c r="C1943" s="40" t="n"/>
      <c r="D1943" s="41" t="n"/>
      <c r="E1943" s="42" t="n">
        <v>43500.62986111111</v>
      </c>
      <c r="F1943" s="52" t="inlineStr">
        <is>
          <t>Super Carlin Gaming</t>
        </is>
      </c>
      <c r="G1943" t="inlineStr">
        <is>
          <t>Keeping The Love Alive | Super Smash Bros #13</t>
        </is>
      </c>
      <c r="H1943" s="44" t="n">
        <v>0.00849537037037037</v>
      </c>
      <c r="I1943" s="45" t="n">
        <v>9471</v>
      </c>
      <c r="J1943" s="45" t="n">
        <v>432</v>
      </c>
      <c r="K1943" s="45" t="n">
        <v>110</v>
      </c>
      <c r="L1943" s="46" t="n"/>
      <c r="M1943" s="47" t="n"/>
      <c r="N1943" s="47" t="inlineStr">
        <is>
          <t>UCor_9jRnNNZVzTuQ92PKsaQ</t>
        </is>
      </c>
      <c r="O1943" s="48" t="n">
        <v>43500.83819444444</v>
      </c>
      <c r="P1943" s="49" t="n">
        <v>43500</v>
      </c>
      <c r="Q1943" s="47" t="n">
        <v>1325</v>
      </c>
      <c r="R1943" s="47" t="inlineStr">
        <is>
          <t>No Video ID yet</t>
        </is>
      </c>
      <c r="S1943" s="49" t="n"/>
      <c r="T1943" s="49" t="n"/>
      <c r="U1943" s="47" t="inlineStr">
        <is>
          <t>Alternate Title: Reignite Your Mustard The Mustard:</t>
        </is>
      </c>
      <c r="V1943" s="47">
        <f>IF(AND(P1943&gt;=Calendar!$K$2,P1943&lt;EDATE(Calendar!$K$2,1),OR(Calendar!$K$4="*",N1943=Calendar!$K$4)),P1943*100+COUNTIFS($P$6:$P$3267,P1943,$Q$6:$Q$3267,"&lt;="&amp;Q1943,$N$6:$N$3267,Calendar!$K$4),"")</f>
        <v/>
      </c>
      <c r="W1943" s="47">
        <f>IF(AND(B1943=Queue!$C$4,OR(Queue!$K$4="*",N1943=Queue!$K$4)),Q1943,"")</f>
        <v/>
      </c>
    </row>
    <row r="1944">
      <c r="A1944" s="38">
        <f>IF(M1944="","",HYPERLINK("https://www.youtube.com/watch?v="&amp;M1944,"▶"))</f>
        <v/>
      </c>
      <c r="B1944" s="39">
        <f>IF(C1944&lt;&gt;"",C1944,IF(P1944&lt;=IFERROR(INDEX(tblChannels[Watched Through],MATCH(N1944,tblChannels[Channel ID],0)),0),"Watched","Unwatched"))</f>
        <v/>
      </c>
      <c r="C1944" s="40" t="n"/>
      <c r="D1944" s="41" t="n"/>
      <c r="E1944" s="42" t="n">
        <v>43497.4375</v>
      </c>
      <c r="F1944" s="52" t="inlineStr">
        <is>
          <t>Super Carlin Gaming</t>
        </is>
      </c>
      <c r="G1944" t="inlineStr">
        <is>
          <t>Dropping Bowser Butts | Super Smash Bros #12</t>
        </is>
      </c>
      <c r="H1944" s="44" t="n">
        <v>0.009502314814814814</v>
      </c>
      <c r="I1944" s="45" t="n">
        <v>10309</v>
      </c>
      <c r="J1944" s="45" t="n">
        <v>431</v>
      </c>
      <c r="K1944" s="45" t="n">
        <v>74</v>
      </c>
      <c r="L1944" s="46" t="n"/>
      <c r="M1944" s="47" t="n"/>
      <c r="N1944" s="47" t="inlineStr">
        <is>
          <t>UCor_9jRnNNZVzTuQ92PKsaQ</t>
        </is>
      </c>
      <c r="O1944" s="48" t="n">
        <v>43497.64583333334</v>
      </c>
      <c r="P1944" s="49" t="n">
        <v>43497</v>
      </c>
      <c r="Q1944" s="47" t="n">
        <v>1324</v>
      </c>
      <c r="R1944" s="47" t="inlineStr">
        <is>
          <t>No Video ID yet</t>
        </is>
      </c>
      <c r="S1944" s="49" t="n"/>
      <c r="T1944" s="49" t="n"/>
      <c r="U1944" s="47" t="n"/>
      <c r="V1944" s="47">
        <f>IF(AND(P1944&gt;=Calendar!$K$2,P1944&lt;EDATE(Calendar!$K$2,1),OR(Calendar!$K$4="*",N1944=Calendar!$K$4)),P1944*100+COUNTIFS($P$6:$P$3267,P1944,$Q$6:$Q$3267,"&lt;="&amp;Q1944,$N$6:$N$3267,Calendar!$K$4),"")</f>
        <v/>
      </c>
      <c r="W1944" s="47">
        <f>IF(AND(B1944=Queue!$C$4,OR(Queue!$K$4="*",N1944=Queue!$K$4)),Q1944,"")</f>
        <v/>
      </c>
    </row>
    <row r="1945">
      <c r="A1945" s="38">
        <f>IF(M1945="","",HYPERLINK("https://www.youtube.com/watch?v="&amp;M1945,"▶"))</f>
        <v/>
      </c>
      <c r="B1945" s="39">
        <f>IF(C1945&lt;&gt;"",C1945,IF(P1945&lt;=IFERROR(INDEX(tblChannels[Watched Through],MATCH(N1945,tblChannels[Channel ID],0)),0),"Watched","Unwatched"))</f>
        <v/>
      </c>
      <c r="C1945" s="40" t="n"/>
      <c r="D1945" s="41" t="n"/>
      <c r="E1945" s="42" t="n">
        <v>43496.53055555555</v>
      </c>
      <c r="F1945" s="50" t="inlineStr">
        <is>
          <t>Super Carlin Brothers</t>
        </is>
      </c>
      <c r="G1945" t="inlineStr">
        <is>
          <t>J vs Ben: ULTIMATE Marauders Harry Potter Trivia Quiz</t>
        </is>
      </c>
      <c r="H1945" s="44" t="n">
        <v>0.0228125</v>
      </c>
      <c r="I1945" s="45" t="n">
        <v>837587</v>
      </c>
      <c r="J1945" s="45" t="n">
        <v>16380</v>
      </c>
      <c r="K1945" s="45" t="n">
        <v>2271</v>
      </c>
      <c r="L1945" s="46" t="n"/>
      <c r="M1945" s="47" t="n"/>
      <c r="N1945" s="47" t="inlineStr">
        <is>
          <t>UCKZo4N0lVPccBkSiuyVh4yg</t>
        </is>
      </c>
      <c r="O1945" s="48" t="n">
        <v>43496.73888888889</v>
      </c>
      <c r="P1945" s="49" t="n">
        <v>43496</v>
      </c>
      <c r="Q1945" s="47" t="n">
        <v>1323</v>
      </c>
      <c r="R1945" s="47" t="inlineStr">
        <is>
          <t>No Video ID yet</t>
        </is>
      </c>
      <c r="S1945" s="49" t="n"/>
      <c r="T1945" s="49" t="n"/>
      <c r="U1945" s="47" t="inlineStr">
        <is>
          <t>Today J and Ben face off in the ULTIMATE Marauders Harry Potter trivia quiz to find out who knows more about Moony, Wormtail, Padfoot and Prongs</t>
        </is>
      </c>
      <c r="V1945" s="47">
        <f>IF(AND(P1945&gt;=Calendar!$K$2,P1945&lt;EDATE(Calendar!$K$2,1),OR(Calendar!$K$4="*",N1945=Calendar!$K$4)),P1945*100+COUNTIFS($P$6:$P$3267,P1945,$Q$6:$Q$3267,"&lt;="&amp;Q1945,$N$6:$N$3267,Calendar!$K$4),"")</f>
        <v/>
      </c>
      <c r="W1945" s="47">
        <f>IF(AND(B1945=Queue!$C$4,OR(Queue!$K$4="*",N1945=Queue!$K$4)),Q1945,"")</f>
        <v/>
      </c>
    </row>
    <row r="1946">
      <c r="A1946" s="38">
        <f>IF(M1946="","",HYPERLINK("https://www.youtube.com/watch?v="&amp;M1946,"▶"))</f>
        <v/>
      </c>
      <c r="B1946" s="39">
        <f>IF(C1946&lt;&gt;"",C1946,IF(P1946&lt;=IFERROR(INDEX(tblChannels[Watched Through],MATCH(N1946,tblChannels[Channel ID],0)),0),"Watched","Unwatched"))</f>
        <v/>
      </c>
      <c r="C1946" s="40" t="n"/>
      <c r="D1946" s="41" t="n"/>
      <c r="E1946" s="42" t="n">
        <v>43495.4375</v>
      </c>
      <c r="F1946" s="52" t="inlineStr">
        <is>
          <t>Super Carlin Gaming</t>
        </is>
      </c>
      <c r="G1946" t="inlineStr">
        <is>
          <t>Struggling With My Favorite Subject | Super Smash Bros #11</t>
        </is>
      </c>
      <c r="H1946" s="44" t="n">
        <v>0.009363425925925926</v>
      </c>
      <c r="I1946" s="45" t="n">
        <v>9678</v>
      </c>
      <c r="J1946" s="45" t="n">
        <v>463</v>
      </c>
      <c r="K1946" s="45" t="n">
        <v>69</v>
      </c>
      <c r="L1946" s="46" t="n"/>
      <c r="M1946" s="47" t="n"/>
      <c r="N1946" s="47" t="inlineStr">
        <is>
          <t>UCor_9jRnNNZVzTuQ92PKsaQ</t>
        </is>
      </c>
      <c r="O1946" s="48" t="n">
        <v>43495.64583333334</v>
      </c>
      <c r="P1946" s="49" t="n">
        <v>43495</v>
      </c>
      <c r="Q1946" s="47" t="n">
        <v>1322</v>
      </c>
      <c r="R1946" s="47" t="inlineStr">
        <is>
          <t>No Video ID yet</t>
        </is>
      </c>
      <c r="S1946" s="49" t="n"/>
      <c r="T1946" s="49" t="n"/>
      <c r="U1946" s="47" t="n"/>
      <c r="V1946" s="47">
        <f>IF(AND(P1946&gt;=Calendar!$K$2,P1946&lt;EDATE(Calendar!$K$2,1),OR(Calendar!$K$4="*",N1946=Calendar!$K$4)),P1946*100+COUNTIFS($P$6:$P$3267,P1946,$Q$6:$Q$3267,"&lt;="&amp;Q1946,$N$6:$N$3267,Calendar!$K$4),"")</f>
        <v/>
      </c>
      <c r="W1946" s="47">
        <f>IF(AND(B1946=Queue!$C$4,OR(Queue!$K$4="*",N1946=Queue!$K$4)),Q1946,"")</f>
        <v/>
      </c>
    </row>
    <row r="1947">
      <c r="A1947" s="38">
        <f>IF(M1947="","",HYPERLINK("https://www.youtube.com/watch?v="&amp;M1947,"▶"))</f>
        <v/>
      </c>
      <c r="B1947" s="39">
        <f>IF(C1947&lt;&gt;"",C1947,IF(P1947&lt;=IFERROR(INDEX(tblChannels[Watched Through],MATCH(N1947,tblChannels[Channel ID],0)),0),"Watched","Unwatched"))</f>
        <v/>
      </c>
      <c r="C1947" s="40" t="n"/>
      <c r="D1947" s="41" t="n"/>
      <c r="E1947" s="42" t="n">
        <v>43494.7125</v>
      </c>
      <c r="F1947" s="50" t="inlineStr">
        <is>
          <t>Super Carlin Brothers</t>
        </is>
      </c>
      <c r="G1947" t="inlineStr">
        <is>
          <t>Could A Dementor Destroy A Horcrux? | Harry Potter Theory</t>
        </is>
      </c>
      <c r="H1947" s="44" t="n">
        <v>0.007175925925925926</v>
      </c>
      <c r="I1947" s="45" t="n">
        <v>964154</v>
      </c>
      <c r="J1947" s="45" t="n">
        <v>27720</v>
      </c>
      <c r="K1947" s="45" t="n">
        <v>3250</v>
      </c>
      <c r="L1947" s="46" t="n"/>
      <c r="M1947" s="47" t="n"/>
      <c r="N1947" s="47" t="inlineStr">
        <is>
          <t>UCKZo4N0lVPccBkSiuyVh4yg</t>
        </is>
      </c>
      <c r="O1947" s="48" t="n">
        <v>43494.92083333333</v>
      </c>
      <c r="P1947" s="49" t="n">
        <v>43494</v>
      </c>
      <c r="Q1947" s="47" t="n">
        <v>1321</v>
      </c>
      <c r="R1947" s="47" t="inlineStr">
        <is>
          <t>No Video ID yet</t>
        </is>
      </c>
      <c r="S1947" s="49" t="n"/>
      <c r="T1947" s="49" t="n"/>
      <c r="U1947" s="47" t="inlineStr">
        <is>
          <t>Today J dives into the Wizarding World of Harry Potter to try and answer the question: Could a Dementor Destroy A Horcrux?</t>
        </is>
      </c>
      <c r="V1947" s="47">
        <f>IF(AND(P1947&gt;=Calendar!$K$2,P1947&lt;EDATE(Calendar!$K$2,1),OR(Calendar!$K$4="*",N1947=Calendar!$K$4)),P1947*100+COUNTIFS($P$6:$P$3267,P1947,$Q$6:$Q$3267,"&lt;="&amp;Q1947,$N$6:$N$3267,Calendar!$K$4),"")</f>
        <v/>
      </c>
      <c r="W1947" s="47">
        <f>IF(AND(B1947=Queue!$C$4,OR(Queue!$K$4="*",N1947=Queue!$K$4)),Q1947,"")</f>
        <v/>
      </c>
    </row>
    <row r="1948">
      <c r="A1948" s="38">
        <f>IF(M1948="","",HYPERLINK("https://www.youtube.com/watch?v="&amp;M1948,"▶"))</f>
        <v/>
      </c>
      <c r="B1948" s="39">
        <f>IF(C1948&lt;&gt;"",C1948,IF(P1948&lt;=IFERROR(INDEX(tblChannels[Watched Through],MATCH(N1948,tblChannels[Channel ID],0)),0),"Watched","Unwatched"))</f>
        <v/>
      </c>
      <c r="C1948" s="40" t="n"/>
      <c r="D1948" s="41" t="n"/>
      <c r="E1948" s="42" t="n">
        <v>43493.5375</v>
      </c>
      <c r="F1948" s="52" t="inlineStr">
        <is>
          <t>Super Carlin Gaming</t>
        </is>
      </c>
      <c r="G1948" t="inlineStr">
        <is>
          <t>Am I the Leader? | Super Smash Bros #10</t>
        </is>
      </c>
      <c r="H1948" s="44" t="n">
        <v>0.0103587962962963</v>
      </c>
      <c r="I1948" s="45" t="n">
        <v>10641</v>
      </c>
      <c r="J1948" s="45" t="n">
        <v>470</v>
      </c>
      <c r="K1948" s="45" t="n">
        <v>77</v>
      </c>
      <c r="L1948" s="46" t="n"/>
      <c r="M1948" s="47" t="n"/>
      <c r="N1948" s="47" t="inlineStr">
        <is>
          <t>UCor_9jRnNNZVzTuQ92PKsaQ</t>
        </is>
      </c>
      <c r="O1948" s="48" t="n">
        <v>43493.74583333333</v>
      </c>
      <c r="P1948" s="49" t="n">
        <v>43493</v>
      </c>
      <c r="Q1948" s="47" t="n">
        <v>1320</v>
      </c>
      <c r="R1948" s="47" t="inlineStr">
        <is>
          <t>No Video ID yet</t>
        </is>
      </c>
      <c r="S1948" s="49" t="n"/>
      <c r="T1948" s="49" t="n"/>
      <c r="U1948" s="47" t="n"/>
      <c r="V1948" s="47">
        <f>IF(AND(P1948&gt;=Calendar!$K$2,P1948&lt;EDATE(Calendar!$K$2,1),OR(Calendar!$K$4="*",N1948=Calendar!$K$4)),P1948*100+COUNTIFS($P$6:$P$3267,P1948,$Q$6:$Q$3267,"&lt;="&amp;Q1948,$N$6:$N$3267,Calendar!$K$4),"")</f>
        <v/>
      </c>
      <c r="W1948" s="47">
        <f>IF(AND(B1948=Queue!$C$4,OR(Queue!$K$4="*",N1948=Queue!$K$4)),Q1948,"")</f>
        <v/>
      </c>
    </row>
    <row r="1949">
      <c r="A1949" s="38">
        <f>IF(M1949="","",HYPERLINK("https://www.youtube.com/watch?v="&amp;M1949,"▶"))</f>
        <v/>
      </c>
      <c r="B1949" s="39">
        <f>IF(C1949&lt;&gt;"",C1949,IF(P1949&lt;=IFERROR(INDEX(tblChannels[Watched Through],MATCH(N1949,tblChannels[Channel ID],0)),0),"Watched","Unwatched"))</f>
        <v/>
      </c>
      <c r="C1949" s="40" t="n"/>
      <c r="D1949" s="41" t="n"/>
      <c r="E1949" s="42" t="n">
        <v>43490.41666666666</v>
      </c>
      <c r="F1949" s="52" t="inlineStr">
        <is>
          <t>Super Carlin Gaming</t>
        </is>
      </c>
      <c r="G1949" t="inlineStr">
        <is>
          <t>I Wanna Change Schools! | Super Smash Bros #9</t>
        </is>
      </c>
      <c r="H1949" s="44" t="n">
        <v>0.01105324074074074</v>
      </c>
      <c r="I1949" s="45" t="n">
        <v>11503</v>
      </c>
      <c r="J1949" s="45" t="n">
        <v>484</v>
      </c>
      <c r="K1949" s="45" t="n">
        <v>101</v>
      </c>
      <c r="L1949" s="46" t="n"/>
      <c r="M1949" s="47" t="n"/>
      <c r="N1949" s="47" t="inlineStr">
        <is>
          <t>UCor_9jRnNNZVzTuQ92PKsaQ</t>
        </is>
      </c>
      <c r="O1949" s="48" t="n">
        <v>43490.625</v>
      </c>
      <c r="P1949" s="49" t="n">
        <v>43490</v>
      </c>
      <c r="Q1949" s="47" t="n">
        <v>1319</v>
      </c>
      <c r="R1949" s="47" t="inlineStr">
        <is>
          <t>No Video ID yet</t>
        </is>
      </c>
      <c r="S1949" s="49" t="n"/>
      <c r="T1949" s="49" t="n"/>
      <c r="U1949" s="47" t="n"/>
      <c r="V1949" s="47">
        <f>IF(AND(P1949&gt;=Calendar!$K$2,P1949&lt;EDATE(Calendar!$K$2,1),OR(Calendar!$K$4="*",N1949=Calendar!$K$4)),P1949*100+COUNTIFS($P$6:$P$3267,P1949,$Q$6:$Q$3267,"&lt;="&amp;Q1949,$N$6:$N$3267,Calendar!$K$4),"")</f>
        <v/>
      </c>
      <c r="W1949" s="47">
        <f>IF(AND(B1949=Queue!$C$4,OR(Queue!$K$4="*",N1949=Queue!$K$4)),Q1949,"")</f>
        <v/>
      </c>
    </row>
    <row r="1950">
      <c r="A1950" s="38">
        <f>IF(M1950="","",HYPERLINK("https://www.youtube.com/watch?v="&amp;M1950,"▶"))</f>
        <v/>
      </c>
      <c r="B1950" s="39">
        <f>IF(C1950&lt;&gt;"",C1950,IF(P1950&lt;=IFERROR(INDEX(tblChannels[Watched Through],MATCH(N1950,tblChannels[Channel ID],0)),0),"Watched","Unwatched"))</f>
        <v/>
      </c>
      <c r="C1950" s="40" t="n"/>
      <c r="D1950" s="41" t="n"/>
      <c r="E1950" s="42" t="n">
        <v>43489.82361111111</v>
      </c>
      <c r="F1950" s="50" t="inlineStr">
        <is>
          <t>Super Carlin Brothers</t>
        </is>
      </c>
      <c r="G1950" t="inlineStr">
        <is>
          <t>How Nick Fury Lost His Eye | Marvel Theory</t>
        </is>
      </c>
      <c r="H1950" s="44" t="n">
        <v>0.00832175925925926</v>
      </c>
      <c r="I1950" s="45" t="n">
        <v>376238</v>
      </c>
      <c r="J1950" s="45" t="n">
        <v>12443</v>
      </c>
      <c r="K1950" s="45" t="n">
        <v>1779</v>
      </c>
      <c r="L1950" s="46" t="n"/>
      <c r="M1950" s="47" t="n"/>
      <c r="N1950" s="47" t="inlineStr">
        <is>
          <t>UCKZo4N0lVPccBkSiuyVh4yg</t>
        </is>
      </c>
      <c r="O1950" s="48" t="n">
        <v>43490.03194444445</v>
      </c>
      <c r="P1950" s="49" t="n">
        <v>43489</v>
      </c>
      <c r="Q1950" s="47" t="n">
        <v>1318</v>
      </c>
      <c r="R1950" s="47" t="inlineStr">
        <is>
          <t>No Video ID yet</t>
        </is>
      </c>
      <c r="S1950" s="49" t="n"/>
      <c r="T1950" s="49" t="n"/>
      <c r="U1950" s="47" t="inlineStr">
        <is>
          <t>Our Angry Birds Episode :: Angry Birds on the Run Playlist :: Today Ben dives into the Marvel Cinematic Universe to discuss Captain Marvel and reveal the truth about her pet cat: Goose. Carlin Brothers Coffee: www.CarlinBrothersCoffee.com</t>
        </is>
      </c>
      <c r="V1950" s="47">
        <f>IF(AND(P1950&gt;=Calendar!$K$2,P1950&lt;EDATE(Calendar!$K$2,1),OR(Calendar!$K$4="*",N1950=Calendar!$K$4)),P1950*100+COUNTIFS($P$6:$P$3267,P1950,$Q$6:$Q$3267,"&lt;="&amp;Q1950,$N$6:$N$3267,Calendar!$K$4),"")</f>
        <v/>
      </c>
      <c r="W1950" s="47">
        <f>IF(AND(B1950=Queue!$C$4,OR(Queue!$K$4="*",N1950=Queue!$K$4)),Q1950,"")</f>
        <v/>
      </c>
    </row>
    <row r="1951">
      <c r="A1951" s="38">
        <f>IF(M1951="","",HYPERLINK("https://www.youtube.com/watch?v="&amp;M1951,"▶"))</f>
        <v/>
      </c>
      <c r="B1951" s="39">
        <f>IF(C1951&lt;&gt;"",C1951,IF(P1951&lt;=IFERROR(INDEX(tblChannels[Watched Through],MATCH(N1951,tblChannels[Channel ID],0)),0),"Watched","Unwatched"))</f>
        <v/>
      </c>
      <c r="C1951" s="40" t="n"/>
      <c r="D1951" s="41" t="n"/>
      <c r="E1951" s="42" t="n">
        <v>43488.43263888889</v>
      </c>
      <c r="F1951" s="52" t="inlineStr">
        <is>
          <t>Super Carlin Gaming</t>
        </is>
      </c>
      <c r="G1951" t="inlineStr">
        <is>
          <t>You're a Fake Fan | Super Smash Bros #8</t>
        </is>
      </c>
      <c r="H1951" s="44" t="n">
        <v>0.01126157407407407</v>
      </c>
      <c r="I1951" s="45" t="n">
        <v>12847</v>
      </c>
      <c r="J1951" s="45" t="n">
        <v>552</v>
      </c>
      <c r="K1951" s="45" t="n">
        <v>118</v>
      </c>
      <c r="L1951" s="46" t="n"/>
      <c r="M1951" s="47" t="n"/>
      <c r="N1951" s="47" t="inlineStr">
        <is>
          <t>UCor_9jRnNNZVzTuQ92PKsaQ</t>
        </is>
      </c>
      <c r="O1951" s="48" t="n">
        <v>43488.64097222222</v>
      </c>
      <c r="P1951" s="49" t="n">
        <v>43488</v>
      </c>
      <c r="Q1951" s="47" t="n">
        <v>1317</v>
      </c>
      <c r="R1951" s="47" t="inlineStr">
        <is>
          <t>No Video ID yet</t>
        </is>
      </c>
      <c r="S1951" s="49" t="n"/>
      <c r="T1951" s="49" t="n"/>
      <c r="U1951" s="47" t="n"/>
      <c r="V1951" s="47">
        <f>IF(AND(P1951&gt;=Calendar!$K$2,P1951&lt;EDATE(Calendar!$K$2,1),OR(Calendar!$K$4="*",N1951=Calendar!$K$4)),P1951*100+COUNTIFS($P$6:$P$3267,P1951,$Q$6:$Q$3267,"&lt;="&amp;Q1951,$N$6:$N$3267,Calendar!$K$4),"")</f>
        <v/>
      </c>
      <c r="W1951" s="47">
        <f>IF(AND(B1951=Queue!$C$4,OR(Queue!$K$4="*",N1951=Queue!$K$4)),Q1951,"")</f>
        <v/>
      </c>
    </row>
    <row r="1952">
      <c r="A1952" s="38">
        <f>IF(M1952="","",HYPERLINK("https://www.youtube.com/watch?v="&amp;M1952,"▶"))</f>
        <v/>
      </c>
      <c r="B1952" s="39">
        <f>IF(C1952&lt;&gt;"",C1952,IF(P1952&lt;=IFERROR(INDEX(tblChannels[Watched Through],MATCH(N1952,tblChannels[Channel ID],0)),0),"Watched","Unwatched"))</f>
        <v/>
      </c>
      <c r="C1952" s="40" t="n"/>
      <c r="D1952" s="41" t="n"/>
      <c r="E1952" s="42" t="n">
        <v>43488.42916666667</v>
      </c>
      <c r="F1952" s="53" t="inlineStr">
        <is>
          <t>Jonathan Carlin</t>
        </is>
      </c>
      <c r="G1952" t="inlineStr">
        <is>
          <t>Trying To Get A PERFECT Score on Buzz Lightyear Space Ranger Spin</t>
        </is>
      </c>
      <c r="H1952" s="44" t="n">
        <v>0.004224537037037037</v>
      </c>
      <c r="I1952" s="45" t="n">
        <v>30794</v>
      </c>
      <c r="J1952" s="45" t="n">
        <v>1535</v>
      </c>
      <c r="K1952" s="45" t="n">
        <v>69</v>
      </c>
      <c r="L1952" s="46" t="n"/>
      <c r="M1952" s="47" t="n"/>
      <c r="N1952" s="47" t="inlineStr">
        <is>
          <t>UCYPKFe86e6nm4TVUYKLsFUQ</t>
        </is>
      </c>
      <c r="O1952" s="48" t="n">
        <v>43488.6375</v>
      </c>
      <c r="P1952" s="49" t="n">
        <v>43488</v>
      </c>
      <c r="Q1952" s="47" t="n">
        <v>1316</v>
      </c>
      <c r="R1952" s="47" t="inlineStr">
        <is>
          <t>No Video ID yet</t>
        </is>
      </c>
      <c r="S1952" s="49" t="n"/>
      <c r="T1952" s="49" t="n"/>
      <c r="U1952" s="47" t="inlineStr">
        <is>
          <t>This video includes a paid partnership with Disney. #ad In this bonus behind the scenes episode, J and Ben discuss their recent trip to Walt Disney World and what it was like reliving their childhood, working with Disney and hunting down myths in the park</t>
        </is>
      </c>
      <c r="V1952" s="47">
        <f>IF(AND(P1952&gt;=Calendar!$K$2,P1952&lt;EDATE(Calendar!$K$2,1),OR(Calendar!$K$4="*",N1952=Calendar!$K$4)),P1952*100+COUNTIFS($P$6:$P$3267,P1952,$Q$6:$Q$3267,"&lt;="&amp;Q1952,$N$6:$N$3267,Calendar!$K$4),"")</f>
        <v/>
      </c>
      <c r="W1952" s="47">
        <f>IF(AND(B1952=Queue!$C$4,OR(Queue!$K$4="*",N1952=Queue!$K$4)),Q1952,"")</f>
        <v/>
      </c>
    </row>
    <row r="1953">
      <c r="A1953" s="38">
        <f>IF(M1953="","",HYPERLINK("https://www.youtube.com/watch?v="&amp;M1953,"▶"))</f>
        <v/>
      </c>
      <c r="B1953" s="39">
        <f>IF(C1953&lt;&gt;"",C1953,IF(P1953&lt;=IFERROR(INDEX(tblChannels[Watched Through],MATCH(N1953,tblChannels[Channel ID],0)),0),"Watched","Unwatched"))</f>
        <v/>
      </c>
      <c r="C1953" s="40" t="n"/>
      <c r="D1953" s="41" t="n"/>
      <c r="E1953" s="42" t="n">
        <v>43487.73680555556</v>
      </c>
      <c r="F1953" s="50" t="inlineStr">
        <is>
          <t>Super Carlin Brothers</t>
        </is>
      </c>
      <c r="G1953" t="inlineStr">
        <is>
          <t>Why Luna Is Actually Snape | Harry Potter Explained</t>
        </is>
      </c>
      <c r="H1953" s="44" t="n">
        <v>0.009062499999999999</v>
      </c>
      <c r="I1953" s="45" t="n">
        <v>1612178</v>
      </c>
      <c r="J1953" s="45" t="n">
        <v>49532</v>
      </c>
      <c r="K1953" s="45" t="n">
        <v>5377</v>
      </c>
      <c r="L1953" s="46" t="n"/>
      <c r="M1953" s="47" t="n"/>
      <c r="N1953" s="47" t="inlineStr">
        <is>
          <t>UCKZo4N0lVPccBkSiuyVh4yg</t>
        </is>
      </c>
      <c r="O1953" s="48" t="n">
        <v>43487.94513888889</v>
      </c>
      <c r="P1953" s="49" t="n">
        <v>43487</v>
      </c>
      <c r="Q1953" s="47" t="n">
        <v>1315</v>
      </c>
      <c r="R1953" s="47" t="inlineStr">
        <is>
          <t>No Video ID yet</t>
        </is>
      </c>
      <c r="S1953" s="49" t="n"/>
      <c r="T1953" s="49" t="n"/>
      <c r="U1953" s="47" t="inlineStr">
        <is>
          <t>Sign up for the SCB Newsletter :: Today J dives into the Wizarding World of Harry Potter to discuss how Luna Lovegood is actually Severus Snape... lets get weird y'all!</t>
        </is>
      </c>
      <c r="V1953" s="47">
        <f>IF(AND(P1953&gt;=Calendar!$K$2,P1953&lt;EDATE(Calendar!$K$2,1),OR(Calendar!$K$4="*",N1953=Calendar!$K$4)),P1953*100+COUNTIFS($P$6:$P$3267,P1953,$Q$6:$Q$3267,"&lt;="&amp;Q1953,$N$6:$N$3267,Calendar!$K$4),"")</f>
        <v/>
      </c>
      <c r="W1953" s="47">
        <f>IF(AND(B1953=Queue!$C$4,OR(Queue!$K$4="*",N1953=Queue!$K$4)),Q1953,"")</f>
        <v/>
      </c>
    </row>
    <row r="1954">
      <c r="A1954" s="38">
        <f>IF(M1954="","",HYPERLINK("https://www.youtube.com/watch?v="&amp;M1954,"▶"))</f>
        <v/>
      </c>
      <c r="B1954" s="39">
        <f>IF(C1954&lt;&gt;"",C1954,IF(P1954&lt;=IFERROR(INDEX(tblChannels[Watched Through],MATCH(N1954,tblChannels[Channel ID],0)),0),"Watched","Unwatched"))</f>
        <v/>
      </c>
      <c r="C1954" s="40" t="n"/>
      <c r="D1954" s="41" t="n"/>
      <c r="E1954" s="42" t="n">
        <v>43486.56527777778</v>
      </c>
      <c r="F1954" s="53" t="inlineStr">
        <is>
          <t>Jonathan Carlin</t>
        </is>
      </c>
      <c r="G1954" t="inlineStr">
        <is>
          <t>SNOW DAY!</t>
        </is>
      </c>
      <c r="H1954" s="44" t="n">
        <v>0.007361111111111111</v>
      </c>
      <c r="I1954" s="45" t="n">
        <v>31074</v>
      </c>
      <c r="J1954" s="45" t="n">
        <v>1597</v>
      </c>
      <c r="K1954" s="45" t="n">
        <v>194</v>
      </c>
      <c r="L1954" s="46" t="n"/>
      <c r="M1954" s="47" t="n"/>
      <c r="N1954" s="47" t="inlineStr">
        <is>
          <t>UCYPKFe86e6nm4TVUYKLsFUQ</t>
        </is>
      </c>
      <c r="O1954" s="48" t="n">
        <v>43486.77361111111</v>
      </c>
      <c r="P1954" s="49" t="n">
        <v>43486</v>
      </c>
      <c r="Q1954" s="47" t="n">
        <v>1314</v>
      </c>
      <c r="R1954" s="47" t="inlineStr">
        <is>
          <t>No Video ID yet</t>
        </is>
      </c>
      <c r="S1954" s="49" t="n"/>
      <c r="T1954" s="49" t="n"/>
      <c r="U1954" s="47" t="inlineStr">
        <is>
          <t>Its a SNOW DAY! Also Luke tries hot chocolate for the first time - You Are Welcome!</t>
        </is>
      </c>
      <c r="V1954" s="47">
        <f>IF(AND(P1954&gt;=Calendar!$K$2,P1954&lt;EDATE(Calendar!$K$2,1),OR(Calendar!$K$4="*",N1954=Calendar!$K$4)),P1954*100+COUNTIFS($P$6:$P$3267,P1954,$Q$6:$Q$3267,"&lt;="&amp;Q1954,$N$6:$N$3267,Calendar!$K$4),"")</f>
        <v/>
      </c>
      <c r="W1954" s="47">
        <f>IF(AND(B1954=Queue!$C$4,OR(Queue!$K$4="*",N1954=Queue!$K$4)),Q1954,"")</f>
        <v/>
      </c>
    </row>
    <row r="1955">
      <c r="A1955" s="38">
        <f>IF(M1955="","",HYPERLINK("https://www.youtube.com/watch?v="&amp;M1955,"▶"))</f>
        <v/>
      </c>
      <c r="B1955" s="39">
        <f>IF(C1955&lt;&gt;"",C1955,IF(P1955&lt;=IFERROR(INDEX(tblChannels[Watched Through],MATCH(N1955,tblChannels[Channel ID],0)),0),"Watched","Unwatched"))</f>
        <v/>
      </c>
      <c r="C1955" s="40" t="n"/>
      <c r="D1955" s="41" t="n"/>
      <c r="E1955" s="42" t="n">
        <v>43486.41944444444</v>
      </c>
      <c r="F1955" s="52" t="inlineStr">
        <is>
          <t>Super Carlin Gaming</t>
        </is>
      </c>
      <c r="G1955" t="inlineStr">
        <is>
          <t>Hurricane Ike Approaches | Super Smash Bros #7</t>
        </is>
      </c>
      <c r="H1955" s="44" t="n">
        <v>0.009895833333333333</v>
      </c>
      <c r="I1955" s="45" t="n">
        <v>13085</v>
      </c>
      <c r="J1955" s="45" t="n">
        <v>549</v>
      </c>
      <c r="K1955" s="45" t="n">
        <v>108</v>
      </c>
      <c r="L1955" s="46" t="n"/>
      <c r="M1955" s="47" t="n"/>
      <c r="N1955" s="47" t="inlineStr">
        <is>
          <t>UCor_9jRnNNZVzTuQ92PKsaQ</t>
        </is>
      </c>
      <c r="O1955" s="48" t="n">
        <v>43486.62777777778</v>
      </c>
      <c r="P1955" s="49" t="n">
        <v>43486</v>
      </c>
      <c r="Q1955" s="47" t="n">
        <v>1313</v>
      </c>
      <c r="R1955" s="47" t="inlineStr">
        <is>
          <t>No Video ID yet</t>
        </is>
      </c>
      <c r="S1955" s="49" t="n"/>
      <c r="T1955" s="49" t="n"/>
      <c r="U1955" s="47" t="inlineStr">
        <is>
          <t>Ben plays a new character, we learn the best time to ask someone to Prom and how to give a Best Man speech! Game Cube Controller ::</t>
        </is>
      </c>
      <c r="V1955" s="47">
        <f>IF(AND(P1955&gt;=Calendar!$K$2,P1955&lt;EDATE(Calendar!$K$2,1),OR(Calendar!$K$4="*",N1955=Calendar!$K$4)),P1955*100+COUNTIFS($P$6:$P$3267,P1955,$Q$6:$Q$3267,"&lt;="&amp;Q1955,$N$6:$N$3267,Calendar!$K$4),"")</f>
        <v/>
      </c>
      <c r="W1955" s="47">
        <f>IF(AND(B1955=Queue!$C$4,OR(Queue!$K$4="*",N1955=Queue!$K$4)),Q1955,"")</f>
        <v/>
      </c>
    </row>
    <row r="1956">
      <c r="A1956" s="38">
        <f>IF(M1956="","",HYPERLINK("https://www.youtube.com/watch?v="&amp;M1956,"▶"))</f>
        <v/>
      </c>
      <c r="B1956" s="39">
        <f>IF(C1956&lt;&gt;"",C1956,IF(P1956&lt;=IFERROR(INDEX(tblChannels[Watched Through],MATCH(N1956,tblChannels[Channel ID],0)),0),"Watched","Unwatched"))</f>
        <v/>
      </c>
      <c r="C1956" s="40" t="n"/>
      <c r="D1956" s="41" t="n"/>
      <c r="E1956" s="42" t="n">
        <v>43483.4375</v>
      </c>
      <c r="F1956" s="52" t="inlineStr">
        <is>
          <t>Super Carlin Gaming</t>
        </is>
      </c>
      <c r="G1956" t="inlineStr">
        <is>
          <t>Grades or Extracurriculars?  | Super Smash Bros #6</t>
        </is>
      </c>
      <c r="H1956" s="44" t="n">
        <v>0.01108796296296296</v>
      </c>
      <c r="I1956" s="45" t="n">
        <v>13699</v>
      </c>
      <c r="J1956" s="45" t="n">
        <v>547</v>
      </c>
      <c r="K1956" s="45" t="n">
        <v>92</v>
      </c>
      <c r="L1956" s="46" t="n"/>
      <c r="M1956" s="47" t="n"/>
      <c r="N1956" s="47" t="inlineStr">
        <is>
          <t>UCor_9jRnNNZVzTuQ92PKsaQ</t>
        </is>
      </c>
      <c r="O1956" s="48" t="n">
        <v>43483.64583333334</v>
      </c>
      <c r="P1956" s="49" t="n">
        <v>43483</v>
      </c>
      <c r="Q1956" s="47" t="n">
        <v>1312</v>
      </c>
      <c r="R1956" s="47" t="inlineStr">
        <is>
          <t>No Video ID yet</t>
        </is>
      </c>
      <c r="S1956" s="49" t="n"/>
      <c r="T1956" s="49" t="n"/>
      <c r="U1956" s="47" t="n"/>
      <c r="V1956" s="47">
        <f>IF(AND(P1956&gt;=Calendar!$K$2,P1956&lt;EDATE(Calendar!$K$2,1),OR(Calendar!$K$4="*",N1956=Calendar!$K$4)),P1956*100+COUNTIFS($P$6:$P$3267,P1956,$Q$6:$Q$3267,"&lt;="&amp;Q1956,$N$6:$N$3267,Calendar!$K$4),"")</f>
        <v/>
      </c>
      <c r="W1956" s="47">
        <f>IF(AND(B1956=Queue!$C$4,OR(Queue!$K$4="*",N1956=Queue!$K$4)),Q1956,"")</f>
        <v/>
      </c>
    </row>
    <row r="1957">
      <c r="A1957" s="38">
        <f>IF(M1957="","",HYPERLINK("https://www.youtube.com/watch?v="&amp;M1957,"▶"))</f>
        <v/>
      </c>
      <c r="B1957" s="39">
        <f>IF(C1957&lt;&gt;"",C1957,IF(P1957&lt;=IFERROR(INDEX(tblChannels[Watched Through],MATCH(N1957,tblChannels[Channel ID],0)),0),"Watched","Unwatched"))</f>
        <v/>
      </c>
      <c r="C1957" s="40" t="n"/>
      <c r="D1957" s="41" t="n"/>
      <c r="E1957" s="42" t="n">
        <v>43482.76666666667</v>
      </c>
      <c r="F1957" s="50" t="inlineStr">
        <is>
          <t>Super Carlin Brothers</t>
        </is>
      </c>
      <c r="G1957" t="inlineStr">
        <is>
          <t>Mysterio: Hero or Villain? | Spider-Man Far From Home</t>
        </is>
      </c>
      <c r="H1957" s="44" t="n">
        <v>0.008796296296296297</v>
      </c>
      <c r="I1957" s="45" t="n">
        <v>427848</v>
      </c>
      <c r="J1957" s="45" t="n">
        <v>13437</v>
      </c>
      <c r="K1957" s="45" t="n">
        <v>2135</v>
      </c>
      <c r="L1957" s="46" t="n"/>
      <c r="M1957" s="47" t="n"/>
      <c r="N1957" s="47" t="inlineStr">
        <is>
          <t>UCKZo4N0lVPccBkSiuyVh4yg</t>
        </is>
      </c>
      <c r="O1957" s="48" t="n">
        <v>43482.975</v>
      </c>
      <c r="P1957" s="49" t="n">
        <v>43482</v>
      </c>
      <c r="Q1957" s="47" t="n">
        <v>1311</v>
      </c>
      <c r="R1957" s="47" t="inlineStr">
        <is>
          <t>No Video ID yet</t>
        </is>
      </c>
      <c r="S1957" s="49" t="n"/>
      <c r="T1957" s="49" t="n"/>
      <c r="U1957" s="47" t="inlineStr">
        <is>
          <t>Cold Brew Coffee :: Full Interview with Tom, Jake &amp; Jacob :: Today Ben dives into the Marvel Cinematic Universe to discuss the recently released trailer for Spider-Man Far From Home and its intriguing new character Mysterio (Jake Gyllenhaal). Is he friend? Foe? Or just a decoy…</t>
        </is>
      </c>
      <c r="V1957" s="47">
        <f>IF(AND(P1957&gt;=Calendar!$K$2,P1957&lt;EDATE(Calendar!$K$2,1),OR(Calendar!$K$4="*",N1957=Calendar!$K$4)),P1957*100+COUNTIFS($P$6:$P$3267,P1957,$Q$6:$Q$3267,"&lt;="&amp;Q1957,$N$6:$N$3267,Calendar!$K$4),"")</f>
        <v/>
      </c>
      <c r="W1957" s="47">
        <f>IF(AND(B1957=Queue!$C$4,OR(Queue!$K$4="*",N1957=Queue!$K$4)),Q1957,"")</f>
        <v/>
      </c>
    </row>
    <row r="1958">
      <c r="A1958" s="38">
        <f>IF(M1958="","",HYPERLINK("https://www.youtube.com/watch?v="&amp;M1958,"▶"))</f>
        <v/>
      </c>
      <c r="B1958" s="39">
        <f>IF(C1958&lt;&gt;"",C1958,IF(P1958&lt;=IFERROR(INDEX(tblChannels[Watched Through],MATCH(N1958,tblChannels[Channel ID],0)),0),"Watched","Unwatched"))</f>
        <v/>
      </c>
      <c r="C1958" s="40" t="n"/>
      <c r="D1958" s="41" t="n"/>
      <c r="E1958" s="42" t="n">
        <v>43481.61527777778</v>
      </c>
      <c r="F1958" s="52" t="inlineStr">
        <is>
          <t>Super Carlin Gaming</t>
        </is>
      </c>
      <c r="G1958" t="inlineStr">
        <is>
          <t>When to Start Dating | Super Smash Bros #5</t>
        </is>
      </c>
      <c r="H1958" s="44" t="n">
        <v>0.0127662037037037</v>
      </c>
      <c r="I1958" s="45" t="n">
        <v>17319</v>
      </c>
      <c r="J1958" s="45" t="n">
        <v>689</v>
      </c>
      <c r="K1958" s="45" t="n">
        <v>157</v>
      </c>
      <c r="L1958" s="46" t="n"/>
      <c r="M1958" s="47" t="n"/>
      <c r="N1958" s="47" t="inlineStr">
        <is>
          <t>UCor_9jRnNNZVzTuQ92PKsaQ</t>
        </is>
      </c>
      <c r="O1958" s="48" t="n">
        <v>43481.82361111111</v>
      </c>
      <c r="P1958" s="49" t="n">
        <v>43481</v>
      </c>
      <c r="Q1958" s="47" t="n">
        <v>1310</v>
      </c>
      <c r="R1958" s="47" t="inlineStr">
        <is>
          <t>No Video ID yet</t>
        </is>
      </c>
      <c r="S1958" s="49" t="n"/>
      <c r="T1958" s="49" t="n"/>
      <c r="U1958" s="47" t="inlineStr">
        <is>
          <t>Switch Game Cube Controller :: Super Smash Brothers Ultimate ::</t>
        </is>
      </c>
      <c r="V1958" s="47">
        <f>IF(AND(P1958&gt;=Calendar!$K$2,P1958&lt;EDATE(Calendar!$K$2,1),OR(Calendar!$K$4="*",N1958=Calendar!$K$4)),P1958*100+COUNTIFS($P$6:$P$3267,P1958,$Q$6:$Q$3267,"&lt;="&amp;Q1958,$N$6:$N$3267,Calendar!$K$4),"")</f>
        <v/>
      </c>
      <c r="W1958" s="47">
        <f>IF(AND(B1958=Queue!$C$4,OR(Queue!$K$4="*",N1958=Queue!$K$4)),Q1958,"")</f>
        <v/>
      </c>
    </row>
    <row r="1959">
      <c r="A1959" s="38">
        <f>IF(M1959="","",HYPERLINK("https://www.youtube.com/watch?v="&amp;M1959,"▶"))</f>
        <v/>
      </c>
      <c r="B1959" s="39">
        <f>IF(C1959&lt;&gt;"",C1959,IF(P1959&lt;=IFERROR(INDEX(tblChannels[Watched Through],MATCH(N1959,tblChannels[Channel ID],0)),0),"Watched","Unwatched"))</f>
        <v/>
      </c>
      <c r="C1959" s="40" t="n"/>
      <c r="D1959" s="41" t="n"/>
      <c r="E1959" s="42" t="n">
        <v>43480.75833333333</v>
      </c>
      <c r="F1959" s="50" t="inlineStr">
        <is>
          <t>Super Carlin Brothers</t>
        </is>
      </c>
      <c r="G1959" t="inlineStr">
        <is>
          <t>The Truth About The Wolves In Beauty and the Beast | Disney Theory</t>
        </is>
      </c>
      <c r="H1959" s="44" t="n">
        <v>0.007256944444444444</v>
      </c>
      <c r="I1959" s="45" t="n">
        <v>609203</v>
      </c>
      <c r="J1959" s="45" t="n">
        <v>15143</v>
      </c>
      <c r="K1959" s="45" t="n">
        <v>1460</v>
      </c>
      <c r="L1959" s="46" t="n"/>
      <c r="M1959" s="47" t="n"/>
      <c r="N1959" s="47" t="inlineStr">
        <is>
          <t>UCKZo4N0lVPccBkSiuyVh4yg</t>
        </is>
      </c>
      <c r="O1959" s="48" t="n">
        <v>43480.96666666667</v>
      </c>
      <c r="P1959" s="49" t="n">
        <v>43480</v>
      </c>
      <c r="Q1959" s="47" t="n">
        <v>1309</v>
      </c>
      <c r="R1959" s="47" t="inlineStr">
        <is>
          <t>No Video ID yet</t>
        </is>
      </c>
      <c r="S1959" s="49" t="n"/>
      <c r="T1959" s="49" t="n"/>
      <c r="U1959" s="47" t="inlineStr">
        <is>
          <t>Special Thanks to Pickles =D Today J dives into the world of Disney’s Beauty and the Beast to try and get to the bottom of one of the last unresolved questions of the movie: What is the deal with the wolves? Were they once human?</t>
        </is>
      </c>
      <c r="V1959" s="47">
        <f>IF(AND(P1959&gt;=Calendar!$K$2,P1959&lt;EDATE(Calendar!$K$2,1),OR(Calendar!$K$4="*",N1959=Calendar!$K$4)),P1959*100+COUNTIFS($P$6:$P$3267,P1959,$Q$6:$Q$3267,"&lt;="&amp;Q1959,$N$6:$N$3267,Calendar!$K$4),"")</f>
        <v/>
      </c>
      <c r="W1959" s="47">
        <f>IF(AND(B1959=Queue!$C$4,OR(Queue!$K$4="*",N1959=Queue!$K$4)),Q1959,"")</f>
        <v/>
      </c>
    </row>
    <row r="1960">
      <c r="A1960" s="38">
        <f>IF(M1960="","",HYPERLINK("https://www.youtube.com/watch?v="&amp;M1960,"▶"))</f>
        <v/>
      </c>
      <c r="B1960" s="39">
        <f>IF(C1960&lt;&gt;"",C1960,IF(P1960&lt;=IFERROR(INDEX(tblChannels[Watched Through],MATCH(N1960,tblChannels[Channel ID],0)),0),"Watched","Unwatched"))</f>
        <v/>
      </c>
      <c r="C1960" s="40" t="n"/>
      <c r="D1960" s="41" t="n"/>
      <c r="E1960" s="42" t="n">
        <v>43479.47013888889</v>
      </c>
      <c r="F1960" s="53" t="inlineStr">
        <is>
          <t>Jonathan Carlin</t>
        </is>
      </c>
      <c r="G1960" t="inlineStr">
        <is>
          <t>Our Engagement Story - Twelve-O-Five Day!</t>
        </is>
      </c>
      <c r="H1960" s="44" t="n">
        <v>0.00568287037037037</v>
      </c>
      <c r="I1960" s="45" t="n">
        <v>35978</v>
      </c>
      <c r="J1960" s="45" t="n">
        <v>1770</v>
      </c>
      <c r="K1960" s="45" t="n">
        <v>149</v>
      </c>
      <c r="L1960" s="46" t="n"/>
      <c r="M1960" s="47" t="n"/>
      <c r="N1960" s="47" t="inlineStr">
        <is>
          <t>UCYPKFe86e6nm4TVUYKLsFUQ</t>
        </is>
      </c>
      <c r="O1960" s="48" t="n">
        <v>43479.67847222222</v>
      </c>
      <c r="P1960" s="49" t="n">
        <v>43479</v>
      </c>
      <c r="Q1960" s="47" t="n">
        <v>1308</v>
      </c>
      <c r="R1960" s="47" t="inlineStr">
        <is>
          <t>No Video ID yet</t>
        </is>
      </c>
      <c r="S1960" s="49" t="n"/>
      <c r="T1960" s="49" t="n"/>
      <c r="U1960" s="47" t="inlineStr">
        <is>
          <t>This week J and the SCB team recover from the meetup and the rest of the Carlin clan celebrate 12/05, the day J and Beth got engaged!</t>
        </is>
      </c>
      <c r="V1960" s="47">
        <f>IF(AND(P1960&gt;=Calendar!$K$2,P1960&lt;EDATE(Calendar!$K$2,1),OR(Calendar!$K$4="*",N1960=Calendar!$K$4)),P1960*100+COUNTIFS($P$6:$P$3267,P1960,$Q$6:$Q$3267,"&lt;="&amp;Q1960,$N$6:$N$3267,Calendar!$K$4),"")</f>
        <v/>
      </c>
      <c r="W1960" s="47">
        <f>IF(AND(B1960=Queue!$C$4,OR(Queue!$K$4="*",N1960=Queue!$K$4)),Q1960,"")</f>
        <v/>
      </c>
    </row>
    <row r="1961">
      <c r="A1961" s="38">
        <f>IF(M1961="","",HYPERLINK("https://www.youtube.com/watch?v="&amp;M1961,"▶"))</f>
        <v/>
      </c>
      <c r="B1961" s="39">
        <f>IF(C1961&lt;&gt;"",C1961,IF(P1961&lt;=IFERROR(INDEX(tblChannels[Watched Through],MATCH(N1961,tblChannels[Channel ID],0)),0),"Watched","Unwatched"))</f>
        <v/>
      </c>
      <c r="C1961" s="40" t="n"/>
      <c r="D1961" s="41" t="n"/>
      <c r="E1961" s="42" t="n">
        <v>43479.4375</v>
      </c>
      <c r="F1961" s="52" t="inlineStr">
        <is>
          <t>Super Carlin Gaming</t>
        </is>
      </c>
      <c r="G1961" t="inlineStr">
        <is>
          <t>Switching Electives | Super Smash Bros #4</t>
        </is>
      </c>
      <c r="H1961" s="44" t="n">
        <v>0.01239583333333333</v>
      </c>
      <c r="I1961" s="45" t="n">
        <v>18151</v>
      </c>
      <c r="J1961" s="45" t="n">
        <v>697</v>
      </c>
      <c r="K1961" s="45" t="n">
        <v>290</v>
      </c>
      <c r="L1961" s="46" t="n"/>
      <c r="M1961" s="47" t="n"/>
      <c r="N1961" s="47" t="inlineStr">
        <is>
          <t>UCor_9jRnNNZVzTuQ92PKsaQ</t>
        </is>
      </c>
      <c r="O1961" s="48" t="n">
        <v>43479.64583333334</v>
      </c>
      <c r="P1961" s="49" t="n">
        <v>43479</v>
      </c>
      <c r="Q1961" s="47" t="n">
        <v>1307</v>
      </c>
      <c r="R1961" s="47" t="inlineStr">
        <is>
          <t>No Video ID yet</t>
        </is>
      </c>
      <c r="S1961" s="49" t="n"/>
      <c r="T1961" s="49" t="n"/>
      <c r="U1961" s="47" t="n"/>
      <c r="V1961" s="47">
        <f>IF(AND(P1961&gt;=Calendar!$K$2,P1961&lt;EDATE(Calendar!$K$2,1),OR(Calendar!$K$4="*",N1961=Calendar!$K$4)),P1961*100+COUNTIFS($P$6:$P$3267,P1961,$Q$6:$Q$3267,"&lt;="&amp;Q1961,$N$6:$N$3267,Calendar!$K$4),"")</f>
        <v/>
      </c>
      <c r="W1961" s="47">
        <f>IF(AND(B1961=Queue!$C$4,OR(Queue!$K$4="*",N1961=Queue!$K$4)),Q1961,"")</f>
        <v/>
      </c>
    </row>
    <row r="1962">
      <c r="A1962" s="38">
        <f>IF(M1962="","",HYPERLINK("https://www.youtube.com/watch?v="&amp;M1962,"▶"))</f>
        <v/>
      </c>
      <c r="B1962" s="39">
        <f>IF(C1962&lt;&gt;"",C1962,IF(P1962&lt;=IFERROR(INDEX(tblChannels[Watched Through],MATCH(N1962,tblChannels[Channel ID],0)),0),"Watched","Unwatched"))</f>
        <v/>
      </c>
      <c r="C1962" s="40" t="n"/>
      <c r="D1962" s="41" t="n"/>
      <c r="E1962" s="42" t="n">
        <v>43475.67986111111</v>
      </c>
      <c r="F1962" s="50" t="inlineStr">
        <is>
          <t>Super Carlin Brothers</t>
        </is>
      </c>
      <c r="G1962" t="inlineStr">
        <is>
          <t>J vs Ben: ULTIMATE Harry Potter DARK ARTS Quiz</t>
        </is>
      </c>
      <c r="H1962" s="44" t="n">
        <v>0.02240740740740741</v>
      </c>
      <c r="I1962" s="45" t="n">
        <v>1014968</v>
      </c>
      <c r="J1962" s="45" t="n">
        <v>19209</v>
      </c>
      <c r="K1962" s="45" t="n">
        <v>3246</v>
      </c>
      <c r="L1962" s="46" t="n"/>
      <c r="M1962" s="47" t="n"/>
      <c r="N1962" s="47" t="inlineStr">
        <is>
          <t>UCKZo4N0lVPccBkSiuyVh4yg</t>
        </is>
      </c>
      <c r="O1962" s="48" t="n">
        <v>43475.88819444444</v>
      </c>
      <c r="P1962" s="49" t="n">
        <v>43475</v>
      </c>
      <c r="Q1962" s="47" t="n">
        <v>1306</v>
      </c>
      <c r="R1962" s="47" t="inlineStr">
        <is>
          <t>No Video ID yet</t>
        </is>
      </c>
      <c r="S1962" s="49" t="n"/>
      <c r="T1962" s="49" t="n"/>
      <c r="U1962" s="47" t="inlineStr">
        <is>
          <t>Go to or text SCB to 500-500 to get a free book, 2 free Audible Originals, and a 30 day free trial! Today J and Ben face off in the ultimate Pottermore Harry Potter Dark Arts Trivia Quiz to see who is the master of the dark arts! Play along with us:</t>
        </is>
      </c>
      <c r="V1962" s="47">
        <f>IF(AND(P1962&gt;=Calendar!$K$2,P1962&lt;EDATE(Calendar!$K$2,1),OR(Calendar!$K$4="*",N1962=Calendar!$K$4)),P1962*100+COUNTIFS($P$6:$P$3267,P1962,$Q$6:$Q$3267,"&lt;="&amp;Q1962,$N$6:$N$3267,Calendar!$K$4),"")</f>
        <v/>
      </c>
      <c r="W1962" s="47">
        <f>IF(AND(B1962=Queue!$C$4,OR(Queue!$K$4="*",N1962=Queue!$K$4)),Q1962,"")</f>
        <v/>
      </c>
    </row>
    <row r="1963">
      <c r="A1963" s="38">
        <f>IF(M1963="","",HYPERLINK("https://www.youtube.com/watch?v="&amp;M1963,"▶"))</f>
        <v/>
      </c>
      <c r="B1963" s="39">
        <f>IF(C1963&lt;&gt;"",C1963,IF(P1963&lt;=IFERROR(INDEX(tblChannels[Watched Through],MATCH(N1963,tblChannels[Channel ID],0)),0),"Watched","Unwatched"))</f>
        <v/>
      </c>
      <c r="C1963" s="40" t="n"/>
      <c r="D1963" s="41" t="n"/>
      <c r="E1963" s="42" t="n">
        <v>43474.4375</v>
      </c>
      <c r="F1963" s="52" t="inlineStr">
        <is>
          <t>Super Carlin Gaming</t>
        </is>
      </c>
      <c r="G1963" t="inlineStr">
        <is>
          <t>Personality Types? | Super Smash Bros #3</t>
        </is>
      </c>
      <c r="H1963" s="44" t="n">
        <v>0.01071759259259259</v>
      </c>
      <c r="I1963" s="45" t="n">
        <v>20928</v>
      </c>
      <c r="J1963" s="45" t="n">
        <v>825</v>
      </c>
      <c r="K1963" s="45" t="n">
        <v>182</v>
      </c>
      <c r="L1963" s="46" t="n"/>
      <c r="M1963" s="47" t="n"/>
      <c r="N1963" s="47" t="inlineStr">
        <is>
          <t>UCor_9jRnNNZVzTuQ92PKsaQ</t>
        </is>
      </c>
      <c r="O1963" s="48" t="n">
        <v>43474.64583333334</v>
      </c>
      <c r="P1963" s="49" t="n">
        <v>43474</v>
      </c>
      <c r="Q1963" s="47" t="n">
        <v>1305</v>
      </c>
      <c r="R1963" s="47" t="inlineStr">
        <is>
          <t>No Video ID yet</t>
        </is>
      </c>
      <c r="S1963" s="49" t="n"/>
      <c r="T1963" s="49" t="n"/>
      <c r="U1963" s="47" t="n"/>
      <c r="V1963" s="47">
        <f>IF(AND(P1963&gt;=Calendar!$K$2,P1963&lt;EDATE(Calendar!$K$2,1),OR(Calendar!$K$4="*",N1963=Calendar!$K$4)),P1963*100+COUNTIFS($P$6:$P$3267,P1963,$Q$6:$Q$3267,"&lt;="&amp;Q1963,$N$6:$N$3267,Calendar!$K$4),"")</f>
        <v/>
      </c>
      <c r="W1963" s="47">
        <f>IF(AND(B1963=Queue!$C$4,OR(Queue!$K$4="*",N1963=Queue!$K$4)),Q1963,"")</f>
        <v/>
      </c>
    </row>
    <row r="1964">
      <c r="A1964" s="38">
        <f>IF(M1964="","",HYPERLINK("https://www.youtube.com/watch?v="&amp;M1964,"▶"))</f>
        <v/>
      </c>
      <c r="B1964" s="39">
        <f>IF(C1964&lt;&gt;"",C1964,IF(P1964&lt;=IFERROR(INDEX(tblChannels[Watched Through],MATCH(N1964,tblChannels[Channel ID],0)),0),"Watched","Unwatched"))</f>
        <v/>
      </c>
      <c r="C1964" s="40" t="n"/>
      <c r="D1964" s="41" t="n"/>
      <c r="E1964" s="42" t="n">
        <v>43474.4375</v>
      </c>
      <c r="F1964" s="52" t="inlineStr">
        <is>
          <t>Super Carlin Gaming</t>
        </is>
      </c>
      <c r="G1964" t="inlineStr">
        <is>
          <t>Best Man Problems | Super Smash Bros #2</t>
        </is>
      </c>
      <c r="H1964" s="44" t="n">
        <v>0.0102662037037037</v>
      </c>
      <c r="I1964" s="45" t="n">
        <v>23380</v>
      </c>
      <c r="J1964" s="45" t="n">
        <v>782</v>
      </c>
      <c r="K1964" s="45" t="n">
        <v>69</v>
      </c>
      <c r="L1964" s="46" t="n"/>
      <c r="M1964" s="47" t="n"/>
      <c r="N1964" s="47" t="inlineStr">
        <is>
          <t>UCor_9jRnNNZVzTuQ92PKsaQ</t>
        </is>
      </c>
      <c r="O1964" s="48" t="n">
        <v>43474.64583333334</v>
      </c>
      <c r="P1964" s="49" t="n">
        <v>43474</v>
      </c>
      <c r="Q1964" s="47" t="n">
        <v>1304</v>
      </c>
      <c r="R1964" s="47" t="inlineStr">
        <is>
          <t>No Video ID yet</t>
        </is>
      </c>
      <c r="S1964" s="49" t="n"/>
      <c r="T1964" s="49" t="n"/>
      <c r="U1964" s="47" t="n"/>
      <c r="V1964" s="47">
        <f>IF(AND(P1964&gt;=Calendar!$K$2,P1964&lt;EDATE(Calendar!$K$2,1),OR(Calendar!$K$4="*",N1964=Calendar!$K$4)),P1964*100+COUNTIFS($P$6:$P$3267,P1964,$Q$6:$Q$3267,"&lt;="&amp;Q1964,$N$6:$N$3267,Calendar!$K$4),"")</f>
        <v/>
      </c>
      <c r="W1964" s="47">
        <f>IF(AND(B1964=Queue!$C$4,OR(Queue!$K$4="*",N1964=Queue!$K$4)),Q1964,"")</f>
        <v/>
      </c>
    </row>
    <row r="1965">
      <c r="A1965" s="38">
        <f>IF(M1965="","",HYPERLINK("https://www.youtube.com/watch?v="&amp;M1965,"▶"))</f>
        <v/>
      </c>
      <c r="B1965" s="39">
        <f>IF(C1965&lt;&gt;"",C1965,IF(P1965&lt;=IFERROR(INDEX(tblChannels[Watched Through],MATCH(N1965,tblChannels[Channel ID],0)),0),"Watched","Unwatched"))</f>
        <v/>
      </c>
      <c r="C1965" s="40" t="n"/>
      <c r="D1965" s="41" t="n"/>
      <c r="E1965" s="42" t="n">
        <v>43473.79305555556</v>
      </c>
      <c r="F1965" s="50" t="inlineStr">
        <is>
          <t>Super Carlin Brothers</t>
        </is>
      </c>
      <c r="G1965" t="inlineStr">
        <is>
          <t>Why Was Dumbledore Teaching Defense Against The Dark Arts? | Harry Potter Theory</t>
        </is>
      </c>
      <c r="H1965" s="44" t="n">
        <v>0.007974537037037037</v>
      </c>
      <c r="I1965" s="45" t="n">
        <v>1234011</v>
      </c>
      <c r="J1965" s="45" t="n">
        <v>31905</v>
      </c>
      <c r="K1965" s="45" t="n">
        <v>2942</v>
      </c>
      <c r="L1965" s="46" t="n"/>
      <c r="M1965" s="47" t="n"/>
      <c r="N1965" s="47" t="inlineStr">
        <is>
          <t>UCKZo4N0lVPccBkSiuyVh4yg</t>
        </is>
      </c>
      <c r="O1965" s="48" t="n">
        <v>43474.00138888889</v>
      </c>
      <c r="P1965" s="49" t="n">
        <v>43473</v>
      </c>
      <c r="Q1965" s="47" t="n">
        <v>1303</v>
      </c>
      <c r="R1965" s="47" t="inlineStr">
        <is>
          <t>No Video ID yet</t>
        </is>
      </c>
      <c r="S1965" s="49" t="n"/>
      <c r="T1965" s="49" t="n"/>
      <c r="U1965" s="47" t="inlineStr">
        <is>
          <t>Today J dives into the Wizarding World of Harry Potter to try and answer one of the most common questions from Fantastic Beasts: The Crimes of Grindelwald: Why is Dumbledore teaching Defense Against the Dark Arts?</t>
        </is>
      </c>
      <c r="V1965" s="47">
        <f>IF(AND(P1965&gt;=Calendar!$K$2,P1965&lt;EDATE(Calendar!$K$2,1),OR(Calendar!$K$4="*",N1965=Calendar!$K$4)),P1965*100+COUNTIFS($P$6:$P$3267,P1965,$Q$6:$Q$3267,"&lt;="&amp;Q1965,$N$6:$N$3267,Calendar!$K$4),"")</f>
        <v/>
      </c>
      <c r="W1965" s="47">
        <f>IF(AND(B1965=Queue!$C$4,OR(Queue!$K$4="*",N1965=Queue!$K$4)),Q1965,"")</f>
        <v/>
      </c>
    </row>
    <row r="1966">
      <c r="A1966" s="38">
        <f>IF(M1966="","",HYPERLINK("https://www.youtube.com/watch?v="&amp;M1966,"▶"))</f>
        <v/>
      </c>
      <c r="B1966" s="39">
        <f>IF(C1966&lt;&gt;"",C1966,IF(P1966&lt;=IFERROR(INDEX(tblChannels[Watched Through],MATCH(N1966,tblChannels[Channel ID],0)),0),"Watched","Unwatched"))</f>
        <v/>
      </c>
      <c r="C1966" s="40" t="n"/>
      <c r="D1966" s="41" t="n"/>
      <c r="E1966" s="42" t="n">
        <v>43472.77569444444</v>
      </c>
      <c r="F1966" s="53" t="inlineStr">
        <is>
          <t>Jonathan Carlin</t>
        </is>
      </c>
      <c r="G1966" t="inlineStr">
        <is>
          <t>CRIMES OF GRINDELWALD ORLANDO MEET UP</t>
        </is>
      </c>
      <c r="H1966" s="44" t="n">
        <v>0.01019675925925926</v>
      </c>
      <c r="I1966" s="45" t="n">
        <v>28825</v>
      </c>
      <c r="J1966" s="45" t="n">
        <v>1569</v>
      </c>
      <c r="K1966" s="45" t="n">
        <v>224</v>
      </c>
      <c r="L1966" s="46" t="n"/>
      <c r="M1966" s="47" t="n"/>
      <c r="N1966" s="47" t="inlineStr">
        <is>
          <t>UCYPKFe86e6nm4TVUYKLsFUQ</t>
        </is>
      </c>
      <c r="O1966" s="48" t="n">
        <v>43472.98402777778</v>
      </c>
      <c r="P1966" s="49" t="n">
        <v>43472</v>
      </c>
      <c r="Q1966" s="47" t="n">
        <v>1302</v>
      </c>
      <c r="R1966" s="47" t="inlineStr">
        <is>
          <t>No Video ID yet</t>
        </is>
      </c>
      <c r="S1966" s="49" t="n"/>
      <c r="T1966" s="49" t="n"/>
      <c r="U1966" s="47" t="inlineStr">
        <is>
          <t>This week the SCB crew heads to Orlando to see Crimes of Grindelwald and meet up with viewers! Special thanks to all of our amazing volunteers who totally made this event happen and made everything flow so smoothly!</t>
        </is>
      </c>
      <c r="V1966" s="47">
        <f>IF(AND(P1966&gt;=Calendar!$K$2,P1966&lt;EDATE(Calendar!$K$2,1),OR(Calendar!$K$4="*",N1966=Calendar!$K$4)),P1966*100+COUNTIFS($P$6:$P$3267,P1966,$Q$6:$Q$3267,"&lt;="&amp;Q1966,$N$6:$N$3267,Calendar!$K$4),"")</f>
        <v/>
      </c>
      <c r="W1966" s="47">
        <f>IF(AND(B1966=Queue!$C$4,OR(Queue!$K$4="*",N1966=Queue!$K$4)),Q1966,"")</f>
        <v/>
      </c>
    </row>
    <row r="1967">
      <c r="A1967" s="38">
        <f>IF(M1967="","",HYPERLINK("https://www.youtube.com/watch?v="&amp;M1967,"▶"))</f>
        <v/>
      </c>
      <c r="B1967" s="39">
        <f>IF(C1967&lt;&gt;"",C1967,IF(P1967&lt;=IFERROR(INDEX(tblChannels[Watched Through],MATCH(N1967,tblChannels[Channel ID],0)),0),"Watched","Unwatched"))</f>
        <v/>
      </c>
      <c r="C1967" s="40" t="n"/>
      <c r="D1967" s="41" t="n"/>
      <c r="E1967" s="42" t="n">
        <v>43472.69097222222</v>
      </c>
      <c r="F1967" s="52" t="inlineStr">
        <is>
          <t>Super Carlin Gaming</t>
        </is>
      </c>
      <c r="G1967" t="inlineStr">
        <is>
          <t>A NEW CHALLENGER APPROACHES | Smash Bros #1</t>
        </is>
      </c>
      <c r="H1967" s="44" t="n">
        <v>0.01454861111111111</v>
      </c>
      <c r="I1967" s="45" t="n">
        <v>67416</v>
      </c>
      <c r="J1967" s="45" t="n">
        <v>1930</v>
      </c>
      <c r="K1967" s="45" t="n">
        <v>279</v>
      </c>
      <c r="L1967" s="46" t="n"/>
      <c r="M1967" s="47" t="n"/>
      <c r="N1967" s="47" t="inlineStr">
        <is>
          <t>UCor_9jRnNNZVzTuQ92PKsaQ</t>
        </is>
      </c>
      <c r="O1967" s="48" t="n">
        <v>43472.89930555555</v>
      </c>
      <c r="P1967" s="49" t="n">
        <v>43472</v>
      </c>
      <c r="Q1967" s="47" t="n">
        <v>1301</v>
      </c>
      <c r="R1967" s="47" t="inlineStr">
        <is>
          <t>No Video ID yet</t>
        </is>
      </c>
      <c r="S1967" s="49" t="n"/>
      <c r="T1967" s="49" t="n"/>
      <c r="U1967" s="47" t="inlineStr">
        <is>
          <t>It's us. We are the new challenger.</t>
        </is>
      </c>
      <c r="V1967" s="47">
        <f>IF(AND(P1967&gt;=Calendar!$K$2,P1967&lt;EDATE(Calendar!$K$2,1),OR(Calendar!$K$4="*",N1967=Calendar!$K$4)),P1967*100+COUNTIFS($P$6:$P$3267,P1967,$Q$6:$Q$3267,"&lt;="&amp;Q1967,$N$6:$N$3267,Calendar!$K$4),"")</f>
        <v/>
      </c>
      <c r="W1967" s="47">
        <f>IF(AND(B1967=Queue!$C$4,OR(Queue!$K$4="*",N1967=Queue!$K$4)),Q1967,"")</f>
        <v/>
      </c>
    </row>
    <row r="1968">
      <c r="A1968" s="38">
        <f>IF(M1968="","",HYPERLINK("https://www.youtube.com/watch?v="&amp;M1968,"▶"))</f>
        <v/>
      </c>
      <c r="B1968" s="39">
        <f>IF(C1968&lt;&gt;"",C1968,IF(P1968&lt;=IFERROR(INDEX(tblChannels[Watched Through],MATCH(N1968,tblChannels[Channel ID],0)),0),"Watched","Unwatched"))</f>
        <v/>
      </c>
      <c r="C1968" s="40" t="n"/>
      <c r="D1968" s="41" t="n"/>
      <c r="E1968" s="42" t="n">
        <v>43468.84583333333</v>
      </c>
      <c r="F1968" s="50" t="inlineStr">
        <is>
          <t>Super Carlin Brothers</t>
        </is>
      </c>
      <c r="G1968" t="inlineStr">
        <is>
          <t>Which Infinity Stone Is Each Avenger?</t>
        </is>
      </c>
      <c r="H1968" s="44" t="n">
        <v>0.008564814814814815</v>
      </c>
      <c r="I1968" s="45" t="n">
        <v>1150453</v>
      </c>
      <c r="J1968" s="45" t="n">
        <v>34677</v>
      </c>
      <c r="K1968" s="45" t="n">
        <v>5468</v>
      </c>
      <c r="L1968" s="46" t="n"/>
      <c r="M1968" s="47" t="n"/>
      <c r="N1968" s="47" t="inlineStr">
        <is>
          <t>UCKZo4N0lVPccBkSiuyVh4yg</t>
        </is>
      </c>
      <c r="O1968" s="48" t="n">
        <v>43469.05416666667</v>
      </c>
      <c r="P1968" s="49" t="n">
        <v>43468</v>
      </c>
      <c r="Q1968" s="47" t="n">
        <v>1300</v>
      </c>
      <c r="R1968" s="47" t="inlineStr">
        <is>
          <t>No Video ID yet</t>
        </is>
      </c>
      <c r="S1968" s="49" t="n"/>
      <c r="T1968" s="49" t="n"/>
      <c r="U1968" s="47" t="inlineStr">
        <is>
          <t>Today Ben dives into the Marvel Cinematic Universe to discuss how the original six Avengers may be the key to defeating Thanos in Avengers: End Game and determines which infinity stone each one of them represents.</t>
        </is>
      </c>
      <c r="V1968" s="47">
        <f>IF(AND(P1968&gt;=Calendar!$K$2,P1968&lt;EDATE(Calendar!$K$2,1),OR(Calendar!$K$4="*",N1968=Calendar!$K$4)),P1968*100+COUNTIFS($P$6:$P$3267,P1968,$Q$6:$Q$3267,"&lt;="&amp;Q1968,$N$6:$N$3267,Calendar!$K$4),"")</f>
        <v/>
      </c>
      <c r="W1968" s="47">
        <f>IF(AND(B1968=Queue!$C$4,OR(Queue!$K$4="*",N1968=Queue!$K$4)),Q1968,"")</f>
        <v/>
      </c>
    </row>
    <row r="1969">
      <c r="A1969" s="38">
        <f>IF(M1969="","",HYPERLINK("https://www.youtube.com/watch?v="&amp;M1969,"▶"))</f>
        <v/>
      </c>
      <c r="B1969" s="39">
        <f>IF(C1969&lt;&gt;"",C1969,IF(P1969&lt;=IFERROR(INDEX(tblChannels[Watched Through],MATCH(N1969,tblChannels[Channel ID],0)),0),"Watched","Unwatched"))</f>
        <v/>
      </c>
      <c r="C1969" s="40" t="n"/>
      <c r="D1969" s="41" t="n"/>
      <c r="E1969" s="42" t="n">
        <v>43467.79861111111</v>
      </c>
      <c r="F1969" s="50" t="inlineStr">
        <is>
          <t>Super Carlin Brothers</t>
        </is>
      </c>
      <c r="G1969" t="inlineStr">
        <is>
          <t>Why Voldemort Looks Like A Snake | Harry Potter Theory</t>
        </is>
      </c>
      <c r="H1969" s="44" t="n">
        <v>0.008078703703703704</v>
      </c>
      <c r="I1969" s="45" t="n">
        <v>966420</v>
      </c>
      <c r="J1969" s="45" t="n">
        <v>28521</v>
      </c>
      <c r="K1969" s="45" t="n">
        <v>3167</v>
      </c>
      <c r="L1969" s="46" t="n"/>
      <c r="M1969" s="47" t="n"/>
      <c r="N1969" s="47" t="inlineStr">
        <is>
          <t>UCKZo4N0lVPccBkSiuyVh4yg</t>
        </is>
      </c>
      <c r="O1969" s="48" t="n">
        <v>43468.00694444445</v>
      </c>
      <c r="P1969" s="49" t="n">
        <v>43467</v>
      </c>
      <c r="Q1969" s="47" t="n">
        <v>1299</v>
      </c>
      <c r="R1969" s="47" t="inlineStr">
        <is>
          <t>No Video ID yet</t>
        </is>
      </c>
      <c r="S1969" s="49" t="n"/>
      <c r="T1969" s="49" t="n"/>
      <c r="U1969" s="47" t="inlineStr">
        <is>
          <t>Today J dives into the Wizarding world of Harry Potter to try and figure out how and why Voldemort gained his snake like appearance!</t>
        </is>
      </c>
      <c r="V1969" s="47">
        <f>IF(AND(P1969&gt;=Calendar!$K$2,P1969&lt;EDATE(Calendar!$K$2,1),OR(Calendar!$K$4="*",N1969=Calendar!$K$4)),P1969*100+COUNTIFS($P$6:$P$3267,P1969,$Q$6:$Q$3267,"&lt;="&amp;Q1969,$N$6:$N$3267,Calendar!$K$4),"")</f>
        <v/>
      </c>
      <c r="W1969" s="47">
        <f>IF(AND(B1969=Queue!$C$4,OR(Queue!$K$4="*",N1969=Queue!$K$4)),Q1969,"")</f>
        <v/>
      </c>
    </row>
    <row r="1970">
      <c r="A1970" s="38">
        <f>IF(M1970="","",HYPERLINK("https://www.youtube.com/watch?v="&amp;M1970,"▶"))</f>
        <v/>
      </c>
      <c r="B1970" s="39">
        <f>IF(C1970&lt;&gt;"",C1970,IF(P1970&lt;=IFERROR(INDEX(tblChannels[Watched Through],MATCH(N1970,tblChannels[Channel ID],0)),0),"Watched","Unwatched"))</f>
        <v/>
      </c>
      <c r="C1970" s="40" t="n"/>
      <c r="D1970" s="41" t="n"/>
      <c r="E1970" s="42" t="n">
        <v>43465.47013888889</v>
      </c>
      <c r="F1970" s="53" t="inlineStr">
        <is>
          <t>Jonathan Carlin</t>
        </is>
      </c>
      <c r="G1970" t="inlineStr">
        <is>
          <t>LUKE'S FIRST BIRTHDAY!</t>
        </is>
      </c>
      <c r="H1970" s="44" t="n">
        <v>0.008958333333333334</v>
      </c>
      <c r="I1970" s="45" t="n">
        <v>42783</v>
      </c>
      <c r="J1970" s="45" t="n">
        <v>2378</v>
      </c>
      <c r="K1970" s="45" t="n">
        <v>368</v>
      </c>
      <c r="L1970" s="46" t="n"/>
      <c r="M1970" s="47" t="n"/>
      <c r="N1970" s="47" t="inlineStr">
        <is>
          <t>UCYPKFe86e6nm4TVUYKLsFUQ</t>
        </is>
      </c>
      <c r="O1970" s="48" t="n">
        <v>43465.67847222222</v>
      </c>
      <c r="P1970" s="49" t="n">
        <v>43465</v>
      </c>
      <c r="Q1970" s="47" t="n">
        <v>1298</v>
      </c>
      <c r="R1970" s="47" t="inlineStr">
        <is>
          <t>No Video ID yet</t>
        </is>
      </c>
      <c r="S1970" s="49" t="n"/>
      <c r="T1970" s="49" t="n"/>
      <c r="U1970" s="47" t="inlineStr">
        <is>
          <t>This week the Carlin clan celebrates Thanksgiving a few times and Luke celebrates his first birthday!</t>
        </is>
      </c>
      <c r="V1970" s="47">
        <f>IF(AND(P1970&gt;=Calendar!$K$2,P1970&lt;EDATE(Calendar!$K$2,1),OR(Calendar!$K$4="*",N1970=Calendar!$K$4)),P1970*100+COUNTIFS($P$6:$P$3267,P1970,$Q$6:$Q$3267,"&lt;="&amp;Q1970,$N$6:$N$3267,Calendar!$K$4),"")</f>
        <v/>
      </c>
      <c r="W1970" s="47">
        <f>IF(AND(B1970=Queue!$C$4,OR(Queue!$K$4="*",N1970=Queue!$K$4)),Q1970,"")</f>
        <v/>
      </c>
    </row>
    <row r="1971">
      <c r="A1971" s="38">
        <f>IF(M1971="","",HYPERLINK("https://www.youtube.com/watch?v="&amp;M1971,"▶"))</f>
        <v/>
      </c>
      <c r="B1971" s="39">
        <f>IF(C1971&lt;&gt;"",C1971,IF(P1971&lt;=IFERROR(INDEX(tblChannels[Watched Through],MATCH(N1971,tblChannels[Channel ID],0)),0),"Watched","Unwatched"))</f>
        <v/>
      </c>
      <c r="C1971" s="40" t="n"/>
      <c r="D1971" s="41" t="n"/>
      <c r="E1971" s="42" t="n">
        <v>43459.54166666666</v>
      </c>
      <c r="F1971" s="50" t="inlineStr">
        <is>
          <t>Super Carlin Brothers</t>
        </is>
      </c>
      <c r="G1971" t="inlineStr">
        <is>
          <t>J vs Ben: TAKING THE POTTERMORE SORTING QUIZ!</t>
        </is>
      </c>
      <c r="H1971" s="44" t="n">
        <v>0.01511574074074074</v>
      </c>
      <c r="I1971" s="45" t="n">
        <v>1181411</v>
      </c>
      <c r="J1971" s="45" t="n">
        <v>30307</v>
      </c>
      <c r="K1971" s="45" t="n">
        <v>11257</v>
      </c>
      <c r="L1971" s="46" t="n"/>
      <c r="M1971" s="47" t="n"/>
      <c r="N1971" s="47" t="inlineStr">
        <is>
          <t>UCKZo4N0lVPccBkSiuyVh4yg</t>
        </is>
      </c>
      <c r="O1971" s="48" t="n">
        <v>43459.75</v>
      </c>
      <c r="P1971" s="49" t="n">
        <v>43459</v>
      </c>
      <c r="Q1971" s="47" t="n">
        <v>1297</v>
      </c>
      <c r="R1971" s="47" t="inlineStr">
        <is>
          <t>No Video ID yet</t>
        </is>
      </c>
      <c r="S1971" s="49" t="n"/>
      <c r="T1971" s="49" t="n"/>
      <c r="U1971" s="47" t="inlineStr">
        <is>
          <t>Today J and Ben take on the Official Pottermore Hogwarts Sorting Quiz to find out which house they belong in! Will it be Slytherin? Gryffindor? Ravenclaw? .......... Hufflepuff???? Find your house here ::</t>
        </is>
      </c>
      <c r="V1971" s="47">
        <f>IF(AND(P1971&gt;=Calendar!$K$2,P1971&lt;EDATE(Calendar!$K$2,1),OR(Calendar!$K$4="*",N1971=Calendar!$K$4)),P1971*100+COUNTIFS($P$6:$P$3267,P1971,$Q$6:$Q$3267,"&lt;="&amp;Q1971,$N$6:$N$3267,Calendar!$K$4),"")</f>
        <v/>
      </c>
      <c r="W1971" s="47">
        <f>IF(AND(B1971=Queue!$C$4,OR(Queue!$K$4="*",N1971=Queue!$K$4)),Q1971,"")</f>
        <v/>
      </c>
    </row>
    <row r="1972">
      <c r="A1972" s="38">
        <f>IF(M1972="","",HYPERLINK("https://www.youtube.com/watch?v="&amp;M1972,"▶"))</f>
        <v/>
      </c>
      <c r="B1972" s="39">
        <f>IF(C1972&lt;&gt;"",C1972,IF(P1972&lt;=IFERROR(INDEX(tblChannels[Watched Through],MATCH(N1972,tblChannels[Channel ID],0)),0),"Watched","Unwatched"))</f>
        <v/>
      </c>
      <c r="C1972" s="40" t="n"/>
      <c r="D1972" s="41" t="n"/>
      <c r="E1972" s="42" t="n">
        <v>43458.41666666666</v>
      </c>
      <c r="F1972" s="53" t="inlineStr">
        <is>
          <t>Jonathan Carlin</t>
        </is>
      </c>
      <c r="G1972" t="inlineStr">
        <is>
          <t>LUKE CONQUERS THE STAIRS!</t>
        </is>
      </c>
      <c r="H1972" s="44" t="n">
        <v>0.007152777777777778</v>
      </c>
      <c r="I1972" s="45" t="n">
        <v>34258</v>
      </c>
      <c r="J1972" s="45" t="n">
        <v>1765</v>
      </c>
      <c r="K1972" s="45" t="n">
        <v>230</v>
      </c>
      <c r="L1972" s="46" t="n"/>
      <c r="M1972" s="47" t="n"/>
      <c r="N1972" s="47" t="inlineStr">
        <is>
          <t>UCYPKFe86e6nm4TVUYKLsFUQ</t>
        </is>
      </c>
      <c r="O1972" s="48" t="n">
        <v>43458.625</v>
      </c>
      <c r="P1972" s="49" t="n">
        <v>43458</v>
      </c>
      <c r="Q1972" s="47" t="n">
        <v>1296</v>
      </c>
      <c r="R1972" s="47" t="inlineStr">
        <is>
          <t>No Video ID yet</t>
        </is>
      </c>
      <c r="S1972" s="49" t="n"/>
      <c r="T1972" s="49" t="n"/>
      <c r="U1972" s="47" t="inlineStr">
        <is>
          <t>This week Luke learns to climb the stairs and J and Beth contemplate what this means for their future.. also Roanoke experiences just the worst weather</t>
        </is>
      </c>
      <c r="V1972" s="47">
        <f>IF(AND(P1972&gt;=Calendar!$K$2,P1972&lt;EDATE(Calendar!$K$2,1),OR(Calendar!$K$4="*",N1972=Calendar!$K$4)),P1972*100+COUNTIFS($P$6:$P$3267,P1972,$Q$6:$Q$3267,"&lt;="&amp;Q1972,$N$6:$N$3267,Calendar!$K$4),"")</f>
        <v/>
      </c>
      <c r="W1972" s="47">
        <f>IF(AND(B1972=Queue!$C$4,OR(Queue!$K$4="*",N1972=Queue!$K$4)),Q1972,"")</f>
        <v/>
      </c>
    </row>
    <row r="1973">
      <c r="A1973" s="38">
        <f>IF(M1973="","",HYPERLINK("https://www.youtube.com/watch?v="&amp;M1973,"▶"))</f>
        <v/>
      </c>
      <c r="B1973" s="39">
        <f>IF(C1973&lt;&gt;"",C1973,IF(P1973&lt;=IFERROR(INDEX(tblChannels[Watched Through],MATCH(N1973,tblChannels[Channel ID],0)),0),"Watched","Unwatched"))</f>
        <v/>
      </c>
      <c r="C1973" s="40" t="n"/>
      <c r="D1973" s="41" t="n"/>
      <c r="E1973" s="42" t="n">
        <v>43455.4375</v>
      </c>
      <c r="F1973" s="52" t="inlineStr">
        <is>
          <t>Super Carlin Gaming</t>
        </is>
      </c>
      <c r="G1973" t="inlineStr">
        <is>
          <t>My Friends Don't Get My Humor! | Rocket League #81</t>
        </is>
      </c>
      <c r="H1973" s="44" t="n">
        <v>0.01351851851851852</v>
      </c>
      <c r="I1973" s="45" t="n">
        <v>5492</v>
      </c>
      <c r="J1973" s="45" t="n">
        <v>211</v>
      </c>
      <c r="K1973" s="45" t="n">
        <v>45</v>
      </c>
      <c r="L1973" s="46" t="n"/>
      <c r="M1973" s="47" t="n"/>
      <c r="N1973" s="47" t="inlineStr">
        <is>
          <t>UCor_9jRnNNZVzTuQ92PKsaQ</t>
        </is>
      </c>
      <c r="O1973" s="48" t="n">
        <v>43455.64583333334</v>
      </c>
      <c r="P1973" s="49" t="n">
        <v>43455</v>
      </c>
      <c r="Q1973" s="47" t="n">
        <v>1295</v>
      </c>
      <c r="R1973" s="47" t="inlineStr">
        <is>
          <t>No Video ID yet</t>
        </is>
      </c>
      <c r="S1973" s="49" t="n"/>
      <c r="T1973" s="49" t="n"/>
      <c r="U1973" s="47" t="inlineStr">
        <is>
          <t>J, Ben, &amp; DK enter the Rocket League Coliseum as the Chudley Cannons and try and win their way to the league championship!</t>
        </is>
      </c>
      <c r="V1973" s="47">
        <f>IF(AND(P1973&gt;=Calendar!$K$2,P1973&lt;EDATE(Calendar!$K$2,1),OR(Calendar!$K$4="*",N1973=Calendar!$K$4)),P1973*100+COUNTIFS($P$6:$P$3267,P1973,$Q$6:$Q$3267,"&lt;="&amp;Q1973,$N$6:$N$3267,Calendar!$K$4),"")</f>
        <v/>
      </c>
      <c r="W1973" s="47">
        <f>IF(AND(B1973=Queue!$C$4,OR(Queue!$K$4="*",N1973=Queue!$K$4)),Q1973,"")</f>
        <v/>
      </c>
    </row>
    <row r="1974">
      <c r="A1974" s="38">
        <f>IF(M1974="","",HYPERLINK("https://www.youtube.com/watch?v="&amp;M1974,"▶"))</f>
        <v/>
      </c>
      <c r="B1974" s="39">
        <f>IF(C1974&lt;&gt;"",C1974,IF(P1974&lt;=IFERROR(INDEX(tblChannels[Watched Through],MATCH(N1974,tblChannels[Channel ID],0)),0),"Watched","Unwatched"))</f>
        <v/>
      </c>
      <c r="C1974" s="40" t="n"/>
      <c r="D1974" s="41" t="n"/>
      <c r="E1974" s="42" t="n">
        <v>43454.69722222222</v>
      </c>
      <c r="F1974" s="50" t="inlineStr">
        <is>
          <t>Super Carlin Brothers</t>
        </is>
      </c>
      <c r="G1974" t="inlineStr">
        <is>
          <t>J vs Ben: EXTRA LARGE Harry Potter Christmas Quiz</t>
        </is>
      </c>
      <c r="H1974" s="44" t="n">
        <v>0.02518518518518519</v>
      </c>
      <c r="I1974" s="45" t="n">
        <v>922171</v>
      </c>
      <c r="J1974" s="45" t="n">
        <v>16579</v>
      </c>
      <c r="K1974" s="45" t="n">
        <v>1802</v>
      </c>
      <c r="L1974" s="46" t="n"/>
      <c r="M1974" s="47" t="n"/>
      <c r="N1974" s="47" t="inlineStr">
        <is>
          <t>UCKZo4N0lVPccBkSiuyVh4yg</t>
        </is>
      </c>
      <c r="O1974" s="48" t="n">
        <v>43454.90555555555</v>
      </c>
      <c r="P1974" s="49" t="n">
        <v>43454</v>
      </c>
      <c r="Q1974" s="47" t="n">
        <v>1294</v>
      </c>
      <c r="R1974" s="47" t="inlineStr">
        <is>
          <t>No Video ID yet</t>
        </is>
      </c>
      <c r="S1974" s="49" t="n"/>
      <c r="T1974" s="49" t="n"/>
      <c r="U1974" s="47" t="inlineStr">
        <is>
          <t>Today J and Ben dive into the Wizarding World of Harry Potter to test who knows more about Harry's Christmas Adventures as they take on The Even Bigger bumper Christmas Quiz on Pottermore!</t>
        </is>
      </c>
      <c r="V1974" s="47">
        <f>IF(AND(P1974&gt;=Calendar!$K$2,P1974&lt;EDATE(Calendar!$K$2,1),OR(Calendar!$K$4="*",N1974=Calendar!$K$4)),P1974*100+COUNTIFS($P$6:$P$3267,P1974,$Q$6:$Q$3267,"&lt;="&amp;Q1974,$N$6:$N$3267,Calendar!$K$4),"")</f>
        <v/>
      </c>
      <c r="W1974" s="47">
        <f>IF(AND(B1974=Queue!$C$4,OR(Queue!$K$4="*",N1974=Queue!$K$4)),Q1974,"")</f>
        <v/>
      </c>
    </row>
    <row r="1975">
      <c r="A1975" s="38">
        <f>IF(M1975="","",HYPERLINK("https://www.youtube.com/watch?v="&amp;M1975,"▶"))</f>
        <v/>
      </c>
      <c r="B1975" s="39">
        <f>IF(C1975&lt;&gt;"",C1975,IF(P1975&lt;=IFERROR(INDEX(tblChannels[Watched Through],MATCH(N1975,tblChannels[Channel ID],0)),0),"Watched","Unwatched"))</f>
        <v/>
      </c>
      <c r="C1975" s="40" t="n"/>
      <c r="D1975" s="41" t="n"/>
      <c r="E1975" s="42" t="n">
        <v>43454.61527777778</v>
      </c>
      <c r="F1975" s="52" t="inlineStr">
        <is>
          <t>Super Carlin Gaming</t>
        </is>
      </c>
      <c r="G1975" t="inlineStr">
        <is>
          <t>Roommate Troubles | Rocket League #80</t>
        </is>
      </c>
      <c r="H1975" s="44" t="n">
        <v>0.01321759259259259</v>
      </c>
      <c r="I1975" s="45" t="n">
        <v>3239</v>
      </c>
      <c r="J1975" s="45" t="n">
        <v>157</v>
      </c>
      <c r="K1975" s="45" t="n">
        <v>32</v>
      </c>
      <c r="L1975" s="46" t="n"/>
      <c r="M1975" s="47" t="n"/>
      <c r="N1975" s="47" t="inlineStr">
        <is>
          <t>UCor_9jRnNNZVzTuQ92PKsaQ</t>
        </is>
      </c>
      <c r="O1975" s="48" t="n">
        <v>43454.82361111111</v>
      </c>
      <c r="P1975" s="49" t="n">
        <v>43454</v>
      </c>
      <c r="Q1975" s="47" t="n">
        <v>1293</v>
      </c>
      <c r="R1975" s="47" t="inlineStr">
        <is>
          <t>No Video ID yet</t>
        </is>
      </c>
      <c r="S1975" s="49" t="n"/>
      <c r="T1975" s="49" t="n"/>
      <c r="U1975" s="47" t="inlineStr">
        <is>
          <t>J, Ben, &amp; DK enter the Rocket League Coliseum as the Chudley Cannons and try and win their way to the league championship!</t>
        </is>
      </c>
      <c r="V1975" s="47">
        <f>IF(AND(P1975&gt;=Calendar!$K$2,P1975&lt;EDATE(Calendar!$K$2,1),OR(Calendar!$K$4="*",N1975=Calendar!$K$4)),P1975*100+COUNTIFS($P$6:$P$3267,P1975,$Q$6:$Q$3267,"&lt;="&amp;Q1975,$N$6:$N$3267,Calendar!$K$4),"")</f>
        <v/>
      </c>
      <c r="W1975" s="47">
        <f>IF(AND(B1975=Queue!$C$4,OR(Queue!$K$4="*",N1975=Queue!$K$4)),Q1975,"")</f>
        <v/>
      </c>
    </row>
    <row r="1976">
      <c r="A1976" s="38">
        <f>IF(M1976="","",HYPERLINK("https://www.youtube.com/watch?v="&amp;M1976,"▶"))</f>
        <v/>
      </c>
      <c r="B1976" s="39">
        <f>IF(C1976&lt;&gt;"",C1976,IF(P1976&lt;=IFERROR(INDEX(tblChannels[Watched Through],MATCH(N1976,tblChannels[Channel ID],0)),0),"Watched","Unwatched"))</f>
        <v/>
      </c>
      <c r="C1976" s="40" t="n"/>
      <c r="D1976" s="41" t="n"/>
      <c r="E1976" s="42" t="n">
        <v>43452.89097222222</v>
      </c>
      <c r="F1976" s="50" t="inlineStr">
        <is>
          <t>Super Carlin Brothers</t>
        </is>
      </c>
      <c r="G1976" t="inlineStr">
        <is>
          <t>Is ‘Into The Spiderverse’ The Best Spider-Man Movie? | SPOILER REVIEW</t>
        </is>
      </c>
      <c r="H1976" s="44" t="n">
        <v>0.03049768518518519</v>
      </c>
      <c r="I1976" s="45" t="n">
        <v>253205</v>
      </c>
      <c r="J1976" s="45" t="n">
        <v>7397</v>
      </c>
      <c r="K1976" s="45" t="n">
        <v>1957</v>
      </c>
      <c r="L1976" s="46" t="n"/>
      <c r="M1976" s="47" t="n"/>
      <c r="N1976" s="47" t="inlineStr">
        <is>
          <t>UCKZo4N0lVPccBkSiuyVh4yg</t>
        </is>
      </c>
      <c r="O1976" s="48" t="n">
        <v>43453.09930555556</v>
      </c>
      <c r="P1976" s="49" t="n">
        <v>43452</v>
      </c>
      <c r="Q1976" s="47" t="n">
        <v>1292</v>
      </c>
      <c r="R1976" s="47" t="inlineStr">
        <is>
          <t>No Video ID yet</t>
        </is>
      </c>
      <c r="S1976" s="49" t="n"/>
      <c r="T1976" s="49" t="n"/>
      <c r="U1976" s="47" t="inlineStr">
        <is>
          <t>Get 20% Off your Loot Crate order at :: Promo Code: CARLIN Today J and Ben dive into Marvel’s Spiderverse to give their full spoiler review of “Spider-Man Into The Spiderverse,” and determine if it is in fact the best Spider-Man movie of them all!</t>
        </is>
      </c>
      <c r="V1976" s="47">
        <f>IF(AND(P1976&gt;=Calendar!$K$2,P1976&lt;EDATE(Calendar!$K$2,1),OR(Calendar!$K$4="*",N1976=Calendar!$K$4)),P1976*100+COUNTIFS($P$6:$P$3267,P1976,$Q$6:$Q$3267,"&lt;="&amp;Q1976,$N$6:$N$3267,Calendar!$K$4),"")</f>
        <v/>
      </c>
      <c r="W1976" s="47">
        <f>IF(AND(B1976=Queue!$C$4,OR(Queue!$K$4="*",N1976=Queue!$K$4)),Q1976,"")</f>
        <v/>
      </c>
    </row>
    <row r="1977">
      <c r="A1977" s="38">
        <f>IF(M1977="","",HYPERLINK("https://www.youtube.com/watch?v="&amp;M1977,"▶"))</f>
        <v/>
      </c>
      <c r="B1977" s="39">
        <f>IF(C1977&lt;&gt;"",C1977,IF(P1977&lt;=IFERROR(INDEX(tblChannels[Watched Through],MATCH(N1977,tblChannels[Channel ID],0)),0),"Watched","Unwatched"))</f>
        <v/>
      </c>
      <c r="C1977" s="40" t="n"/>
      <c r="D1977" s="41" t="n"/>
      <c r="E1977" s="42" t="n">
        <v>43451.65138888889</v>
      </c>
      <c r="F1977" s="53" t="inlineStr">
        <is>
          <t>Jonathan Carlin</t>
        </is>
      </c>
      <c r="G1977" t="inlineStr">
        <is>
          <t>Driving 12 Hours In The Rain With A Baby..</t>
        </is>
      </c>
      <c r="H1977" s="44" t="n">
        <v>0.006736111111111111</v>
      </c>
      <c r="I1977" s="45" t="n">
        <v>31998</v>
      </c>
      <c r="J1977" s="45" t="n">
        <v>1693</v>
      </c>
      <c r="K1977" s="45" t="n">
        <v>174</v>
      </c>
      <c r="L1977" s="46" t="n"/>
      <c r="M1977" s="47" t="n"/>
      <c r="N1977" s="47" t="inlineStr">
        <is>
          <t>UCYPKFe86e6nm4TVUYKLsFUQ</t>
        </is>
      </c>
      <c r="O1977" s="48" t="n">
        <v>43451.85972222222</v>
      </c>
      <c r="P1977" s="49" t="n">
        <v>43451</v>
      </c>
      <c r="Q1977" s="47" t="n">
        <v>1291</v>
      </c>
      <c r="R1977" s="47" t="inlineStr">
        <is>
          <t>No Video ID yet</t>
        </is>
      </c>
      <c r="S1977" s="49" t="n"/>
      <c r="T1977" s="49" t="n"/>
      <c r="U1977" s="47" t="inlineStr">
        <is>
          <t>This week J, Beth and Luke head up to to New York for J's Grandma's 80th birthday.. it ends up being a VERY long car ride</t>
        </is>
      </c>
      <c r="V1977" s="47">
        <f>IF(AND(P1977&gt;=Calendar!$K$2,P1977&lt;EDATE(Calendar!$K$2,1),OR(Calendar!$K$4="*",N1977=Calendar!$K$4)),P1977*100+COUNTIFS($P$6:$P$3267,P1977,$Q$6:$Q$3267,"&lt;="&amp;Q1977,$N$6:$N$3267,Calendar!$K$4),"")</f>
        <v/>
      </c>
      <c r="W1977" s="47">
        <f>IF(AND(B1977=Queue!$C$4,OR(Queue!$K$4="*",N1977=Queue!$K$4)),Q1977,"")</f>
        <v/>
      </c>
    </row>
    <row r="1978">
      <c r="A1978" s="38">
        <f>IF(M1978="","",HYPERLINK("https://www.youtube.com/watch?v="&amp;M1978,"▶"))</f>
        <v/>
      </c>
      <c r="B1978" s="39">
        <f>IF(C1978&lt;&gt;"",C1978,IF(P1978&lt;=IFERROR(INDEX(tblChannels[Watched Through],MATCH(N1978,tblChannels[Channel ID],0)),0),"Watched","Unwatched"))</f>
        <v/>
      </c>
      <c r="C1978" s="40" t="n"/>
      <c r="D1978" s="41" t="n"/>
      <c r="E1978" s="42" t="n">
        <v>43450.54166666666</v>
      </c>
      <c r="F1978" s="50" t="inlineStr">
        <is>
          <t>Super Carlin Brothers</t>
        </is>
      </c>
      <c r="G1978" t="inlineStr">
        <is>
          <t>Why Venom Is Actually A Butterfly</t>
        </is>
      </c>
      <c r="H1978" s="44" t="n">
        <v>0.006747685185185186</v>
      </c>
      <c r="I1978" s="45" t="n">
        <v>226423</v>
      </c>
      <c r="J1978" s="45" t="n">
        <v>9472</v>
      </c>
      <c r="K1978" s="45" t="n">
        <v>1442</v>
      </c>
      <c r="L1978" s="46" t="n"/>
      <c r="M1978" s="47" t="n"/>
      <c r="N1978" s="47" t="inlineStr">
        <is>
          <t>UCKZo4N0lVPccBkSiuyVh4yg</t>
        </is>
      </c>
      <c r="O1978" s="48" t="n">
        <v>43450.75</v>
      </c>
      <c r="P1978" s="49" t="n">
        <v>43450</v>
      </c>
      <c r="Q1978" s="47" t="n">
        <v>1290</v>
      </c>
      <c r="R1978" s="47" t="inlineStr">
        <is>
          <t>No Video ID yet</t>
        </is>
      </c>
      <c r="S1978" s="49" t="n"/>
      <c r="T1978" s="49" t="n"/>
      <c r="U1978" s="47" t="inlineStr">
        <is>
          <t>Sponsored by Venom, now on Digital: Coming to Blu-rayTM and DVD December 18th! Today J dives into the world of Sony's Venom to answer how Venom's powers work and why he is actually just the worlds edgiest butterfly.</t>
        </is>
      </c>
      <c r="V1978" s="47">
        <f>IF(AND(P1978&gt;=Calendar!$K$2,P1978&lt;EDATE(Calendar!$K$2,1),OR(Calendar!$K$4="*",N1978=Calendar!$K$4)),P1978*100+COUNTIFS($P$6:$P$3267,P1978,$Q$6:$Q$3267,"&lt;="&amp;Q1978,$N$6:$N$3267,Calendar!$K$4),"")</f>
        <v/>
      </c>
      <c r="W1978" s="47">
        <f>IF(AND(B1978=Queue!$C$4,OR(Queue!$K$4="*",N1978=Queue!$K$4)),Q1978,"")</f>
        <v/>
      </c>
    </row>
    <row r="1979">
      <c r="A1979" s="38">
        <f>IF(M1979="","",HYPERLINK("https://www.youtube.com/watch?v="&amp;M1979,"▶"))</f>
        <v/>
      </c>
      <c r="B1979" s="39">
        <f>IF(C1979&lt;&gt;"",C1979,IF(P1979&lt;=IFERROR(INDEX(tblChannels[Watched Through],MATCH(N1979,tblChannels[Channel ID],0)),0),"Watched","Unwatched"))</f>
        <v/>
      </c>
      <c r="C1979" s="40" t="n"/>
      <c r="D1979" s="41" t="n"/>
      <c r="E1979" s="42" t="n">
        <v>43447.72708333333</v>
      </c>
      <c r="F1979" s="50" t="inlineStr">
        <is>
          <t>Super Carlin Brothers</t>
        </is>
      </c>
      <c r="G1979" t="inlineStr">
        <is>
          <t>J vs Ben: ULTIMATE Harry Potter MOVIE Trivia Quiz</t>
        </is>
      </c>
      <c r="H1979" s="44" t="n">
        <v>0.01668981481481481</v>
      </c>
      <c r="I1979" s="45" t="n">
        <v>869155</v>
      </c>
      <c r="J1979" s="45" t="n">
        <v>20184</v>
      </c>
      <c r="K1979" s="45" t="n">
        <v>3694</v>
      </c>
      <c r="L1979" s="46" t="n"/>
      <c r="M1979" s="47" t="n"/>
      <c r="N1979" s="47" t="inlineStr">
        <is>
          <t>UCKZo4N0lVPccBkSiuyVh4yg</t>
        </is>
      </c>
      <c r="O1979" s="48" t="n">
        <v>43447.93541666667</v>
      </c>
      <c r="P1979" s="49" t="n">
        <v>43447</v>
      </c>
      <c r="Q1979" s="47" t="n">
        <v>1289</v>
      </c>
      <c r="R1979" s="47" t="inlineStr">
        <is>
          <t>No Video ID yet</t>
        </is>
      </c>
      <c r="S1979" s="49" t="n"/>
      <c r="T1979" s="49" t="n"/>
      <c r="U1979" s="47" t="inlineStr">
        <is>
          <t>Get 15% off your Vincero Watch! :: Play along with us! - Today J and Ben face off in the ultimate Harry Potter film binge trivia quiz to find out who knows the Harry Potter movies the best!</t>
        </is>
      </c>
      <c r="V1979" s="47">
        <f>IF(AND(P1979&gt;=Calendar!$K$2,P1979&lt;EDATE(Calendar!$K$2,1),OR(Calendar!$K$4="*",N1979=Calendar!$K$4)),P1979*100+COUNTIFS($P$6:$P$3267,P1979,$Q$6:$Q$3267,"&lt;="&amp;Q1979,$N$6:$N$3267,Calendar!$K$4),"")</f>
        <v/>
      </c>
      <c r="W1979" s="47">
        <f>IF(AND(B1979=Queue!$C$4,OR(Queue!$K$4="*",N1979=Queue!$K$4)),Q1979,"")</f>
        <v/>
      </c>
    </row>
    <row r="1980">
      <c r="A1980" s="38">
        <f>IF(M1980="","",HYPERLINK("https://www.youtube.com/watch?v="&amp;M1980,"▶"))</f>
        <v/>
      </c>
      <c r="B1980" s="39">
        <f>IF(C1980&lt;&gt;"",C1980,IF(P1980&lt;=IFERROR(INDEX(tblChannels[Watched Through],MATCH(N1980,tblChannels[Channel ID],0)),0),"Watched","Unwatched"))</f>
        <v/>
      </c>
      <c r="C1980" s="40" t="n"/>
      <c r="D1980" s="41" t="n"/>
      <c r="E1980" s="42" t="n">
        <v>43445.66319444445</v>
      </c>
      <c r="F1980" s="50" t="inlineStr">
        <is>
          <t>Super Carlin Brothers</t>
        </is>
      </c>
      <c r="G1980" t="inlineStr">
        <is>
          <t>Who Did Leta Say "I Love You" To? | Fantastic Beasts Theory</t>
        </is>
      </c>
      <c r="H1980" s="44" t="n">
        <v>0.01001157407407407</v>
      </c>
      <c r="I1980" s="45" t="n">
        <v>621910</v>
      </c>
      <c r="J1980" s="45" t="n">
        <v>20176</v>
      </c>
      <c r="K1980" s="45" t="n">
        <v>2349</v>
      </c>
      <c r="L1980" s="46" t="n"/>
      <c r="M1980" s="47" t="n"/>
      <c r="N1980" s="47" t="inlineStr">
        <is>
          <t>UCKZo4N0lVPccBkSiuyVh4yg</t>
        </is>
      </c>
      <c r="O1980" s="48" t="n">
        <v>43445.87152777778</v>
      </c>
      <c r="P1980" s="49" t="n">
        <v>43445</v>
      </c>
      <c r="Q1980" s="47" t="n">
        <v>1288</v>
      </c>
      <c r="R1980" s="47" t="inlineStr">
        <is>
          <t>No Video ID yet</t>
        </is>
      </c>
      <c r="S1980" s="49" t="n"/>
      <c r="T1980" s="49" t="n"/>
      <c r="U1980" s="47" t="inlineStr">
        <is>
          <t>Check out the Harry Potter Kano Coding Kit at to find out more, and get an extra 20% off from the $79.95 offer, by using the code FRIEND20. This video is sponsored by Kano. Today J dives into the Wizarding World of Harry Potter to discuss a new theory about one of the biggest questions from Fantastic Beasts The Crimes of Grindelwald: Who did Leta say “I love you” to before she died, and what ramifications that act may have moving forward.</t>
        </is>
      </c>
      <c r="V1980" s="47">
        <f>IF(AND(P1980&gt;=Calendar!$K$2,P1980&lt;EDATE(Calendar!$K$2,1),OR(Calendar!$K$4="*",N1980=Calendar!$K$4)),P1980*100+COUNTIFS($P$6:$P$3267,P1980,$Q$6:$Q$3267,"&lt;="&amp;Q1980,$N$6:$N$3267,Calendar!$K$4),"")</f>
        <v/>
      </c>
      <c r="W1980" s="47">
        <f>IF(AND(B1980=Queue!$C$4,OR(Queue!$K$4="*",N1980=Queue!$K$4)),Q1980,"")</f>
        <v/>
      </c>
    </row>
    <row r="1981">
      <c r="A1981" s="38">
        <f>IF(M1981="","",HYPERLINK("https://www.youtube.com/watch?v="&amp;M1981,"▶"))</f>
        <v/>
      </c>
      <c r="B1981" s="39">
        <f>IF(C1981&lt;&gt;"",C1981,IF(P1981&lt;=IFERROR(INDEX(tblChannels[Watched Through],MATCH(N1981,tblChannels[Channel ID],0)),0),"Watched","Unwatched"))</f>
        <v/>
      </c>
      <c r="C1981" s="40" t="n"/>
      <c r="D1981" s="41" t="n"/>
      <c r="E1981" s="42" t="n">
        <v>43444.74305555555</v>
      </c>
      <c r="F1981" s="53" t="inlineStr">
        <is>
          <t>Jonathan Carlin</t>
        </is>
      </c>
      <c r="G1981" t="inlineStr">
        <is>
          <t>LUKE LEARNS TO WAVE!</t>
        </is>
      </c>
      <c r="H1981" s="44" t="n">
        <v>0.007222222222222222</v>
      </c>
      <c r="I1981" s="45" t="n">
        <v>31054</v>
      </c>
      <c r="J1981" s="45" t="n">
        <v>1729</v>
      </c>
      <c r="K1981" s="45" t="n">
        <v>159</v>
      </c>
      <c r="L1981" s="46" t="n"/>
      <c r="M1981" s="47" t="n"/>
      <c r="N1981" s="47" t="inlineStr">
        <is>
          <t>UCYPKFe86e6nm4TVUYKLsFUQ</t>
        </is>
      </c>
      <c r="O1981" s="48" t="n">
        <v>43444.95138888889</v>
      </c>
      <c r="P1981" s="49" t="n">
        <v>43444</v>
      </c>
      <c r="Q1981" s="47" t="n">
        <v>1287</v>
      </c>
      <c r="R1981" s="47" t="inlineStr">
        <is>
          <t>No Video ID yet</t>
        </is>
      </c>
      <c r="S1981" s="49" t="n"/>
      <c r="T1981" s="49" t="n"/>
      <c r="U1981" s="47" t="inlineStr">
        <is>
          <t>This week Luke learns to wave, Ben struggles with giving out Halloween Candy, we see Crimes of Grindelwald early and Beth convinces J to try a charcoal face mask!</t>
        </is>
      </c>
      <c r="V1981" s="47">
        <f>IF(AND(P1981&gt;=Calendar!$K$2,P1981&lt;EDATE(Calendar!$K$2,1),OR(Calendar!$K$4="*",N1981=Calendar!$K$4)),P1981*100+COUNTIFS($P$6:$P$3267,P1981,$Q$6:$Q$3267,"&lt;="&amp;Q1981,$N$6:$N$3267,Calendar!$K$4),"")</f>
        <v/>
      </c>
      <c r="W1981" s="47">
        <f>IF(AND(B1981=Queue!$C$4,OR(Queue!$K$4="*",N1981=Queue!$K$4)),Q1981,"")</f>
        <v/>
      </c>
    </row>
    <row r="1982">
      <c r="A1982" s="38">
        <f>IF(M1982="","",HYPERLINK("https://www.youtube.com/watch?v="&amp;M1982,"▶"))</f>
        <v/>
      </c>
      <c r="B1982" s="39">
        <f>IF(C1982&lt;&gt;"",C1982,IF(P1982&lt;=IFERROR(INDEX(tblChannels[Watched Through],MATCH(N1982,tblChannels[Channel ID],0)),0),"Watched","Unwatched"))</f>
        <v/>
      </c>
      <c r="C1982" s="40" t="n"/>
      <c r="D1982" s="41" t="n"/>
      <c r="E1982" s="42" t="n">
        <v>43440.6875</v>
      </c>
      <c r="F1982" s="50" t="inlineStr">
        <is>
          <t>Super Carlin Brothers</t>
        </is>
      </c>
      <c r="G1982" t="inlineStr">
        <is>
          <t>Did The Blood Pact Kill Ariana? | Fantastic Beasts Theory</t>
        </is>
      </c>
      <c r="H1982" s="44" t="n">
        <v>0.008472222222222223</v>
      </c>
      <c r="I1982" s="45" t="n">
        <v>538953</v>
      </c>
      <c r="J1982" s="45" t="n">
        <v>18360</v>
      </c>
      <c r="K1982" s="45" t="n">
        <v>1381</v>
      </c>
      <c r="L1982" s="46" t="n"/>
      <c r="M1982" s="47" t="n"/>
      <c r="N1982" s="47" t="inlineStr">
        <is>
          <t>UCKZo4N0lVPccBkSiuyVh4yg</t>
        </is>
      </c>
      <c r="O1982" s="48" t="n">
        <v>43440.89583333334</v>
      </c>
      <c r="P1982" s="49" t="n">
        <v>43440</v>
      </c>
      <c r="Q1982" s="47" t="n">
        <v>1286</v>
      </c>
      <c r="R1982" s="47" t="inlineStr">
        <is>
          <t>No Video ID yet</t>
        </is>
      </c>
      <c r="S1982" s="49" t="n"/>
      <c r="T1982" s="49" t="n"/>
      <c r="U1982" s="47" t="inlineStr">
        <is>
          <t>Go to or text SCB to 500500 to get 3 months of Audible for just $6.95 a month. Today Ben dives into the Wizarding World of Harry Potter to discuss a brand new Fantastic Beasts Theory - Did the Blood pact created by Dumbledore and Grindelwald ultimately kill Albus's little sister Ariana?</t>
        </is>
      </c>
      <c r="V1982" s="47">
        <f>IF(AND(P1982&gt;=Calendar!$K$2,P1982&lt;EDATE(Calendar!$K$2,1),OR(Calendar!$K$4="*",N1982=Calendar!$K$4)),P1982*100+COUNTIFS($P$6:$P$3267,P1982,$Q$6:$Q$3267,"&lt;="&amp;Q1982,$N$6:$N$3267,Calendar!$K$4),"")</f>
        <v/>
      </c>
      <c r="W1982" s="47">
        <f>IF(AND(B1982=Queue!$C$4,OR(Queue!$K$4="*",N1982=Queue!$K$4)),Q1982,"")</f>
        <v/>
      </c>
    </row>
    <row r="1983">
      <c r="A1983" s="38">
        <f>IF(M1983="","",HYPERLINK("https://www.youtube.com/watch?v="&amp;M1983,"▶"))</f>
        <v/>
      </c>
      <c r="B1983" s="39">
        <f>IF(C1983&lt;&gt;"",C1983,IF(P1983&lt;=IFERROR(INDEX(tblChannels[Watched Through],MATCH(N1983,tblChannels[Channel ID],0)),0),"Watched","Unwatched"))</f>
        <v/>
      </c>
      <c r="C1983" s="40" t="n"/>
      <c r="D1983" s="41" t="n"/>
      <c r="E1983" s="42" t="n">
        <v>43439.41388888889</v>
      </c>
      <c r="F1983" s="52" t="inlineStr">
        <is>
          <t>Super Carlin Gaming</t>
        </is>
      </c>
      <c r="G1983" t="inlineStr">
        <is>
          <t>Boom Boom Boom | Rocket League #79</t>
        </is>
      </c>
      <c r="H1983" s="44" t="n">
        <v>0.01423611111111111</v>
      </c>
      <c r="I1983" s="45" t="n">
        <v>3778</v>
      </c>
      <c r="J1983" s="45" t="n">
        <v>243</v>
      </c>
      <c r="K1983" s="45" t="n">
        <v>68</v>
      </c>
      <c r="L1983" s="46" t="n"/>
      <c r="M1983" s="47" t="n"/>
      <c r="N1983" s="47" t="inlineStr">
        <is>
          <t>UCor_9jRnNNZVzTuQ92PKsaQ</t>
        </is>
      </c>
      <c r="O1983" s="48" t="n">
        <v>43439.62222222222</v>
      </c>
      <c r="P1983" s="49" t="n">
        <v>43439</v>
      </c>
      <c r="Q1983" s="47" t="n">
        <v>1285</v>
      </c>
      <c r="R1983" s="47" t="inlineStr">
        <is>
          <t>No Video ID yet</t>
        </is>
      </c>
      <c r="S1983" s="49" t="n"/>
      <c r="T1983" s="49" t="n"/>
      <c r="U1983" s="47" t="inlineStr">
        <is>
          <t>J, Ben, &amp; DK enter the Rocket League Coliseum as the Chudley Cannons and try and win their way to the league championship!</t>
        </is>
      </c>
      <c r="V1983" s="47">
        <f>IF(AND(P1983&gt;=Calendar!$K$2,P1983&lt;EDATE(Calendar!$K$2,1),OR(Calendar!$K$4="*",N1983=Calendar!$K$4)),P1983*100+COUNTIFS($P$6:$P$3267,P1983,$Q$6:$Q$3267,"&lt;="&amp;Q1983,$N$6:$N$3267,Calendar!$K$4),"")</f>
        <v/>
      </c>
      <c r="W1983" s="47">
        <f>IF(AND(B1983=Queue!$C$4,OR(Queue!$K$4="*",N1983=Queue!$K$4)),Q1983,"")</f>
        <v/>
      </c>
    </row>
    <row r="1984">
      <c r="A1984" s="38">
        <f>IF(M1984="","",HYPERLINK("https://www.youtube.com/watch?v="&amp;M1984,"▶"))</f>
        <v/>
      </c>
      <c r="B1984" s="39">
        <f>IF(C1984&lt;&gt;"",C1984,IF(P1984&lt;=IFERROR(INDEX(tblChannels[Watched Through],MATCH(N1984,tblChannels[Channel ID],0)),0),"Watched","Unwatched"))</f>
        <v/>
      </c>
      <c r="C1984" s="40" t="n"/>
      <c r="D1984" s="41" t="n"/>
      <c r="E1984" s="42" t="n">
        <v>43438.75138888889</v>
      </c>
      <c r="F1984" s="50" t="inlineStr">
        <is>
          <t>Super Carlin Brothers</t>
        </is>
      </c>
      <c r="G1984" t="inlineStr">
        <is>
          <t>Top 6 Walt Disney World Myths</t>
        </is>
      </c>
      <c r="H1984" s="44" t="n">
        <v>0.007094907407407407</v>
      </c>
      <c r="I1984" s="45" t="n">
        <v>996248</v>
      </c>
      <c r="J1984" s="45" t="n">
        <v>26061</v>
      </c>
      <c r="K1984" s="45" t="n">
        <v>2266</v>
      </c>
      <c r="L1984" s="46" t="n"/>
      <c r="M1984" s="47" t="n"/>
      <c r="N1984" s="47" t="inlineStr">
        <is>
          <t>UCKZo4N0lVPccBkSiuyVh4yg</t>
        </is>
      </c>
      <c r="O1984" s="48" t="n">
        <v>43438.95972222222</v>
      </c>
      <c r="P1984" s="49" t="n">
        <v>43438</v>
      </c>
      <c r="Q1984" s="47" t="n">
        <v>1284</v>
      </c>
      <c r="R1984" s="47" t="inlineStr">
        <is>
          <t>No Video ID yet</t>
        </is>
      </c>
      <c r="S1984" s="49" t="n"/>
      <c r="T1984" s="49" t="n"/>
      <c r="U1984" s="47" t="inlineStr">
        <is>
          <t>This video includes a paid partnership with Disney. #ad Best Day Ever Instagram :: Today J and Ben head to Walt Disney World to test some of the biggest myths about the park! Is there a secret ring in the pavement outside Haunted Mansion? Can you get a perfect score on Buzz Lightyear's Space Ranger Spin? Did it take an act of Congress to get the Presidential Seal in the Hall of Presidents?</t>
        </is>
      </c>
      <c r="V1984" s="47">
        <f>IF(AND(P1984&gt;=Calendar!$K$2,P1984&lt;EDATE(Calendar!$K$2,1),OR(Calendar!$K$4="*",N1984=Calendar!$K$4)),P1984*100+COUNTIFS($P$6:$P$3267,P1984,$Q$6:$Q$3267,"&lt;="&amp;Q1984,$N$6:$N$3267,Calendar!$K$4),"")</f>
        <v/>
      </c>
      <c r="W1984" s="47">
        <f>IF(AND(B1984=Queue!$C$4,OR(Queue!$K$4="*",N1984=Queue!$K$4)),Q1984,"")</f>
        <v/>
      </c>
    </row>
    <row r="1985">
      <c r="A1985" s="38">
        <f>IF(M1985="","",HYPERLINK("https://www.youtube.com/watch?v="&amp;M1985,"▶"))</f>
        <v/>
      </c>
      <c r="B1985" s="39">
        <f>IF(C1985&lt;&gt;"",C1985,IF(P1985&lt;=IFERROR(INDEX(tblChannels[Watched Through],MATCH(N1985,tblChannels[Channel ID],0)),0),"Watched","Unwatched"))</f>
        <v/>
      </c>
      <c r="C1985" s="40" t="n"/>
      <c r="D1985" s="41" t="n"/>
      <c r="E1985" s="42" t="n">
        <v>43437.4375</v>
      </c>
      <c r="F1985" s="52" t="inlineStr">
        <is>
          <t>Super Carlin Gaming</t>
        </is>
      </c>
      <c r="G1985" t="inlineStr">
        <is>
          <t>Am I Clingy? | Rocket League #78</t>
        </is>
      </c>
      <c r="H1985" s="44" t="n">
        <v>0.01424768518518518</v>
      </c>
      <c r="I1985" s="45" t="n">
        <v>3306</v>
      </c>
      <c r="J1985" s="45" t="n">
        <v>186</v>
      </c>
      <c r="K1985" s="45" t="n">
        <v>40</v>
      </c>
      <c r="L1985" s="46" t="n"/>
      <c r="M1985" s="47" t="n"/>
      <c r="N1985" s="47" t="inlineStr">
        <is>
          <t>UCor_9jRnNNZVzTuQ92PKsaQ</t>
        </is>
      </c>
      <c r="O1985" s="48" t="n">
        <v>43437.64583333334</v>
      </c>
      <c r="P1985" s="49" t="n">
        <v>43437</v>
      </c>
      <c r="Q1985" s="47" t="n">
        <v>1283</v>
      </c>
      <c r="R1985" s="47" t="inlineStr">
        <is>
          <t>No Video ID yet</t>
        </is>
      </c>
      <c r="S1985" s="49" t="n"/>
      <c r="T1985" s="49" t="n"/>
      <c r="U1985" s="47" t="inlineStr">
        <is>
          <t>J, Ben, &amp; DK enter the Rocket League Coliseum as the Chudley Cannons and try and win their way to the league championship!</t>
        </is>
      </c>
      <c r="V1985" s="47">
        <f>IF(AND(P1985&gt;=Calendar!$K$2,P1985&lt;EDATE(Calendar!$K$2,1),OR(Calendar!$K$4="*",N1985=Calendar!$K$4)),P1985*100+COUNTIFS($P$6:$P$3267,P1985,$Q$6:$Q$3267,"&lt;="&amp;Q1985,$N$6:$N$3267,Calendar!$K$4),"")</f>
        <v/>
      </c>
      <c r="W1985" s="47">
        <f>IF(AND(B1985=Queue!$C$4,OR(Queue!$K$4="*",N1985=Queue!$K$4)),Q1985,"")</f>
        <v/>
      </c>
    </row>
    <row r="1986">
      <c r="A1986" s="38">
        <f>IF(M1986="","",HYPERLINK("https://www.youtube.com/watch?v="&amp;M1986,"▶"))</f>
        <v/>
      </c>
      <c r="B1986" s="39">
        <f>IF(C1986&lt;&gt;"",C1986,IF(P1986&lt;=IFERROR(INDEX(tblChannels[Watched Through],MATCH(N1986,tblChannels[Channel ID],0)),0),"Watched","Unwatched"))</f>
        <v/>
      </c>
      <c r="C1986" s="40" t="n"/>
      <c r="D1986" s="41" t="n"/>
      <c r="E1986" s="42" t="n">
        <v>43434.5</v>
      </c>
      <c r="F1986" s="50" t="inlineStr">
        <is>
          <t>Super Carlin Brothers</t>
        </is>
      </c>
      <c r="G1986" t="inlineStr">
        <is>
          <t>WERE GIVING AWAY A LEGO HOGWARTS CASTLE!</t>
        </is>
      </c>
      <c r="H1986" s="44" t="n">
        <v>0.002789351851851852</v>
      </c>
      <c r="I1986" s="45" t="n">
        <v>57185</v>
      </c>
      <c r="J1986" s="45" t="n">
        <v>3735</v>
      </c>
      <c r="K1986" s="45" t="n">
        <v>647</v>
      </c>
      <c r="L1986" s="46" t="n"/>
      <c r="M1986" s="47" t="n"/>
      <c r="N1986" s="47" t="inlineStr">
        <is>
          <t>UCKZo4N0lVPccBkSiuyVh4yg</t>
        </is>
      </c>
      <c r="O1986" s="48" t="n">
        <v>43434.70833333334</v>
      </c>
      <c r="P1986" s="49" t="n">
        <v>43434</v>
      </c>
      <c r="Q1986" s="47" t="n">
        <v>1282</v>
      </c>
      <c r="R1986" s="47" t="inlineStr">
        <is>
          <t>No Video ID yet</t>
        </is>
      </c>
      <c r="S1986" s="49" t="n"/>
      <c r="T1986" s="49" t="n"/>
      <c r="U1986" s="47" t="inlineStr">
        <is>
          <t>Get up to 20 extra Grand Prize entires :: Support LUMOS on our GoFundMe page :: Instagrams:</t>
        </is>
      </c>
      <c r="V1986" s="47">
        <f>IF(AND(P1986&gt;=Calendar!$K$2,P1986&lt;EDATE(Calendar!$K$2,1),OR(Calendar!$K$4="*",N1986=Calendar!$K$4)),P1986*100+COUNTIFS($P$6:$P$3267,P1986,$Q$6:$Q$3267,"&lt;="&amp;Q1986,$N$6:$N$3267,Calendar!$K$4),"")</f>
        <v/>
      </c>
      <c r="W1986" s="47">
        <f>IF(AND(B1986=Queue!$C$4,OR(Queue!$K$4="*",N1986=Queue!$K$4)),Q1986,"")</f>
        <v/>
      </c>
    </row>
    <row r="1987">
      <c r="A1987" s="38">
        <f>IF(M1987="","",HYPERLINK("https://www.youtube.com/watch?v="&amp;M1987,"▶"))</f>
        <v/>
      </c>
      <c r="B1987" s="39">
        <f>IF(C1987&lt;&gt;"",C1987,IF(P1987&lt;=IFERROR(INDEX(tblChannels[Watched Through],MATCH(N1987,tblChannels[Channel ID],0)),0),"Watched","Unwatched"))</f>
        <v/>
      </c>
      <c r="C1987" s="40" t="n"/>
      <c r="D1987" s="41" t="n"/>
      <c r="E1987" s="42" t="n">
        <v>43434.4375</v>
      </c>
      <c r="F1987" s="52" t="inlineStr">
        <is>
          <t>Super Carlin Gaming</t>
        </is>
      </c>
      <c r="G1987" t="inlineStr">
        <is>
          <t>Insufferable Know-It-All | Rocket League #77</t>
        </is>
      </c>
      <c r="H1987" s="44" t="n">
        <v>0.01549768518518519</v>
      </c>
      <c r="I1987" s="45" t="n">
        <v>3252</v>
      </c>
      <c r="J1987" s="45" t="n">
        <v>166</v>
      </c>
      <c r="K1987" s="45" t="n">
        <v>48</v>
      </c>
      <c r="L1987" s="46" t="n"/>
      <c r="M1987" s="47" t="n"/>
      <c r="N1987" s="47" t="inlineStr">
        <is>
          <t>UCor_9jRnNNZVzTuQ92PKsaQ</t>
        </is>
      </c>
      <c r="O1987" s="48" t="n">
        <v>43434.64583333334</v>
      </c>
      <c r="P1987" s="49" t="n">
        <v>43434</v>
      </c>
      <c r="Q1987" s="47" t="n">
        <v>1281</v>
      </c>
      <c r="R1987" s="47" t="inlineStr">
        <is>
          <t>No Video ID yet</t>
        </is>
      </c>
      <c r="S1987" s="49" t="n"/>
      <c r="T1987" s="49" t="n"/>
      <c r="U1987" s="47" t="inlineStr">
        <is>
          <t>J, Ben, &amp; DK enter the Rocket League Coliseum as the Chudley Cannons and try and win their way to the league championship!</t>
        </is>
      </c>
      <c r="V1987" s="47">
        <f>IF(AND(P1987&gt;=Calendar!$K$2,P1987&lt;EDATE(Calendar!$K$2,1),OR(Calendar!$K$4="*",N1987=Calendar!$K$4)),P1987*100+COUNTIFS($P$6:$P$3267,P1987,$Q$6:$Q$3267,"&lt;="&amp;Q1987,$N$6:$N$3267,Calendar!$K$4),"")</f>
        <v/>
      </c>
      <c r="W1987" s="47">
        <f>IF(AND(B1987=Queue!$C$4,OR(Queue!$K$4="*",N1987=Queue!$K$4)),Q1987,"")</f>
        <v/>
      </c>
    </row>
    <row r="1988">
      <c r="A1988" s="38">
        <f>IF(M1988="","",HYPERLINK("https://www.youtube.com/watch?v="&amp;M1988,"▶"))</f>
        <v/>
      </c>
      <c r="B1988" s="39">
        <f>IF(C1988&lt;&gt;"",C1988,IF(P1988&lt;=IFERROR(INDEX(tblChannels[Watched Through],MATCH(N1988,tblChannels[Channel ID],0)),0),"Watched","Unwatched"))</f>
        <v/>
      </c>
      <c r="C1988" s="40" t="n"/>
      <c r="D1988" s="41" t="n"/>
      <c r="E1988" s="42" t="n">
        <v>43433.83263888889</v>
      </c>
      <c r="F1988" s="50" t="inlineStr">
        <is>
          <t>Super Carlin Brothers</t>
        </is>
      </c>
      <c r="G1988" t="inlineStr">
        <is>
          <t>Dumbledore's Dark Twin: Aurelius Explained | Fantastic Beasts Theory</t>
        </is>
      </c>
      <c r="H1988" s="44" t="n">
        <v>0.01125</v>
      </c>
      <c r="I1988" s="45" t="n">
        <v>1045829</v>
      </c>
      <c r="J1988" s="45" t="n">
        <v>34484</v>
      </c>
      <c r="K1988" s="45" t="n">
        <v>6464</v>
      </c>
      <c r="L1988" s="46" t="n"/>
      <c r="M1988" s="47" t="n"/>
      <c r="N1988" s="47" t="inlineStr">
        <is>
          <t>UCKZo4N0lVPccBkSiuyVh4yg</t>
        </is>
      </c>
      <c r="O1988" s="48" t="n">
        <v>43434.04097222222</v>
      </c>
      <c r="P1988" s="49" t="n">
        <v>43433</v>
      </c>
      <c r="Q1988" s="47" t="n">
        <v>1280</v>
      </c>
      <c r="R1988" s="47" t="inlineStr">
        <is>
          <t>No Video ID yet</t>
        </is>
      </c>
      <c r="S1988" s="49" t="n"/>
      <c r="T1988" s="49" t="n"/>
      <c r="U1988" s="47" t="inlineStr">
        <is>
          <t>Today Ben dives into the Wizarding World of Harry Potter to discuss the biggest question on all of our minds after seeing Fantastic Beasts the Crimes of Grindelwald - What is Credence's true identity! Does Dumbledore have a dark twin!?</t>
        </is>
      </c>
      <c r="V1988" s="47">
        <f>IF(AND(P1988&gt;=Calendar!$K$2,P1988&lt;EDATE(Calendar!$K$2,1),OR(Calendar!$K$4="*",N1988=Calendar!$K$4)),P1988*100+COUNTIFS($P$6:$P$3267,P1988,$Q$6:$Q$3267,"&lt;="&amp;Q1988,$N$6:$N$3267,Calendar!$K$4),"")</f>
        <v/>
      </c>
      <c r="W1988" s="47">
        <f>IF(AND(B1988=Queue!$C$4,OR(Queue!$K$4="*",N1988=Queue!$K$4)),Q1988,"")</f>
        <v/>
      </c>
    </row>
    <row r="1989">
      <c r="A1989" s="38">
        <f>IF(M1989="","",HYPERLINK("https://www.youtube.com/watch?v="&amp;M1989,"▶"))</f>
        <v/>
      </c>
      <c r="B1989" s="39">
        <f>IF(C1989&lt;&gt;"",C1989,IF(P1989&lt;=IFERROR(INDEX(tblChannels[Watched Through],MATCH(N1989,tblChannels[Channel ID],0)),0),"Watched","Unwatched"))</f>
        <v/>
      </c>
      <c r="C1989" s="40" t="n"/>
      <c r="D1989" s="41" t="n"/>
      <c r="E1989" s="42" t="n">
        <v>43432.62986111111</v>
      </c>
      <c r="F1989" s="52" t="inlineStr">
        <is>
          <t>Super Carlin Gaming</t>
        </is>
      </c>
      <c r="G1989" t="inlineStr">
        <is>
          <t>Dealing with Senioritis | Rocket League #76</t>
        </is>
      </c>
      <c r="H1989" s="44" t="n">
        <v>0.01533564814814815</v>
      </c>
      <c r="I1989" s="45" t="n">
        <v>2828</v>
      </c>
      <c r="J1989" s="45" t="n">
        <v>171</v>
      </c>
      <c r="K1989" s="45" t="n">
        <v>47</v>
      </c>
      <c r="L1989" s="46" t="n"/>
      <c r="M1989" s="47" t="n"/>
      <c r="N1989" s="47" t="inlineStr">
        <is>
          <t>UCor_9jRnNNZVzTuQ92PKsaQ</t>
        </is>
      </c>
      <c r="O1989" s="48" t="n">
        <v>43432.83819444444</v>
      </c>
      <c r="P1989" s="49" t="n">
        <v>43432</v>
      </c>
      <c r="Q1989" s="47" t="n">
        <v>1279</v>
      </c>
      <c r="R1989" s="47" t="inlineStr">
        <is>
          <t>No Video ID yet</t>
        </is>
      </c>
      <c r="S1989" s="49" t="n"/>
      <c r="T1989" s="49" t="n"/>
      <c r="U1989" s="47" t="inlineStr">
        <is>
          <t>The 'Kuub' game: J, Ben, &amp; DK enter the Rocket League Coliseum as the Chudley Cannons and try and win their way to the league championship!</t>
        </is>
      </c>
      <c r="V1989" s="47">
        <f>IF(AND(P1989&gt;=Calendar!$K$2,P1989&lt;EDATE(Calendar!$K$2,1),OR(Calendar!$K$4="*",N1989=Calendar!$K$4)),P1989*100+COUNTIFS($P$6:$P$3267,P1989,$Q$6:$Q$3267,"&lt;="&amp;Q1989,$N$6:$N$3267,Calendar!$K$4),"")</f>
        <v/>
      </c>
      <c r="W1989" s="47">
        <f>IF(AND(B1989=Queue!$C$4,OR(Queue!$K$4="*",N1989=Queue!$K$4)),Q1989,"")</f>
        <v/>
      </c>
    </row>
    <row r="1990">
      <c r="A1990" s="38">
        <f>IF(M1990="","",HYPERLINK("https://www.youtube.com/watch?v="&amp;M1990,"▶"))</f>
        <v/>
      </c>
      <c r="B1990" s="39">
        <f>IF(C1990&lt;&gt;"",C1990,IF(P1990&lt;=IFERROR(INDEX(tblChannels[Watched Through],MATCH(N1990,tblChannels[Channel ID],0)),0),"Watched","Unwatched"))</f>
        <v/>
      </c>
      <c r="C1990" s="40" t="n"/>
      <c r="D1990" s="41" t="n"/>
      <c r="E1990" s="42" t="n">
        <v>43431.74027777778</v>
      </c>
      <c r="F1990" s="50" t="inlineStr">
        <is>
          <t>Super Carlin Brothers</t>
        </is>
      </c>
      <c r="G1990" t="inlineStr">
        <is>
          <t>The TRUTH About Professor McGonagall | Fantastic Beasts Theory</t>
        </is>
      </c>
      <c r="H1990" s="44" t="n">
        <v>0.01061342592592593</v>
      </c>
      <c r="I1990" s="45" t="n">
        <v>1234632</v>
      </c>
      <c r="J1990" s="45" t="n">
        <v>36004</v>
      </c>
      <c r="K1990" s="45" t="n">
        <v>6785</v>
      </c>
      <c r="L1990" s="46" t="n"/>
      <c r="M1990" s="47" t="n"/>
      <c r="N1990" s="47" t="inlineStr">
        <is>
          <t>UCKZo4N0lVPccBkSiuyVh4yg</t>
        </is>
      </c>
      <c r="O1990" s="48" t="n">
        <v>43431.94861111111</v>
      </c>
      <c r="P1990" s="49" t="n">
        <v>43431</v>
      </c>
      <c r="Q1990" s="47" t="n">
        <v>1278</v>
      </c>
      <c r="R1990" s="47" t="inlineStr">
        <is>
          <t>No Video ID yet</t>
        </is>
      </c>
      <c r="S1990" s="49" t="n"/>
      <c r="T1990" s="49" t="n"/>
      <c r="U1990" s="47" t="inlineStr">
        <is>
          <t>Get 20% Off your Loot Crate order at :: Promo Code: CARLIN Today J dives into the Wizarding World of Harry Potter to discuss the origins of Professor McGonagall and how on Earth she was even able to appear in Fantastic Beasts The Crimes of Grindelwald when she shouldnt even be born yet!</t>
        </is>
      </c>
      <c r="V1990" s="47">
        <f>IF(AND(P1990&gt;=Calendar!$K$2,P1990&lt;EDATE(Calendar!$K$2,1),OR(Calendar!$K$4="*",N1990=Calendar!$K$4)),P1990*100+COUNTIFS($P$6:$P$3267,P1990,$Q$6:$Q$3267,"&lt;="&amp;Q1990,$N$6:$N$3267,Calendar!$K$4),"")</f>
        <v/>
      </c>
      <c r="W1990" s="47">
        <f>IF(AND(B1990=Queue!$C$4,OR(Queue!$K$4="*",N1990=Queue!$K$4)),Q1990,"")</f>
        <v/>
      </c>
    </row>
    <row r="1991">
      <c r="A1991" s="38">
        <f>IF(M1991="","",HYPERLINK("https://www.youtube.com/watch?v="&amp;M1991,"▶"))</f>
        <v/>
      </c>
      <c r="B1991" s="39">
        <f>IF(C1991&lt;&gt;"",C1991,IF(P1991&lt;=IFERROR(INDEX(tblChannels[Watched Through],MATCH(N1991,tblChannels[Channel ID],0)),0),"Watched","Unwatched"))</f>
        <v/>
      </c>
      <c r="C1991" s="40" t="n"/>
      <c r="D1991" s="41" t="n"/>
      <c r="E1991" s="42" t="n">
        <v>43430.62430555555</v>
      </c>
      <c r="F1991" s="52" t="inlineStr">
        <is>
          <t>Super Carlin Gaming</t>
        </is>
      </c>
      <c r="G1991" t="inlineStr">
        <is>
          <t>Starting Self-Employment | Rocket League #75</t>
        </is>
      </c>
      <c r="H1991" s="44" t="n">
        <v>0.01399305555555556</v>
      </c>
      <c r="I1991" s="45" t="n">
        <v>2714</v>
      </c>
      <c r="J1991" s="45" t="n">
        <v>173</v>
      </c>
      <c r="K1991" s="45" t="n">
        <v>44</v>
      </c>
      <c r="L1991" s="46" t="n"/>
      <c r="M1991" s="47" t="n"/>
      <c r="N1991" s="47" t="inlineStr">
        <is>
          <t>UCor_9jRnNNZVzTuQ92PKsaQ</t>
        </is>
      </c>
      <c r="O1991" s="48" t="n">
        <v>43430.83263888889</v>
      </c>
      <c r="P1991" s="49" t="n">
        <v>43430</v>
      </c>
      <c r="Q1991" s="47" t="n">
        <v>1277</v>
      </c>
      <c r="R1991" s="47" t="inlineStr">
        <is>
          <t>No Video ID yet</t>
        </is>
      </c>
      <c r="S1991" s="49" t="n"/>
      <c r="T1991" s="49" t="n"/>
      <c r="U1991" s="47" t="inlineStr">
        <is>
          <t>J, Ben, &amp; DK enter the Rocket League Coliseum as the Chudley Cannons and try and win their way to the league championship!</t>
        </is>
      </c>
      <c r="V1991" s="47">
        <f>IF(AND(P1991&gt;=Calendar!$K$2,P1991&lt;EDATE(Calendar!$K$2,1),OR(Calendar!$K$4="*",N1991=Calendar!$K$4)),P1991*100+COUNTIFS($P$6:$P$3267,P1991,$Q$6:$Q$3267,"&lt;="&amp;Q1991,$N$6:$N$3267,Calendar!$K$4),"")</f>
        <v/>
      </c>
      <c r="W1991" s="47">
        <f>IF(AND(B1991=Queue!$C$4,OR(Queue!$K$4="*",N1991=Queue!$K$4)),Q1991,"")</f>
        <v/>
      </c>
    </row>
    <row r="1992">
      <c r="A1992" s="38">
        <f>IF(M1992="","",HYPERLINK("https://www.youtube.com/watch?v="&amp;M1992,"▶"))</f>
        <v/>
      </c>
      <c r="B1992" s="39">
        <f>IF(C1992&lt;&gt;"",C1992,IF(P1992&lt;=IFERROR(INDEX(tblChannels[Watched Through],MATCH(N1992,tblChannels[Channel ID],0)),0),"Watched","Unwatched"))</f>
        <v/>
      </c>
      <c r="C1992" s="40" t="n"/>
      <c r="D1992" s="41" t="n"/>
      <c r="E1992" s="42" t="n">
        <v>43430.43263888889</v>
      </c>
      <c r="F1992" s="53" t="inlineStr">
        <is>
          <t>Jonathan Carlin</t>
        </is>
      </c>
      <c r="G1992" t="inlineStr">
        <is>
          <t>BEN TURNS 29!</t>
        </is>
      </c>
      <c r="H1992" s="44" t="n">
        <v>0.008414351851851852</v>
      </c>
      <c r="I1992" s="45" t="n">
        <v>53648</v>
      </c>
      <c r="J1992" s="45" t="n">
        <v>2362</v>
      </c>
      <c r="K1992" s="45" t="n">
        <v>298</v>
      </c>
      <c r="L1992" s="46" t="n"/>
      <c r="M1992" s="47" t="n"/>
      <c r="N1992" s="47" t="inlineStr">
        <is>
          <t>UCYPKFe86e6nm4TVUYKLsFUQ</t>
        </is>
      </c>
      <c r="O1992" s="48" t="n">
        <v>43430.64097222222</v>
      </c>
      <c r="P1992" s="49" t="n">
        <v>43430</v>
      </c>
      <c r="Q1992" s="47" t="n">
        <v>1276</v>
      </c>
      <c r="R1992" s="47" t="inlineStr">
        <is>
          <t>No Video ID yet</t>
        </is>
      </c>
      <c r="S1992" s="49" t="n"/>
      <c r="T1992" s="49" t="n"/>
      <c r="U1992" s="47" t="inlineStr">
        <is>
          <t>This week J and the rest of the fam try and recharge their batteries, but are met with LOTS to do including Ben's Birthday, Halloween Parties and Pumpkin painting parties!</t>
        </is>
      </c>
      <c r="V1992" s="47">
        <f>IF(AND(P1992&gt;=Calendar!$K$2,P1992&lt;EDATE(Calendar!$K$2,1),OR(Calendar!$K$4="*",N1992=Calendar!$K$4)),P1992*100+COUNTIFS($P$6:$P$3267,P1992,$Q$6:$Q$3267,"&lt;="&amp;Q1992,$N$6:$N$3267,Calendar!$K$4),"")</f>
        <v/>
      </c>
      <c r="W1992" s="47">
        <f>IF(AND(B1992=Queue!$C$4,OR(Queue!$K$4="*",N1992=Queue!$K$4)),Q1992,"")</f>
        <v/>
      </c>
    </row>
    <row r="1993">
      <c r="A1993" s="38">
        <f>IF(M1993="","",HYPERLINK("https://www.youtube.com/watch?v="&amp;M1993,"▶"))</f>
        <v/>
      </c>
      <c r="B1993" s="39">
        <f>IF(C1993&lt;&gt;"",C1993,IF(P1993&lt;=IFERROR(INDEX(tblChannels[Watched Through],MATCH(N1993,tblChannels[Channel ID],0)),0),"Watched","Unwatched"))</f>
        <v/>
      </c>
      <c r="C1993" s="40" t="n"/>
      <c r="D1993" s="41" t="n"/>
      <c r="E1993" s="42" t="n">
        <v>43426.54166666666</v>
      </c>
      <c r="F1993" s="50" t="inlineStr">
        <is>
          <t>Super Carlin Brothers</t>
        </is>
      </c>
      <c r="G1993" t="inlineStr">
        <is>
          <t>J vs Ben: MOST Expensive Harry Potter Merch | GAME</t>
        </is>
      </c>
      <c r="H1993" s="44" t="n">
        <v>0.01891203703703704</v>
      </c>
      <c r="I1993" s="45" t="n">
        <v>815854</v>
      </c>
      <c r="J1993" s="45" t="n">
        <v>18732</v>
      </c>
      <c r="K1993" s="45" t="n">
        <v>2244</v>
      </c>
      <c r="L1993" s="46" t="n"/>
      <c r="M1993" s="47" t="n"/>
      <c r="N1993" s="47" t="inlineStr">
        <is>
          <t>UCKZo4N0lVPccBkSiuyVh4yg</t>
        </is>
      </c>
      <c r="O1993" s="48" t="n">
        <v>43426.75</v>
      </c>
      <c r="P1993" s="49" t="n">
        <v>43426</v>
      </c>
      <c r="Q1993" s="47" t="n">
        <v>1275</v>
      </c>
      <c r="R1993" s="47" t="inlineStr">
        <is>
          <t>No Video ID yet</t>
        </is>
      </c>
      <c r="S1993" s="49" t="n"/>
      <c r="T1993" s="49" t="n"/>
      <c r="U1993" s="47" t="inlineStr">
        <is>
          <t>Happy Thanksgiving! Today J and Ben Face off and try to guess the exact price of various Harry Potter merch. Feel free to play along with us and see if you can out score us!</t>
        </is>
      </c>
      <c r="V1993" s="47">
        <f>IF(AND(P1993&gt;=Calendar!$K$2,P1993&lt;EDATE(Calendar!$K$2,1),OR(Calendar!$K$4="*",N1993=Calendar!$K$4)),P1993*100+COUNTIFS($P$6:$P$3267,P1993,$Q$6:$Q$3267,"&lt;="&amp;Q1993,$N$6:$N$3267,Calendar!$K$4),"")</f>
        <v/>
      </c>
      <c r="W1993" s="47">
        <f>IF(AND(B1993=Queue!$C$4,OR(Queue!$K$4="*",N1993=Queue!$K$4)),Q1993,"")</f>
        <v/>
      </c>
    </row>
    <row r="1994">
      <c r="A1994" s="38">
        <f>IF(M1994="","",HYPERLINK("https://www.youtube.com/watch?v="&amp;M1994,"▶"))</f>
        <v/>
      </c>
      <c r="B1994" s="39">
        <f>IF(C1994&lt;&gt;"",C1994,IF(P1994&lt;=IFERROR(INDEX(tblChannels[Watched Through],MATCH(N1994,tblChannels[Channel ID],0)),0),"Watched","Unwatched"))</f>
        <v/>
      </c>
      <c r="C1994" s="40" t="n"/>
      <c r="D1994" s="41" t="n"/>
      <c r="E1994" s="42" t="n">
        <v>43424.73194444444</v>
      </c>
      <c r="F1994" s="50" t="inlineStr">
        <is>
          <t>Super Carlin Brothers</t>
        </is>
      </c>
      <c r="G1994" t="inlineStr">
        <is>
          <t>Fantastic Beasts: Crimes Of Grindelwald Spoiler REVIEW</t>
        </is>
      </c>
      <c r="H1994" s="44" t="n">
        <v>0.04378472222222222</v>
      </c>
      <c r="I1994" s="45" t="n">
        <v>1383936</v>
      </c>
      <c r="J1994" s="45" t="n">
        <v>27726</v>
      </c>
      <c r="K1994" s="45" t="n">
        <v>9526</v>
      </c>
      <c r="L1994" s="46" t="n"/>
      <c r="M1994" s="47" t="n"/>
      <c r="N1994" s="47" t="inlineStr">
        <is>
          <t>UCKZo4N0lVPccBkSiuyVh4yg</t>
        </is>
      </c>
      <c r="O1994" s="48" t="n">
        <v>43424.94027777778</v>
      </c>
      <c r="P1994" s="49" t="n">
        <v>43424</v>
      </c>
      <c r="Q1994" s="47" t="n">
        <v>1274</v>
      </c>
      <c r="R1994" s="47" t="inlineStr">
        <is>
          <t>No Video ID yet</t>
        </is>
      </c>
      <c r="S1994" s="49" t="n"/>
      <c r="T1994" s="49" t="n"/>
      <c r="U1994" s="47" t="inlineStr">
        <is>
          <t>Vincero's EPIC Pre-Black Friday SALE :: Today J and Ben dive DEEP into the world of Fantastic Beasts: The Crimes of Grindelwald to give their full SPOILER Review of the movie. Have you seen it? What did you think??</t>
        </is>
      </c>
      <c r="V1994" s="47">
        <f>IF(AND(P1994&gt;=Calendar!$K$2,P1994&lt;EDATE(Calendar!$K$2,1),OR(Calendar!$K$4="*",N1994=Calendar!$K$4)),P1994*100+COUNTIFS($P$6:$P$3267,P1994,$Q$6:$Q$3267,"&lt;="&amp;Q1994,$N$6:$N$3267,Calendar!$K$4),"")</f>
        <v/>
      </c>
      <c r="W1994" s="47">
        <f>IF(AND(B1994=Queue!$C$4,OR(Queue!$K$4="*",N1994=Queue!$K$4)),Q1994,"")</f>
        <v/>
      </c>
    </row>
    <row r="1995">
      <c r="A1995" s="38">
        <f>IF(M1995="","",HYPERLINK("https://www.youtube.com/watch?v="&amp;M1995,"▶"))</f>
        <v/>
      </c>
      <c r="B1995" s="39">
        <f>IF(C1995&lt;&gt;"",C1995,IF(P1995&lt;=IFERROR(INDEX(tblChannels[Watched Through],MATCH(N1995,tblChannels[Channel ID],0)),0),"Watched","Unwatched"))</f>
        <v/>
      </c>
      <c r="C1995" s="40" t="n"/>
      <c r="D1995" s="41" t="n"/>
      <c r="E1995" s="42" t="n">
        <v>43423.58333333334</v>
      </c>
      <c r="F1995" s="53" t="inlineStr">
        <is>
          <t>Jonathan Carlin</t>
        </is>
      </c>
      <c r="G1995" t="inlineStr">
        <is>
          <t>SURVIVING A 12 HOUR TWITCH STREAM</t>
        </is>
      </c>
      <c r="H1995" s="44" t="n">
        <v>0.00681712962962963</v>
      </c>
      <c r="I1995" s="45" t="n">
        <v>29106</v>
      </c>
      <c r="J1995" s="45" t="n">
        <v>1463</v>
      </c>
      <c r="K1995" s="45" t="n">
        <v>155</v>
      </c>
      <c r="L1995" s="46" t="n"/>
      <c r="M1995" s="47" t="n"/>
      <c r="N1995" s="47" t="inlineStr">
        <is>
          <t>UCYPKFe86e6nm4TVUYKLsFUQ</t>
        </is>
      </c>
      <c r="O1995" s="48" t="n">
        <v>43423.79166666666</v>
      </c>
      <c r="P1995" s="49" t="n">
        <v>43423</v>
      </c>
      <c r="Q1995" s="47" t="n">
        <v>1273</v>
      </c>
      <c r="R1995" s="47" t="inlineStr">
        <is>
          <t>No Video ID yet</t>
        </is>
      </c>
      <c r="S1995" s="49" t="n"/>
      <c r="T1995" s="49" t="n"/>
      <c r="U1995" s="47" t="inlineStr">
        <is>
          <t>This week J and Ben are very busy with various projects, including an Angry Birds Voice over, recording an episode of Fantastic Geeks and Where to Find Them and enduring a 12 Hour Twitch Stream! Twitch :: Twitch.TV/SuperCarlinBrothers Fantastic Geeks &amp; Where To Find Them :: Angry Birds VO ::</t>
        </is>
      </c>
      <c r="V1995" s="47">
        <f>IF(AND(P1995&gt;=Calendar!$K$2,P1995&lt;EDATE(Calendar!$K$2,1),OR(Calendar!$K$4="*",N1995=Calendar!$K$4)),P1995*100+COUNTIFS($P$6:$P$3267,P1995,$Q$6:$Q$3267,"&lt;="&amp;Q1995,$N$6:$N$3267,Calendar!$K$4),"")</f>
        <v/>
      </c>
      <c r="W1995" s="47">
        <f>IF(AND(B1995=Queue!$C$4,OR(Queue!$K$4="*",N1995=Queue!$K$4)),Q1995,"")</f>
        <v/>
      </c>
    </row>
    <row r="1996">
      <c r="A1996" s="38">
        <f>IF(M1996="","",HYPERLINK("https://www.youtube.com/watch?v="&amp;M1996,"▶"))</f>
        <v/>
      </c>
      <c r="B1996" s="39">
        <f>IF(C1996&lt;&gt;"",C1996,IF(P1996&lt;=IFERROR(INDEX(tblChannels[Watched Through],MATCH(N1996,tblChannels[Channel ID],0)),0),"Watched","Unwatched"))</f>
        <v/>
      </c>
      <c r="C1996" s="40" t="n"/>
      <c r="D1996" s="41" t="n"/>
      <c r="E1996" s="42" t="n">
        <v>43420.4375</v>
      </c>
      <c r="F1996" s="52" t="inlineStr">
        <is>
          <t>Super Carlin Gaming</t>
        </is>
      </c>
      <c r="G1996" t="inlineStr">
        <is>
          <t>Singing Confidently | Rocket League #74</t>
        </is>
      </c>
      <c r="H1996" s="44" t="n">
        <v>0.01467592592592593</v>
      </c>
      <c r="I1996" s="45" t="n">
        <v>3273</v>
      </c>
      <c r="J1996" s="45" t="n">
        <v>164</v>
      </c>
      <c r="K1996" s="45" t="n">
        <v>58</v>
      </c>
      <c r="L1996" s="46" t="n"/>
      <c r="M1996" s="47" t="n"/>
      <c r="N1996" s="47" t="inlineStr">
        <is>
          <t>UCor_9jRnNNZVzTuQ92PKsaQ</t>
        </is>
      </c>
      <c r="O1996" s="48" t="n">
        <v>43420.64583333334</v>
      </c>
      <c r="P1996" s="49" t="n">
        <v>43420</v>
      </c>
      <c r="Q1996" s="47" t="n">
        <v>1272</v>
      </c>
      <c r="R1996" s="47" t="inlineStr">
        <is>
          <t>No Video ID yet</t>
        </is>
      </c>
      <c r="S1996" s="49" t="n"/>
      <c r="T1996" s="49" t="n"/>
      <c r="U1996" s="47" t="inlineStr">
        <is>
          <t>J, Ben, &amp; DK enter the Rocket League Coliseum as the Chudley Cannons and try and win their way to the league championship!</t>
        </is>
      </c>
      <c r="V1996" s="47">
        <f>IF(AND(P1996&gt;=Calendar!$K$2,P1996&lt;EDATE(Calendar!$K$2,1),OR(Calendar!$K$4="*",N1996=Calendar!$K$4)),P1996*100+COUNTIFS($P$6:$P$3267,P1996,$Q$6:$Q$3267,"&lt;="&amp;Q1996,$N$6:$N$3267,Calendar!$K$4),"")</f>
        <v/>
      </c>
      <c r="W1996" s="47">
        <f>IF(AND(B1996=Queue!$C$4,OR(Queue!$K$4="*",N1996=Queue!$K$4)),Q1996,"")</f>
        <v/>
      </c>
    </row>
    <row r="1997">
      <c r="A1997" s="38">
        <f>IF(M1997="","",HYPERLINK("https://www.youtube.com/watch?v="&amp;M1997,"▶"))</f>
        <v/>
      </c>
      <c r="B1997" s="39">
        <f>IF(C1997&lt;&gt;"",C1997,IF(P1997&lt;=IFERROR(INDEX(tblChannels[Watched Through],MATCH(N1997,tblChannels[Channel ID],0)),0),"Watched","Unwatched"))</f>
        <v/>
      </c>
      <c r="C1997" s="40" t="n"/>
      <c r="D1997" s="41" t="n"/>
      <c r="E1997" s="42" t="n">
        <v>43419.68402777778</v>
      </c>
      <c r="F1997" s="50" t="inlineStr">
        <is>
          <t>Super Carlin Brothers</t>
        </is>
      </c>
      <c r="G1997" t="inlineStr">
        <is>
          <t>J vs Ben: ULTIMATE Fantastic Beasts Quiz</t>
        </is>
      </c>
      <c r="H1997" s="44" t="n">
        <v>0.02246527777777778</v>
      </c>
      <c r="I1997" s="45" t="n">
        <v>553725</v>
      </c>
      <c r="J1997" s="45" t="n">
        <v>12427</v>
      </c>
      <c r="K1997" s="45" t="n">
        <v>1752</v>
      </c>
      <c r="L1997" s="46" t="n"/>
      <c r="M1997" s="47" t="n"/>
      <c r="N1997" s="47" t="inlineStr">
        <is>
          <t>UCKZo4N0lVPccBkSiuyVh4yg</t>
        </is>
      </c>
      <c r="O1997" s="48" t="n">
        <v>43419.89236111111</v>
      </c>
      <c r="P1997" s="49" t="n">
        <v>43419</v>
      </c>
      <c r="Q1997" s="47" t="n">
        <v>1271</v>
      </c>
      <c r="R1997" s="47" t="inlineStr">
        <is>
          <t>No Video ID yet</t>
        </is>
      </c>
      <c r="S1997" s="49" t="n"/>
      <c r="T1997" s="49" t="n"/>
      <c r="U1997" s="47" t="inlineStr">
        <is>
          <t>Play along with us! :: Today J and Ben face off in the ultimate Fantastic Beasts quiz to find out who knows more about the Wizarding Worlds and all of the amazingly magical creatures in it! Also sorry for the sound quality, we had some technical issues with our mic's that DK was able to spin has magic on but it still may sound a lil different than usual - Hope you enjoy!</t>
        </is>
      </c>
      <c r="V1997" s="47">
        <f>IF(AND(P1997&gt;=Calendar!$K$2,P1997&lt;EDATE(Calendar!$K$2,1),OR(Calendar!$K$4="*",N1997=Calendar!$K$4)),P1997*100+COUNTIFS($P$6:$P$3267,P1997,$Q$6:$Q$3267,"&lt;="&amp;Q1997,$N$6:$N$3267,Calendar!$K$4),"")</f>
        <v/>
      </c>
      <c r="W1997" s="47">
        <f>IF(AND(B1997=Queue!$C$4,OR(Queue!$K$4="*",N1997=Queue!$K$4)),Q1997,"")</f>
        <v/>
      </c>
    </row>
    <row r="1998">
      <c r="A1998" s="38">
        <f>IF(M1998="","",HYPERLINK("https://www.youtube.com/watch?v="&amp;M1998,"▶"))</f>
        <v/>
      </c>
      <c r="B1998" s="39">
        <f>IF(C1998&lt;&gt;"",C1998,IF(P1998&lt;=IFERROR(INDEX(tblChannels[Watched Through],MATCH(N1998,tblChannels[Channel ID],0)),0),"Watched","Unwatched"))</f>
        <v/>
      </c>
      <c r="C1998" s="40" t="n"/>
      <c r="D1998" s="41" t="n"/>
      <c r="E1998" s="42" t="n">
        <v>43418.4375</v>
      </c>
      <c r="F1998" s="52" t="inlineStr">
        <is>
          <t>Super Carlin Gaming</t>
        </is>
      </c>
      <c r="G1998" t="inlineStr">
        <is>
          <t>More Girly Than Me? | Rocket League #73</t>
        </is>
      </c>
      <c r="H1998" s="44" t="n">
        <v>0.01319444444444444</v>
      </c>
      <c r="I1998" s="45" t="n">
        <v>3019</v>
      </c>
      <c r="J1998" s="45" t="n">
        <v>173</v>
      </c>
      <c r="K1998" s="45" t="n">
        <v>53</v>
      </c>
      <c r="L1998" s="46" t="n"/>
      <c r="M1998" s="47" t="n"/>
      <c r="N1998" s="47" t="inlineStr">
        <is>
          <t>UCor_9jRnNNZVzTuQ92PKsaQ</t>
        </is>
      </c>
      <c r="O1998" s="48" t="n">
        <v>43418.64583333334</v>
      </c>
      <c r="P1998" s="49" t="n">
        <v>43418</v>
      </c>
      <c r="Q1998" s="47" t="n">
        <v>1270</v>
      </c>
      <c r="R1998" s="47" t="inlineStr">
        <is>
          <t>No Video ID yet</t>
        </is>
      </c>
      <c r="S1998" s="49" t="n"/>
      <c r="T1998" s="49" t="n"/>
      <c r="U1998" s="47" t="inlineStr">
        <is>
          <t>J, Ben, &amp; DK enter the Rocket League Coliseum as the Chudley Cannons and try and win their way to the league championship!</t>
        </is>
      </c>
      <c r="V1998" s="47">
        <f>IF(AND(P1998&gt;=Calendar!$K$2,P1998&lt;EDATE(Calendar!$K$2,1),OR(Calendar!$K$4="*",N1998=Calendar!$K$4)),P1998*100+COUNTIFS($P$6:$P$3267,P1998,$Q$6:$Q$3267,"&lt;="&amp;Q1998,$N$6:$N$3267,Calendar!$K$4),"")</f>
        <v/>
      </c>
      <c r="W1998" s="47">
        <f>IF(AND(B1998=Queue!$C$4,OR(Queue!$K$4="*",N1998=Queue!$K$4)),Q1998,"")</f>
        <v/>
      </c>
    </row>
    <row r="1999">
      <c r="A1999" s="38">
        <f>IF(M1999="","",HYPERLINK("https://www.youtube.com/watch?v="&amp;M1999,"▶"))</f>
        <v/>
      </c>
      <c r="B1999" s="39">
        <f>IF(C1999&lt;&gt;"",C1999,IF(P1999&lt;=IFERROR(INDEX(tblChannels[Watched Through],MATCH(N1999,tblChannels[Channel ID],0)),0),"Watched","Unwatched"))</f>
        <v/>
      </c>
      <c r="C1999" s="40" t="n"/>
      <c r="D1999" s="41" t="n"/>
      <c r="E1999" s="42" t="n">
        <v>43417.81180555555</v>
      </c>
      <c r="F1999" s="50" t="inlineStr">
        <is>
          <t>Super Carlin Brothers</t>
        </is>
      </c>
      <c r="G1999" t="inlineStr">
        <is>
          <t>How Is Forky Alive? | Toy Story 4</t>
        </is>
      </c>
      <c r="H1999" s="44" t="n">
        <v>0.008483796296296297</v>
      </c>
      <c r="I1999" s="45" t="n">
        <v>1066805</v>
      </c>
      <c r="J1999" s="45" t="n">
        <v>28690</v>
      </c>
      <c r="K1999" s="45" t="n">
        <v>4462</v>
      </c>
      <c r="L1999" s="46" t="n"/>
      <c r="M1999" s="47" t="n"/>
      <c r="N1999" s="47" t="inlineStr">
        <is>
          <t>UCKZo4N0lVPccBkSiuyVh4yg</t>
        </is>
      </c>
      <c r="O1999" s="48" t="n">
        <v>43418.02013888889</v>
      </c>
      <c r="P1999" s="49" t="n">
        <v>43417</v>
      </c>
      <c r="Q1999" s="47" t="n">
        <v>1269</v>
      </c>
      <c r="R1999" s="47" t="inlineStr">
        <is>
          <t>No Video ID yet</t>
        </is>
      </c>
      <c r="S1999" s="49" t="n"/>
      <c r="T1999" s="49" t="n"/>
      <c r="U1999" s="47" t="inlineStr">
        <is>
          <t>Googly Eyes: Get Your Carlin Brothers Coffee TODAY: CarlinBrothersCoffee.com Today J dives into the world of Pixar’s Toy Story 4 to discuss the latest teaser trailer and find out how the newest character “Forky” is able to come to life despite just being a spork AND if he has any connections to the toys previous owner..</t>
        </is>
      </c>
      <c r="V1999" s="47">
        <f>IF(AND(P1999&gt;=Calendar!$K$2,P1999&lt;EDATE(Calendar!$K$2,1),OR(Calendar!$K$4="*",N1999=Calendar!$K$4)),P1999*100+COUNTIFS($P$6:$P$3267,P1999,$Q$6:$Q$3267,"&lt;="&amp;Q1999,$N$6:$N$3267,Calendar!$K$4),"")</f>
        <v/>
      </c>
      <c r="W1999" s="47">
        <f>IF(AND(B1999=Queue!$C$4,OR(Queue!$K$4="*",N1999=Queue!$K$4)),Q1999,"")</f>
        <v/>
      </c>
    </row>
    <row r="2000">
      <c r="A2000" s="38">
        <f>IF(M2000="","",HYPERLINK("https://www.youtube.com/watch?v="&amp;M2000,"▶"))</f>
        <v/>
      </c>
      <c r="B2000" s="39">
        <f>IF(C2000&lt;&gt;"",C2000,IF(P2000&lt;=IFERROR(INDEX(tblChannels[Watched Through],MATCH(N2000,tblChannels[Channel ID],0)),0),"Watched","Unwatched"))</f>
        <v/>
      </c>
      <c r="C2000" s="40" t="n"/>
      <c r="D2000" s="41" t="n"/>
      <c r="E2000" s="42" t="n">
        <v>43417.57847222222</v>
      </c>
      <c r="F2000" s="53" t="inlineStr">
        <is>
          <t>Jonathan Carlin</t>
        </is>
      </c>
      <c r="G2000" t="inlineStr">
        <is>
          <t>BEER MILE 2!</t>
        </is>
      </c>
      <c r="H2000" s="44" t="n">
        <v>0.004722222222222222</v>
      </c>
      <c r="I2000" s="45" t="n">
        <v>19732</v>
      </c>
      <c r="J2000" s="45" t="n">
        <v>1201</v>
      </c>
      <c r="K2000" s="45" t="n">
        <v>108</v>
      </c>
      <c r="L2000" s="46" t="n"/>
      <c r="M2000" s="47" t="n"/>
      <c r="N2000" s="47" t="inlineStr">
        <is>
          <t>UCYPKFe86e6nm4TVUYKLsFUQ</t>
        </is>
      </c>
      <c r="O2000" s="48" t="n">
        <v>43417.78680555556</v>
      </c>
      <c r="P2000" s="49" t="n">
        <v>43417</v>
      </c>
      <c r="Q2000" s="47" t="n">
        <v>1268</v>
      </c>
      <c r="R2000" s="47" t="inlineStr">
        <is>
          <t>No Video ID yet</t>
        </is>
      </c>
      <c r="S2000" s="49" t="n"/>
      <c r="T2000" s="49" t="n"/>
      <c r="U2000" s="47" t="inlineStr">
        <is>
          <t>Has it been a whole year already?? YES - This week J and the Beer Mile crew return to Go Fest to race for the title - Can they win?! Also Roanoke suffers some heavy rain and Ben hangs on stuff.</t>
        </is>
      </c>
      <c r="V2000" s="47">
        <f>IF(AND(P2000&gt;=Calendar!$K$2,P2000&lt;EDATE(Calendar!$K$2,1),OR(Calendar!$K$4="*",N2000=Calendar!$K$4)),P2000*100+COUNTIFS($P$6:$P$3267,P2000,$Q$6:$Q$3267,"&lt;="&amp;Q2000,$N$6:$N$3267,Calendar!$K$4),"")</f>
        <v/>
      </c>
      <c r="W2000" s="47">
        <f>IF(AND(B2000=Queue!$C$4,OR(Queue!$K$4="*",N2000=Queue!$K$4)),Q2000,"")</f>
        <v/>
      </c>
    </row>
    <row r="2001">
      <c r="A2001" s="38">
        <f>IF(M2001="","",HYPERLINK("https://www.youtube.com/watch?v="&amp;M2001,"▶"))</f>
        <v/>
      </c>
      <c r="B2001" s="39">
        <f>IF(C2001&lt;&gt;"",C2001,IF(P2001&lt;=IFERROR(INDEX(tblChannels[Watched Through],MATCH(N2001,tblChannels[Channel ID],0)),0),"Watched","Unwatched"))</f>
        <v/>
      </c>
      <c r="C2001" s="40" t="n"/>
      <c r="D2001" s="41" t="n"/>
      <c r="E2001" s="42" t="n">
        <v>43416.67430555556</v>
      </c>
      <c r="F2001" s="52" t="inlineStr">
        <is>
          <t>Super Carlin Gaming</t>
        </is>
      </c>
      <c r="G2001" t="inlineStr">
        <is>
          <t>Taking a Gap Year? | Rocket League #72</t>
        </is>
      </c>
      <c r="H2001" s="44" t="n">
        <v>0.01243055555555556</v>
      </c>
      <c r="I2001" s="45" t="n">
        <v>2932</v>
      </c>
      <c r="J2001" s="45" t="n">
        <v>146</v>
      </c>
      <c r="K2001" s="45" t="n">
        <v>68</v>
      </c>
      <c r="L2001" s="46" t="n"/>
      <c r="M2001" s="47" t="n"/>
      <c r="N2001" s="47" t="inlineStr">
        <is>
          <t>UCor_9jRnNNZVzTuQ92PKsaQ</t>
        </is>
      </c>
      <c r="O2001" s="48" t="n">
        <v>43416.88263888889</v>
      </c>
      <c r="P2001" s="49" t="n">
        <v>43416</v>
      </c>
      <c r="Q2001" s="47" t="n">
        <v>1267</v>
      </c>
      <c r="R2001" s="47" t="inlineStr">
        <is>
          <t>No Video ID yet</t>
        </is>
      </c>
      <c r="S2001" s="49" t="n"/>
      <c r="T2001" s="49" t="n"/>
      <c r="U2001" s="47" t="inlineStr">
        <is>
          <t>J, Ben, &amp; DK enter the Rocket League Coliseum as the Chudley Cannons and try and win their way to the league championship!</t>
        </is>
      </c>
      <c r="V2001" s="47">
        <f>IF(AND(P2001&gt;=Calendar!$K$2,P2001&lt;EDATE(Calendar!$K$2,1),OR(Calendar!$K$4="*",N2001=Calendar!$K$4)),P2001*100+COUNTIFS($P$6:$P$3267,P2001,$Q$6:$Q$3267,"&lt;="&amp;Q2001,$N$6:$N$3267,Calendar!$K$4),"")</f>
        <v/>
      </c>
      <c r="W2001" s="47">
        <f>IF(AND(B2001=Queue!$C$4,OR(Queue!$K$4="*",N2001=Queue!$K$4)),Q2001,"")</f>
        <v/>
      </c>
    </row>
    <row r="2002">
      <c r="A2002" s="38">
        <f>IF(M2002="","",HYPERLINK("https://www.youtube.com/watch?v="&amp;M2002,"▶"))</f>
        <v/>
      </c>
      <c r="B2002" s="39">
        <f>IF(C2002&lt;&gt;"",C2002,IF(P2002&lt;=IFERROR(INDEX(tblChannels[Watched Through],MATCH(N2002,tblChannels[Channel ID],0)),0),"Watched","Unwatched"))</f>
        <v/>
      </c>
      <c r="C2002" s="40" t="n"/>
      <c r="D2002" s="41" t="n"/>
      <c r="E2002" s="42" t="n">
        <v>43413.4375</v>
      </c>
      <c r="F2002" s="52" t="inlineStr">
        <is>
          <t>Super Carlin Gaming</t>
        </is>
      </c>
      <c r="G2002" t="inlineStr">
        <is>
          <t>How to Delegate? | Rocket League #71</t>
        </is>
      </c>
      <c r="H2002" s="44" t="n">
        <v>0.0124537037037037</v>
      </c>
      <c r="I2002" s="45" t="n">
        <v>2902</v>
      </c>
      <c r="J2002" s="45" t="n">
        <v>157</v>
      </c>
      <c r="K2002" s="45" t="n">
        <v>64</v>
      </c>
      <c r="L2002" s="46" t="n"/>
      <c r="M2002" s="47" t="n"/>
      <c r="N2002" s="47" t="inlineStr">
        <is>
          <t>UCor_9jRnNNZVzTuQ92PKsaQ</t>
        </is>
      </c>
      <c r="O2002" s="48" t="n">
        <v>43413.64583333334</v>
      </c>
      <c r="P2002" s="49" t="n">
        <v>43413</v>
      </c>
      <c r="Q2002" s="47" t="n">
        <v>1266</v>
      </c>
      <c r="R2002" s="47" t="inlineStr">
        <is>
          <t>No Video ID yet</t>
        </is>
      </c>
      <c r="S2002" s="49" t="n"/>
      <c r="T2002" s="49" t="n"/>
      <c r="U2002" s="47" t="inlineStr">
        <is>
          <t>J, Ben, &amp; DK enter the Rocket League Coliseum as the Chudley Cannons and try and win their way to the league championship!</t>
        </is>
      </c>
      <c r="V2002" s="47">
        <f>IF(AND(P2002&gt;=Calendar!$K$2,P2002&lt;EDATE(Calendar!$K$2,1),OR(Calendar!$K$4="*",N2002=Calendar!$K$4)),P2002*100+COUNTIFS($P$6:$P$3267,P2002,$Q$6:$Q$3267,"&lt;="&amp;Q2002,$N$6:$N$3267,Calendar!$K$4),"")</f>
        <v/>
      </c>
      <c r="W2002" s="47">
        <f>IF(AND(B2002=Queue!$C$4,OR(Queue!$K$4="*",N2002=Queue!$K$4)),Q2002,"")</f>
        <v/>
      </c>
    </row>
    <row r="2003">
      <c r="A2003" s="38">
        <f>IF(M2003="","",HYPERLINK("https://www.youtube.com/watch?v="&amp;M2003,"▶"))</f>
        <v/>
      </c>
      <c r="B2003" s="39">
        <f>IF(C2003&lt;&gt;"",C2003,IF(P2003&lt;=IFERROR(INDEX(tblChannels[Watched Through],MATCH(N2003,tblChannels[Channel ID],0)),0),"Watched","Unwatched"))</f>
        <v/>
      </c>
      <c r="C2003" s="40" t="n"/>
      <c r="D2003" s="41" t="n"/>
      <c r="E2003" s="42" t="n">
        <v>43412.82222222222</v>
      </c>
      <c r="F2003" s="50" t="inlineStr">
        <is>
          <t>Super Carlin Brothers</t>
        </is>
      </c>
      <c r="G2003" t="inlineStr">
        <is>
          <t>Is It Too Soon To Reboot Shrek?</t>
        </is>
      </c>
      <c r="H2003" s="44" t="n">
        <v>0.008715277777777778</v>
      </c>
      <c r="I2003" s="45" t="n">
        <v>535216</v>
      </c>
      <c r="J2003" s="45" t="n">
        <v>18411</v>
      </c>
      <c r="K2003" s="45" t="n">
        <v>3695</v>
      </c>
      <c r="L2003" s="46" t="n"/>
      <c r="M2003" s="47" t="n"/>
      <c r="N2003" s="47" t="inlineStr">
        <is>
          <t>UCKZo4N0lVPccBkSiuyVh4yg</t>
        </is>
      </c>
      <c r="O2003" s="48" t="n">
        <v>43413.03055555555</v>
      </c>
      <c r="P2003" s="49" t="n">
        <v>43412</v>
      </c>
      <c r="Q2003" s="47" t="n">
        <v>1265</v>
      </c>
      <c r="R2003" s="47" t="inlineStr">
        <is>
          <t>No Video ID yet</t>
        </is>
      </c>
      <c r="S2003" s="49" t="n"/>
      <c r="T2003" s="49" t="n"/>
      <c r="U2003" s="47" t="inlineStr">
        <is>
          <t>Today Ben dives into the world of Dreamworks and Illuminations Studios to discuss whether or not Shrek, should get rebooted. Parent's Guide to Discord:</t>
        </is>
      </c>
      <c r="V2003" s="47">
        <f>IF(AND(P2003&gt;=Calendar!$K$2,P2003&lt;EDATE(Calendar!$K$2,1),OR(Calendar!$K$4="*",N2003=Calendar!$K$4)),P2003*100+COUNTIFS($P$6:$P$3267,P2003,$Q$6:$Q$3267,"&lt;="&amp;Q2003,$N$6:$N$3267,Calendar!$K$4),"")</f>
        <v/>
      </c>
      <c r="W2003" s="47">
        <f>IF(AND(B2003=Queue!$C$4,OR(Queue!$K$4="*",N2003=Queue!$K$4)),Q2003,"")</f>
        <v/>
      </c>
    </row>
    <row r="2004">
      <c r="A2004" s="38">
        <f>IF(M2004="","",HYPERLINK("https://www.youtube.com/watch?v="&amp;M2004,"▶"))</f>
        <v/>
      </c>
      <c r="B2004" s="39">
        <f>IF(C2004&lt;&gt;"",C2004,IF(P2004&lt;=IFERROR(INDEX(tblChannels[Watched Through],MATCH(N2004,tblChannels[Channel ID],0)),0),"Watched","Unwatched"))</f>
        <v/>
      </c>
      <c r="C2004" s="40" t="n"/>
      <c r="D2004" s="41" t="n"/>
      <c r="E2004" s="42" t="n">
        <v>43411.71111111111</v>
      </c>
      <c r="F2004" s="52" t="inlineStr">
        <is>
          <t>Super Carlin Gaming</t>
        </is>
      </c>
      <c r="G2004" t="inlineStr">
        <is>
          <t>What to Do with a Frenemy | Rocket League #70</t>
        </is>
      </c>
      <c r="H2004" s="44" t="n">
        <v>0.0147337962962963</v>
      </c>
      <c r="I2004" s="45" t="n">
        <v>3145</v>
      </c>
      <c r="J2004" s="45" t="n">
        <v>173</v>
      </c>
      <c r="K2004" s="45" t="n">
        <v>63</v>
      </c>
      <c r="L2004" s="46" t="n"/>
      <c r="M2004" s="47" t="n"/>
      <c r="N2004" s="47" t="inlineStr">
        <is>
          <t>UCor_9jRnNNZVzTuQ92PKsaQ</t>
        </is>
      </c>
      <c r="O2004" s="48" t="n">
        <v>43411.91944444444</v>
      </c>
      <c r="P2004" s="49" t="n">
        <v>43411</v>
      </c>
      <c r="Q2004" s="47" t="n">
        <v>1264</v>
      </c>
      <c r="R2004" s="47" t="inlineStr">
        <is>
          <t>No Video ID yet</t>
        </is>
      </c>
      <c r="S2004" s="49" t="n"/>
      <c r="T2004" s="49" t="n"/>
      <c r="U2004" s="47" t="inlineStr">
        <is>
          <t>J, Ben, &amp; DK enter the Rocket League Coliseum as the Chudley Cannons and try and win their way to the league championship!</t>
        </is>
      </c>
      <c r="V2004" s="47">
        <f>IF(AND(P2004&gt;=Calendar!$K$2,P2004&lt;EDATE(Calendar!$K$2,1),OR(Calendar!$K$4="*",N2004=Calendar!$K$4)),P2004*100+COUNTIFS($P$6:$P$3267,P2004,$Q$6:$Q$3267,"&lt;="&amp;Q2004,$N$6:$N$3267,Calendar!$K$4),"")</f>
        <v/>
      </c>
      <c r="W2004" s="47">
        <f>IF(AND(B2004=Queue!$C$4,OR(Queue!$K$4="*",N2004=Queue!$K$4)),Q2004,"")</f>
        <v/>
      </c>
    </row>
    <row r="2005">
      <c r="A2005" s="38">
        <f>IF(M2005="","",HYPERLINK("https://www.youtube.com/watch?v="&amp;M2005,"▶"))</f>
        <v/>
      </c>
      <c r="B2005" s="39">
        <f>IF(C2005&lt;&gt;"",C2005,IF(P2005&lt;=IFERROR(INDEX(tblChannels[Watched Through],MATCH(N2005,tblChannels[Channel ID],0)),0),"Watched","Unwatched"))</f>
        <v/>
      </c>
      <c r="C2005" s="40" t="n"/>
      <c r="D2005" s="41" t="n"/>
      <c r="E2005" s="42" t="n">
        <v>43410.76041666666</v>
      </c>
      <c r="F2005" s="50" t="inlineStr">
        <is>
          <t>Super Carlin Brothers</t>
        </is>
      </c>
      <c r="G2005" t="inlineStr">
        <is>
          <t>Top 10 Predictions For Fantastic Beasts: The Crimes Of Grindelwald</t>
        </is>
      </c>
      <c r="H2005" s="44" t="n">
        <v>0.009282407407407408</v>
      </c>
      <c r="I2005" s="45" t="n">
        <v>641414</v>
      </c>
      <c r="J2005" s="45" t="n">
        <v>18408</v>
      </c>
      <c r="K2005" s="45" t="n">
        <v>2987</v>
      </c>
      <c r="L2005" s="46" t="n"/>
      <c r="M2005" s="47" t="n"/>
      <c r="N2005" s="47" t="inlineStr">
        <is>
          <t>UCKZo4N0lVPccBkSiuyVh4yg</t>
        </is>
      </c>
      <c r="O2005" s="48" t="n">
        <v>43410.96875</v>
      </c>
      <c r="P2005" s="49" t="n">
        <v>43410</v>
      </c>
      <c r="Q2005" s="47" t="n">
        <v>1263</v>
      </c>
      <c r="R2005" s="47" t="inlineStr">
        <is>
          <t>No Video ID yet</t>
        </is>
      </c>
      <c r="S2005" s="49" t="n"/>
      <c r="T2005" s="49" t="n"/>
      <c r="U2005" s="47" t="inlineStr">
        <is>
          <t>SCB MEET UP! Come See Fantastic Beasts with us in Orlando on Dec. 1, 2018!! Today J dives into the Wizarding World of Harry Potter to give our final predictions for every easter egg, plot twist and surprise character we think might show up Fantastic Beasts The Crimes of Grindelwald.</t>
        </is>
      </c>
      <c r="V2005" s="47">
        <f>IF(AND(P2005&gt;=Calendar!$K$2,P2005&lt;EDATE(Calendar!$K$2,1),OR(Calendar!$K$4="*",N2005=Calendar!$K$4)),P2005*100+COUNTIFS($P$6:$P$3267,P2005,$Q$6:$Q$3267,"&lt;="&amp;Q2005,$N$6:$N$3267,Calendar!$K$4),"")</f>
        <v/>
      </c>
      <c r="W2005" s="47">
        <f>IF(AND(B2005=Queue!$C$4,OR(Queue!$K$4="*",N2005=Queue!$K$4)),Q2005,"")</f>
        <v/>
      </c>
    </row>
    <row r="2006">
      <c r="A2006" s="38">
        <f>IF(M2006="","",HYPERLINK("https://www.youtube.com/watch?v="&amp;M2006,"▶"))</f>
        <v/>
      </c>
      <c r="B2006" s="39">
        <f>IF(C2006&lt;&gt;"",C2006,IF(P2006&lt;=IFERROR(INDEX(tblChannels[Watched Through],MATCH(N2006,tblChannels[Channel ID],0)),0),"Watched","Unwatched"))</f>
        <v/>
      </c>
      <c r="C2006" s="40" t="n"/>
      <c r="D2006" s="41" t="n"/>
      <c r="E2006" s="42" t="n">
        <v>43409.62638888889</v>
      </c>
      <c r="F2006" s="52" t="inlineStr">
        <is>
          <t>Super Carlin Gaming</t>
        </is>
      </c>
      <c r="G2006" t="inlineStr">
        <is>
          <t>Theatre vs. Archery | Rocket League #69</t>
        </is>
      </c>
      <c r="H2006" s="44" t="n">
        <v>0.01305555555555556</v>
      </c>
      <c r="I2006" s="45" t="n">
        <v>3130</v>
      </c>
      <c r="J2006" s="45" t="n">
        <v>173</v>
      </c>
      <c r="K2006" s="45" t="n">
        <v>63</v>
      </c>
      <c r="L2006" s="46" t="n"/>
      <c r="M2006" s="47" t="n"/>
      <c r="N2006" s="47" t="inlineStr">
        <is>
          <t>UCor_9jRnNNZVzTuQ92PKsaQ</t>
        </is>
      </c>
      <c r="O2006" s="48" t="n">
        <v>43409.83472222222</v>
      </c>
      <c r="P2006" s="49" t="n">
        <v>43409</v>
      </c>
      <c r="Q2006" s="47" t="n">
        <v>1262</v>
      </c>
      <c r="R2006" s="47" t="inlineStr">
        <is>
          <t>No Video ID yet</t>
        </is>
      </c>
      <c r="S2006" s="49" t="n"/>
      <c r="T2006" s="49" t="n"/>
      <c r="U2006" s="47" t="inlineStr">
        <is>
          <t>J, Ben, &amp; DK enter the Rocket League Coliseum as the Chudley Cannons and try and win their way to the league championship!</t>
        </is>
      </c>
      <c r="V2006" s="47">
        <f>IF(AND(P2006&gt;=Calendar!$K$2,P2006&lt;EDATE(Calendar!$K$2,1),OR(Calendar!$K$4="*",N2006=Calendar!$K$4)),P2006*100+COUNTIFS($P$6:$P$3267,P2006,$Q$6:$Q$3267,"&lt;="&amp;Q2006,$N$6:$N$3267,Calendar!$K$4),"")</f>
        <v/>
      </c>
      <c r="W2006" s="47">
        <f>IF(AND(B2006=Queue!$C$4,OR(Queue!$K$4="*",N2006=Queue!$K$4)),Q2006,"")</f>
        <v/>
      </c>
    </row>
    <row r="2007">
      <c r="A2007" s="38">
        <f>IF(M2007="","",HYPERLINK("https://www.youtube.com/watch?v="&amp;M2007,"▶"))</f>
        <v/>
      </c>
      <c r="B2007" s="39">
        <f>IF(C2007&lt;&gt;"",C2007,IF(P2007&lt;=IFERROR(INDEX(tblChannels[Watched Through],MATCH(N2007,tblChannels[Channel ID],0)),0),"Watched","Unwatched"))</f>
        <v/>
      </c>
      <c r="C2007" s="40" t="n"/>
      <c r="D2007" s="41" t="n"/>
      <c r="E2007" s="42" t="n">
        <v>43409.59791666667</v>
      </c>
      <c r="F2007" s="53" t="inlineStr">
        <is>
          <t>Jonathan Carlin</t>
        </is>
      </c>
      <c r="G2007" t="inlineStr">
        <is>
          <t>SURVIVING THE DISNEY HANGOVER</t>
        </is>
      </c>
      <c r="H2007" s="44" t="n">
        <v>0.008958333333333334</v>
      </c>
      <c r="I2007" s="45" t="n">
        <v>50995</v>
      </c>
      <c r="J2007" s="45" t="n">
        <v>2303</v>
      </c>
      <c r="K2007" s="45" t="n">
        <v>306</v>
      </c>
      <c r="L2007" s="46" t="n"/>
      <c r="M2007" s="47" t="n"/>
      <c r="N2007" s="47" t="inlineStr">
        <is>
          <t>UCYPKFe86e6nm4TVUYKLsFUQ</t>
        </is>
      </c>
      <c r="O2007" s="48" t="n">
        <v>43409.80625</v>
      </c>
      <c r="P2007" s="49" t="n">
        <v>43409</v>
      </c>
      <c r="Q2007" s="47" t="n">
        <v>1261</v>
      </c>
      <c r="R2007" s="47" t="inlineStr">
        <is>
          <t>No Video ID yet</t>
        </is>
      </c>
      <c r="S2007" s="49" t="n"/>
      <c r="T2007" s="49" t="n"/>
      <c r="U2007" s="47" t="inlineStr">
        <is>
          <t>Can you guess what last weeks unreleased episode is about?! This week we all struggle to survive the Disney Hangover, and J and Luke build a nearly indestructible BLANKET FORT! Also the Hokies take on Notre Dame</t>
        </is>
      </c>
      <c r="V2007" s="47">
        <f>IF(AND(P2007&gt;=Calendar!$K$2,P2007&lt;EDATE(Calendar!$K$2,1),OR(Calendar!$K$4="*",N2007=Calendar!$K$4)),P2007*100+COUNTIFS($P$6:$P$3267,P2007,$Q$6:$Q$3267,"&lt;="&amp;Q2007,$N$6:$N$3267,Calendar!$K$4),"")</f>
        <v/>
      </c>
      <c r="W2007" s="47">
        <f>IF(AND(B2007=Queue!$C$4,OR(Queue!$K$4="*",N2007=Queue!$K$4)),Q2007,"")</f>
        <v/>
      </c>
    </row>
    <row r="2008">
      <c r="A2008" s="38">
        <f>IF(M2008="","",HYPERLINK("https://www.youtube.com/watch?v="&amp;M2008,"▶"))</f>
        <v/>
      </c>
      <c r="B2008" s="39">
        <f>IF(C2008&lt;&gt;"",C2008,IF(P2008&lt;=IFERROR(INDEX(tblChannels[Watched Through],MATCH(N2008,tblChannels[Channel ID],0)),0),"Watched","Unwatched"))</f>
        <v/>
      </c>
      <c r="C2008" s="40" t="n"/>
      <c r="D2008" s="41" t="n"/>
      <c r="E2008" s="42" t="n">
        <v>43405.75763888889</v>
      </c>
      <c r="F2008" s="50" t="inlineStr">
        <is>
          <t>Super Carlin Brothers</t>
        </is>
      </c>
      <c r="G2008" t="inlineStr">
        <is>
          <t>Is Iron Man's Daughter The Next Captain America? | Avengers Theory</t>
        </is>
      </c>
      <c r="H2008" s="44" t="n">
        <v>0.009722222222222222</v>
      </c>
      <c r="I2008" s="45" t="n">
        <v>456367</v>
      </c>
      <c r="J2008" s="45" t="n">
        <v>15472</v>
      </c>
      <c r="K2008" s="45" t="n">
        <v>4002</v>
      </c>
      <c r="L2008" s="46" t="n"/>
      <c r="M2008" s="47" t="n"/>
      <c r="N2008" s="47" t="inlineStr">
        <is>
          <t>UCKZo4N0lVPccBkSiuyVh4yg</t>
        </is>
      </c>
      <c r="O2008" s="48" t="n">
        <v>43405.92430555556</v>
      </c>
      <c r="P2008" s="49" t="n">
        <v>43405</v>
      </c>
      <c r="Q2008" s="47" t="n">
        <v>1260</v>
      </c>
      <c r="R2008" s="47" t="inlineStr">
        <is>
          <t>No Video ID yet</t>
        </is>
      </c>
      <c r="S2008" s="49" t="n"/>
      <c r="T2008" s="49" t="n"/>
      <c r="U2008" s="47" t="inlineStr">
        <is>
          <t>Get 20% Off your Loot Crate order at :: Promo Code: CARLIN Today Ben dives into the Marvel Cinematic Universe to discuss what might happen to Captain America in the upcoming Avengers 4 and who might take up the mantle if something should happen to The First Avenger.</t>
        </is>
      </c>
      <c r="V2008" s="47">
        <f>IF(AND(P2008&gt;=Calendar!$K$2,P2008&lt;EDATE(Calendar!$K$2,1),OR(Calendar!$K$4="*",N2008=Calendar!$K$4)),P2008*100+COUNTIFS($P$6:$P$3267,P2008,$Q$6:$Q$3267,"&lt;="&amp;Q2008,$N$6:$N$3267,Calendar!$K$4),"")</f>
        <v/>
      </c>
      <c r="W2008" s="47">
        <f>IF(AND(B2008=Queue!$C$4,OR(Queue!$K$4="*",N2008=Queue!$K$4)),Q2008,"")</f>
        <v/>
      </c>
    </row>
    <row r="2009">
      <c r="A2009" s="38">
        <f>IF(M2009="","",HYPERLINK("https://www.youtube.com/watch?v="&amp;M2009,"▶"))</f>
        <v/>
      </c>
      <c r="B2009" s="39">
        <f>IF(C2009&lt;&gt;"",C2009,IF(P2009&lt;=IFERROR(INDEX(tblChannels[Watched Through],MATCH(N2009,tblChannels[Channel ID],0)),0),"Watched","Unwatched"))</f>
        <v/>
      </c>
      <c r="C2009" s="40" t="n"/>
      <c r="D2009" s="41" t="n"/>
      <c r="E2009" s="42" t="n">
        <v>43403.94444444445</v>
      </c>
      <c r="F2009" s="50" t="inlineStr">
        <is>
          <t>Super Carlin Brothers</t>
        </is>
      </c>
      <c r="G2009" t="inlineStr">
        <is>
          <t>The COMPLETE Pixar Theory</t>
        </is>
      </c>
      <c r="H2009" s="44" t="n">
        <v>0.01811342592592593</v>
      </c>
      <c r="I2009" s="45" t="n">
        <v>6925576</v>
      </c>
      <c r="J2009" s="45" t="n">
        <v>171299</v>
      </c>
      <c r="K2009" s="45" t="n">
        <v>12556</v>
      </c>
      <c r="L2009" s="46" t="n"/>
      <c r="M2009" s="47" t="n"/>
      <c r="N2009" s="47" t="inlineStr">
        <is>
          <t>UCKZo4N0lVPccBkSiuyVh4yg</t>
        </is>
      </c>
      <c r="O2009" s="48" t="n">
        <v>43404.11111111111</v>
      </c>
      <c r="P2009" s="49" t="n">
        <v>43403</v>
      </c>
      <c r="Q2009" s="47" t="n">
        <v>1259</v>
      </c>
      <c r="R2009" s="47" t="inlineStr">
        <is>
          <t>No Video ID yet</t>
        </is>
      </c>
      <c r="S2009" s="49" t="n"/>
      <c r="T2009" s="49" t="n"/>
      <c r="U2009" s="47" t="inlineStr">
        <is>
          <t>Today J dives deep into the world of Pixar to update the Theory that started in all: The Pixar Theory! What is the full story? Why does it exist? From Toy Story through Incredibles 2, we’ve got you covered! Jon Negroni’s Full Theory ::</t>
        </is>
      </c>
      <c r="V2009" s="47">
        <f>IF(AND(P2009&gt;=Calendar!$K$2,P2009&lt;EDATE(Calendar!$K$2,1),OR(Calendar!$K$4="*",N2009=Calendar!$K$4)),P2009*100+COUNTIFS($P$6:$P$3267,P2009,$Q$6:$Q$3267,"&lt;="&amp;Q2009,$N$6:$N$3267,Calendar!$K$4),"")</f>
        <v/>
      </c>
      <c r="W2009" s="47">
        <f>IF(AND(B2009=Queue!$C$4,OR(Queue!$K$4="*",N2009=Queue!$K$4)),Q2009,"")</f>
        <v/>
      </c>
    </row>
    <row r="2010">
      <c r="A2010" s="38">
        <f>IF(M2010="","",HYPERLINK("https://www.youtube.com/watch?v="&amp;M2010,"▶"))</f>
        <v/>
      </c>
      <c r="B2010" s="39">
        <f>IF(C2010&lt;&gt;"",C2010,IF(P2010&lt;=IFERROR(INDEX(tblChannels[Watched Through],MATCH(N2010,tblChannels[Channel ID],0)),0),"Watched","Unwatched"))</f>
        <v/>
      </c>
      <c r="C2010" s="40" t="n"/>
      <c r="D2010" s="41" t="n"/>
      <c r="E2010" s="42" t="n">
        <v>43399.4375</v>
      </c>
      <c r="F2010" s="52" t="inlineStr">
        <is>
          <t>Super Carlin Gaming</t>
        </is>
      </c>
      <c r="G2010" t="inlineStr">
        <is>
          <t>STOP PROCRASTINATING! | Rocket League #68</t>
        </is>
      </c>
      <c r="H2010" s="44" t="n">
        <v>0.01306712962962963</v>
      </c>
      <c r="I2010" s="45" t="n">
        <v>3564</v>
      </c>
      <c r="J2010" s="45" t="n">
        <v>193</v>
      </c>
      <c r="K2010" s="45" t="n">
        <v>66</v>
      </c>
      <c r="L2010" s="46" t="n"/>
      <c r="M2010" s="47" t="n"/>
      <c r="N2010" s="47" t="inlineStr">
        <is>
          <t>UCor_9jRnNNZVzTuQ92PKsaQ</t>
        </is>
      </c>
      <c r="O2010" s="48" t="n">
        <v>43399.60416666666</v>
      </c>
      <c r="P2010" s="49" t="n">
        <v>43399</v>
      </c>
      <c r="Q2010" s="47" t="n">
        <v>1258</v>
      </c>
      <c r="R2010" s="47" t="inlineStr">
        <is>
          <t>No Video ID yet</t>
        </is>
      </c>
      <c r="S2010" s="49" t="n"/>
      <c r="T2010" s="49" t="n"/>
      <c r="U2010" s="47" t="inlineStr">
        <is>
          <t>Connor's Channel: J, Ben, &amp; DK enter the Rocket League Coliseum as the Chudley Cannons and try and win their way to the league championship!</t>
        </is>
      </c>
      <c r="V2010" s="47">
        <f>IF(AND(P2010&gt;=Calendar!$K$2,P2010&lt;EDATE(Calendar!$K$2,1),OR(Calendar!$K$4="*",N2010=Calendar!$K$4)),P2010*100+COUNTIFS($P$6:$P$3267,P2010,$Q$6:$Q$3267,"&lt;="&amp;Q2010,$N$6:$N$3267,Calendar!$K$4),"")</f>
        <v/>
      </c>
      <c r="W2010" s="47">
        <f>IF(AND(B2010=Queue!$C$4,OR(Queue!$K$4="*",N2010=Queue!$K$4)),Q2010,"")</f>
        <v/>
      </c>
    </row>
    <row r="2011">
      <c r="A2011" s="38">
        <f>IF(M2011="","",HYPERLINK("https://www.youtube.com/watch?v="&amp;M2011,"▶"))</f>
        <v/>
      </c>
      <c r="B2011" s="39">
        <f>IF(C2011&lt;&gt;"",C2011,IF(P2011&lt;=IFERROR(INDEX(tblChannels[Watched Through],MATCH(N2011,tblChannels[Channel ID],0)),0),"Watched","Unwatched"))</f>
        <v/>
      </c>
      <c r="C2011" s="40" t="n"/>
      <c r="D2011" s="41" t="n"/>
      <c r="E2011" s="42" t="n">
        <v>43398.57152777778</v>
      </c>
      <c r="F2011" s="50" t="inlineStr">
        <is>
          <t>Super Carlin Brothers</t>
        </is>
      </c>
      <c r="G2011" t="inlineStr">
        <is>
          <t>Pixar Fast Facts: Incredibles 2</t>
        </is>
      </c>
      <c r="H2011" s="44" t="n">
        <v>0.005347222222222222</v>
      </c>
      <c r="I2011" s="45" t="n">
        <v>956527</v>
      </c>
      <c r="J2011" s="45" t="n">
        <v>24657</v>
      </c>
      <c r="K2011" s="45" t="n">
        <v>1863</v>
      </c>
      <c r="L2011" s="46" t="n"/>
      <c r="M2011" s="47" t="n"/>
      <c r="N2011" s="47" t="inlineStr">
        <is>
          <t>UCKZo4N0lVPccBkSiuyVh4yg</t>
        </is>
      </c>
      <c r="O2011" s="48" t="n">
        <v>43398.73819444444</v>
      </c>
      <c r="P2011" s="49" t="n">
        <v>43398</v>
      </c>
      <c r="Q2011" s="47" t="n">
        <v>1257</v>
      </c>
      <c r="R2011" s="47" t="inlineStr">
        <is>
          <t>No Video ID yet</t>
        </is>
      </c>
      <c r="S2011" s="49" t="n"/>
      <c r="T2011" s="49" t="n"/>
      <c r="U2011" s="47" t="inlineStr">
        <is>
          <t>SCB Orlando Meet-Up! :: Today Ben dives into the world of Pixar's Incredibles 2 to uncover every Easter Egg and random fact we could find about the movie!</t>
        </is>
      </c>
      <c r="V2011" s="47">
        <f>IF(AND(P2011&gt;=Calendar!$K$2,P2011&lt;EDATE(Calendar!$K$2,1),OR(Calendar!$K$4="*",N2011=Calendar!$K$4)),P2011*100+COUNTIFS($P$6:$P$3267,P2011,$Q$6:$Q$3267,"&lt;="&amp;Q2011,$N$6:$N$3267,Calendar!$K$4),"")</f>
        <v/>
      </c>
      <c r="W2011" s="47">
        <f>IF(AND(B2011=Queue!$C$4,OR(Queue!$K$4="*",N2011=Queue!$K$4)),Q2011,"")</f>
        <v/>
      </c>
    </row>
    <row r="2012">
      <c r="A2012" s="38">
        <f>IF(M2012="","",HYPERLINK("https://www.youtube.com/watch?v="&amp;M2012,"▶"))</f>
        <v/>
      </c>
      <c r="B2012" s="39">
        <f>IF(C2012&lt;&gt;"",C2012,IF(P2012&lt;=IFERROR(INDEX(tblChannels[Watched Through],MATCH(N2012,tblChannels[Channel ID],0)),0),"Watched","Unwatched"))</f>
        <v/>
      </c>
      <c r="C2012" s="40" t="n"/>
      <c r="D2012" s="41" t="n"/>
      <c r="E2012" s="42" t="n">
        <v>43397.45694444444</v>
      </c>
      <c r="F2012" s="52" t="inlineStr">
        <is>
          <t>Super Carlin Gaming</t>
        </is>
      </c>
      <c r="G2012" t="inlineStr">
        <is>
          <t>Starting a Club? | Rocket League #67</t>
        </is>
      </c>
      <c r="H2012" s="44" t="n">
        <v>0.01520833333333333</v>
      </c>
      <c r="I2012" s="45" t="n">
        <v>3439</v>
      </c>
      <c r="J2012" s="45" t="n">
        <v>198</v>
      </c>
      <c r="K2012" s="45" t="n">
        <v>52</v>
      </c>
      <c r="L2012" s="46" t="n"/>
      <c r="M2012" s="47" t="n"/>
      <c r="N2012" s="47" t="inlineStr">
        <is>
          <t>UCor_9jRnNNZVzTuQ92PKsaQ</t>
        </is>
      </c>
      <c r="O2012" s="48" t="n">
        <v>43397.62361111111</v>
      </c>
      <c r="P2012" s="49" t="n">
        <v>43397</v>
      </c>
      <c r="Q2012" s="47" t="n">
        <v>1256</v>
      </c>
      <c r="R2012" s="47" t="inlineStr">
        <is>
          <t>No Video ID yet</t>
        </is>
      </c>
      <c r="S2012" s="49" t="n"/>
      <c r="T2012" s="49" t="n"/>
      <c r="U2012" s="47" t="inlineStr">
        <is>
          <t>J, Ben, &amp; DK enter the Rocket League Coliseum as the Chudley Cannons and try and win their way to the league championship!</t>
        </is>
      </c>
      <c r="V2012" s="47">
        <f>IF(AND(P2012&gt;=Calendar!$K$2,P2012&lt;EDATE(Calendar!$K$2,1),OR(Calendar!$K$4="*",N2012=Calendar!$K$4)),P2012*100+COUNTIFS($P$6:$P$3267,P2012,$Q$6:$Q$3267,"&lt;="&amp;Q2012,$N$6:$N$3267,Calendar!$K$4),"")</f>
        <v/>
      </c>
      <c r="W2012" s="47">
        <f>IF(AND(B2012=Queue!$C$4,OR(Queue!$K$4="*",N2012=Queue!$K$4)),Q2012,"")</f>
        <v/>
      </c>
    </row>
    <row r="2013">
      <c r="A2013" s="38">
        <f>IF(M2013="","",HYPERLINK("https://www.youtube.com/watch?v="&amp;M2013,"▶"))</f>
        <v/>
      </c>
      <c r="B2013" s="39">
        <f>IF(C2013&lt;&gt;"",C2013,IF(P2013&lt;=IFERROR(INDEX(tblChannels[Watched Through],MATCH(N2013,tblChannels[Channel ID],0)),0),"Watched","Unwatched"))</f>
        <v/>
      </c>
      <c r="C2013" s="40" t="n"/>
      <c r="D2013" s="41" t="n"/>
      <c r="E2013" s="42" t="n">
        <v>43396.81388888889</v>
      </c>
      <c r="F2013" s="50" t="inlineStr">
        <is>
          <t>Super Carlin Brothers</t>
        </is>
      </c>
      <c r="G2013" t="inlineStr">
        <is>
          <t>The Incredibles Are Living In Syndrome's House | Pixar Theory</t>
        </is>
      </c>
      <c r="H2013" s="44" t="n">
        <v>0.007210648148148148</v>
      </c>
      <c r="I2013" s="45" t="n">
        <v>1628784</v>
      </c>
      <c r="J2013" s="45" t="n">
        <v>41790</v>
      </c>
      <c r="K2013" s="45" t="n">
        <v>3096</v>
      </c>
      <c r="L2013" s="46" t="n"/>
      <c r="M2013" s="47" t="n"/>
      <c r="N2013" s="47" t="inlineStr">
        <is>
          <t>UCKZo4N0lVPccBkSiuyVh4yg</t>
        </is>
      </c>
      <c r="O2013" s="48" t="n">
        <v>43396.98055555556</v>
      </c>
      <c r="P2013" s="49" t="n">
        <v>43396</v>
      </c>
      <c r="Q2013" s="47" t="n">
        <v>1255</v>
      </c>
      <c r="R2013" s="47" t="inlineStr">
        <is>
          <t>No Video ID yet</t>
        </is>
      </c>
      <c r="S2013" s="49" t="n"/>
      <c r="T2013" s="49" t="n"/>
      <c r="U2013" s="47" t="inlineStr">
        <is>
          <t>SCB Orlando Meet-Up! :: Today J dives into the world of Disney Pixar's Incredibles 2</t>
        </is>
      </c>
      <c r="V2013" s="47">
        <f>IF(AND(P2013&gt;=Calendar!$K$2,P2013&lt;EDATE(Calendar!$K$2,1),OR(Calendar!$K$4="*",N2013=Calendar!$K$4)),P2013*100+COUNTIFS($P$6:$P$3267,P2013,$Q$6:$Q$3267,"&lt;="&amp;Q2013,$N$6:$N$3267,Calendar!$K$4),"")</f>
        <v/>
      </c>
      <c r="W2013" s="47">
        <f>IF(AND(B2013=Queue!$C$4,OR(Queue!$K$4="*",N2013=Queue!$K$4)),Q2013,"")</f>
        <v/>
      </c>
    </row>
    <row r="2014">
      <c r="A2014" s="38">
        <f>IF(M2014="","",HYPERLINK("https://www.youtube.com/watch?v="&amp;M2014,"▶"))</f>
        <v/>
      </c>
      <c r="B2014" s="39">
        <f>IF(C2014&lt;&gt;"",C2014,IF(P2014&lt;=IFERROR(INDEX(tblChannels[Watched Through],MATCH(N2014,tblChannels[Channel ID],0)),0),"Watched","Unwatched"))</f>
        <v/>
      </c>
      <c r="C2014" s="40" t="n"/>
      <c r="D2014" s="41" t="n"/>
      <c r="E2014" s="42" t="n">
        <v>43395.66319444445</v>
      </c>
      <c r="F2014" s="52" t="inlineStr">
        <is>
          <t>Super Carlin Gaming</t>
        </is>
      </c>
      <c r="G2014" t="inlineStr">
        <is>
          <t>Is Living With Parents Bad? | Rocket League #66</t>
        </is>
      </c>
      <c r="H2014" s="44" t="n">
        <v>0.01210648148148148</v>
      </c>
      <c r="I2014" s="45" t="n">
        <v>3619</v>
      </c>
      <c r="J2014" s="45" t="n">
        <v>208</v>
      </c>
      <c r="K2014" s="45" t="n">
        <v>31</v>
      </c>
      <c r="L2014" s="46" t="n"/>
      <c r="M2014" s="47" t="n"/>
      <c r="N2014" s="47" t="inlineStr">
        <is>
          <t>UCor_9jRnNNZVzTuQ92PKsaQ</t>
        </is>
      </c>
      <c r="O2014" s="48" t="n">
        <v>43395.82986111111</v>
      </c>
      <c r="P2014" s="49" t="n">
        <v>43395</v>
      </c>
      <c r="Q2014" s="47" t="n">
        <v>1254</v>
      </c>
      <c r="R2014" s="47" t="inlineStr">
        <is>
          <t>No Video ID yet</t>
        </is>
      </c>
      <c r="S2014" s="49" t="n"/>
      <c r="T2014" s="49" t="n"/>
      <c r="U2014" s="47" t="inlineStr">
        <is>
          <t>J, Ben, &amp; DK enter the Rocket League Coliseum as the Chudley Cannons and try and win their way to the league championship!</t>
        </is>
      </c>
      <c r="V2014" s="47">
        <f>IF(AND(P2014&gt;=Calendar!$K$2,P2014&lt;EDATE(Calendar!$K$2,1),OR(Calendar!$K$4="*",N2014=Calendar!$K$4)),P2014*100+COUNTIFS($P$6:$P$3267,P2014,$Q$6:$Q$3267,"&lt;="&amp;Q2014,$N$6:$N$3267,Calendar!$K$4),"")</f>
        <v/>
      </c>
      <c r="W2014" s="47">
        <f>IF(AND(B2014=Queue!$C$4,OR(Queue!$K$4="*",N2014=Queue!$K$4)),Q2014,"")</f>
        <v/>
      </c>
    </row>
    <row r="2015">
      <c r="A2015" s="38">
        <f>IF(M2015="","",HYPERLINK("https://www.youtube.com/watch?v="&amp;M2015,"▶"))</f>
        <v/>
      </c>
      <c r="B2015" s="39">
        <f>IF(C2015&lt;&gt;"",C2015,IF(P2015&lt;=IFERROR(INDEX(tblChannels[Watched Through],MATCH(N2015,tblChannels[Channel ID],0)),0),"Watched","Unwatched"))</f>
        <v/>
      </c>
      <c r="C2015" s="40" t="n"/>
      <c r="D2015" s="41" t="n"/>
      <c r="E2015" s="42" t="n">
        <v>43395.43541666667</v>
      </c>
      <c r="F2015" s="53" t="inlineStr">
        <is>
          <t>Jonathan Carlin</t>
        </is>
      </c>
      <c r="G2015" t="inlineStr">
        <is>
          <t>WE MET JK ROWLING! | New York Harry Potter Adventure</t>
        </is>
      </c>
      <c r="H2015" s="44" t="n">
        <v>0.01082175925925926</v>
      </c>
      <c r="I2015" s="45" t="n">
        <v>213376</v>
      </c>
      <c r="J2015" s="45" t="n">
        <v>8102</v>
      </c>
      <c r="K2015" s="45" t="n">
        <v>1115</v>
      </c>
      <c r="L2015" s="46" t="n"/>
      <c r="M2015" s="47" t="n"/>
      <c r="N2015" s="47" t="inlineStr">
        <is>
          <t>UCYPKFe86e6nm4TVUYKLsFUQ</t>
        </is>
      </c>
      <c r="O2015" s="48" t="n">
        <v>43395.60208333333</v>
      </c>
      <c r="P2015" s="49" t="n">
        <v>43395</v>
      </c>
      <c r="Q2015" s="47" t="n">
        <v>1253</v>
      </c>
      <c r="R2015" s="47" t="inlineStr">
        <is>
          <t>No Video ID yet</t>
        </is>
      </c>
      <c r="S2015" s="49" t="n"/>
      <c r="T2015" s="49" t="n"/>
      <c r="U2015" s="47" t="inlineStr">
        <is>
          <t>This week J and Ben take to NYC for a VIP Fantastic Beasts Crimes of Grindelwald Fan Event - We get to see The Cursed Child, meet some of the cast of the movie AND TAKE A PICTURE WITH JK ROWLING! Thanks so much Warner Bros for making this happen!</t>
        </is>
      </c>
      <c r="V2015" s="47">
        <f>IF(AND(P2015&gt;=Calendar!$K$2,P2015&lt;EDATE(Calendar!$K$2,1),OR(Calendar!$K$4="*",N2015=Calendar!$K$4)),P2015*100+COUNTIFS($P$6:$P$3267,P2015,$Q$6:$Q$3267,"&lt;="&amp;Q2015,$N$6:$N$3267,Calendar!$K$4),"")</f>
        <v/>
      </c>
      <c r="W2015" s="47">
        <f>IF(AND(B2015=Queue!$C$4,OR(Queue!$K$4="*",N2015=Queue!$K$4)),Q2015,"")</f>
        <v/>
      </c>
    </row>
    <row r="2016">
      <c r="A2016" s="38">
        <f>IF(M2016="","",HYPERLINK("https://www.youtube.com/watch?v="&amp;M2016,"▶"))</f>
        <v/>
      </c>
      <c r="B2016" s="39">
        <f>IF(C2016&lt;&gt;"",C2016,IF(P2016&lt;=IFERROR(INDEX(tblChannels[Watched Through],MATCH(N2016,tblChannels[Channel ID],0)),0),"Watched","Unwatched"))</f>
        <v/>
      </c>
      <c r="C2016" s="40" t="n"/>
      <c r="D2016" s="41" t="n"/>
      <c r="E2016" s="42" t="n">
        <v>43391.71805555555</v>
      </c>
      <c r="F2016" s="50" t="inlineStr">
        <is>
          <t>Super Carlin Brothers</t>
        </is>
      </c>
      <c r="G2016" t="inlineStr">
        <is>
          <t>J vs Ben: ULTIMATE Harry Potter Halloween Quiz</t>
        </is>
      </c>
      <c r="H2016" s="44" t="n">
        <v>0.02104166666666667</v>
      </c>
      <c r="I2016" s="45" t="n">
        <v>694889</v>
      </c>
      <c r="J2016" s="45" t="n">
        <v>14760</v>
      </c>
      <c r="K2016" s="45" t="n">
        <v>1965</v>
      </c>
      <c r="L2016" s="46" t="n"/>
      <c r="M2016" s="47" t="n"/>
      <c r="N2016" s="47" t="inlineStr">
        <is>
          <t>UCKZo4N0lVPccBkSiuyVh4yg</t>
        </is>
      </c>
      <c r="O2016" s="48" t="n">
        <v>43391.88472222222</v>
      </c>
      <c r="P2016" s="49" t="n">
        <v>43391</v>
      </c>
      <c r="Q2016" s="47" t="n">
        <v>1252</v>
      </c>
      <c r="R2016" s="47" t="inlineStr">
        <is>
          <t>No Video ID yet</t>
        </is>
      </c>
      <c r="S2016" s="49" t="n"/>
      <c r="T2016" s="49" t="n"/>
      <c r="U2016" s="47" t="inlineStr">
        <is>
          <t>Play along with us! :: Today J and Ben face off in the ultimate Harry Potter Halloween quiz to find out who knows more about one of the Wizarding Worlds most famous holidays!</t>
        </is>
      </c>
      <c r="V2016" s="47">
        <f>IF(AND(P2016&gt;=Calendar!$K$2,P2016&lt;EDATE(Calendar!$K$2,1),OR(Calendar!$K$4="*",N2016=Calendar!$K$4)),P2016*100+COUNTIFS($P$6:$P$3267,P2016,$Q$6:$Q$3267,"&lt;="&amp;Q2016,$N$6:$N$3267,Calendar!$K$4),"")</f>
        <v/>
      </c>
      <c r="W2016" s="47">
        <f>IF(AND(B2016=Queue!$C$4,OR(Queue!$K$4="*",N2016=Queue!$K$4)),Q2016,"")</f>
        <v/>
      </c>
    </row>
    <row r="2017">
      <c r="A2017" s="38">
        <f>IF(M2017="","",HYPERLINK("https://www.youtube.com/watch?v="&amp;M2017,"▶"))</f>
        <v/>
      </c>
      <c r="B2017" s="39">
        <f>IF(C2017&lt;&gt;"",C2017,IF(P2017&lt;=IFERROR(INDEX(tblChannels[Watched Through],MATCH(N2017,tblChannels[Channel ID],0)),0),"Watched","Unwatched"))</f>
        <v/>
      </c>
      <c r="C2017" s="40" t="n"/>
      <c r="D2017" s="41" t="n"/>
      <c r="E2017" s="42" t="n">
        <v>43390.42361111111</v>
      </c>
      <c r="F2017" s="52" t="inlineStr">
        <is>
          <t>Super Carlin Gaming</t>
        </is>
      </c>
      <c r="G2017" t="inlineStr">
        <is>
          <t>Wanting To Get Athletic | Rocket League #65</t>
        </is>
      </c>
      <c r="H2017" s="44" t="n">
        <v>0.008668981481481481</v>
      </c>
      <c r="I2017" s="45" t="n">
        <v>3519</v>
      </c>
      <c r="J2017" s="45" t="n">
        <v>198</v>
      </c>
      <c r="K2017" s="45" t="n">
        <v>53</v>
      </c>
      <c r="L2017" s="46" t="n"/>
      <c r="M2017" s="47" t="n"/>
      <c r="N2017" s="47" t="inlineStr">
        <is>
          <t>UCor_9jRnNNZVzTuQ92PKsaQ</t>
        </is>
      </c>
      <c r="O2017" s="48" t="n">
        <v>43390.59027777778</v>
      </c>
      <c r="P2017" s="49" t="n">
        <v>43390</v>
      </c>
      <c r="Q2017" s="47" t="n">
        <v>1251</v>
      </c>
      <c r="R2017" s="47" t="inlineStr">
        <is>
          <t>No Video ID yet</t>
        </is>
      </c>
      <c r="S2017" s="49" t="n"/>
      <c r="T2017" s="49" t="n"/>
      <c r="U2017" s="47" t="inlineStr">
        <is>
          <t>We're launching our TWITCH CHANNEL on Friday! We're going to be streaming ALL DAY on Friday! J, Ben, &amp; DK enter the Rocket League Coliseum as the Chudley Cannons and try to WIN THE LEAGUE CHAMPIONSHIP!</t>
        </is>
      </c>
      <c r="V2017" s="47">
        <f>IF(AND(P2017&gt;=Calendar!$K$2,P2017&lt;EDATE(Calendar!$K$2,1),OR(Calendar!$K$4="*",N2017=Calendar!$K$4)),P2017*100+COUNTIFS($P$6:$P$3267,P2017,$Q$6:$Q$3267,"&lt;="&amp;Q2017,$N$6:$N$3267,Calendar!$K$4),"")</f>
        <v/>
      </c>
      <c r="W2017" s="47">
        <f>IF(AND(B2017=Queue!$C$4,OR(Queue!$K$4="*",N2017=Queue!$K$4)),Q2017,"")</f>
        <v/>
      </c>
    </row>
    <row r="2018">
      <c r="A2018" s="38">
        <f>IF(M2018="","",HYPERLINK("https://www.youtube.com/watch?v="&amp;M2018,"▶"))</f>
        <v/>
      </c>
      <c r="B2018" s="39">
        <f>IF(C2018&lt;&gt;"",C2018,IF(P2018&lt;=IFERROR(INDEX(tblChannels[Watched Through],MATCH(N2018,tblChannels[Channel ID],0)),0),"Watched","Unwatched"))</f>
        <v/>
      </c>
      <c r="C2018" s="40" t="n"/>
      <c r="D2018" s="41" t="n"/>
      <c r="E2018" s="42" t="n">
        <v>43389.82986111111</v>
      </c>
      <c r="F2018" s="50" t="inlineStr">
        <is>
          <t>Super Carlin Brothers</t>
        </is>
      </c>
      <c r="G2018" t="inlineStr">
        <is>
          <t>Is Grindelwald Credence’s Father? | Fantastic Beasts Theory</t>
        </is>
      </c>
      <c r="H2018" s="44" t="n">
        <v>0.008298611111111111</v>
      </c>
      <c r="I2018" s="45" t="n">
        <v>522383</v>
      </c>
      <c r="J2018" s="45" t="n">
        <v>15954</v>
      </c>
      <c r="K2018" s="45" t="n">
        <v>1874</v>
      </c>
      <c r="L2018" s="46" t="n"/>
      <c r="M2018" s="47" t="n"/>
      <c r="N2018" s="47" t="inlineStr">
        <is>
          <t>UCKZo4N0lVPccBkSiuyVh4yg</t>
        </is>
      </c>
      <c r="O2018" s="48" t="n">
        <v>43389.99652777778</v>
      </c>
      <c r="P2018" s="49" t="n">
        <v>43389</v>
      </c>
      <c r="Q2018" s="47" t="n">
        <v>1250</v>
      </c>
      <c r="R2018" s="47" t="inlineStr">
        <is>
          <t>No Video ID yet</t>
        </is>
      </c>
      <c r="S2018" s="49" t="n"/>
      <c r="T2018" s="49" t="n"/>
      <c r="U2018" s="47" t="inlineStr">
        <is>
          <t>Join Us for our 12 Hour Live Stream THIS Friday! :: SCB Orlando Meet-Up! :: Today J dives into the Wizarding World of Harry Potter to try and figure out one of the biggest mysteries in Fantastic Beasts: Crimes of Grindelwald - Who is Credence’s Father?</t>
        </is>
      </c>
      <c r="V2018" s="47">
        <f>IF(AND(P2018&gt;=Calendar!$K$2,P2018&lt;EDATE(Calendar!$K$2,1),OR(Calendar!$K$4="*",N2018=Calendar!$K$4)),P2018*100+COUNTIFS($P$6:$P$3267,P2018,$Q$6:$Q$3267,"&lt;="&amp;Q2018,$N$6:$N$3267,Calendar!$K$4),"")</f>
        <v/>
      </c>
      <c r="W2018" s="47">
        <f>IF(AND(B2018=Queue!$C$4,OR(Queue!$K$4="*",N2018=Queue!$K$4)),Q2018,"")</f>
        <v/>
      </c>
    </row>
    <row r="2019">
      <c r="A2019" s="38">
        <f>IF(M2019="","",HYPERLINK("https://www.youtube.com/watch?v="&amp;M2019,"▶"))</f>
        <v/>
      </c>
      <c r="B2019" s="39">
        <f>IF(C2019&lt;&gt;"",C2019,IF(P2019&lt;=IFERROR(INDEX(tblChannels[Watched Through],MATCH(N2019,tblChannels[Channel ID],0)),0),"Watched","Unwatched"))</f>
        <v/>
      </c>
      <c r="C2019" s="40" t="n"/>
      <c r="D2019" s="41" t="n"/>
      <c r="E2019" s="42" t="n">
        <v>43388.45486111111</v>
      </c>
      <c r="F2019" s="53" t="inlineStr">
        <is>
          <t>Jonathan Carlin</t>
        </is>
      </c>
      <c r="G2019" t="inlineStr">
        <is>
          <t>Preparing For HURRICANE Florence</t>
        </is>
      </c>
      <c r="H2019" s="44" t="n">
        <v>0.007546296296296297</v>
      </c>
      <c r="I2019" s="45" t="n">
        <v>41902</v>
      </c>
      <c r="J2019" s="45" t="n">
        <v>1835</v>
      </c>
      <c r="K2019" s="45" t="n">
        <v>480</v>
      </c>
      <c r="L2019" s="46" t="n"/>
      <c r="M2019" s="47" t="n"/>
      <c r="N2019" s="47" t="inlineStr">
        <is>
          <t>UCYPKFe86e6nm4TVUYKLsFUQ</t>
        </is>
      </c>
      <c r="O2019" s="48" t="n">
        <v>43388.62152777778</v>
      </c>
      <c r="P2019" s="49" t="n">
        <v>43388</v>
      </c>
      <c r="Q2019" s="47" t="n">
        <v>1249</v>
      </c>
      <c r="R2019" s="47" t="inlineStr">
        <is>
          <t>No Video ID yet</t>
        </is>
      </c>
      <c r="S2019" s="49" t="n"/>
      <c r="T2019" s="49" t="n"/>
      <c r="U2019" s="47" t="inlineStr">
        <is>
          <t>This week Roanoke is in a frenzied state as we anxiously await the arrival of Hurricane Florence, also Luke gets a little better at crawling!</t>
        </is>
      </c>
      <c r="V2019" s="47">
        <f>IF(AND(P2019&gt;=Calendar!$K$2,P2019&lt;EDATE(Calendar!$K$2,1),OR(Calendar!$K$4="*",N2019=Calendar!$K$4)),P2019*100+COUNTIFS($P$6:$P$3267,P2019,$Q$6:$Q$3267,"&lt;="&amp;Q2019,$N$6:$N$3267,Calendar!$K$4),"")</f>
        <v/>
      </c>
      <c r="W2019" s="47">
        <f>IF(AND(B2019=Queue!$C$4,OR(Queue!$K$4="*",N2019=Queue!$K$4)),Q2019,"")</f>
        <v/>
      </c>
    </row>
    <row r="2020">
      <c r="A2020" s="38">
        <f>IF(M2020="","",HYPERLINK("https://www.youtube.com/watch?v="&amp;M2020,"▶"))</f>
        <v/>
      </c>
      <c r="B2020" s="39">
        <f>IF(C2020&lt;&gt;"",C2020,IF(P2020&lt;=IFERROR(INDEX(tblChannels[Watched Through],MATCH(N2020,tblChannels[Channel ID],0)),0),"Watched","Unwatched"))</f>
        <v/>
      </c>
      <c r="C2020" s="40" t="n"/>
      <c r="D2020" s="41" t="n"/>
      <c r="E2020" s="42" t="n">
        <v>43388.45208333333</v>
      </c>
      <c r="F2020" s="52" t="inlineStr">
        <is>
          <t>Super Carlin Gaming</t>
        </is>
      </c>
      <c r="G2020" t="inlineStr">
        <is>
          <t>Buying a House | Rocket League #64</t>
        </is>
      </c>
      <c r="H2020" s="44" t="n">
        <v>0.01603009259259259</v>
      </c>
      <c r="I2020" s="45" t="n">
        <v>4023</v>
      </c>
      <c r="J2020" s="45" t="n">
        <v>241</v>
      </c>
      <c r="K2020" s="45" t="n">
        <v>42</v>
      </c>
      <c r="L2020" s="46" t="n"/>
      <c r="M2020" s="47" t="n"/>
      <c r="N2020" s="47" t="inlineStr">
        <is>
          <t>UCor_9jRnNNZVzTuQ92PKsaQ</t>
        </is>
      </c>
      <c r="O2020" s="48" t="n">
        <v>43388.61875</v>
      </c>
      <c r="P2020" s="49" t="n">
        <v>43388</v>
      </c>
      <c r="Q2020" s="47" t="n">
        <v>1248</v>
      </c>
      <c r="R2020" s="47" t="inlineStr">
        <is>
          <t>No Video ID yet</t>
        </is>
      </c>
      <c r="S2020" s="49" t="n"/>
      <c r="T2020" s="49" t="n"/>
      <c r="U2020" s="47" t="inlineStr">
        <is>
          <t>J, Ben, &amp; DK enter the Rocket League Coliseum as the Chudley Cannons and try and win their way to the league championship!</t>
        </is>
      </c>
      <c r="V2020" s="47">
        <f>IF(AND(P2020&gt;=Calendar!$K$2,P2020&lt;EDATE(Calendar!$K$2,1),OR(Calendar!$K$4="*",N2020=Calendar!$K$4)),P2020*100+COUNTIFS($P$6:$P$3267,P2020,$Q$6:$Q$3267,"&lt;="&amp;Q2020,$N$6:$N$3267,Calendar!$K$4),"")</f>
        <v/>
      </c>
      <c r="W2020" s="47">
        <f>IF(AND(B2020=Queue!$C$4,OR(Queue!$K$4="*",N2020=Queue!$K$4)),Q2020,"")</f>
        <v/>
      </c>
    </row>
    <row r="2021">
      <c r="A2021" s="38">
        <f>IF(M2021="","",HYPERLINK("https://www.youtube.com/watch?v="&amp;M2021,"▶"))</f>
        <v/>
      </c>
      <c r="B2021" s="39">
        <f>IF(C2021&lt;&gt;"",C2021,IF(P2021&lt;=IFERROR(INDEX(tblChannels[Watched Through],MATCH(N2021,tblChannels[Channel ID],0)),0),"Watched","Unwatched"))</f>
        <v/>
      </c>
      <c r="C2021" s="40" t="n"/>
      <c r="D2021" s="41" t="n"/>
      <c r="E2021" s="42" t="n">
        <v>43385.68402777778</v>
      </c>
      <c r="F2021" s="50" t="inlineStr">
        <is>
          <t>Super Carlin Brothers</t>
        </is>
      </c>
      <c r="G2021" t="inlineStr">
        <is>
          <t>Why Dumbledore Can't Move Against Grindelwald | Fantastic Beasts Theory</t>
        </is>
      </c>
      <c r="H2021" s="44" t="n">
        <v>0.008900462962962962</v>
      </c>
      <c r="I2021" s="45" t="n">
        <v>1151374</v>
      </c>
      <c r="J2021" s="45" t="n">
        <v>29101</v>
      </c>
      <c r="K2021" s="45" t="n">
        <v>3315</v>
      </c>
      <c r="L2021" s="46" t="n"/>
      <c r="M2021" s="47" t="n"/>
      <c r="N2021" s="47" t="inlineStr">
        <is>
          <t>UCKZo4N0lVPccBkSiuyVh4yg</t>
        </is>
      </c>
      <c r="O2021" s="48" t="n">
        <v>43385.85069444445</v>
      </c>
      <c r="P2021" s="49" t="n">
        <v>43385</v>
      </c>
      <c r="Q2021" s="47" t="n">
        <v>1247</v>
      </c>
      <c r="R2021" s="47" t="inlineStr">
        <is>
          <t>No Video ID yet</t>
        </is>
      </c>
      <c r="S2021" s="49" t="n"/>
      <c r="T2021" s="49" t="n"/>
      <c r="U2021" s="47" t="inlineStr">
        <is>
          <t>SCB Orlando Meet-Up! Presale :: Today Ben dives into the Wizarding World of Harry Potter to discuss Fantastic Beasts: The Crimes of Grindelwald and try and determine why Dumbledore can’t move against Grindelwald and instead needs Newt to do it for him</t>
        </is>
      </c>
      <c r="V2021" s="47">
        <f>IF(AND(P2021&gt;=Calendar!$K$2,P2021&lt;EDATE(Calendar!$K$2,1),OR(Calendar!$K$4="*",N2021=Calendar!$K$4)),P2021*100+COUNTIFS($P$6:$P$3267,P2021,$Q$6:$Q$3267,"&lt;="&amp;Q2021,$N$6:$N$3267,Calendar!$K$4),"")</f>
        <v/>
      </c>
      <c r="W2021" s="47">
        <f>IF(AND(B2021=Queue!$C$4,OR(Queue!$K$4="*",N2021=Queue!$K$4)),Q2021,"")</f>
        <v/>
      </c>
    </row>
    <row r="2022">
      <c r="A2022" s="38">
        <f>IF(M2022="","",HYPERLINK("https://www.youtube.com/watch?v="&amp;M2022,"▶"))</f>
        <v/>
      </c>
      <c r="B2022" s="39">
        <f>IF(C2022&lt;&gt;"",C2022,IF(P2022&lt;=IFERROR(INDEX(tblChannels[Watched Through],MATCH(N2022,tblChannels[Channel ID],0)),0),"Watched","Unwatched"))</f>
        <v/>
      </c>
      <c r="C2022" s="40" t="n"/>
      <c r="D2022" s="41" t="n"/>
      <c r="E2022" s="42" t="n">
        <v>43385.4375</v>
      </c>
      <c r="F2022" s="52" t="inlineStr">
        <is>
          <t>Super Carlin Gaming</t>
        </is>
      </c>
      <c r="G2022" t="inlineStr">
        <is>
          <t>Which Two Disney Heroes Are You?  | Rocket League #63</t>
        </is>
      </c>
      <c r="H2022" s="44" t="n">
        <v>0.0124537037037037</v>
      </c>
      <c r="I2022" s="45" t="n">
        <v>3890</v>
      </c>
      <c r="J2022" s="45" t="n">
        <v>247</v>
      </c>
      <c r="K2022" s="45" t="n">
        <v>66</v>
      </c>
      <c r="L2022" s="46" t="n"/>
      <c r="M2022" s="47" t="n"/>
      <c r="N2022" s="47" t="inlineStr">
        <is>
          <t>UCor_9jRnNNZVzTuQ92PKsaQ</t>
        </is>
      </c>
      <c r="O2022" s="48" t="n">
        <v>43385.60416666666</v>
      </c>
      <c r="P2022" s="49" t="n">
        <v>43385</v>
      </c>
      <c r="Q2022" s="47" t="n">
        <v>1246</v>
      </c>
      <c r="R2022" s="47" t="inlineStr">
        <is>
          <t>No Video ID yet</t>
        </is>
      </c>
      <c r="S2022" s="49" t="n"/>
      <c r="T2022" s="49" t="n"/>
      <c r="U2022" s="47" t="inlineStr">
        <is>
          <t>Take the quiz: J, Ben, &amp; DK enter the Rocket League Coliseum as the Chudley Cannons and try and win their way to the league championship!</t>
        </is>
      </c>
      <c r="V2022" s="47">
        <f>IF(AND(P2022&gt;=Calendar!$K$2,P2022&lt;EDATE(Calendar!$K$2,1),OR(Calendar!$K$4="*",N2022=Calendar!$K$4)),P2022*100+COUNTIFS($P$6:$P$3267,P2022,$Q$6:$Q$3267,"&lt;="&amp;Q2022,$N$6:$N$3267,Calendar!$K$4),"")</f>
        <v/>
      </c>
      <c r="W2022" s="47">
        <f>IF(AND(B2022=Queue!$C$4,OR(Queue!$K$4="*",N2022=Queue!$K$4)),Q2022,"")</f>
        <v/>
      </c>
    </row>
    <row r="2023">
      <c r="A2023" s="38">
        <f>IF(M2023="","",HYPERLINK("https://www.youtube.com/watch?v="&amp;M2023,"▶"))</f>
        <v/>
      </c>
      <c r="B2023" s="39">
        <f>IF(C2023&lt;&gt;"",C2023,IF(P2023&lt;=IFERROR(INDEX(tblChannels[Watched Through],MATCH(N2023,tblChannels[Channel ID],0)),0),"Watched","Unwatched"))</f>
        <v/>
      </c>
      <c r="C2023" s="40" t="n"/>
      <c r="D2023" s="41" t="n"/>
      <c r="E2023" s="42" t="n">
        <v>43383.71736111111</v>
      </c>
      <c r="F2023" s="52" t="inlineStr">
        <is>
          <t>Super Carlin Gaming</t>
        </is>
      </c>
      <c r="G2023" t="inlineStr">
        <is>
          <t>Online Dating | Rocket League #62</t>
        </is>
      </c>
      <c r="H2023" s="44" t="n">
        <v>0.0133912037037037</v>
      </c>
      <c r="I2023" s="45" t="n">
        <v>3630</v>
      </c>
      <c r="J2023" s="45" t="n">
        <v>209</v>
      </c>
      <c r="K2023" s="45" t="n">
        <v>48</v>
      </c>
      <c r="L2023" s="46" t="n"/>
      <c r="M2023" s="47" t="n"/>
      <c r="N2023" s="47" t="inlineStr">
        <is>
          <t>UCor_9jRnNNZVzTuQ92PKsaQ</t>
        </is>
      </c>
      <c r="O2023" s="48" t="n">
        <v>43383.88402777778</v>
      </c>
      <c r="P2023" s="49" t="n">
        <v>43383</v>
      </c>
      <c r="Q2023" s="47" t="n">
        <v>1245</v>
      </c>
      <c r="R2023" s="47" t="inlineStr">
        <is>
          <t>No Video ID yet</t>
        </is>
      </c>
      <c r="S2023" s="49" t="n"/>
      <c r="T2023" s="49" t="n"/>
      <c r="U2023" s="47" t="inlineStr">
        <is>
          <t>J, Ben, &amp; DK enter the Rocket League Coliseum as the Chudley Cannons and try and win their way to the league championship!</t>
        </is>
      </c>
      <c r="V2023" s="47">
        <f>IF(AND(P2023&gt;=Calendar!$K$2,P2023&lt;EDATE(Calendar!$K$2,1),OR(Calendar!$K$4="*",N2023=Calendar!$K$4)),P2023*100+COUNTIFS($P$6:$P$3267,P2023,$Q$6:$Q$3267,"&lt;="&amp;Q2023,$N$6:$N$3267,Calendar!$K$4),"")</f>
        <v/>
      </c>
      <c r="W2023" s="47">
        <f>IF(AND(B2023=Queue!$C$4,OR(Queue!$K$4="*",N2023=Queue!$K$4)),Q2023,"")</f>
        <v/>
      </c>
    </row>
    <row r="2024">
      <c r="A2024" s="38">
        <f>IF(M2024="","",HYPERLINK("https://www.youtube.com/watch?v="&amp;M2024,"▶"))</f>
        <v/>
      </c>
      <c r="B2024" s="39">
        <f>IF(C2024&lt;&gt;"",C2024,IF(P2024&lt;=IFERROR(INDEX(tblChannels[Watched Through],MATCH(N2024,tblChannels[Channel ID],0)),0),"Watched","Unwatched"))</f>
        <v/>
      </c>
      <c r="C2024" s="40" t="n"/>
      <c r="D2024" s="41" t="n"/>
      <c r="E2024" s="42" t="n">
        <v>43382.71805555555</v>
      </c>
      <c r="F2024" s="50" t="inlineStr">
        <is>
          <t>Super Carlin Brothers</t>
        </is>
      </c>
      <c r="G2024" t="inlineStr">
        <is>
          <t>What Is The Deal With Filch and Mrs Norris? | Harry Potter Explained</t>
        </is>
      </c>
      <c r="H2024" s="44" t="n">
        <v>0.007800925925925926</v>
      </c>
      <c r="I2024" s="45" t="n">
        <v>897188</v>
      </c>
      <c r="J2024" s="45" t="n">
        <v>23909</v>
      </c>
      <c r="K2024" s="45" t="n">
        <v>2899</v>
      </c>
      <c r="L2024" s="46" t="n"/>
      <c r="M2024" s="47" t="n"/>
      <c r="N2024" s="47" t="inlineStr">
        <is>
          <t>UCKZo4N0lVPccBkSiuyVh4yg</t>
        </is>
      </c>
      <c r="O2024" s="48" t="n">
        <v>43382.88472222222</v>
      </c>
      <c r="P2024" s="49" t="n">
        <v>43382</v>
      </c>
      <c r="Q2024" s="47" t="n">
        <v>1244</v>
      </c>
      <c r="R2024" s="47" t="inlineStr">
        <is>
          <t>No Video ID yet</t>
        </is>
      </c>
      <c r="S2024" s="49" t="n"/>
      <c r="T2024" s="49" t="n"/>
      <c r="U2024" s="47" t="inlineStr">
        <is>
          <t>Today J dives into the wizarding world of Harry Potter to discuss everyones least favorite grounds keeper Argus Filch and his cat Mrs. Norris and if she was ever a Maledictus.</t>
        </is>
      </c>
      <c r="V2024" s="47">
        <f>IF(AND(P2024&gt;=Calendar!$K$2,P2024&lt;EDATE(Calendar!$K$2,1),OR(Calendar!$K$4="*",N2024=Calendar!$K$4)),P2024*100+COUNTIFS($P$6:$P$3267,P2024,$Q$6:$Q$3267,"&lt;="&amp;Q2024,$N$6:$N$3267,Calendar!$K$4),"")</f>
        <v/>
      </c>
      <c r="W2024" s="47">
        <f>IF(AND(B2024=Queue!$C$4,OR(Queue!$K$4="*",N2024=Queue!$K$4)),Q2024,"")</f>
        <v/>
      </c>
    </row>
    <row r="2025">
      <c r="A2025" s="38">
        <f>IF(M2025="","",HYPERLINK("https://www.youtube.com/watch?v="&amp;M2025,"▶"))</f>
        <v/>
      </c>
      <c r="B2025" s="39">
        <f>IF(C2025&lt;&gt;"",C2025,IF(P2025&lt;=IFERROR(INDEX(tblChannels[Watched Through],MATCH(N2025,tblChannels[Channel ID],0)),0),"Watched","Unwatched"))</f>
        <v/>
      </c>
      <c r="C2025" s="40" t="n"/>
      <c r="D2025" s="41" t="n"/>
      <c r="E2025" s="42" t="n">
        <v>43381.48402777778</v>
      </c>
      <c r="F2025" s="52" t="inlineStr">
        <is>
          <t>Super Carlin Gaming</t>
        </is>
      </c>
      <c r="G2025" t="inlineStr">
        <is>
          <t>Too Much Time With Girlfriend!? | Rocket League #61</t>
        </is>
      </c>
      <c r="H2025" s="44" t="n">
        <v>0.01516203703703704</v>
      </c>
      <c r="I2025" s="45" t="n">
        <v>3896</v>
      </c>
      <c r="J2025" s="45" t="n">
        <v>225</v>
      </c>
      <c r="K2025" s="45" t="n">
        <v>35</v>
      </c>
      <c r="L2025" s="46" t="n"/>
      <c r="M2025" s="47" t="n"/>
      <c r="N2025" s="47" t="inlineStr">
        <is>
          <t>UCor_9jRnNNZVzTuQ92PKsaQ</t>
        </is>
      </c>
      <c r="O2025" s="48" t="n">
        <v>43381.65069444444</v>
      </c>
      <c r="P2025" s="49" t="n">
        <v>43381</v>
      </c>
      <c r="Q2025" s="47" t="n">
        <v>1243</v>
      </c>
      <c r="R2025" s="47" t="inlineStr">
        <is>
          <t>No Video ID yet</t>
        </is>
      </c>
      <c r="S2025" s="49" t="n"/>
      <c r="T2025" s="49" t="n"/>
      <c r="U2025" s="47" t="inlineStr">
        <is>
          <t>Check out Walks in your area!</t>
        </is>
      </c>
      <c r="V2025" s="47">
        <f>IF(AND(P2025&gt;=Calendar!$K$2,P2025&lt;EDATE(Calendar!$K$2,1),OR(Calendar!$K$4="*",N2025=Calendar!$K$4)),P2025*100+COUNTIFS($P$6:$P$3267,P2025,$Q$6:$Q$3267,"&lt;="&amp;Q2025,$N$6:$N$3267,Calendar!$K$4),"")</f>
        <v/>
      </c>
      <c r="W2025" s="47">
        <f>IF(AND(B2025=Queue!$C$4,OR(Queue!$K$4="*",N2025=Queue!$K$4)),Q2025,"")</f>
        <v/>
      </c>
    </row>
    <row r="2026">
      <c r="A2026" s="38">
        <f>IF(M2026="","",HYPERLINK("https://www.youtube.com/watch?v="&amp;M2026,"▶"))</f>
        <v/>
      </c>
      <c r="B2026" s="39">
        <f>IF(C2026&lt;&gt;"",C2026,IF(P2026&lt;=IFERROR(INDEX(tblChannels[Watched Through],MATCH(N2026,tblChannels[Channel ID],0)),0),"Watched","Unwatched"))</f>
        <v/>
      </c>
      <c r="C2026" s="40" t="n"/>
      <c r="D2026" s="41" t="n"/>
      <c r="E2026" s="42" t="n">
        <v>43381.44722222222</v>
      </c>
      <c r="F2026" s="53" t="inlineStr">
        <is>
          <t>Jonathan Carlin</t>
        </is>
      </c>
      <c r="G2026" t="inlineStr">
        <is>
          <t>Luke's First Football Game!</t>
        </is>
      </c>
      <c r="H2026" s="44" t="n">
        <v>0.006354166666666667</v>
      </c>
      <c r="I2026" s="45" t="n">
        <v>29209</v>
      </c>
      <c r="J2026" s="45" t="n">
        <v>1457</v>
      </c>
      <c r="K2026" s="45" t="n">
        <v>227</v>
      </c>
      <c r="L2026" s="46" t="n"/>
      <c r="M2026" s="47" t="n"/>
      <c r="N2026" s="47" t="inlineStr">
        <is>
          <t>UCYPKFe86e6nm4TVUYKLsFUQ</t>
        </is>
      </c>
      <c r="O2026" s="48" t="n">
        <v>43381.61388888889</v>
      </c>
      <c r="P2026" s="49" t="n">
        <v>43381</v>
      </c>
      <c r="Q2026" s="47" t="n">
        <v>1242</v>
      </c>
      <c r="R2026" s="47" t="inlineStr">
        <is>
          <t>No Video ID yet</t>
        </is>
      </c>
      <c r="S2026" s="49" t="n"/>
      <c r="T2026" s="49" t="n"/>
      <c r="U2026" s="47" t="inlineStr">
        <is>
          <t>This week College Football returns, the fridge "breaks" and Luke and Beth go to physical therapy! Also to be clear Beth and I are NOT expecting another child - Our friends Ross and Emily are =D</t>
        </is>
      </c>
      <c r="V2026" s="47">
        <f>IF(AND(P2026&gt;=Calendar!$K$2,P2026&lt;EDATE(Calendar!$K$2,1),OR(Calendar!$K$4="*",N2026=Calendar!$K$4)),P2026*100+COUNTIFS($P$6:$P$3267,P2026,$Q$6:$Q$3267,"&lt;="&amp;Q2026,$N$6:$N$3267,Calendar!$K$4),"")</f>
        <v/>
      </c>
      <c r="W2026" s="47">
        <f>IF(AND(B2026=Queue!$C$4,OR(Queue!$K$4="*",N2026=Queue!$K$4)),Q2026,"")</f>
        <v/>
      </c>
    </row>
    <row r="2027">
      <c r="A2027" s="38">
        <f>IF(M2027="","",HYPERLINK("https://www.youtube.com/watch?v="&amp;M2027,"▶"))</f>
        <v/>
      </c>
      <c r="B2027" s="39">
        <f>IF(C2027&lt;&gt;"",C2027,IF(P2027&lt;=IFERROR(INDEX(tblChannels[Watched Through],MATCH(N2027,tblChannels[Channel ID],0)),0),"Watched","Unwatched"))</f>
        <v/>
      </c>
      <c r="C2027" s="40" t="n"/>
      <c r="D2027" s="41" t="n"/>
      <c r="E2027" s="42" t="n">
        <v>43378.55902777778</v>
      </c>
      <c r="F2027" s="52" t="inlineStr">
        <is>
          <t>Super Carlin Gaming</t>
        </is>
      </c>
      <c r="G2027" t="inlineStr">
        <is>
          <t>I Have a Job Offer, But... | Rocket League #60</t>
        </is>
      </c>
      <c r="H2027" s="44" t="n">
        <v>0.01476851851851852</v>
      </c>
      <c r="I2027" s="45" t="n">
        <v>4162</v>
      </c>
      <c r="J2027" s="45" t="n">
        <v>206</v>
      </c>
      <c r="K2027" s="45" t="n">
        <v>63</v>
      </c>
      <c r="L2027" s="46" t="n"/>
      <c r="M2027" s="47" t="n"/>
      <c r="N2027" s="47" t="inlineStr">
        <is>
          <t>UCor_9jRnNNZVzTuQ92PKsaQ</t>
        </is>
      </c>
      <c r="O2027" s="48" t="n">
        <v>43378.72569444445</v>
      </c>
      <c r="P2027" s="49" t="n">
        <v>43378</v>
      </c>
      <c r="Q2027" s="47" t="n">
        <v>1241</v>
      </c>
      <c r="R2027" s="47" t="inlineStr">
        <is>
          <t>No Video ID yet</t>
        </is>
      </c>
      <c r="S2027" s="49" t="n"/>
      <c r="T2027" s="49" t="n"/>
      <c r="U2027" s="47" t="n"/>
      <c r="V2027" s="47">
        <f>IF(AND(P2027&gt;=Calendar!$K$2,P2027&lt;EDATE(Calendar!$K$2,1),OR(Calendar!$K$4="*",N2027=Calendar!$K$4)),P2027*100+COUNTIFS($P$6:$P$3267,P2027,$Q$6:$Q$3267,"&lt;="&amp;Q2027,$N$6:$N$3267,Calendar!$K$4),"")</f>
        <v/>
      </c>
      <c r="W2027" s="47">
        <f>IF(AND(B2027=Queue!$C$4,OR(Queue!$K$4="*",N2027=Queue!$K$4)),Q2027,"")</f>
        <v/>
      </c>
    </row>
    <row r="2028">
      <c r="A2028" s="38">
        <f>IF(M2028="","",HYPERLINK("https://www.youtube.com/watch?v="&amp;M2028,"▶"))</f>
        <v/>
      </c>
      <c r="B2028" s="39">
        <f>IF(C2028&lt;&gt;"",C2028,IF(P2028&lt;=IFERROR(INDEX(tblChannels[Watched Through],MATCH(N2028,tblChannels[Channel ID],0)),0),"Watched","Unwatched"))</f>
        <v/>
      </c>
      <c r="C2028" s="40" t="n"/>
      <c r="D2028" s="41" t="n"/>
      <c r="E2028" s="42" t="n">
        <v>43377.74791666667</v>
      </c>
      <c r="F2028" s="50" t="inlineStr">
        <is>
          <t>Super Carlin Brothers</t>
        </is>
      </c>
      <c r="G2028" t="inlineStr">
        <is>
          <t>Most Expensive Things At Disney | GAME</t>
        </is>
      </c>
      <c r="H2028" s="44" t="n">
        <v>0.02646990740740741</v>
      </c>
      <c r="I2028" s="45" t="n">
        <v>631932</v>
      </c>
      <c r="J2028" s="45" t="n">
        <v>14995</v>
      </c>
      <c r="K2028" s="45" t="n">
        <v>2187</v>
      </c>
      <c r="L2028" s="46" t="n"/>
      <c r="M2028" s="47" t="n"/>
      <c r="N2028" s="47" t="inlineStr">
        <is>
          <t>UCKZo4N0lVPccBkSiuyVh4yg</t>
        </is>
      </c>
      <c r="O2028" s="48" t="n">
        <v>43377.91458333333</v>
      </c>
      <c r="P2028" s="49" t="n">
        <v>43377</v>
      </c>
      <c r="Q2028" s="47" t="n">
        <v>1240</v>
      </c>
      <c r="R2028" s="47" t="inlineStr">
        <is>
          <t>No Video ID yet</t>
        </is>
      </c>
      <c r="S2028" s="49" t="n"/>
      <c r="T2028" s="49" t="n"/>
      <c r="U2028" s="47" t="inlineStr">
        <is>
          <t>Get 15% off your Vincero Watch order with Promo Code: SCB VinceroWatches :: Today J and Ben Face off and try to guess the exact price of various Disney, Pixar, Marvel and Star Wars items available at ShopDisney.com. Feel free to play along with us and see if you can out score us!</t>
        </is>
      </c>
      <c r="V2028" s="47">
        <f>IF(AND(P2028&gt;=Calendar!$K$2,P2028&lt;EDATE(Calendar!$K$2,1),OR(Calendar!$K$4="*",N2028=Calendar!$K$4)),P2028*100+COUNTIFS($P$6:$P$3267,P2028,$Q$6:$Q$3267,"&lt;="&amp;Q2028,$N$6:$N$3267,Calendar!$K$4),"")</f>
        <v/>
      </c>
      <c r="W2028" s="47">
        <f>IF(AND(B2028=Queue!$C$4,OR(Queue!$K$4="*",N2028=Queue!$K$4)),Q2028,"")</f>
        <v/>
      </c>
    </row>
    <row r="2029">
      <c r="A2029" s="38">
        <f>IF(M2029="","",HYPERLINK("https://www.youtube.com/watch?v="&amp;M2029,"▶"))</f>
        <v/>
      </c>
      <c r="B2029" s="39">
        <f>IF(C2029&lt;&gt;"",C2029,IF(P2029&lt;=IFERROR(INDEX(tblChannels[Watched Through],MATCH(N2029,tblChannels[Channel ID],0)),0),"Watched","Unwatched"))</f>
        <v/>
      </c>
      <c r="C2029" s="40" t="n"/>
      <c r="D2029" s="41" t="n"/>
      <c r="E2029" s="42" t="n">
        <v>43376.74166666667</v>
      </c>
      <c r="F2029" s="52" t="inlineStr">
        <is>
          <t>Super Carlin Gaming</t>
        </is>
      </c>
      <c r="G2029" t="inlineStr">
        <is>
          <t>LIVE! Rocket League - J  and Ben vs THE WORLD</t>
        </is>
      </c>
      <c r="H2029" s="44" t="n">
        <v>0.02533564814814815</v>
      </c>
      <c r="I2029" s="45" t="n">
        <v>2278</v>
      </c>
      <c r="J2029" s="45" t="n">
        <v>80</v>
      </c>
      <c r="K2029" s="45" t="n">
        <v>14</v>
      </c>
      <c r="L2029" s="46" t="n"/>
      <c r="M2029" s="47" t="n"/>
      <c r="N2029" s="47" t="inlineStr">
        <is>
          <t>UCor_9jRnNNZVzTuQ92PKsaQ</t>
        </is>
      </c>
      <c r="O2029" s="48" t="n">
        <v>43376.90833333333</v>
      </c>
      <c r="P2029" s="49" t="n">
        <v>43376</v>
      </c>
      <c r="Q2029" s="47" t="n">
        <v>1239</v>
      </c>
      <c r="R2029" s="47" t="inlineStr">
        <is>
          <t>No Video ID yet</t>
        </is>
      </c>
      <c r="S2029" s="49" t="n"/>
      <c r="T2029" s="49" t="n"/>
      <c r="U2029" s="47" t="inlineStr">
        <is>
          <t>J and Ben go online to take on real opponents and answer your questions! J on twitter: Ben on Twitter: DK STREAMS ON TWITCH: Jordan on YOUTUBE:</t>
        </is>
      </c>
      <c r="V2029" s="47">
        <f>IF(AND(P2029&gt;=Calendar!$K$2,P2029&lt;EDATE(Calendar!$K$2,1),OR(Calendar!$K$4="*",N2029=Calendar!$K$4)),P2029*100+COUNTIFS($P$6:$P$3267,P2029,$Q$6:$Q$3267,"&lt;="&amp;Q2029,$N$6:$N$3267,Calendar!$K$4),"")</f>
        <v/>
      </c>
      <c r="W2029" s="47">
        <f>IF(AND(B2029=Queue!$C$4,OR(Queue!$K$4="*",N2029=Queue!$K$4)),Q2029,"")</f>
        <v/>
      </c>
    </row>
    <row r="2030">
      <c r="A2030" s="38">
        <f>IF(M2030="","",HYPERLINK("https://www.youtube.com/watch?v="&amp;M2030,"▶"))</f>
        <v/>
      </c>
      <c r="B2030" s="39">
        <f>IF(C2030&lt;&gt;"",C2030,IF(P2030&lt;=IFERROR(INDEX(tblChannels[Watched Through],MATCH(N2030,tblChannels[Channel ID],0)),0),"Watched","Unwatched"))</f>
        <v/>
      </c>
      <c r="C2030" s="40" t="n"/>
      <c r="D2030" s="41" t="n"/>
      <c r="E2030" s="42" t="n">
        <v>43376.68888888889</v>
      </c>
      <c r="F2030" s="52" t="inlineStr">
        <is>
          <t>Super Carlin Gaming</t>
        </is>
      </c>
      <c r="G2030" t="inlineStr">
        <is>
          <t>LIVE! Rocket League - J  and Ben vs THE WORLD</t>
        </is>
      </c>
      <c r="H2030" s="44" t="n">
        <v>0.01150462962962963</v>
      </c>
      <c r="I2030" s="45" t="n">
        <v>2207</v>
      </c>
      <c r="J2030" s="45" t="n">
        <v>85</v>
      </c>
      <c r="K2030" s="45" t="n">
        <v>6</v>
      </c>
      <c r="L2030" s="46" t="n"/>
      <c r="M2030" s="47" t="n"/>
      <c r="N2030" s="47" t="inlineStr">
        <is>
          <t>UCor_9jRnNNZVzTuQ92PKsaQ</t>
        </is>
      </c>
      <c r="O2030" s="48" t="n">
        <v>43376.85555555556</v>
      </c>
      <c r="P2030" s="49" t="n">
        <v>43376</v>
      </c>
      <c r="Q2030" s="47" t="n">
        <v>1238</v>
      </c>
      <c r="R2030" s="47" t="inlineStr">
        <is>
          <t>No Video ID yet</t>
        </is>
      </c>
      <c r="S2030" s="49" t="n"/>
      <c r="T2030" s="49" t="n"/>
      <c r="U2030" s="47" t="inlineStr">
        <is>
          <t>J and Ben go online to take on real opponents and answer your questions! J on twitter: Ben on Twitter: DK STREAMS ON TWITCH: Jordan on YOUTUBE:</t>
        </is>
      </c>
      <c r="V2030" s="47">
        <f>IF(AND(P2030&gt;=Calendar!$K$2,P2030&lt;EDATE(Calendar!$K$2,1),OR(Calendar!$K$4="*",N2030=Calendar!$K$4)),P2030*100+COUNTIFS($P$6:$P$3267,P2030,$Q$6:$Q$3267,"&lt;="&amp;Q2030,$N$6:$N$3267,Calendar!$K$4),"")</f>
        <v/>
      </c>
      <c r="W2030" s="47">
        <f>IF(AND(B2030=Queue!$C$4,OR(Queue!$K$4="*",N2030=Queue!$K$4)),Q2030,"")</f>
        <v/>
      </c>
    </row>
    <row r="2031">
      <c r="A2031" s="38">
        <f>IF(M2031="","",HYPERLINK("https://www.youtube.com/watch?v="&amp;M2031,"▶"))</f>
        <v/>
      </c>
      <c r="B2031" s="39">
        <f>IF(C2031&lt;&gt;"",C2031,IF(P2031&lt;=IFERROR(INDEX(tblChannels[Watched Through],MATCH(N2031,tblChannels[Channel ID],0)),0),"Watched","Unwatched"))</f>
        <v/>
      </c>
      <c r="C2031" s="40" t="n"/>
      <c r="D2031" s="41" t="n"/>
      <c r="E2031" s="42" t="n">
        <v>43375.68402777778</v>
      </c>
      <c r="F2031" s="50" t="inlineStr">
        <is>
          <t>Super Carlin Brothers</t>
        </is>
      </c>
      <c r="G2031" t="inlineStr">
        <is>
          <t>Will Hela and Thanos Team Up? | Infinity War Theory</t>
        </is>
      </c>
      <c r="H2031" s="44" t="n">
        <v>0.008958333333333334</v>
      </c>
      <c r="I2031" s="45" t="n">
        <v>464684</v>
      </c>
      <c r="J2031" s="45" t="n">
        <v>13305</v>
      </c>
      <c r="K2031" s="45" t="n">
        <v>1545</v>
      </c>
      <c r="L2031" s="46" t="n"/>
      <c r="M2031" s="47" t="n"/>
      <c r="N2031" s="47" t="inlineStr">
        <is>
          <t>UCKZo4N0lVPccBkSiuyVh4yg</t>
        </is>
      </c>
      <c r="O2031" s="48" t="n">
        <v>43375.85069444445</v>
      </c>
      <c r="P2031" s="49" t="n">
        <v>43375</v>
      </c>
      <c r="Q2031" s="47" t="n">
        <v>1237</v>
      </c>
      <c r="R2031" s="47" t="inlineStr">
        <is>
          <t>No Video ID yet</t>
        </is>
      </c>
      <c r="S2031" s="49" t="n"/>
      <c r="T2031" s="49" t="n"/>
      <c r="U2031" s="47" t="inlineStr">
        <is>
          <t>Today J dives into the Marvel Cinematic Universe to discuss what Thanos will be getting up to in Infinity War and if he has a possible love interest in the Goddess of Death herself: Hela. Pre-Order your Coffee or Tea Today ::</t>
        </is>
      </c>
      <c r="V2031" s="47">
        <f>IF(AND(P2031&gt;=Calendar!$K$2,P2031&lt;EDATE(Calendar!$K$2,1),OR(Calendar!$K$4="*",N2031=Calendar!$K$4)),P2031*100+COUNTIFS($P$6:$P$3267,P2031,$Q$6:$Q$3267,"&lt;="&amp;Q2031,$N$6:$N$3267,Calendar!$K$4),"")</f>
        <v/>
      </c>
      <c r="W2031" s="47">
        <f>IF(AND(B2031=Queue!$C$4,OR(Queue!$K$4="*",N2031=Queue!$K$4)),Q2031,"")</f>
        <v/>
      </c>
    </row>
    <row r="2032">
      <c r="A2032" s="38">
        <f>IF(M2032="","",HYPERLINK("https://www.youtube.com/watch?v="&amp;M2032,"▶"))</f>
        <v/>
      </c>
      <c r="B2032" s="39">
        <f>IF(C2032&lt;&gt;"",C2032,IF(P2032&lt;=IFERROR(INDEX(tblChannels[Watched Through],MATCH(N2032,tblChannels[Channel ID],0)),0),"Watched","Unwatched"))</f>
        <v/>
      </c>
      <c r="C2032" s="40" t="n"/>
      <c r="D2032" s="41" t="n"/>
      <c r="E2032" s="42" t="n">
        <v>43374.73819444444</v>
      </c>
      <c r="F2032" s="53" t="inlineStr">
        <is>
          <t>Jonathan Carlin</t>
        </is>
      </c>
      <c r="G2032" t="inlineStr">
        <is>
          <t>The Coffee Table Conundrum</t>
        </is>
      </c>
      <c r="H2032" s="44" t="n">
        <v>0.005960648148148148</v>
      </c>
      <c r="I2032" s="45" t="n">
        <v>32871</v>
      </c>
      <c r="J2032" s="45" t="n">
        <v>1810</v>
      </c>
      <c r="K2032" s="45" t="n">
        <v>388</v>
      </c>
      <c r="L2032" s="46" t="n"/>
      <c r="M2032" s="47" t="n"/>
      <c r="N2032" s="47" t="inlineStr">
        <is>
          <t>UCYPKFe86e6nm4TVUYKLsFUQ</t>
        </is>
      </c>
      <c r="O2032" s="48" t="n">
        <v>43374.90486111111</v>
      </c>
      <c r="P2032" s="49" t="n">
        <v>43374</v>
      </c>
      <c r="Q2032" s="47" t="n">
        <v>1236</v>
      </c>
      <c r="R2032" s="47" t="inlineStr">
        <is>
          <t>No Video ID yet</t>
        </is>
      </c>
      <c r="S2032" s="49" t="n"/>
      <c r="T2032" s="49" t="n"/>
      <c r="U2032" s="47" t="inlineStr">
        <is>
          <t>Pre-Order your Coffee or Tea TODAY :: This week, J and Ben get on the trending list, Luke tries out some crawling and we try life without a coffee table</t>
        </is>
      </c>
      <c r="V2032" s="47">
        <f>IF(AND(P2032&gt;=Calendar!$K$2,P2032&lt;EDATE(Calendar!$K$2,1),OR(Calendar!$K$4="*",N2032=Calendar!$K$4)),P2032*100+COUNTIFS($P$6:$P$3267,P2032,$Q$6:$Q$3267,"&lt;="&amp;Q2032,$N$6:$N$3267,Calendar!$K$4),"")</f>
        <v/>
      </c>
      <c r="W2032" s="47">
        <f>IF(AND(B2032=Queue!$C$4,OR(Queue!$K$4="*",N2032=Queue!$K$4)),Q2032,"")</f>
        <v/>
      </c>
    </row>
    <row r="2033">
      <c r="A2033" s="38">
        <f>IF(M2033="","",HYPERLINK("https://www.youtube.com/watch?v="&amp;M2033,"▶"))</f>
        <v/>
      </c>
      <c r="B2033" s="39">
        <f>IF(C2033&lt;&gt;"",C2033,IF(P2033&lt;=IFERROR(INDEX(tblChannels[Watched Through],MATCH(N2033,tblChannels[Channel ID],0)),0),"Watched","Unwatched"))</f>
        <v/>
      </c>
      <c r="C2033" s="40" t="n"/>
      <c r="D2033" s="41" t="n"/>
      <c r="E2033" s="42" t="n">
        <v>43370.5</v>
      </c>
      <c r="F2033" s="50" t="inlineStr">
        <is>
          <t>Super Carlin Brothers</t>
        </is>
      </c>
      <c r="G2033" t="inlineStr">
        <is>
          <t>J vs Ben: HARDEST Forbidden Forest Trivia Quiz EVER</t>
        </is>
      </c>
      <c r="H2033" s="44" t="n">
        <v>0.01806712962962963</v>
      </c>
      <c r="I2033" s="45" t="n">
        <v>605932</v>
      </c>
      <c r="J2033" s="45" t="n">
        <v>14458</v>
      </c>
      <c r="K2033" s="45" t="n">
        <v>2158</v>
      </c>
      <c r="L2033" s="46" t="n"/>
      <c r="M2033" s="47" t="n"/>
      <c r="N2033" s="47" t="inlineStr">
        <is>
          <t>UCKZo4N0lVPccBkSiuyVh4yg</t>
        </is>
      </c>
      <c r="O2033" s="48" t="n">
        <v>43370.66666666666</v>
      </c>
      <c r="P2033" s="49" t="n">
        <v>43370</v>
      </c>
      <c r="Q2033" s="47" t="n">
        <v>1235</v>
      </c>
      <c r="R2033" s="47" t="inlineStr">
        <is>
          <t>No Video ID yet</t>
        </is>
      </c>
      <c r="S2033" s="49" t="n"/>
      <c r="T2033" s="49" t="n"/>
      <c r="U2033" s="47" t="inlineStr">
        <is>
          <t>Today J and Ben face off once more in the Wizarding World of Harry Potter to find out who knows more about Hogwarts famous Forbidden Forest!</t>
        </is>
      </c>
      <c r="V2033" s="47">
        <f>IF(AND(P2033&gt;=Calendar!$K$2,P2033&lt;EDATE(Calendar!$K$2,1),OR(Calendar!$K$4="*",N2033=Calendar!$K$4)),P2033*100+COUNTIFS($P$6:$P$3267,P2033,$Q$6:$Q$3267,"&lt;="&amp;Q2033,$N$6:$N$3267,Calendar!$K$4),"")</f>
        <v/>
      </c>
      <c r="W2033" s="47">
        <f>IF(AND(B2033=Queue!$C$4,OR(Queue!$K$4="*",N2033=Queue!$K$4)),Q2033,"")</f>
        <v/>
      </c>
    </row>
    <row r="2034">
      <c r="A2034" s="38">
        <f>IF(M2034="","",HYPERLINK("https://www.youtube.com/watch?v="&amp;M2034,"▶"))</f>
        <v/>
      </c>
      <c r="B2034" s="39">
        <f>IF(C2034&lt;&gt;"",C2034,IF(P2034&lt;=IFERROR(INDEX(tblChannels[Watched Through],MATCH(N2034,tblChannels[Channel ID],0)),0),"Watched","Unwatched"))</f>
        <v/>
      </c>
      <c r="C2034" s="40" t="n"/>
      <c r="D2034" s="41" t="n"/>
      <c r="E2034" s="42" t="n">
        <v>43368.84097222222</v>
      </c>
      <c r="F2034" s="50" t="inlineStr">
        <is>
          <t>Super Carlin Brothers</t>
        </is>
      </c>
      <c r="G2034" t="inlineStr">
        <is>
          <t>Luna Lovegood Is A Maledictus | Harry Potter Theory</t>
        </is>
      </c>
      <c r="H2034" s="44" t="n">
        <v>0.006157407407407407</v>
      </c>
      <c r="I2034" s="45" t="n">
        <v>1426532</v>
      </c>
      <c r="J2034" s="45" t="n">
        <v>42317</v>
      </c>
      <c r="K2034" s="45" t="n">
        <v>5226</v>
      </c>
      <c r="L2034" s="46" t="n"/>
      <c r="M2034" s="47" t="n"/>
      <c r="N2034" s="47" t="inlineStr">
        <is>
          <t>UCKZo4N0lVPccBkSiuyVh4yg</t>
        </is>
      </c>
      <c r="O2034" s="48" t="n">
        <v>43369.00763888889</v>
      </c>
      <c r="P2034" s="49" t="n">
        <v>43368</v>
      </c>
      <c r="Q2034" s="47" t="n">
        <v>1234</v>
      </c>
      <c r="R2034" s="47" t="inlineStr">
        <is>
          <t>No Video ID yet</t>
        </is>
      </c>
      <c r="S2034" s="49" t="n"/>
      <c r="T2034" s="49" t="n"/>
      <c r="U2034" s="47" t="inlineStr">
        <is>
          <t>Today J dives into the Wizarding World of Harry Potter to decide if everyone's favorite Ravenclaw, Luna Lovegood, is actually a Maledictus and if so, what animal she might become! Pre-Order your Coffee or Tea TODAY ::</t>
        </is>
      </c>
      <c r="V2034" s="47">
        <f>IF(AND(P2034&gt;=Calendar!$K$2,P2034&lt;EDATE(Calendar!$K$2,1),OR(Calendar!$K$4="*",N2034=Calendar!$K$4)),P2034*100+COUNTIFS($P$6:$P$3267,P2034,$Q$6:$Q$3267,"&lt;="&amp;Q2034,$N$6:$N$3267,Calendar!$K$4),"")</f>
        <v/>
      </c>
      <c r="W2034" s="47">
        <f>IF(AND(B2034=Queue!$C$4,OR(Queue!$K$4="*",N2034=Queue!$K$4)),Q2034,"")</f>
        <v/>
      </c>
    </row>
    <row r="2035">
      <c r="A2035" s="38">
        <f>IF(M2035="","",HYPERLINK("https://www.youtube.com/watch?v="&amp;M2035,"▶"))</f>
        <v/>
      </c>
      <c r="B2035" s="39">
        <f>IF(C2035&lt;&gt;"",C2035,IF(P2035&lt;=IFERROR(INDEX(tblChannels[Watched Through],MATCH(N2035,tblChannels[Channel ID],0)),0),"Watched","Unwatched"))</f>
        <v/>
      </c>
      <c r="C2035" s="40" t="n"/>
      <c r="D2035" s="41" t="n"/>
      <c r="E2035" s="42" t="n">
        <v>43365.5</v>
      </c>
      <c r="F2035" s="53" t="inlineStr">
        <is>
          <t>Jonathan Carlin</t>
        </is>
      </c>
      <c r="G2035" t="inlineStr">
        <is>
          <t>CARLIN BROTHERS COFFEE</t>
        </is>
      </c>
      <c r="H2035" s="44" t="n">
        <v>0.005138888888888889</v>
      </c>
      <c r="I2035" s="45" t="n">
        <v>32182</v>
      </c>
      <c r="J2035" s="45" t="n">
        <v>1851</v>
      </c>
      <c r="K2035" s="45" t="n">
        <v>251</v>
      </c>
      <c r="L2035" s="46" t="n"/>
      <c r="M2035" s="47" t="n"/>
      <c r="N2035" s="47" t="inlineStr">
        <is>
          <t>UCYPKFe86e6nm4TVUYKLsFUQ</t>
        </is>
      </c>
      <c r="O2035" s="48" t="n">
        <v>43365.66666666666</v>
      </c>
      <c r="P2035" s="49" t="n">
        <v>43365</v>
      </c>
      <c r="Q2035" s="47" t="n">
        <v>1233</v>
      </c>
      <c r="R2035" s="47" t="inlineStr">
        <is>
          <t>No Video ID yet</t>
        </is>
      </c>
      <c r="S2035" s="49" t="n"/>
      <c r="T2035" s="49" t="n"/>
      <c r="U2035" s="47" t="inlineStr">
        <is>
          <t>Pre-Order your Coffee or Tea TODAY :: Guys! We are starting our own Coffee Company!!!!!!!!!</t>
        </is>
      </c>
      <c r="V2035" s="47">
        <f>IF(AND(P2035&gt;=Calendar!$K$2,P2035&lt;EDATE(Calendar!$K$2,1),OR(Calendar!$K$4="*",N2035=Calendar!$K$4)),P2035*100+COUNTIFS($P$6:$P$3267,P2035,$Q$6:$Q$3267,"&lt;="&amp;Q2035,$N$6:$N$3267,Calendar!$K$4),"")</f>
        <v/>
      </c>
      <c r="W2035" s="47">
        <f>IF(AND(B2035=Queue!$C$4,OR(Queue!$K$4="*",N2035=Queue!$K$4)),Q2035,"")</f>
        <v/>
      </c>
    </row>
    <row r="2036">
      <c r="A2036" s="38">
        <f>IF(M2036="","",HYPERLINK("https://www.youtube.com/watch?v="&amp;M2036,"▶"))</f>
        <v/>
      </c>
      <c r="B2036" s="39">
        <f>IF(C2036&lt;&gt;"",C2036,IF(P2036&lt;=IFERROR(INDEX(tblChannels[Watched Through],MATCH(N2036,tblChannels[Channel ID],0)),0),"Watched","Unwatched"))</f>
        <v/>
      </c>
      <c r="C2036" s="40" t="n"/>
      <c r="D2036" s="41" t="n"/>
      <c r="E2036" s="42" t="n">
        <v>43365.49861111111</v>
      </c>
      <c r="F2036" s="50" t="inlineStr">
        <is>
          <t>Super Carlin Brothers</t>
        </is>
      </c>
      <c r="G2036" t="inlineStr">
        <is>
          <t>THE BIG ANNOUNCEMENT!</t>
        </is>
      </c>
      <c r="H2036" s="44" t="n">
        <v>0.003171296296296296</v>
      </c>
      <c r="I2036" s="45" t="n">
        <v>287492</v>
      </c>
      <c r="J2036" s="45" t="n">
        <v>16728</v>
      </c>
      <c r="K2036" s="45" t="n">
        <v>2900</v>
      </c>
      <c r="L2036" s="46" t="n"/>
      <c r="M2036" s="47" t="n"/>
      <c r="N2036" s="47" t="inlineStr">
        <is>
          <t>UCKZo4N0lVPccBkSiuyVh4yg</t>
        </is>
      </c>
      <c r="O2036" s="48" t="n">
        <v>43365.66527777778</v>
      </c>
      <c r="P2036" s="49" t="n">
        <v>43365</v>
      </c>
      <c r="Q2036" s="47" t="n">
        <v>1232</v>
      </c>
      <c r="R2036" s="47" t="inlineStr">
        <is>
          <t>No Video ID yet</t>
        </is>
      </c>
      <c r="S2036" s="49" t="n"/>
      <c r="T2036" s="49" t="n"/>
      <c r="U2036" s="47" t="inlineStr">
        <is>
          <t>Pre-Order your Coffee or Tea TODAY :: Follow Carlin Brothers Coffee Social Accounts! Facebook :: Twitter :: Instagram ::</t>
        </is>
      </c>
      <c r="V2036" s="47">
        <f>IF(AND(P2036&gt;=Calendar!$K$2,P2036&lt;EDATE(Calendar!$K$2,1),OR(Calendar!$K$4="*",N2036=Calendar!$K$4)),P2036*100+COUNTIFS($P$6:$P$3267,P2036,$Q$6:$Q$3267,"&lt;="&amp;Q2036,$N$6:$N$3267,Calendar!$K$4),"")</f>
        <v/>
      </c>
      <c r="W2036" s="47">
        <f>IF(AND(B2036=Queue!$C$4,OR(Queue!$K$4="*",N2036=Queue!$K$4)),Q2036,"")</f>
        <v/>
      </c>
    </row>
    <row r="2037">
      <c r="A2037" s="38">
        <f>IF(M2037="","",HYPERLINK("https://www.youtube.com/watch?v="&amp;M2037,"▶"))</f>
        <v/>
      </c>
      <c r="B2037" s="39">
        <f>IF(C2037&lt;&gt;"",C2037,IF(P2037&lt;=IFERROR(INDEX(tblChannels[Watched Through],MATCH(N2037,tblChannels[Channel ID],0)),0),"Watched","Unwatched"))</f>
        <v/>
      </c>
      <c r="C2037" s="40" t="n"/>
      <c r="D2037" s="41" t="n"/>
      <c r="E2037" s="42" t="n">
        <v>43364.4375</v>
      </c>
      <c r="F2037" s="52" t="inlineStr">
        <is>
          <t>Super Carlin Gaming</t>
        </is>
      </c>
      <c r="G2037" t="inlineStr">
        <is>
          <t>Which Infinity Stone Are You? | Rocket League #59</t>
        </is>
      </c>
      <c r="H2037" s="44" t="n">
        <v>0.01645833333333333</v>
      </c>
      <c r="I2037" s="45" t="n">
        <v>5006</v>
      </c>
      <c r="J2037" s="45" t="n">
        <v>231</v>
      </c>
      <c r="K2037" s="45" t="n">
        <v>89</v>
      </c>
      <c r="L2037" s="46" t="n"/>
      <c r="M2037" s="47" t="n"/>
      <c r="N2037" s="47" t="inlineStr">
        <is>
          <t>UCor_9jRnNNZVzTuQ92PKsaQ</t>
        </is>
      </c>
      <c r="O2037" s="48" t="n">
        <v>43364.60416666666</v>
      </c>
      <c r="P2037" s="49" t="n">
        <v>43364</v>
      </c>
      <c r="Q2037" s="47" t="n">
        <v>1231</v>
      </c>
      <c r="R2037" s="47" t="inlineStr">
        <is>
          <t>No Video ID yet</t>
        </is>
      </c>
      <c r="S2037" s="49" t="n"/>
      <c r="T2037" s="49" t="n"/>
      <c r="U2037" s="47" t="inlineStr">
        <is>
          <t>Which Infinity Stone are you ::</t>
        </is>
      </c>
      <c r="V2037" s="47">
        <f>IF(AND(P2037&gt;=Calendar!$K$2,P2037&lt;EDATE(Calendar!$K$2,1),OR(Calendar!$K$4="*",N2037=Calendar!$K$4)),P2037*100+COUNTIFS($P$6:$P$3267,P2037,$Q$6:$Q$3267,"&lt;="&amp;Q2037,$N$6:$N$3267,Calendar!$K$4),"")</f>
        <v/>
      </c>
      <c r="W2037" s="47">
        <f>IF(AND(B2037=Queue!$C$4,OR(Queue!$K$4="*",N2037=Queue!$K$4)),Q2037,"")</f>
        <v/>
      </c>
    </row>
    <row r="2038">
      <c r="A2038" s="38">
        <f>IF(M2038="","",HYPERLINK("https://www.youtube.com/watch?v="&amp;M2038,"▶"))</f>
        <v/>
      </c>
      <c r="B2038" s="39">
        <f>IF(C2038&lt;&gt;"",C2038,IF(P2038&lt;=IFERROR(INDEX(tblChannels[Watched Through],MATCH(N2038,tblChannels[Channel ID],0)),0),"Watched","Unwatched"))</f>
        <v/>
      </c>
      <c r="C2038" s="40" t="n"/>
      <c r="D2038" s="41" t="n"/>
      <c r="E2038" s="42" t="n">
        <v>43363.74305555555</v>
      </c>
      <c r="F2038" s="50" t="inlineStr">
        <is>
          <t>Super Carlin Brothers</t>
        </is>
      </c>
      <c r="G2038" t="inlineStr">
        <is>
          <t>Top 10 Reasons Why Scar Is The Best Disney Villain EVER</t>
        </is>
      </c>
      <c r="H2038" s="44" t="n">
        <v>0.008900462962962962</v>
      </c>
      <c r="I2038" s="45" t="n">
        <v>1204502</v>
      </c>
      <c r="J2038" s="45" t="n">
        <v>24452</v>
      </c>
      <c r="K2038" s="45" t="n">
        <v>3817</v>
      </c>
      <c r="L2038" s="46" t="n"/>
      <c r="M2038" s="47" t="n"/>
      <c r="N2038" s="47" t="inlineStr">
        <is>
          <t>UCKZo4N0lVPccBkSiuyVh4yg</t>
        </is>
      </c>
      <c r="O2038" s="48" t="n">
        <v>43363.90972222222</v>
      </c>
      <c r="P2038" s="49" t="n">
        <v>43363</v>
      </c>
      <c r="Q2038" s="47" t="n">
        <v>1230</v>
      </c>
      <c r="R2038" s="47" t="inlineStr">
        <is>
          <t>No Video ID yet</t>
        </is>
      </c>
      <c r="S2038" s="49" t="n"/>
      <c r="T2038" s="49" t="n"/>
      <c r="U2038" s="47" t="inlineStr">
        <is>
          <t>YouTube Is My Playground Gear :: You guys have been voting for a few weeks over on Twitter on who the Greatest Disney Villain of all time is and today we are counting down the Top 10 Reason why our champion SCAR is the best of them all! Thanks to Kayla Stith for her excellent Lion King art ::</t>
        </is>
      </c>
      <c r="V2038" s="47">
        <f>IF(AND(P2038&gt;=Calendar!$K$2,P2038&lt;EDATE(Calendar!$K$2,1),OR(Calendar!$K$4="*",N2038=Calendar!$K$4)),P2038*100+COUNTIFS($P$6:$P$3267,P2038,$Q$6:$Q$3267,"&lt;="&amp;Q2038,$N$6:$N$3267,Calendar!$K$4),"")</f>
        <v/>
      </c>
      <c r="W2038" s="47">
        <f>IF(AND(B2038=Queue!$C$4,OR(Queue!$K$4="*",N2038=Queue!$K$4)),Q2038,"")</f>
        <v/>
      </c>
    </row>
    <row r="2039">
      <c r="A2039" s="38">
        <f>IF(M2039="","",HYPERLINK("https://www.youtube.com/watch?v="&amp;M2039,"▶"))</f>
        <v/>
      </c>
      <c r="B2039" s="39">
        <f>IF(C2039&lt;&gt;"",C2039,IF(P2039&lt;=IFERROR(INDEX(tblChannels[Watched Through],MATCH(N2039,tblChannels[Channel ID],0)),0),"Watched","Unwatched"))</f>
        <v/>
      </c>
      <c r="C2039" s="40" t="n"/>
      <c r="D2039" s="41" t="n"/>
      <c r="E2039" s="42" t="n">
        <v>43362.33333333334</v>
      </c>
      <c r="F2039" s="52" t="inlineStr">
        <is>
          <t>Super Carlin Gaming</t>
        </is>
      </c>
      <c r="G2039" t="inlineStr">
        <is>
          <t>The Promposal | Rocket League #58</t>
        </is>
      </c>
      <c r="H2039" s="44" t="n">
        <v>0.01493055555555556</v>
      </c>
      <c r="I2039" s="45" t="n">
        <v>4029</v>
      </c>
      <c r="J2039" s="45" t="n">
        <v>244</v>
      </c>
      <c r="K2039" s="45" t="n">
        <v>82</v>
      </c>
      <c r="L2039" s="46" t="n"/>
      <c r="M2039" s="47" t="n"/>
      <c r="N2039" s="47" t="inlineStr">
        <is>
          <t>UCor_9jRnNNZVzTuQ92PKsaQ</t>
        </is>
      </c>
      <c r="O2039" s="48" t="n">
        <v>43362.5</v>
      </c>
      <c r="P2039" s="49" t="n">
        <v>43362</v>
      </c>
      <c r="Q2039" s="47" t="n">
        <v>1229</v>
      </c>
      <c r="R2039" s="47" t="inlineStr">
        <is>
          <t>No Video ID yet</t>
        </is>
      </c>
      <c r="S2039" s="49" t="n"/>
      <c r="T2039" s="49" t="n"/>
      <c r="U2039" s="47" t="inlineStr">
        <is>
          <t>The Posters are available at !</t>
        </is>
      </c>
      <c r="V2039" s="47">
        <f>IF(AND(P2039&gt;=Calendar!$K$2,P2039&lt;EDATE(Calendar!$K$2,1),OR(Calendar!$K$4="*",N2039=Calendar!$K$4)),P2039*100+COUNTIFS($P$6:$P$3267,P2039,$Q$6:$Q$3267,"&lt;="&amp;Q2039,$N$6:$N$3267,Calendar!$K$4),"")</f>
        <v/>
      </c>
      <c r="W2039" s="47">
        <f>IF(AND(B2039=Queue!$C$4,OR(Queue!$K$4="*",N2039=Queue!$K$4)),Q2039,"")</f>
        <v/>
      </c>
    </row>
    <row r="2040">
      <c r="A2040" s="38">
        <f>IF(M2040="","",HYPERLINK("https://www.youtube.com/watch?v="&amp;M2040,"▶"))</f>
        <v/>
      </c>
      <c r="B2040" s="39">
        <f>IF(C2040&lt;&gt;"",C2040,IF(P2040&lt;=IFERROR(INDEX(tblChannels[Watched Through],MATCH(N2040,tblChannels[Channel ID],0)),0),"Watched","Unwatched"))</f>
        <v/>
      </c>
      <c r="C2040" s="40" t="n"/>
      <c r="D2040" s="41" t="n"/>
      <c r="E2040" s="42" t="n">
        <v>43361.75138888889</v>
      </c>
      <c r="F2040" s="50" t="inlineStr">
        <is>
          <t>Super Carlin Brothers</t>
        </is>
      </c>
      <c r="G2040" t="inlineStr">
        <is>
          <t>The Truth About Truth Potion | Harry Potter Explained</t>
        </is>
      </c>
      <c r="H2040" s="44" t="n">
        <v>0.007951388888888888</v>
      </c>
      <c r="I2040" s="45" t="n">
        <v>1353523</v>
      </c>
      <c r="J2040" s="45" t="n">
        <v>34282</v>
      </c>
      <c r="K2040" s="45" t="n">
        <v>2884</v>
      </c>
      <c r="L2040" s="46" t="n"/>
      <c r="M2040" s="47" t="n"/>
      <c r="N2040" s="47" t="inlineStr">
        <is>
          <t>UCKZo4N0lVPccBkSiuyVh4yg</t>
        </is>
      </c>
      <c r="O2040" s="48" t="n">
        <v>43361.91805555556</v>
      </c>
      <c r="P2040" s="49" t="n">
        <v>43361</v>
      </c>
      <c r="Q2040" s="47" t="n">
        <v>1228</v>
      </c>
      <c r="R2040" s="47" t="inlineStr">
        <is>
          <t>No Video ID yet</t>
        </is>
      </c>
      <c r="S2040" s="49" t="n"/>
      <c r="T2040" s="49" t="n"/>
      <c r="U2040" s="47" t="inlineStr">
        <is>
          <t>Today J dives into the Wizarding World of Harry Potter to discuss one of the most underused and most powerful potions out there: Veritaserum aka : Truth Serum. Special Thanks to these Patrons :: Adam Williams, Adele Grafen, AgVoss, Bernard Plourde, Birk Ljungfeldt, Cynthia Boyd, Dan, Emily Abraham, Fiona Martin, Hillary Reist, Jennifer, Jimmy McGowan, Joy Spears, Kat Waterflame, Kristhell Lopez, Lasse Buan, Laura van den Hooff, Maddie D, Maelstrym, Miranda Vasquez, Natalie Masucci, Qui Le, Samantha bransdorf, Sandra, Sarah E McCartney, Sydney Hank, Vinnie Nicotra</t>
        </is>
      </c>
      <c r="V2040" s="47">
        <f>IF(AND(P2040&gt;=Calendar!$K$2,P2040&lt;EDATE(Calendar!$K$2,1),OR(Calendar!$K$4="*",N2040=Calendar!$K$4)),P2040*100+COUNTIFS($P$6:$P$3267,P2040,$Q$6:$Q$3267,"&lt;="&amp;Q2040,$N$6:$N$3267,Calendar!$K$4),"")</f>
        <v/>
      </c>
      <c r="W2040" s="47">
        <f>IF(AND(B2040=Queue!$C$4,OR(Queue!$K$4="*",N2040=Queue!$K$4)),Q2040,"")</f>
        <v/>
      </c>
    </row>
    <row r="2041">
      <c r="A2041" s="38">
        <f>IF(M2041="","",HYPERLINK("https://www.youtube.com/watch?v="&amp;M2041,"▶"))</f>
        <v/>
      </c>
      <c r="B2041" s="39">
        <f>IF(C2041&lt;&gt;"",C2041,IF(P2041&lt;=IFERROR(INDEX(tblChannels[Watched Through],MATCH(N2041,tblChannels[Channel ID],0)),0),"Watched","Unwatched"))</f>
        <v/>
      </c>
      <c r="C2041" s="40" t="n"/>
      <c r="D2041" s="41" t="n"/>
      <c r="E2041" s="42" t="n">
        <v>43360.4375</v>
      </c>
      <c r="F2041" s="52" t="inlineStr">
        <is>
          <t>Super Carlin Gaming</t>
        </is>
      </c>
      <c r="G2041" t="inlineStr">
        <is>
          <t>What If You Had Extra Money? | Rocket League #57</t>
        </is>
      </c>
      <c r="H2041" s="44" t="n">
        <v>0.01503472222222222</v>
      </c>
      <c r="I2041" s="45" t="n">
        <v>4542</v>
      </c>
      <c r="J2041" s="45" t="n">
        <v>210</v>
      </c>
      <c r="K2041" s="45" t="n">
        <v>68</v>
      </c>
      <c r="L2041" s="46" t="n"/>
      <c r="M2041" s="47" t="n"/>
      <c r="N2041" s="47" t="inlineStr">
        <is>
          <t>UCor_9jRnNNZVzTuQ92PKsaQ</t>
        </is>
      </c>
      <c r="O2041" s="48" t="n">
        <v>43360.60416666666</v>
      </c>
      <c r="P2041" s="49" t="n">
        <v>43360</v>
      </c>
      <c r="Q2041" s="47" t="n">
        <v>1227</v>
      </c>
      <c r="R2041" s="47" t="inlineStr">
        <is>
          <t>No Video ID yet</t>
        </is>
      </c>
      <c r="S2041" s="49" t="n"/>
      <c r="T2041" s="49" t="n"/>
      <c r="U2041" s="47" t="inlineStr">
        <is>
          <t>Get the "YouTube Is My Playground" hoodie at www.supercarlinbrothers.store</t>
        </is>
      </c>
      <c r="V2041" s="47">
        <f>IF(AND(P2041&gt;=Calendar!$K$2,P2041&lt;EDATE(Calendar!$K$2,1),OR(Calendar!$K$4="*",N2041=Calendar!$K$4)),P2041*100+COUNTIFS($P$6:$P$3267,P2041,$Q$6:$Q$3267,"&lt;="&amp;Q2041,$N$6:$N$3267,Calendar!$K$4),"")</f>
        <v/>
      </c>
      <c r="W2041" s="47">
        <f>IF(AND(B2041=Queue!$C$4,OR(Queue!$K$4="*",N2041=Queue!$K$4)),Q2041,"")</f>
        <v/>
      </c>
    </row>
    <row r="2042">
      <c r="A2042" s="38">
        <f>IF(M2042="","",HYPERLINK("https://www.youtube.com/watch?v="&amp;M2042,"▶"))</f>
        <v/>
      </c>
      <c r="B2042" s="39">
        <f>IF(C2042&lt;&gt;"",C2042,IF(P2042&lt;=IFERROR(INDEX(tblChannels[Watched Through],MATCH(N2042,tblChannels[Channel ID],0)),0),"Watched","Unwatched"))</f>
        <v/>
      </c>
      <c r="C2042" s="40" t="n"/>
      <c r="D2042" s="41" t="n"/>
      <c r="E2042" s="42" t="n">
        <v>43360.41666666666</v>
      </c>
      <c r="F2042" s="53" t="inlineStr">
        <is>
          <t>Jonathan Carlin</t>
        </is>
      </c>
      <c r="G2042" t="inlineStr">
        <is>
          <t>BEN IS A POPCORN PIRATE</t>
        </is>
      </c>
      <c r="H2042" s="44" t="n">
        <v>0.008460648148148148</v>
      </c>
      <c r="I2042" s="45" t="n">
        <v>49170</v>
      </c>
      <c r="J2042" s="45" t="n">
        <v>1963</v>
      </c>
      <c r="K2042" s="45" t="n">
        <v>218</v>
      </c>
      <c r="L2042" s="46" t="n"/>
      <c r="M2042" s="47" t="n"/>
      <c r="N2042" s="47" t="inlineStr">
        <is>
          <t>UCYPKFe86e6nm4TVUYKLsFUQ</t>
        </is>
      </c>
      <c r="O2042" s="48" t="n">
        <v>43360.58333333334</v>
      </c>
      <c r="P2042" s="49" t="n">
        <v>43360</v>
      </c>
      <c r="Q2042" s="47" t="n">
        <v>1226</v>
      </c>
      <c r="R2042" s="47" t="inlineStr">
        <is>
          <t>No Video ID yet</t>
        </is>
      </c>
      <c r="S2042" s="49" t="n"/>
      <c r="T2042" s="49" t="n"/>
      <c r="U2042" s="47" t="inlineStr">
        <is>
          <t>This week J, Beth and Luke get a new rug for Luke to play on, and Ben scores a massive popcorn booty! Bacon and Eggs ::</t>
        </is>
      </c>
      <c r="V2042" s="47">
        <f>IF(AND(P2042&gt;=Calendar!$K$2,P2042&lt;EDATE(Calendar!$K$2,1),OR(Calendar!$K$4="*",N2042=Calendar!$K$4)),P2042*100+COUNTIFS($P$6:$P$3267,P2042,$Q$6:$Q$3267,"&lt;="&amp;Q2042,$N$6:$N$3267,Calendar!$K$4),"")</f>
        <v/>
      </c>
      <c r="W2042" s="47">
        <f>IF(AND(B2042=Queue!$C$4,OR(Queue!$K$4="*",N2042=Queue!$K$4)),Q2042,"")</f>
        <v/>
      </c>
    </row>
    <row r="2043">
      <c r="A2043" s="38">
        <f>IF(M2043="","",HYPERLINK("https://www.youtube.com/watch?v="&amp;M2043,"▶"))</f>
        <v/>
      </c>
      <c r="B2043" s="39">
        <f>IF(C2043&lt;&gt;"",C2043,IF(P2043&lt;=IFERROR(INDEX(tblChannels[Watched Through],MATCH(N2043,tblChannels[Channel ID],0)),0),"Watched","Unwatched"))</f>
        <v/>
      </c>
      <c r="C2043" s="40" t="n"/>
      <c r="D2043" s="41" t="n"/>
      <c r="E2043" s="42" t="n">
        <v>43358.79097222222</v>
      </c>
      <c r="F2043" s="52" t="inlineStr">
        <is>
          <t>Super Carlin Gaming</t>
        </is>
      </c>
      <c r="G2043" t="inlineStr">
        <is>
          <t>LIVE! Rocket League - J vs THE WORLD</t>
        </is>
      </c>
      <c r="H2043" s="44" t="n">
        <v>0.06429398148148148</v>
      </c>
      <c r="I2043" s="45" t="n">
        <v>2294</v>
      </c>
      <c r="J2043" s="45" t="n">
        <v>117</v>
      </c>
      <c r="K2043" s="45" t="n">
        <v>9</v>
      </c>
      <c r="L2043" s="46" t="n"/>
      <c r="M2043" s="47" t="n"/>
      <c r="N2043" s="47" t="inlineStr">
        <is>
          <t>UCor_9jRnNNZVzTuQ92PKsaQ</t>
        </is>
      </c>
      <c r="O2043" s="48" t="n">
        <v>43358.95763888889</v>
      </c>
      <c r="P2043" s="49" t="n">
        <v>43358</v>
      </c>
      <c r="Q2043" s="47" t="n">
        <v>1225</v>
      </c>
      <c r="R2043" s="47" t="inlineStr">
        <is>
          <t>No Video ID yet</t>
        </is>
      </c>
      <c r="S2043" s="49" t="n"/>
      <c r="T2043" s="49" t="n"/>
      <c r="U2043" s="47" t="inlineStr">
        <is>
          <t>Support the stream: Join The Discord! J on twitter: Ben on Twitter: DK STREAMS ON TWITCH: Jordan on YOUTUBE:</t>
        </is>
      </c>
      <c r="V2043" s="47">
        <f>IF(AND(P2043&gt;=Calendar!$K$2,P2043&lt;EDATE(Calendar!$K$2,1),OR(Calendar!$K$4="*",N2043=Calendar!$K$4)),P2043*100+COUNTIFS($P$6:$P$3267,P2043,$Q$6:$Q$3267,"&lt;="&amp;Q2043,$N$6:$N$3267,Calendar!$K$4),"")</f>
        <v/>
      </c>
      <c r="W2043" s="47">
        <f>IF(AND(B2043=Queue!$C$4,OR(Queue!$K$4="*",N2043=Queue!$K$4)),Q2043,"")</f>
        <v/>
      </c>
    </row>
    <row r="2044">
      <c r="A2044" s="38">
        <f>IF(M2044="","",HYPERLINK("https://www.youtube.com/watch?v="&amp;M2044,"▶"))</f>
        <v/>
      </c>
      <c r="B2044" s="39">
        <f>IF(C2044&lt;&gt;"",C2044,IF(P2044&lt;=IFERROR(INDEX(tblChannels[Watched Through],MATCH(N2044,tblChannels[Channel ID],0)),0),"Watched","Unwatched"))</f>
        <v/>
      </c>
      <c r="C2044" s="40" t="n"/>
      <c r="D2044" s="41" t="n"/>
      <c r="E2044" s="42" t="n">
        <v>43357.57361111111</v>
      </c>
      <c r="F2044" s="52" t="inlineStr">
        <is>
          <t>Super Carlin Gaming</t>
        </is>
      </c>
      <c r="G2044" t="inlineStr">
        <is>
          <t>Which Pixar Character Are You? | Rocket League #56</t>
        </is>
      </c>
      <c r="H2044" s="44" t="n">
        <v>0.01292824074074074</v>
      </c>
      <c r="I2044" s="45" t="n">
        <v>4428</v>
      </c>
      <c r="J2044" s="45" t="n">
        <v>206</v>
      </c>
      <c r="K2044" s="45" t="n">
        <v>82</v>
      </c>
      <c r="L2044" s="46" t="n"/>
      <c r="M2044" s="47" t="n"/>
      <c r="N2044" s="47" t="inlineStr">
        <is>
          <t>UCor_9jRnNNZVzTuQ92PKsaQ</t>
        </is>
      </c>
      <c r="O2044" s="48" t="n">
        <v>43357.74027777778</v>
      </c>
      <c r="P2044" s="49" t="n">
        <v>43357</v>
      </c>
      <c r="Q2044" s="47" t="n">
        <v>1224</v>
      </c>
      <c r="R2044" s="47" t="inlineStr">
        <is>
          <t>No Video ID yet</t>
        </is>
      </c>
      <c r="S2044" s="49" t="n"/>
      <c r="T2044" s="49" t="n"/>
      <c r="U2044" s="47" t="inlineStr">
        <is>
          <t>Find out which Pixar Character you are:</t>
        </is>
      </c>
      <c r="V2044" s="47">
        <f>IF(AND(P2044&gt;=Calendar!$K$2,P2044&lt;EDATE(Calendar!$K$2,1),OR(Calendar!$K$4="*",N2044=Calendar!$K$4)),P2044*100+COUNTIFS($P$6:$P$3267,P2044,$Q$6:$Q$3267,"&lt;="&amp;Q2044,$N$6:$N$3267,Calendar!$K$4),"")</f>
        <v/>
      </c>
      <c r="W2044" s="47">
        <f>IF(AND(B2044=Queue!$C$4,OR(Queue!$K$4="*",N2044=Queue!$K$4)),Q2044,"")</f>
        <v/>
      </c>
    </row>
    <row r="2045">
      <c r="A2045" s="38">
        <f>IF(M2045="","",HYPERLINK("https://www.youtube.com/watch?v="&amp;M2045,"▶"))</f>
        <v/>
      </c>
      <c r="B2045" s="39">
        <f>IF(C2045&lt;&gt;"",C2045,IF(P2045&lt;=IFERROR(INDEX(tblChannels[Watched Through],MATCH(N2045,tblChannels[Channel ID],0)),0),"Watched","Unwatched"))</f>
        <v/>
      </c>
      <c r="C2045" s="40" t="n"/>
      <c r="D2045" s="41" t="n"/>
      <c r="E2045" s="42" t="n">
        <v>43356.75069444445</v>
      </c>
      <c r="F2045" s="50" t="inlineStr">
        <is>
          <t>Super Carlin Brothers</t>
        </is>
      </c>
      <c r="G2045" t="inlineStr">
        <is>
          <t>How Strong Is Thanos Without The Infinity Gauntlet?</t>
        </is>
      </c>
      <c r="H2045" s="44" t="n">
        <v>0.009548611111111112</v>
      </c>
      <c r="I2045" s="45" t="n">
        <v>1304711</v>
      </c>
      <c r="J2045" s="45" t="n">
        <v>26542</v>
      </c>
      <c r="K2045" s="45" t="n">
        <v>3880</v>
      </c>
      <c r="L2045" s="46" t="n"/>
      <c r="M2045" s="47" t="n"/>
      <c r="N2045" s="47" t="inlineStr">
        <is>
          <t>UCKZo4N0lVPccBkSiuyVh4yg</t>
        </is>
      </c>
      <c r="O2045" s="48" t="n">
        <v>43356.91736111111</v>
      </c>
      <c r="P2045" s="49" t="n">
        <v>43356</v>
      </c>
      <c r="Q2045" s="47" t="n">
        <v>1223</v>
      </c>
      <c r="R2045" s="47" t="inlineStr">
        <is>
          <t>No Video ID yet</t>
        </is>
      </c>
      <c r="S2045" s="49" t="n"/>
      <c r="T2045" s="49" t="n"/>
      <c r="U2045" s="47" t="inlineStr">
        <is>
          <t>Use our link or text code scb to 500-500 to get a free book and 30-day free trial. Today Ben dives into the Marvel Cinematic Universe to discuss Infinity War and find out how strong Thanos is without his precious Infinity Gauntlet.</t>
        </is>
      </c>
      <c r="V2045" s="47">
        <f>IF(AND(P2045&gt;=Calendar!$K$2,P2045&lt;EDATE(Calendar!$K$2,1),OR(Calendar!$K$4="*",N2045=Calendar!$K$4)),P2045*100+COUNTIFS($P$6:$P$3267,P2045,$Q$6:$Q$3267,"&lt;="&amp;Q2045,$N$6:$N$3267,Calendar!$K$4),"")</f>
        <v/>
      </c>
      <c r="W2045" s="47">
        <f>IF(AND(B2045=Queue!$C$4,OR(Queue!$K$4="*",N2045=Queue!$K$4)),Q2045,"")</f>
        <v/>
      </c>
    </row>
    <row r="2046">
      <c r="A2046" s="38">
        <f>IF(M2046="","",HYPERLINK("https://www.youtube.com/watch?v="&amp;M2046,"▶"))</f>
        <v/>
      </c>
      <c r="B2046" s="39">
        <f>IF(C2046&lt;&gt;"",C2046,IF(P2046&lt;=IFERROR(INDEX(tblChannels[Watched Through],MATCH(N2046,tblChannels[Channel ID],0)),0),"Watched","Unwatched"))</f>
        <v/>
      </c>
      <c r="C2046" s="40" t="n"/>
      <c r="D2046" s="41" t="n"/>
      <c r="E2046" s="42" t="n">
        <v>43356.64097222222</v>
      </c>
      <c r="F2046" s="52" t="inlineStr">
        <is>
          <t>Super Carlin Gaming</t>
        </is>
      </c>
      <c r="G2046" t="inlineStr">
        <is>
          <t>How To Be A Wingman | Rocket League #55</t>
        </is>
      </c>
      <c r="H2046" s="44" t="n">
        <v>0.01539351851851852</v>
      </c>
      <c r="I2046" s="45" t="n">
        <v>4237</v>
      </c>
      <c r="J2046" s="45" t="n">
        <v>203</v>
      </c>
      <c r="K2046" s="45" t="n">
        <v>74</v>
      </c>
      <c r="L2046" s="46" t="n"/>
      <c r="M2046" s="47" t="n"/>
      <c r="N2046" s="47" t="inlineStr">
        <is>
          <t>UCor_9jRnNNZVzTuQ92PKsaQ</t>
        </is>
      </c>
      <c r="O2046" s="48" t="n">
        <v>43356.80763888889</v>
      </c>
      <c r="P2046" s="49" t="n">
        <v>43356</v>
      </c>
      <c r="Q2046" s="47" t="n">
        <v>1222</v>
      </c>
      <c r="R2046" s="47" t="inlineStr">
        <is>
          <t>No Video ID yet</t>
        </is>
      </c>
      <c r="S2046" s="49" t="n"/>
      <c r="T2046" s="49" t="n"/>
      <c r="U2046" s="47" t="n"/>
      <c r="V2046" s="47">
        <f>IF(AND(P2046&gt;=Calendar!$K$2,P2046&lt;EDATE(Calendar!$K$2,1),OR(Calendar!$K$4="*",N2046=Calendar!$K$4)),P2046*100+COUNTIFS($P$6:$P$3267,P2046,$Q$6:$Q$3267,"&lt;="&amp;Q2046,$N$6:$N$3267,Calendar!$K$4),"")</f>
        <v/>
      </c>
      <c r="W2046" s="47">
        <f>IF(AND(B2046=Queue!$C$4,OR(Queue!$K$4="*",N2046=Queue!$K$4)),Q2046,"")</f>
        <v/>
      </c>
    </row>
    <row r="2047">
      <c r="A2047" s="38">
        <f>IF(M2047="","",HYPERLINK("https://www.youtube.com/watch?v="&amp;M2047,"▶"))</f>
        <v/>
      </c>
      <c r="B2047" s="39">
        <f>IF(C2047&lt;&gt;"",C2047,IF(P2047&lt;=IFERROR(INDEX(tblChannels[Watched Through],MATCH(N2047,tblChannels[Channel ID],0)),0),"Watched","Unwatched"))</f>
        <v/>
      </c>
      <c r="C2047" s="40" t="n"/>
      <c r="D2047" s="41" t="n"/>
      <c r="E2047" s="42" t="n">
        <v>43354.67847222222</v>
      </c>
      <c r="F2047" s="50" t="inlineStr">
        <is>
          <t>Super Carlin Brothers</t>
        </is>
      </c>
      <c r="G2047" t="inlineStr">
        <is>
          <t>J vs Ben: HARDEST Lord Voldemort Quiz EVER</t>
        </is>
      </c>
      <c r="H2047" s="44" t="n">
        <v>0.02032407407407407</v>
      </c>
      <c r="I2047" s="45" t="n">
        <v>1584173</v>
      </c>
      <c r="J2047" s="45" t="n">
        <v>24972</v>
      </c>
      <c r="K2047" s="45" t="n">
        <v>3938</v>
      </c>
      <c r="L2047" s="46" t="n"/>
      <c r="M2047" s="47" t="n"/>
      <c r="N2047" s="47" t="inlineStr">
        <is>
          <t>UCKZo4N0lVPccBkSiuyVh4yg</t>
        </is>
      </c>
      <c r="O2047" s="48" t="n">
        <v>43354.84513888889</v>
      </c>
      <c r="P2047" s="49" t="n">
        <v>43354</v>
      </c>
      <c r="Q2047" s="47" t="n">
        <v>1221</v>
      </c>
      <c r="R2047" s="47" t="inlineStr">
        <is>
          <t>No Video ID yet</t>
        </is>
      </c>
      <c r="S2047" s="49" t="n"/>
      <c r="T2047" s="49" t="n"/>
      <c r="U2047" s="47" t="inlineStr">
        <is>
          <t>Play along with us! :: This one is a doozy! Today J and Ben face off in to see who has more knowledge of Harry Potter and the Wizarding world as they take on Pottermore's Ultimate Lord Voldemort Trivia Quiz</t>
        </is>
      </c>
      <c r="V2047" s="47">
        <f>IF(AND(P2047&gt;=Calendar!$K$2,P2047&lt;EDATE(Calendar!$K$2,1),OR(Calendar!$K$4="*",N2047=Calendar!$K$4)),P2047*100+COUNTIFS($P$6:$P$3267,P2047,$Q$6:$Q$3267,"&lt;="&amp;Q2047,$N$6:$N$3267,Calendar!$K$4),"")</f>
        <v/>
      </c>
      <c r="W2047" s="47">
        <f>IF(AND(B2047=Queue!$C$4,OR(Queue!$K$4="*",N2047=Queue!$K$4)),Q2047,"")</f>
        <v/>
      </c>
    </row>
    <row r="2048">
      <c r="A2048" s="38">
        <f>IF(M2048="","",HYPERLINK("https://www.youtube.com/watch?v="&amp;M2048,"▶"))</f>
        <v/>
      </c>
      <c r="B2048" s="39">
        <f>IF(C2048&lt;&gt;"",C2048,IF(P2048&lt;=IFERROR(INDEX(tblChannels[Watched Through],MATCH(N2048,tblChannels[Channel ID],0)),0),"Watched","Unwatched"))</f>
        <v/>
      </c>
      <c r="C2048" s="40" t="n"/>
      <c r="D2048" s="41" t="n"/>
      <c r="E2048" s="42" t="n">
        <v>43354.43888888889</v>
      </c>
      <c r="F2048" s="52" t="inlineStr">
        <is>
          <t>Super Carlin Gaming</t>
        </is>
      </c>
      <c r="G2048" t="inlineStr">
        <is>
          <t>Friends using you for your stuff | Rocket League #54</t>
        </is>
      </c>
      <c r="H2048" s="44" t="n">
        <v>0.0156712962962963</v>
      </c>
      <c r="I2048" s="45" t="n">
        <v>4705</v>
      </c>
      <c r="J2048" s="45" t="n">
        <v>282</v>
      </c>
      <c r="K2048" s="45" t="n">
        <v>47</v>
      </c>
      <c r="L2048" s="46" t="n"/>
      <c r="M2048" s="47" t="n"/>
      <c r="N2048" s="47" t="inlineStr">
        <is>
          <t>UCor_9jRnNNZVzTuQ92PKsaQ</t>
        </is>
      </c>
      <c r="O2048" s="48" t="n">
        <v>43354.60555555556</v>
      </c>
      <c r="P2048" s="49" t="n">
        <v>43354</v>
      </c>
      <c r="Q2048" s="47" t="n">
        <v>1220</v>
      </c>
      <c r="R2048" s="47" t="inlineStr">
        <is>
          <t>No Video ID yet</t>
        </is>
      </c>
      <c r="S2048" s="49" t="n"/>
      <c r="T2048" s="49" t="n"/>
      <c r="U2048" s="47" t="inlineStr">
        <is>
          <t>If you're looking for the lost episodes, you can find them here:</t>
        </is>
      </c>
      <c r="V2048" s="47">
        <f>IF(AND(P2048&gt;=Calendar!$K$2,P2048&lt;EDATE(Calendar!$K$2,1),OR(Calendar!$K$4="*",N2048=Calendar!$K$4)),P2048*100+COUNTIFS($P$6:$P$3267,P2048,$Q$6:$Q$3267,"&lt;="&amp;Q2048,$N$6:$N$3267,Calendar!$K$4),"")</f>
        <v/>
      </c>
      <c r="W2048" s="47">
        <f>IF(AND(B2048=Queue!$C$4,OR(Queue!$K$4="*",N2048=Queue!$K$4)),Q2048,"")</f>
        <v/>
      </c>
    </row>
    <row r="2049">
      <c r="A2049" s="38">
        <f>IF(M2049="","",HYPERLINK("https://www.youtube.com/watch?v="&amp;M2049,"▶"))</f>
        <v/>
      </c>
      <c r="B2049" s="39">
        <f>IF(C2049&lt;&gt;"",C2049,IF(P2049&lt;=IFERROR(INDEX(tblChannels[Watched Through],MATCH(N2049,tblChannels[Channel ID],0)),0),"Watched","Unwatched"))</f>
        <v/>
      </c>
      <c r="C2049" s="40" t="n"/>
      <c r="D2049" s="41" t="n"/>
      <c r="E2049" s="42" t="n">
        <v>43353.66180555556</v>
      </c>
      <c r="F2049" s="53" t="inlineStr">
        <is>
          <t>Jonathan Carlin</t>
        </is>
      </c>
      <c r="G2049" t="inlineStr">
        <is>
          <t>GARDEN WARFARE</t>
        </is>
      </c>
      <c r="H2049" s="44" t="n">
        <v>0.006527777777777778</v>
      </c>
      <c r="I2049" s="45" t="n">
        <v>36136</v>
      </c>
      <c r="J2049" s="45" t="n">
        <v>1776</v>
      </c>
      <c r="K2049" s="45" t="n">
        <v>279</v>
      </c>
      <c r="L2049" s="46" t="n"/>
      <c r="M2049" s="47" t="n"/>
      <c r="N2049" s="47" t="inlineStr">
        <is>
          <t>UCYPKFe86e6nm4TVUYKLsFUQ</t>
        </is>
      </c>
      <c r="O2049" s="48" t="n">
        <v>43353.82847222222</v>
      </c>
      <c r="P2049" s="49" t="n">
        <v>43353</v>
      </c>
      <c r="Q2049" s="47" t="n">
        <v>1219</v>
      </c>
      <c r="R2049" s="47" t="inlineStr">
        <is>
          <t>No Video ID yet</t>
        </is>
      </c>
      <c r="S2049" s="49" t="n"/>
      <c r="T2049" s="49" t="n"/>
      <c r="U2049" s="47" t="inlineStr">
        <is>
          <t>This week J and Ben take on a terrible foe: THE YARD - It's complete and utter Garden Warfare, and yes the yard fights back. Meanwhile Beth decides to declutter the house, makes cookies and deals with someone blocking her on instagram Run Fast Eat Slow :: A Simplified Life ::</t>
        </is>
      </c>
      <c r="V2049" s="47">
        <f>IF(AND(P2049&gt;=Calendar!$K$2,P2049&lt;EDATE(Calendar!$K$2,1),OR(Calendar!$K$4="*",N2049=Calendar!$K$4)),P2049*100+COUNTIFS($P$6:$P$3267,P2049,$Q$6:$Q$3267,"&lt;="&amp;Q2049,$N$6:$N$3267,Calendar!$K$4),"")</f>
        <v/>
      </c>
      <c r="W2049" s="47">
        <f>IF(AND(B2049=Queue!$C$4,OR(Queue!$K$4="*",N2049=Queue!$K$4)),Q2049,"")</f>
        <v/>
      </c>
    </row>
    <row r="2050">
      <c r="A2050" s="38">
        <f>IF(M2050="","",HYPERLINK("https://www.youtube.com/watch?v="&amp;M2050,"▶"))</f>
        <v/>
      </c>
      <c r="B2050" s="39">
        <f>IF(C2050&lt;&gt;"",C2050,IF(P2050&lt;=IFERROR(INDEX(tblChannels[Watched Through],MATCH(N2050,tblChannels[Channel ID],0)),0),"Watched","Unwatched"))</f>
        <v/>
      </c>
      <c r="C2050" s="40" t="n"/>
      <c r="D2050" s="41" t="n"/>
      <c r="E2050" s="42" t="n">
        <v>43350.4375</v>
      </c>
      <c r="F2050" s="52" t="inlineStr">
        <is>
          <t>Super Carlin Gaming</t>
        </is>
      </c>
      <c r="G2050" t="inlineStr">
        <is>
          <t>Which Disney Princess is Your Soul Mate? | Rocket League #51</t>
        </is>
      </c>
      <c r="H2050" s="44" t="n">
        <v>0.01452546296296296</v>
      </c>
      <c r="I2050" s="45" t="n">
        <v>5588</v>
      </c>
      <c r="J2050" s="45" t="n">
        <v>259</v>
      </c>
      <c r="K2050" s="45" t="n">
        <v>69</v>
      </c>
      <c r="L2050" s="46" t="n"/>
      <c r="M2050" s="47" t="n"/>
      <c r="N2050" s="47" t="inlineStr">
        <is>
          <t>UCor_9jRnNNZVzTuQ92PKsaQ</t>
        </is>
      </c>
      <c r="O2050" s="48" t="n">
        <v>43350.60416666666</v>
      </c>
      <c r="P2050" s="49" t="n">
        <v>43350</v>
      </c>
      <c r="Q2050" s="47" t="n">
        <v>1218</v>
      </c>
      <c r="R2050" s="47" t="inlineStr">
        <is>
          <t>No Video ID yet</t>
        </is>
      </c>
      <c r="S2050" s="49" t="n"/>
      <c r="T2050" s="49" t="n"/>
      <c r="U2050" s="47" t="n"/>
      <c r="V2050" s="47">
        <f>IF(AND(P2050&gt;=Calendar!$K$2,P2050&lt;EDATE(Calendar!$K$2,1),OR(Calendar!$K$4="*",N2050=Calendar!$K$4)),P2050*100+COUNTIFS($P$6:$P$3267,P2050,$Q$6:$Q$3267,"&lt;="&amp;Q2050,$N$6:$N$3267,Calendar!$K$4),"")</f>
        <v/>
      </c>
      <c r="W2050" s="47">
        <f>IF(AND(B2050=Queue!$C$4,OR(Queue!$K$4="*",N2050=Queue!$K$4)),Q2050,"")</f>
        <v/>
      </c>
    </row>
    <row r="2051">
      <c r="A2051" s="38">
        <f>IF(M2051="","",HYPERLINK("https://www.youtube.com/watch?v="&amp;M2051,"▶"))</f>
        <v/>
      </c>
      <c r="B2051" s="39">
        <f>IF(C2051&lt;&gt;"",C2051,IF(P2051&lt;=IFERROR(INDEX(tblChannels[Watched Through],MATCH(N2051,tblChannels[Channel ID],0)),0),"Watched","Unwatched"))</f>
        <v/>
      </c>
      <c r="C2051" s="40" t="n"/>
      <c r="D2051" s="41" t="n"/>
      <c r="E2051" s="42" t="n">
        <v>43349.73819444444</v>
      </c>
      <c r="F2051" s="50" t="inlineStr">
        <is>
          <t>Super Carlin Brothers</t>
        </is>
      </c>
      <c r="G2051" t="inlineStr">
        <is>
          <t>In Defense Of Star Lord</t>
        </is>
      </c>
      <c r="H2051" s="44" t="n">
        <v>0.007766203703703704</v>
      </c>
      <c r="I2051" s="45" t="n">
        <v>937496</v>
      </c>
      <c r="J2051" s="45" t="n">
        <v>28191</v>
      </c>
      <c r="K2051" s="45" t="n">
        <v>5032</v>
      </c>
      <c r="L2051" s="46" t="n"/>
      <c r="M2051" s="47" t="n"/>
      <c r="N2051" s="47" t="inlineStr">
        <is>
          <t>UCKZo4N0lVPccBkSiuyVh4yg</t>
        </is>
      </c>
      <c r="O2051" s="48" t="n">
        <v>43349.90486111111</v>
      </c>
      <c r="P2051" s="49" t="n">
        <v>43349</v>
      </c>
      <c r="Q2051" s="47" t="n">
        <v>1217</v>
      </c>
      <c r="R2051" s="47" t="inlineStr">
        <is>
          <t>No Video ID yet</t>
        </is>
      </c>
      <c r="S2051" s="49" t="n"/>
      <c r="T2051" s="49" t="n"/>
      <c r="U2051" s="47" t="inlineStr">
        <is>
          <t>Sign up here: - Affordable private online counseling with licensed therapists at your fingertips! If you are in a crisis or someone you know is in danger, seek immediate help here Tweet Chris Pratt @PrattPrattPratt this video and let him know we have his back! Today Ben dives into the Marvel Cinematic Universe to discuss maybe the most controversial scene in all of Infinity War - The moment Iron Man, Doctor Strange, Spiderman and the Guardians have Thanos nearly defeated, when all of a sudden Star Lord punches him in the face. Oops.</t>
        </is>
      </c>
      <c r="V2051" s="47">
        <f>IF(AND(P2051&gt;=Calendar!$K$2,P2051&lt;EDATE(Calendar!$K$2,1),OR(Calendar!$K$4="*",N2051=Calendar!$K$4)),P2051*100+COUNTIFS($P$6:$P$3267,P2051,$Q$6:$Q$3267,"&lt;="&amp;Q2051,$N$6:$N$3267,Calendar!$K$4),"")</f>
        <v/>
      </c>
      <c r="W2051" s="47">
        <f>IF(AND(B2051=Queue!$C$4,OR(Queue!$K$4="*",N2051=Queue!$K$4)),Q2051,"")</f>
        <v/>
      </c>
    </row>
    <row r="2052">
      <c r="A2052" s="38">
        <f>IF(M2052="","",HYPERLINK("https://www.youtube.com/watch?v="&amp;M2052,"▶"))</f>
        <v/>
      </c>
      <c r="B2052" s="39">
        <f>IF(C2052&lt;&gt;"",C2052,IF(P2052&lt;=IFERROR(INDEX(tblChannels[Watched Through],MATCH(N2052,tblChannels[Channel ID],0)),0),"Watched","Unwatched"))</f>
        <v/>
      </c>
      <c r="C2052" s="40" t="n"/>
      <c r="D2052" s="41" t="n"/>
      <c r="E2052" s="42" t="n">
        <v>43348.4375</v>
      </c>
      <c r="F2052" s="52" t="inlineStr">
        <is>
          <t>Super Carlin Gaming</t>
        </is>
      </c>
      <c r="G2052" t="inlineStr">
        <is>
          <t>When Should You Get Engaged? | Rocket League #50</t>
        </is>
      </c>
      <c r="H2052" s="44" t="n">
        <v>0.01461805555555556</v>
      </c>
      <c r="I2052" s="45" t="n">
        <v>4924</v>
      </c>
      <c r="J2052" s="45" t="n">
        <v>230</v>
      </c>
      <c r="K2052" s="45" t="n">
        <v>41</v>
      </c>
      <c r="L2052" s="46" t="n"/>
      <c r="M2052" s="47" t="n"/>
      <c r="N2052" s="47" t="inlineStr">
        <is>
          <t>UCor_9jRnNNZVzTuQ92PKsaQ</t>
        </is>
      </c>
      <c r="O2052" s="48" t="n">
        <v>43348.60416666666</v>
      </c>
      <c r="P2052" s="49" t="n">
        <v>43348</v>
      </c>
      <c r="Q2052" s="47" t="n">
        <v>1216</v>
      </c>
      <c r="R2052" s="47" t="inlineStr">
        <is>
          <t>No Video ID yet</t>
        </is>
      </c>
      <c r="S2052" s="49" t="n"/>
      <c r="T2052" s="49" t="n"/>
      <c r="U2052" s="47" t="inlineStr">
        <is>
          <t>Get your very own stainless steel straws here: J, Ben and Team Skywater enter the Rocket League Coliseum and try and win their way to the league championship and answer one of lifes biggest questions - When should you get engaged?</t>
        </is>
      </c>
      <c r="V2052" s="47">
        <f>IF(AND(P2052&gt;=Calendar!$K$2,P2052&lt;EDATE(Calendar!$K$2,1),OR(Calendar!$K$4="*",N2052=Calendar!$K$4)),P2052*100+COUNTIFS($P$6:$P$3267,P2052,$Q$6:$Q$3267,"&lt;="&amp;Q2052,$N$6:$N$3267,Calendar!$K$4),"")</f>
        <v/>
      </c>
      <c r="W2052" s="47">
        <f>IF(AND(B2052=Queue!$C$4,OR(Queue!$K$4="*",N2052=Queue!$K$4)),Q2052,"")</f>
        <v/>
      </c>
    </row>
    <row r="2053">
      <c r="A2053" s="38">
        <f>IF(M2053="","",HYPERLINK("https://www.youtube.com/watch?v="&amp;M2053,"▶"))</f>
        <v/>
      </c>
      <c r="B2053" s="39">
        <f>IF(C2053&lt;&gt;"",C2053,IF(P2053&lt;=IFERROR(INDEX(tblChannels[Watched Through],MATCH(N2053,tblChannels[Channel ID],0)),0),"Watched","Unwatched"))</f>
        <v/>
      </c>
      <c r="C2053" s="40" t="n"/>
      <c r="D2053" s="41" t="n"/>
      <c r="E2053" s="42" t="n">
        <v>43347.75277777778</v>
      </c>
      <c r="F2053" s="50" t="inlineStr">
        <is>
          <t>Super Carlin Brothers</t>
        </is>
      </c>
      <c r="G2053" t="inlineStr">
        <is>
          <t>Did The Snap Kill Thanos? | Infinity War Theory</t>
        </is>
      </c>
      <c r="H2053" s="44" t="n">
        <v>0.007731481481481482</v>
      </c>
      <c r="I2053" s="45" t="n">
        <v>1349011</v>
      </c>
      <c r="J2053" s="45" t="n">
        <v>32310</v>
      </c>
      <c r="K2053" s="45" t="n">
        <v>5473</v>
      </c>
      <c r="L2053" s="46" t="n"/>
      <c r="M2053" s="47" t="n"/>
      <c r="N2053" s="47" t="inlineStr">
        <is>
          <t>UCKZo4N0lVPccBkSiuyVh4yg</t>
        </is>
      </c>
      <c r="O2053" s="48" t="n">
        <v>43347.91944444444</v>
      </c>
      <c r="P2053" s="49" t="n">
        <v>43347</v>
      </c>
      <c r="Q2053" s="47" t="n">
        <v>1215</v>
      </c>
      <c r="R2053" s="47" t="inlineStr">
        <is>
          <t>No Video ID yet</t>
        </is>
      </c>
      <c r="S2053" s="49" t="n"/>
      <c r="T2053" s="49" t="n"/>
      <c r="U2053" s="47" t="inlineStr">
        <is>
          <t>J's Vlog :: Today J dives into the World of the Marvel Cinematic Universe to discuss how the Soul Stone works and whether or not Thanos was impaled by his own snap, and if so how he managed to come back.</t>
        </is>
      </c>
      <c r="V2053" s="47">
        <f>IF(AND(P2053&gt;=Calendar!$K$2,P2053&lt;EDATE(Calendar!$K$2,1),OR(Calendar!$K$4="*",N2053=Calendar!$K$4)),P2053*100+COUNTIFS($P$6:$P$3267,P2053,$Q$6:$Q$3267,"&lt;="&amp;Q2053,$N$6:$N$3267,Calendar!$K$4),"")</f>
        <v/>
      </c>
      <c r="W2053" s="47">
        <f>IF(AND(B2053=Queue!$C$4,OR(Queue!$K$4="*",N2053=Queue!$K$4)),Q2053,"")</f>
        <v/>
      </c>
    </row>
    <row r="2054">
      <c r="A2054" s="38">
        <f>IF(M2054="","",HYPERLINK("https://www.youtube.com/watch?v="&amp;M2054,"▶"))</f>
        <v/>
      </c>
      <c r="B2054" s="39">
        <f>IF(C2054&lt;&gt;"",C2054,IF(P2054&lt;=IFERROR(INDEX(tblChannels[Watched Through],MATCH(N2054,tblChannels[Channel ID],0)),0),"Watched","Unwatched"))</f>
        <v/>
      </c>
      <c r="C2054" s="40" t="n"/>
      <c r="D2054" s="41" t="n"/>
      <c r="E2054" s="42" t="n">
        <v>43346.65069444444</v>
      </c>
      <c r="F2054" s="53" t="inlineStr">
        <is>
          <t>Jonathan Carlin</t>
        </is>
      </c>
      <c r="G2054" t="inlineStr">
        <is>
          <t>NEW YORK CITY FROZEN ADVENTURE</t>
        </is>
      </c>
      <c r="H2054" s="44" t="n">
        <v>0.010625</v>
      </c>
      <c r="I2054" s="45" t="n">
        <v>35769</v>
      </c>
      <c r="J2054" s="45" t="n">
        <v>1773</v>
      </c>
      <c r="K2054" s="45" t="n">
        <v>327</v>
      </c>
      <c r="L2054" s="46" t="n"/>
      <c r="M2054" s="47" t="n"/>
      <c r="N2054" s="47" t="inlineStr">
        <is>
          <t>UCYPKFe86e6nm4TVUYKLsFUQ</t>
        </is>
      </c>
      <c r="O2054" s="48" t="n">
        <v>43346.81736111111</v>
      </c>
      <c r="P2054" s="49" t="n">
        <v>43346</v>
      </c>
      <c r="Q2054" s="47" t="n">
        <v>1214</v>
      </c>
      <c r="R2054" s="47" t="inlineStr">
        <is>
          <t>No Video ID yet</t>
        </is>
      </c>
      <c r="S2054" s="49" t="n"/>
      <c r="T2054" s="49" t="n"/>
      <c r="U2054" s="47" t="inlineStr">
        <is>
          <t>This week J and Beth take off to NYC to celebrate Beth's 30th Birthday and see Frozen on Broadway - also we eat like everything</t>
        </is>
      </c>
      <c r="V2054" s="47">
        <f>IF(AND(P2054&gt;=Calendar!$K$2,P2054&lt;EDATE(Calendar!$K$2,1),OR(Calendar!$K$4="*",N2054=Calendar!$K$4)),P2054*100+COUNTIFS($P$6:$P$3267,P2054,$Q$6:$Q$3267,"&lt;="&amp;Q2054,$N$6:$N$3267,Calendar!$K$4),"")</f>
        <v/>
      </c>
      <c r="W2054" s="47">
        <f>IF(AND(B2054=Queue!$C$4,OR(Queue!$K$4="*",N2054=Queue!$K$4)),Q2054,"")</f>
        <v/>
      </c>
    </row>
    <row r="2055">
      <c r="A2055" s="38">
        <f>IF(M2055="","",HYPERLINK("https://www.youtube.com/watch?v="&amp;M2055,"▶"))</f>
        <v/>
      </c>
      <c r="B2055" s="39">
        <f>IF(C2055&lt;&gt;"",C2055,IF(P2055&lt;=IFERROR(INDEX(tblChannels[Watched Through],MATCH(N2055,tblChannels[Channel ID],0)),0),"Watched","Unwatched"))</f>
        <v/>
      </c>
      <c r="C2055" s="40" t="n"/>
      <c r="D2055" s="41" t="n"/>
      <c r="E2055" s="42" t="n">
        <v>43346.4375</v>
      </c>
      <c r="F2055" s="52" t="inlineStr">
        <is>
          <t>Super Carlin Gaming</t>
        </is>
      </c>
      <c r="G2055" t="inlineStr">
        <is>
          <t>Picking a Major | Rocket League #49</t>
        </is>
      </c>
      <c r="H2055" s="44" t="n">
        <v>0.01443287037037037</v>
      </c>
      <c r="I2055" s="45" t="n">
        <v>4659</v>
      </c>
      <c r="J2055" s="45" t="n">
        <v>255</v>
      </c>
      <c r="K2055" s="45" t="n">
        <v>70</v>
      </c>
      <c r="L2055" s="46" t="n"/>
      <c r="M2055" s="47" t="n"/>
      <c r="N2055" s="47" t="inlineStr">
        <is>
          <t>UCor_9jRnNNZVzTuQ92PKsaQ</t>
        </is>
      </c>
      <c r="O2055" s="48" t="n">
        <v>43346.60416666666</v>
      </c>
      <c r="P2055" s="49" t="n">
        <v>43346</v>
      </c>
      <c r="Q2055" s="47" t="n">
        <v>1213</v>
      </c>
      <c r="R2055" s="47" t="inlineStr">
        <is>
          <t>No Video ID yet</t>
        </is>
      </c>
      <c r="S2055" s="49" t="n"/>
      <c r="T2055" s="49" t="n"/>
      <c r="U2055" s="47" t="n"/>
      <c r="V2055" s="47">
        <f>IF(AND(P2055&gt;=Calendar!$K$2,P2055&lt;EDATE(Calendar!$K$2,1),OR(Calendar!$K$4="*",N2055=Calendar!$K$4)),P2055*100+COUNTIFS($P$6:$P$3267,P2055,$Q$6:$Q$3267,"&lt;="&amp;Q2055,$N$6:$N$3267,Calendar!$K$4),"")</f>
        <v/>
      </c>
      <c r="W2055" s="47">
        <f>IF(AND(B2055=Queue!$C$4,OR(Queue!$K$4="*",N2055=Queue!$K$4)),Q2055,"")</f>
        <v/>
      </c>
    </row>
    <row r="2056">
      <c r="A2056" s="38">
        <f>IF(M2056="","",HYPERLINK("https://www.youtube.com/watch?v="&amp;M2056,"▶"))</f>
        <v/>
      </c>
      <c r="B2056" s="39">
        <f>IF(C2056&lt;&gt;"",C2056,IF(P2056&lt;=IFERROR(INDEX(tblChannels[Watched Through],MATCH(N2056,tblChannels[Channel ID],0)),0),"Watched","Unwatched"))</f>
        <v/>
      </c>
      <c r="C2056" s="40" t="n"/>
      <c r="D2056" s="41" t="n"/>
      <c r="E2056" s="42" t="n">
        <v>43343.60416666666</v>
      </c>
      <c r="F2056" s="52" t="inlineStr">
        <is>
          <t>Super Carlin Gaming</t>
        </is>
      </c>
      <c r="G2056" t="inlineStr">
        <is>
          <t>Which Disney Princess Are You? | Rocket League #48</t>
        </is>
      </c>
      <c r="H2056" s="44" t="n">
        <v>0.01362268518518519</v>
      </c>
      <c r="I2056" s="45" t="n">
        <v>4911</v>
      </c>
      <c r="J2056" s="45" t="n">
        <v>250</v>
      </c>
      <c r="K2056" s="45" t="n">
        <v>65</v>
      </c>
      <c r="L2056" s="46" t="n"/>
      <c r="M2056" s="47" t="n"/>
      <c r="N2056" s="47" t="inlineStr">
        <is>
          <t>UCor_9jRnNNZVzTuQ92PKsaQ</t>
        </is>
      </c>
      <c r="O2056" s="48" t="n">
        <v>43343.77083333334</v>
      </c>
      <c r="P2056" s="49" t="n">
        <v>43343</v>
      </c>
      <c r="Q2056" s="47" t="n">
        <v>1212</v>
      </c>
      <c r="R2056" s="47" t="inlineStr">
        <is>
          <t>No Video ID yet</t>
        </is>
      </c>
      <c r="S2056" s="49" t="n"/>
      <c r="T2056" s="49" t="n"/>
      <c r="U2056" s="47" t="inlineStr">
        <is>
          <t>Which Disney Princess are you!</t>
        </is>
      </c>
      <c r="V2056" s="47">
        <f>IF(AND(P2056&gt;=Calendar!$K$2,P2056&lt;EDATE(Calendar!$K$2,1),OR(Calendar!$K$4="*",N2056=Calendar!$K$4)),P2056*100+COUNTIFS($P$6:$P$3267,P2056,$Q$6:$Q$3267,"&lt;="&amp;Q2056,$N$6:$N$3267,Calendar!$K$4),"")</f>
        <v/>
      </c>
      <c r="W2056" s="47">
        <f>IF(AND(B2056=Queue!$C$4,OR(Queue!$K$4="*",N2056=Queue!$K$4)),Q2056,"")</f>
        <v/>
      </c>
    </row>
    <row r="2057">
      <c r="A2057" s="38">
        <f>IF(M2057="","",HYPERLINK("https://www.youtube.com/watch?v="&amp;M2057,"▶"))</f>
        <v/>
      </c>
      <c r="B2057" s="39">
        <f>IF(C2057&lt;&gt;"",C2057,IF(P2057&lt;=IFERROR(INDEX(tblChannels[Watched Through],MATCH(N2057,tblChannels[Channel ID],0)),0),"Watched","Unwatched"))</f>
        <v/>
      </c>
      <c r="C2057" s="40" t="n"/>
      <c r="D2057" s="41" t="n"/>
      <c r="E2057" s="42" t="n">
        <v>43342.84027777778</v>
      </c>
      <c r="F2057" s="50" t="inlineStr">
        <is>
          <t>Super Carlin Brothers</t>
        </is>
      </c>
      <c r="G2057" t="inlineStr">
        <is>
          <t>The TRUTH About Thor's New Eye | Infinity War Theory</t>
        </is>
      </c>
      <c r="H2057" s="44" t="n">
        <v>0.008043981481481482</v>
      </c>
      <c r="I2057" s="45" t="n">
        <v>3634341</v>
      </c>
      <c r="J2057" s="45" t="n">
        <v>49408</v>
      </c>
      <c r="K2057" s="45" t="n">
        <v>9174</v>
      </c>
      <c r="L2057" s="46" t="n"/>
      <c r="M2057" s="47" t="n"/>
      <c r="N2057" s="47" t="inlineStr">
        <is>
          <t>UCKZo4N0lVPccBkSiuyVh4yg</t>
        </is>
      </c>
      <c r="O2057" s="48" t="n">
        <v>43343.00694444445</v>
      </c>
      <c r="P2057" s="49" t="n">
        <v>43342</v>
      </c>
      <c r="Q2057" s="47" t="n">
        <v>1211</v>
      </c>
      <c r="R2057" s="47" t="inlineStr">
        <is>
          <t>No Video ID yet</t>
        </is>
      </c>
      <c r="S2057" s="49" t="n"/>
      <c r="T2057" s="49" t="n"/>
      <c r="U2057" s="47" t="inlineStr">
        <is>
          <t>Take the SCB Survey! Today Ben dives into the Marvel Cinematic Universe to try and uncover the TRUTH about Thor’s new eye and what powers it may possess!</t>
        </is>
      </c>
      <c r="V2057" s="47">
        <f>IF(AND(P2057&gt;=Calendar!$K$2,P2057&lt;EDATE(Calendar!$K$2,1),OR(Calendar!$K$4="*",N2057=Calendar!$K$4)),P2057*100+COUNTIFS($P$6:$P$3267,P2057,$Q$6:$Q$3267,"&lt;="&amp;Q2057,$N$6:$N$3267,Calendar!$K$4),"")</f>
        <v/>
      </c>
      <c r="W2057" s="47">
        <f>IF(AND(B2057=Queue!$C$4,OR(Queue!$K$4="*",N2057=Queue!$K$4)),Q2057,"")</f>
        <v/>
      </c>
    </row>
    <row r="2058">
      <c r="A2058" s="38">
        <f>IF(M2058="","",HYPERLINK("https://www.youtube.com/watch?v="&amp;M2058,"▶"))</f>
        <v/>
      </c>
      <c r="B2058" s="39">
        <f>IF(C2058&lt;&gt;"",C2058,IF(P2058&lt;=IFERROR(INDEX(tblChannels[Watched Through],MATCH(N2058,tblChannels[Channel ID],0)),0),"Watched","Unwatched"))</f>
        <v/>
      </c>
      <c r="C2058" s="40" t="n"/>
      <c r="D2058" s="41" t="n"/>
      <c r="E2058" s="42" t="n">
        <v>43341.4375</v>
      </c>
      <c r="F2058" s="52" t="inlineStr">
        <is>
          <t>Super Carlin Gaming</t>
        </is>
      </c>
      <c r="G2058" t="inlineStr">
        <is>
          <t>Handily Handedly | Rocket League #47</t>
        </is>
      </c>
      <c r="H2058" s="44" t="n">
        <v>0.01450231481481482</v>
      </c>
      <c r="I2058" s="45" t="n">
        <v>4666</v>
      </c>
      <c r="J2058" s="45" t="n">
        <v>241</v>
      </c>
      <c r="K2058" s="45" t="n">
        <v>86</v>
      </c>
      <c r="L2058" s="46" t="n"/>
      <c r="M2058" s="47" t="n"/>
      <c r="N2058" s="47" t="inlineStr">
        <is>
          <t>UCor_9jRnNNZVzTuQ92PKsaQ</t>
        </is>
      </c>
      <c r="O2058" s="48" t="n">
        <v>43341.60416666666</v>
      </c>
      <c r="P2058" s="49" t="n">
        <v>43341</v>
      </c>
      <c r="Q2058" s="47" t="n">
        <v>1210</v>
      </c>
      <c r="R2058" s="47" t="inlineStr">
        <is>
          <t>No Video ID yet</t>
        </is>
      </c>
      <c r="S2058" s="49" t="n"/>
      <c r="T2058" s="49" t="n"/>
      <c r="U2058" s="47" t="inlineStr">
        <is>
          <t>PerspectiveZ podcast:</t>
        </is>
      </c>
      <c r="V2058" s="47">
        <f>IF(AND(P2058&gt;=Calendar!$K$2,P2058&lt;EDATE(Calendar!$K$2,1),OR(Calendar!$K$4="*",N2058=Calendar!$K$4)),P2058*100+COUNTIFS($P$6:$P$3267,P2058,$Q$6:$Q$3267,"&lt;="&amp;Q2058,$N$6:$N$3267,Calendar!$K$4),"")</f>
        <v/>
      </c>
      <c r="W2058" s="47">
        <f>IF(AND(B2058=Queue!$C$4,OR(Queue!$K$4="*",N2058=Queue!$K$4)),Q2058,"")</f>
        <v/>
      </c>
    </row>
    <row r="2059">
      <c r="A2059" s="38">
        <f>IF(M2059="","",HYPERLINK("https://www.youtube.com/watch?v="&amp;M2059,"▶"))</f>
        <v/>
      </c>
      <c r="B2059" s="39">
        <f>IF(C2059&lt;&gt;"",C2059,IF(P2059&lt;=IFERROR(INDEX(tblChannels[Watched Through],MATCH(N2059,tblChannels[Channel ID],0)),0),"Watched","Unwatched"))</f>
        <v/>
      </c>
      <c r="C2059" s="40" t="n"/>
      <c r="D2059" s="41" t="n"/>
      <c r="E2059" s="42" t="n">
        <v>43340.78680555556</v>
      </c>
      <c r="F2059" s="50" t="inlineStr">
        <is>
          <t>Super Carlin Brothers</t>
        </is>
      </c>
      <c r="G2059" t="inlineStr">
        <is>
          <t>Doctor Strange's Plan Explained | 14,000,605 Infinity War Theory</t>
        </is>
      </c>
      <c r="H2059" s="44" t="n">
        <v>0.01097222222222222</v>
      </c>
      <c r="I2059" s="45" t="n">
        <v>5698421</v>
      </c>
      <c r="J2059" s="45" t="n">
        <v>100268</v>
      </c>
      <c r="K2059" s="45" t="n">
        <v>12144</v>
      </c>
      <c r="L2059" s="46" t="n"/>
      <c r="M2059" s="47" t="n"/>
      <c r="N2059" s="47" t="inlineStr">
        <is>
          <t>UCKZo4N0lVPccBkSiuyVh4yg</t>
        </is>
      </c>
      <c r="O2059" s="48" t="n">
        <v>43340.95347222222</v>
      </c>
      <c r="P2059" s="49" t="n">
        <v>43340</v>
      </c>
      <c r="Q2059" s="47" t="n">
        <v>1209</v>
      </c>
      <c r="R2059" s="47" t="inlineStr">
        <is>
          <t>No Video ID yet</t>
        </is>
      </c>
      <c r="S2059" s="49" t="n"/>
      <c r="T2059" s="49" t="n"/>
      <c r="U2059" s="47" t="inlineStr">
        <is>
          <t>Today, J dives into the Marvel Cinematic Universe to try and figure out why exactly Dr. Strange sees specifically 14,000,605 possible outcomes and explain why only 1 of them results in their victory.</t>
        </is>
      </c>
      <c r="V2059" s="47">
        <f>IF(AND(P2059&gt;=Calendar!$K$2,P2059&lt;EDATE(Calendar!$K$2,1),OR(Calendar!$K$4="*",N2059=Calendar!$K$4)),P2059*100+COUNTIFS($P$6:$P$3267,P2059,$Q$6:$Q$3267,"&lt;="&amp;Q2059,$N$6:$N$3267,Calendar!$K$4),"")</f>
        <v/>
      </c>
      <c r="W2059" s="47">
        <f>IF(AND(B2059=Queue!$C$4,OR(Queue!$K$4="*",N2059=Queue!$K$4)),Q2059,"")</f>
        <v/>
      </c>
    </row>
    <row r="2060">
      <c r="A2060" s="38">
        <f>IF(M2060="","",HYPERLINK("https://www.youtube.com/watch?v="&amp;M2060,"▶"))</f>
        <v/>
      </c>
      <c r="B2060" s="39">
        <f>IF(C2060&lt;&gt;"",C2060,IF(P2060&lt;=IFERROR(INDEX(tblChannels[Watched Through],MATCH(N2060,tblChannels[Channel ID],0)),0),"Watched","Unwatched"))</f>
        <v/>
      </c>
      <c r="C2060" s="40" t="n"/>
      <c r="D2060" s="41" t="n"/>
      <c r="E2060" s="42" t="n">
        <v>43339.58125</v>
      </c>
      <c r="F2060" s="53" t="inlineStr">
        <is>
          <t>Jonathan Carlin</t>
        </is>
      </c>
      <c r="G2060" t="inlineStr">
        <is>
          <t>THE SECRET WORLD OF DADS</t>
        </is>
      </c>
      <c r="H2060" s="44" t="n">
        <v>0.006053240740740741</v>
      </c>
      <c r="I2060" s="45" t="n">
        <v>39784</v>
      </c>
      <c r="J2060" s="45" t="n">
        <v>2069</v>
      </c>
      <c r="K2060" s="45" t="n">
        <v>223</v>
      </c>
      <c r="L2060" s="46" t="n"/>
      <c r="M2060" s="47" t="n"/>
      <c r="N2060" s="47" t="inlineStr">
        <is>
          <t>UCYPKFe86e6nm4TVUYKLsFUQ</t>
        </is>
      </c>
      <c r="O2060" s="48" t="n">
        <v>43339.74791666667</v>
      </c>
      <c r="P2060" s="49" t="n">
        <v>43339</v>
      </c>
      <c r="Q2060" s="47" t="n">
        <v>1208</v>
      </c>
      <c r="R2060" s="47" t="inlineStr">
        <is>
          <t>No Video ID yet</t>
        </is>
      </c>
      <c r="S2060" s="49" t="n"/>
      <c r="T2060" s="49" t="n"/>
      <c r="U2060" s="47" t="inlineStr">
        <is>
          <t>This week, J and Beth feed Luke his first bite of pizza, delivers some friends some food, and J ventures into the SECRET WORLD OF DADS.</t>
        </is>
      </c>
      <c r="V2060" s="47">
        <f>IF(AND(P2060&gt;=Calendar!$K$2,P2060&lt;EDATE(Calendar!$K$2,1),OR(Calendar!$K$4="*",N2060=Calendar!$K$4)),P2060*100+COUNTIFS($P$6:$P$3267,P2060,$Q$6:$Q$3267,"&lt;="&amp;Q2060,$N$6:$N$3267,Calendar!$K$4),"")</f>
        <v/>
      </c>
      <c r="W2060" s="47">
        <f>IF(AND(B2060=Queue!$C$4,OR(Queue!$K$4="*",N2060=Queue!$K$4)),Q2060,"")</f>
        <v/>
      </c>
    </row>
    <row r="2061">
      <c r="A2061" s="38">
        <f>IF(M2061="","",HYPERLINK("https://www.youtube.com/watch?v="&amp;M2061,"▶"))</f>
        <v/>
      </c>
      <c r="B2061" s="39">
        <f>IF(C2061&lt;&gt;"",C2061,IF(P2061&lt;=IFERROR(INDEX(tblChannels[Watched Through],MATCH(N2061,tblChannels[Channel ID],0)),0),"Watched","Unwatched"))</f>
        <v/>
      </c>
      <c r="C2061" s="40" t="n"/>
      <c r="D2061" s="41" t="n"/>
      <c r="E2061" s="42" t="n">
        <v>43339.44583333333</v>
      </c>
      <c r="F2061" s="52" t="inlineStr">
        <is>
          <t>Super Carlin Gaming</t>
        </is>
      </c>
      <c r="G2061" t="inlineStr">
        <is>
          <t>Victory Formation | Rocket League #46</t>
        </is>
      </c>
      <c r="H2061" s="44" t="n">
        <v>0.01637731481481481</v>
      </c>
      <c r="I2061" s="45" t="n">
        <v>4864</v>
      </c>
      <c r="J2061" s="45" t="n">
        <v>229</v>
      </c>
      <c r="K2061" s="45" t="n">
        <v>71</v>
      </c>
      <c r="L2061" s="46" t="n"/>
      <c r="M2061" s="47" t="n"/>
      <c r="N2061" s="47" t="inlineStr">
        <is>
          <t>UCor_9jRnNNZVzTuQ92PKsaQ</t>
        </is>
      </c>
      <c r="O2061" s="48" t="n">
        <v>43339.6125</v>
      </c>
      <c r="P2061" s="49" t="n">
        <v>43339</v>
      </c>
      <c r="Q2061" s="47" t="n">
        <v>1207</v>
      </c>
      <c r="R2061" s="47" t="inlineStr">
        <is>
          <t>No Video ID yet</t>
        </is>
      </c>
      <c r="S2061" s="49" t="n"/>
      <c r="T2061" s="49" t="n"/>
      <c r="U2061" s="47" t="n"/>
      <c r="V2061" s="47">
        <f>IF(AND(P2061&gt;=Calendar!$K$2,P2061&lt;EDATE(Calendar!$K$2,1),OR(Calendar!$K$4="*",N2061=Calendar!$K$4)),P2061*100+COUNTIFS($P$6:$P$3267,P2061,$Q$6:$Q$3267,"&lt;="&amp;Q2061,$N$6:$N$3267,Calendar!$K$4),"")</f>
        <v/>
      </c>
      <c r="W2061" s="47">
        <f>IF(AND(B2061=Queue!$C$4,OR(Queue!$K$4="*",N2061=Queue!$K$4)),Q2061,"")</f>
        <v/>
      </c>
    </row>
    <row r="2062">
      <c r="A2062" s="38">
        <f>IF(M2062="","",HYPERLINK("https://www.youtube.com/watch?v="&amp;M2062,"▶"))</f>
        <v/>
      </c>
      <c r="B2062" s="39">
        <f>IF(C2062&lt;&gt;"",C2062,IF(P2062&lt;=IFERROR(INDEX(tblChannels[Watched Through],MATCH(N2062,tblChannels[Channel ID],0)),0),"Watched","Unwatched"))</f>
        <v/>
      </c>
      <c r="C2062" s="40" t="n"/>
      <c r="D2062" s="41" t="n"/>
      <c r="E2062" s="42" t="n">
        <v>43336.4375</v>
      </c>
      <c r="F2062" s="52" t="inlineStr">
        <is>
          <t>Super Carlin Gaming</t>
        </is>
      </c>
      <c r="G2062" t="inlineStr">
        <is>
          <t>Pancake Star | Rocket League #45</t>
        </is>
      </c>
      <c r="H2062" s="44" t="n">
        <v>0.01476851851851852</v>
      </c>
      <c r="I2062" s="45" t="n">
        <v>4433</v>
      </c>
      <c r="J2062" s="45" t="n">
        <v>255</v>
      </c>
      <c r="K2062" s="45" t="n">
        <v>101</v>
      </c>
      <c r="L2062" s="46" t="n"/>
      <c r="M2062" s="47" t="n"/>
      <c r="N2062" s="47" t="inlineStr">
        <is>
          <t>UCor_9jRnNNZVzTuQ92PKsaQ</t>
        </is>
      </c>
      <c r="O2062" s="48" t="n">
        <v>43336.60416666666</v>
      </c>
      <c r="P2062" s="49" t="n">
        <v>43336</v>
      </c>
      <c r="Q2062" s="47" t="n">
        <v>1206</v>
      </c>
      <c r="R2062" s="47" t="inlineStr">
        <is>
          <t>No Video ID yet</t>
        </is>
      </c>
      <c r="S2062" s="49" t="n"/>
      <c r="T2062" s="49" t="n"/>
      <c r="U2062" s="47" t="n"/>
      <c r="V2062" s="47">
        <f>IF(AND(P2062&gt;=Calendar!$K$2,P2062&lt;EDATE(Calendar!$K$2,1),OR(Calendar!$K$4="*",N2062=Calendar!$K$4)),P2062*100+COUNTIFS($P$6:$P$3267,P2062,$Q$6:$Q$3267,"&lt;="&amp;Q2062,$N$6:$N$3267,Calendar!$K$4),"")</f>
        <v/>
      </c>
      <c r="W2062" s="47">
        <f>IF(AND(B2062=Queue!$C$4,OR(Queue!$K$4="*",N2062=Queue!$K$4)),Q2062,"")</f>
        <v/>
      </c>
    </row>
    <row r="2063">
      <c r="A2063" s="38">
        <f>IF(M2063="","",HYPERLINK("https://www.youtube.com/watch?v="&amp;M2063,"▶"))</f>
        <v/>
      </c>
      <c r="B2063" s="39">
        <f>IF(C2063&lt;&gt;"",C2063,IF(P2063&lt;=IFERROR(INDEX(tblChannels[Watched Through],MATCH(N2063,tblChannels[Channel ID],0)),0),"Watched","Unwatched"))</f>
        <v/>
      </c>
      <c r="C2063" s="40" t="n"/>
      <c r="D2063" s="41" t="n"/>
      <c r="E2063" s="42" t="n">
        <v>43335.84722222222</v>
      </c>
      <c r="F2063" s="50" t="inlineStr">
        <is>
          <t>Super Carlin Brothers</t>
        </is>
      </c>
      <c r="G2063" t="inlineStr">
        <is>
          <t>Top 10 Most EVIL Characters In Harry Potter</t>
        </is>
      </c>
      <c r="H2063" s="44" t="n">
        <v>0.008333333333333333</v>
      </c>
      <c r="I2063" s="45" t="n">
        <v>1224490</v>
      </c>
      <c r="J2063" s="45" t="n">
        <v>31499</v>
      </c>
      <c r="K2063" s="45" t="n">
        <v>7746</v>
      </c>
      <c r="L2063" s="46" t="n"/>
      <c r="M2063" s="47" t="n"/>
      <c r="N2063" s="47" t="inlineStr">
        <is>
          <t>UCKZo4N0lVPccBkSiuyVh4yg</t>
        </is>
      </c>
      <c r="O2063" s="48" t="n">
        <v>43336.01388888889</v>
      </c>
      <c r="P2063" s="49" t="n">
        <v>43335</v>
      </c>
      <c r="Q2063" s="47" t="n">
        <v>1205</v>
      </c>
      <c r="R2063" s="47" t="inlineStr">
        <is>
          <t>No Video ID yet</t>
        </is>
      </c>
      <c r="S2063" s="49" t="n"/>
      <c r="T2063" s="49" t="n"/>
      <c r="U2063" s="47" t="inlineStr">
        <is>
          <t>Super Carlin Survey 2018 :: Today Ben dives into the dark side of the Wizaring World of Harry Potter and ranks the Top 10 most evil characters in the entire story - Who is your favorite villain?</t>
        </is>
      </c>
      <c r="V2063" s="47">
        <f>IF(AND(P2063&gt;=Calendar!$K$2,P2063&lt;EDATE(Calendar!$K$2,1),OR(Calendar!$K$4="*",N2063=Calendar!$K$4)),P2063*100+COUNTIFS($P$6:$P$3267,P2063,$Q$6:$Q$3267,"&lt;="&amp;Q2063,$N$6:$N$3267,Calendar!$K$4),"")</f>
        <v/>
      </c>
      <c r="W2063" s="47">
        <f>IF(AND(B2063=Queue!$C$4,OR(Queue!$K$4="*",N2063=Queue!$K$4)),Q2063,"")</f>
        <v/>
      </c>
    </row>
    <row r="2064">
      <c r="A2064" s="38">
        <f>IF(M2064="","",HYPERLINK("https://www.youtube.com/watch?v="&amp;M2064,"▶"))</f>
        <v/>
      </c>
      <c r="B2064" s="39">
        <f>IF(C2064&lt;&gt;"",C2064,IF(P2064&lt;=IFERROR(INDEX(tblChannels[Watched Through],MATCH(N2064,tblChannels[Channel ID],0)),0),"Watched","Unwatched"))</f>
        <v/>
      </c>
      <c r="C2064" s="40" t="n"/>
      <c r="D2064" s="41" t="n"/>
      <c r="E2064" s="42" t="n">
        <v>43334.48194444444</v>
      </c>
      <c r="F2064" s="52" t="inlineStr">
        <is>
          <t>Super Carlin Gaming</t>
        </is>
      </c>
      <c r="G2064" t="inlineStr">
        <is>
          <t>Riding the Rainbow | Rocket League #44</t>
        </is>
      </c>
      <c r="H2064" s="44" t="n">
        <v>0.01365740740740741</v>
      </c>
      <c r="I2064" s="45" t="n">
        <v>4346</v>
      </c>
      <c r="J2064" s="45" t="n">
        <v>278</v>
      </c>
      <c r="K2064" s="45" t="n">
        <v>64</v>
      </c>
      <c r="L2064" s="46" t="n"/>
      <c r="M2064" s="47" t="n"/>
      <c r="N2064" s="47" t="inlineStr">
        <is>
          <t>UCor_9jRnNNZVzTuQ92PKsaQ</t>
        </is>
      </c>
      <c r="O2064" s="48" t="n">
        <v>43334.64861111111</v>
      </c>
      <c r="P2064" s="49" t="n">
        <v>43334</v>
      </c>
      <c r="Q2064" s="47" t="n">
        <v>1204</v>
      </c>
      <c r="R2064" s="47" t="inlineStr">
        <is>
          <t>No Video ID yet</t>
        </is>
      </c>
      <c r="S2064" s="49" t="n"/>
      <c r="T2064" s="49" t="n"/>
      <c r="U2064" s="47" t="n"/>
      <c r="V2064" s="47">
        <f>IF(AND(P2064&gt;=Calendar!$K$2,P2064&lt;EDATE(Calendar!$K$2,1),OR(Calendar!$K$4="*",N2064=Calendar!$K$4)),P2064*100+COUNTIFS($P$6:$P$3267,P2064,$Q$6:$Q$3267,"&lt;="&amp;Q2064,$N$6:$N$3267,Calendar!$K$4),"")</f>
        <v/>
      </c>
      <c r="W2064" s="47">
        <f>IF(AND(B2064=Queue!$C$4,OR(Queue!$K$4="*",N2064=Queue!$K$4)),Q2064,"")</f>
        <v/>
      </c>
    </row>
    <row r="2065">
      <c r="A2065" s="38">
        <f>IF(M2065="","",HYPERLINK("https://www.youtube.com/watch?v="&amp;M2065,"▶"))</f>
        <v/>
      </c>
      <c r="B2065" s="39">
        <f>IF(C2065&lt;&gt;"",C2065,IF(P2065&lt;=IFERROR(INDEX(tblChannels[Watched Through],MATCH(N2065,tblChannels[Channel ID],0)),0),"Watched","Unwatched"))</f>
        <v/>
      </c>
      <c r="C2065" s="40" t="n"/>
      <c r="D2065" s="41" t="n"/>
      <c r="E2065" s="42" t="n">
        <v>43333.725</v>
      </c>
      <c r="F2065" s="50" t="inlineStr">
        <is>
          <t>Super Carlin Brothers</t>
        </is>
      </c>
      <c r="G2065" t="inlineStr">
        <is>
          <t>J vs Ben: HARDEST Dobby Trivia Quiz EVER</t>
        </is>
      </c>
      <c r="H2065" s="44" t="n">
        <v>0.02236111111111111</v>
      </c>
      <c r="I2065" s="45" t="n">
        <v>1053329</v>
      </c>
      <c r="J2065" s="45" t="n">
        <v>21103</v>
      </c>
      <c r="K2065" s="45" t="n">
        <v>2978</v>
      </c>
      <c r="L2065" s="46" t="n"/>
      <c r="M2065" s="47" t="n"/>
      <c r="N2065" s="47" t="inlineStr">
        <is>
          <t>UCKZo4N0lVPccBkSiuyVh4yg</t>
        </is>
      </c>
      <c r="O2065" s="48" t="n">
        <v>43333.89166666667</v>
      </c>
      <c r="P2065" s="49" t="n">
        <v>43333</v>
      </c>
      <c r="Q2065" s="47" t="n">
        <v>1203</v>
      </c>
      <c r="R2065" s="47" t="inlineStr">
        <is>
          <t>No Video ID yet</t>
        </is>
      </c>
      <c r="S2065" s="49" t="n"/>
      <c r="T2065" s="49" t="n"/>
      <c r="U2065" s="47" t="inlineStr">
        <is>
          <t>Today J and Ben face off in some epic Harry Potter trivia and take on the Ultimate Dobby trivia quiz - Who knows the most about everyones favorite house elf? FIND OUT! And let us know how well you did in the towel section down below!</t>
        </is>
      </c>
      <c r="V2065" s="47">
        <f>IF(AND(P2065&gt;=Calendar!$K$2,P2065&lt;EDATE(Calendar!$K$2,1),OR(Calendar!$K$4="*",N2065=Calendar!$K$4)),P2065*100+COUNTIFS($P$6:$P$3267,P2065,$Q$6:$Q$3267,"&lt;="&amp;Q2065,$N$6:$N$3267,Calendar!$K$4),"")</f>
        <v/>
      </c>
      <c r="W2065" s="47">
        <f>IF(AND(B2065=Queue!$C$4,OR(Queue!$K$4="*",N2065=Queue!$K$4)),Q2065,"")</f>
        <v/>
      </c>
    </row>
    <row r="2066">
      <c r="A2066" s="38">
        <f>IF(M2066="","",HYPERLINK("https://www.youtube.com/watch?v="&amp;M2066,"▶"))</f>
        <v/>
      </c>
      <c r="B2066" s="39">
        <f>IF(C2066&lt;&gt;"",C2066,IF(P2066&lt;=IFERROR(INDEX(tblChannels[Watched Through],MATCH(N2066,tblChannels[Channel ID],0)),0),"Watched","Unwatched"))</f>
        <v/>
      </c>
      <c r="C2066" s="40" t="n"/>
      <c r="D2066" s="41" t="n"/>
      <c r="E2066" s="42" t="n">
        <v>43333.58263888889</v>
      </c>
      <c r="F2066" s="53" t="inlineStr">
        <is>
          <t>Jonathan Carlin</t>
        </is>
      </c>
      <c r="G2066" t="inlineStr">
        <is>
          <t>TOUCH A TRUCK</t>
        </is>
      </c>
      <c r="H2066" s="44" t="n">
        <v>0.00587962962962963</v>
      </c>
      <c r="I2066" s="45" t="n">
        <v>26512</v>
      </c>
      <c r="J2066" s="45" t="n">
        <v>1343</v>
      </c>
      <c r="K2066" s="45" t="n">
        <v>116</v>
      </c>
      <c r="L2066" s="46" t="n"/>
      <c r="M2066" s="47" t="n"/>
      <c r="N2066" s="47" t="inlineStr">
        <is>
          <t>UCYPKFe86e6nm4TVUYKLsFUQ</t>
        </is>
      </c>
      <c r="O2066" s="48" t="n">
        <v>43333.74930555555</v>
      </c>
      <c r="P2066" s="49" t="n">
        <v>43333</v>
      </c>
      <c r="Q2066" s="47" t="n">
        <v>1202</v>
      </c>
      <c r="R2066" s="47" t="inlineStr">
        <is>
          <t>No Video ID yet</t>
        </is>
      </c>
      <c r="S2066" s="49" t="n"/>
      <c r="T2066" s="49" t="n"/>
      <c r="U2066" s="47" t="inlineStr">
        <is>
          <t>J heads back to work, Ben leaves for vacation AAAAND we bring Luke to Touch A Truck!</t>
        </is>
      </c>
      <c r="V2066" s="47">
        <f>IF(AND(P2066&gt;=Calendar!$K$2,P2066&lt;EDATE(Calendar!$K$2,1),OR(Calendar!$K$4="*",N2066=Calendar!$K$4)),P2066*100+COUNTIFS($P$6:$P$3267,P2066,$Q$6:$Q$3267,"&lt;="&amp;Q2066,$N$6:$N$3267,Calendar!$K$4),"")</f>
        <v/>
      </c>
      <c r="W2066" s="47">
        <f>IF(AND(B2066=Queue!$C$4,OR(Queue!$K$4="*",N2066=Queue!$K$4)),Q2066,"")</f>
        <v/>
      </c>
    </row>
    <row r="2067">
      <c r="A2067" s="38">
        <f>IF(M2067="","",HYPERLINK("https://www.youtube.com/watch?v="&amp;M2067,"▶"))</f>
        <v/>
      </c>
      <c r="B2067" s="39">
        <f>IF(C2067&lt;&gt;"",C2067,IF(P2067&lt;=IFERROR(INDEX(tblChannels[Watched Through],MATCH(N2067,tblChannels[Channel ID],0)),0),"Watched","Unwatched"))</f>
        <v/>
      </c>
      <c r="C2067" s="40" t="n"/>
      <c r="D2067" s="41" t="n"/>
      <c r="E2067" s="42" t="n">
        <v>43332.47777777778</v>
      </c>
      <c r="F2067" s="52" t="inlineStr">
        <is>
          <t>Super Carlin Gaming</t>
        </is>
      </c>
      <c r="G2067" t="inlineStr">
        <is>
          <t>Jordan Turns Tomato | Rocket League #43</t>
        </is>
      </c>
      <c r="H2067" s="44" t="n">
        <v>0.01261574074074074</v>
      </c>
      <c r="I2067" s="45" t="n">
        <v>4441</v>
      </c>
      <c r="J2067" s="45" t="n">
        <v>304</v>
      </c>
      <c r="K2067" s="45" t="n">
        <v>74</v>
      </c>
      <c r="L2067" s="46" t="n"/>
      <c r="M2067" s="47" t="n"/>
      <c r="N2067" s="47" t="inlineStr">
        <is>
          <t>UCor_9jRnNNZVzTuQ92PKsaQ</t>
        </is>
      </c>
      <c r="O2067" s="48" t="n">
        <v>43332.64444444444</v>
      </c>
      <c r="P2067" s="49" t="n">
        <v>43332</v>
      </c>
      <c r="Q2067" s="47" t="n">
        <v>1201</v>
      </c>
      <c r="R2067" s="47" t="inlineStr">
        <is>
          <t>No Video ID yet</t>
        </is>
      </c>
      <c r="S2067" s="49" t="n"/>
      <c r="T2067" s="49" t="n"/>
      <c r="U2067" s="47" t="n"/>
      <c r="V2067" s="47">
        <f>IF(AND(P2067&gt;=Calendar!$K$2,P2067&lt;EDATE(Calendar!$K$2,1),OR(Calendar!$K$4="*",N2067=Calendar!$K$4)),P2067*100+COUNTIFS($P$6:$P$3267,P2067,$Q$6:$Q$3267,"&lt;="&amp;Q2067,$N$6:$N$3267,Calendar!$K$4),"")</f>
        <v/>
      </c>
      <c r="W2067" s="47">
        <f>IF(AND(B2067=Queue!$C$4,OR(Queue!$K$4="*",N2067=Queue!$K$4)),Q2067,"")</f>
        <v/>
      </c>
    </row>
    <row r="2068">
      <c r="A2068" s="38">
        <f>IF(M2068="","",HYPERLINK("https://www.youtube.com/watch?v="&amp;M2068,"▶"))</f>
        <v/>
      </c>
      <c r="B2068" s="39">
        <f>IF(C2068&lt;&gt;"",C2068,IF(P2068&lt;=IFERROR(INDEX(tblChannels[Watched Through],MATCH(N2068,tblChannels[Channel ID],0)),0),"Watched","Unwatched"))</f>
        <v/>
      </c>
      <c r="C2068" s="40" t="n"/>
      <c r="D2068" s="41" t="n"/>
      <c r="E2068" s="42" t="n">
        <v>43329.56666666667</v>
      </c>
      <c r="F2068" s="52" t="inlineStr">
        <is>
          <t>Super Carlin Gaming</t>
        </is>
      </c>
      <c r="G2068" t="inlineStr">
        <is>
          <t>Boom Them Real Hard | Rocket League #42</t>
        </is>
      </c>
      <c r="H2068" s="44" t="n">
        <v>0.0140162037037037</v>
      </c>
      <c r="I2068" s="45" t="n">
        <v>4511</v>
      </c>
      <c r="J2068" s="45" t="n">
        <v>250</v>
      </c>
      <c r="K2068" s="45" t="n">
        <v>41</v>
      </c>
      <c r="L2068" s="46" t="n"/>
      <c r="M2068" s="47" t="n"/>
      <c r="N2068" s="47" t="inlineStr">
        <is>
          <t>UCor_9jRnNNZVzTuQ92PKsaQ</t>
        </is>
      </c>
      <c r="O2068" s="48" t="n">
        <v>43329.73333333333</v>
      </c>
      <c r="P2068" s="49" t="n">
        <v>43329</v>
      </c>
      <c r="Q2068" s="47" t="n">
        <v>1200</v>
      </c>
      <c r="R2068" s="47" t="inlineStr">
        <is>
          <t>No Video ID yet</t>
        </is>
      </c>
      <c r="S2068" s="49" t="n"/>
      <c r="T2068" s="49" t="n"/>
      <c r="U2068" s="47" t="n"/>
      <c r="V2068" s="47">
        <f>IF(AND(P2068&gt;=Calendar!$K$2,P2068&lt;EDATE(Calendar!$K$2,1),OR(Calendar!$K$4="*",N2068=Calendar!$K$4)),P2068*100+COUNTIFS($P$6:$P$3267,P2068,$Q$6:$Q$3267,"&lt;="&amp;Q2068,$N$6:$N$3267,Calendar!$K$4),"")</f>
        <v/>
      </c>
      <c r="W2068" s="47">
        <f>IF(AND(B2068=Queue!$C$4,OR(Queue!$K$4="*",N2068=Queue!$K$4)),Q2068,"")</f>
        <v/>
      </c>
    </row>
    <row r="2069">
      <c r="A2069" s="38">
        <f>IF(M2069="","",HYPERLINK("https://www.youtube.com/watch?v="&amp;M2069,"▶"))</f>
        <v/>
      </c>
      <c r="B2069" s="39">
        <f>IF(C2069&lt;&gt;"",C2069,IF(P2069&lt;=IFERROR(INDEX(tblChannels[Watched Through],MATCH(N2069,tblChannels[Channel ID],0)),0),"Watched","Unwatched"))</f>
        <v/>
      </c>
      <c r="C2069" s="40" t="n"/>
      <c r="D2069" s="41" t="n"/>
      <c r="E2069" s="42" t="n">
        <v>43328.79305555556</v>
      </c>
      <c r="F2069" s="50" t="inlineStr">
        <is>
          <t>Super Carlin Brothers</t>
        </is>
      </c>
      <c r="G2069" t="inlineStr">
        <is>
          <t>How Loki Is Almost Definitely Still Alive</t>
        </is>
      </c>
      <c r="H2069" s="44" t="n">
        <v>0.007453703703703704</v>
      </c>
      <c r="I2069" s="45" t="n">
        <v>1932568</v>
      </c>
      <c r="J2069" s="45" t="n">
        <v>60471</v>
      </c>
      <c r="K2069" s="45" t="n">
        <v>12156</v>
      </c>
      <c r="L2069" s="46" t="n"/>
      <c r="M2069" s="47" t="n"/>
      <c r="N2069" s="47" t="inlineStr">
        <is>
          <t>UCKZo4N0lVPccBkSiuyVh4yg</t>
        </is>
      </c>
      <c r="O2069" s="48" t="n">
        <v>43328.95972222222</v>
      </c>
      <c r="P2069" s="49" t="n">
        <v>43328</v>
      </c>
      <c r="Q2069" s="47" t="n">
        <v>1199</v>
      </c>
      <c r="R2069" s="47" t="inlineStr">
        <is>
          <t>No Video ID yet</t>
        </is>
      </c>
      <c r="S2069" s="49" t="n"/>
      <c r="T2069" s="49" t="n"/>
      <c r="U2069" s="47" t="inlineStr">
        <is>
          <t>Today Ben dives into the world of Marvel's Infinity War to discuss everyone's favorite God of Mischief: Loki and how is almost definitely still alive... because he's actually the HULK</t>
        </is>
      </c>
      <c r="V2069" s="47">
        <f>IF(AND(P2069&gt;=Calendar!$K$2,P2069&lt;EDATE(Calendar!$K$2,1),OR(Calendar!$K$4="*",N2069=Calendar!$K$4)),P2069*100+COUNTIFS($P$6:$P$3267,P2069,$Q$6:$Q$3267,"&lt;="&amp;Q2069,$N$6:$N$3267,Calendar!$K$4),"")</f>
        <v/>
      </c>
      <c r="W2069" s="47">
        <f>IF(AND(B2069=Queue!$C$4,OR(Queue!$K$4="*",N2069=Queue!$K$4)),Q2069,"")</f>
        <v/>
      </c>
    </row>
    <row r="2070">
      <c r="A2070" s="38">
        <f>IF(M2070="","",HYPERLINK("https://www.youtube.com/watch?v="&amp;M2070,"▶"))</f>
        <v/>
      </c>
      <c r="B2070" s="39">
        <f>IF(C2070&lt;&gt;"",C2070,IF(P2070&lt;=IFERROR(INDEX(tblChannels[Watched Through],MATCH(N2070,tblChannels[Channel ID],0)),0),"Watched","Unwatched"))</f>
        <v/>
      </c>
      <c r="C2070" s="40" t="n"/>
      <c r="D2070" s="41" t="n"/>
      <c r="E2070" s="42" t="n">
        <v>43328.51944444444</v>
      </c>
      <c r="F2070" s="52" t="inlineStr">
        <is>
          <t>Super Carlin Gaming</t>
        </is>
      </c>
      <c r="G2070" t="inlineStr">
        <is>
          <t>Age in Dog Years | Rocket League #41</t>
        </is>
      </c>
      <c r="H2070" s="44" t="n">
        <v>0.01325231481481481</v>
      </c>
      <c r="I2070" s="45" t="n">
        <v>4414</v>
      </c>
      <c r="J2070" s="45" t="n">
        <v>268</v>
      </c>
      <c r="K2070" s="45" t="n">
        <v>54</v>
      </c>
      <c r="L2070" s="46" t="n"/>
      <c r="M2070" s="47" t="n"/>
      <c r="N2070" s="47" t="inlineStr">
        <is>
          <t>UCor_9jRnNNZVzTuQ92PKsaQ</t>
        </is>
      </c>
      <c r="O2070" s="48" t="n">
        <v>43328.68611111111</v>
      </c>
      <c r="P2070" s="49" t="n">
        <v>43328</v>
      </c>
      <c r="Q2070" s="47" t="n">
        <v>1198</v>
      </c>
      <c r="R2070" s="47" t="inlineStr">
        <is>
          <t>No Video ID yet</t>
        </is>
      </c>
      <c r="S2070" s="49" t="n"/>
      <c r="T2070" s="49" t="n"/>
      <c r="U2070" s="47" t="n"/>
      <c r="V2070" s="47">
        <f>IF(AND(P2070&gt;=Calendar!$K$2,P2070&lt;EDATE(Calendar!$K$2,1),OR(Calendar!$K$4="*",N2070=Calendar!$K$4)),P2070*100+COUNTIFS($P$6:$P$3267,P2070,$Q$6:$Q$3267,"&lt;="&amp;Q2070,$N$6:$N$3267,Calendar!$K$4),"")</f>
        <v/>
      </c>
      <c r="W2070" s="47">
        <f>IF(AND(B2070=Queue!$C$4,OR(Queue!$K$4="*",N2070=Queue!$K$4)),Q2070,"")</f>
        <v/>
      </c>
    </row>
    <row r="2071">
      <c r="A2071" s="38">
        <f>IF(M2071="","",HYPERLINK("https://www.youtube.com/watch?v="&amp;M2071,"▶"))</f>
        <v/>
      </c>
      <c r="B2071" s="39">
        <f>IF(C2071&lt;&gt;"",C2071,IF(P2071&lt;=IFERROR(INDEX(tblChannels[Watched Through],MATCH(N2071,tblChannels[Channel ID],0)),0),"Watched","Unwatched"))</f>
        <v/>
      </c>
      <c r="C2071" s="40" t="n"/>
      <c r="D2071" s="41" t="n"/>
      <c r="E2071" s="42" t="n">
        <v>43327.94097222222</v>
      </c>
      <c r="F2071" s="52" t="inlineStr">
        <is>
          <t>Super Carlin Gaming</t>
        </is>
      </c>
      <c r="G2071" t="inlineStr">
        <is>
          <t>LIVE! Sims 4 - We Have A New Neighbor!</t>
        </is>
      </c>
      <c r="H2071" s="44" t="n">
        <v>0.08934027777777778</v>
      </c>
      <c r="I2071" s="45" t="n">
        <v>10077</v>
      </c>
      <c r="J2071" s="45" t="n">
        <v>271</v>
      </c>
      <c r="K2071" s="45" t="n">
        <v>21</v>
      </c>
      <c r="L2071" s="46" t="n"/>
      <c r="M2071" s="47" t="n"/>
      <c r="N2071" s="47" t="inlineStr">
        <is>
          <t>UCor_9jRnNNZVzTuQ92PKsaQ</t>
        </is>
      </c>
      <c r="O2071" s="48" t="n">
        <v>43328.10763888889</v>
      </c>
      <c r="P2071" s="49" t="n">
        <v>43327</v>
      </c>
      <c r="Q2071" s="47" t="n">
        <v>1197</v>
      </c>
      <c r="R2071" s="47" t="inlineStr">
        <is>
          <t>No Video ID yet</t>
        </is>
      </c>
      <c r="S2071" s="49" t="n"/>
      <c r="T2071" s="49" t="n"/>
      <c r="U2071" s="47" t="inlineStr">
        <is>
          <t>Support the stream: J, Ben, DK, are just living that crazy Sim life with their insane roommate... Darth Maul. Also Derek got married, and also also Beth moved in next door - LETS PLAY! Join The Discord! J on twitter: Ben on Twitter: DK STREAMS ON TWITCH: Jordan on YOUTUBE:</t>
        </is>
      </c>
      <c r="V2071" s="47">
        <f>IF(AND(P2071&gt;=Calendar!$K$2,P2071&lt;EDATE(Calendar!$K$2,1),OR(Calendar!$K$4="*",N2071=Calendar!$K$4)),P2071*100+COUNTIFS($P$6:$P$3267,P2071,$Q$6:$Q$3267,"&lt;="&amp;Q2071,$N$6:$N$3267,Calendar!$K$4),"")</f>
        <v/>
      </c>
      <c r="W2071" s="47">
        <f>IF(AND(B2071=Queue!$C$4,OR(Queue!$K$4="*",N2071=Queue!$K$4)),Q2071,"")</f>
        <v/>
      </c>
    </row>
    <row r="2072">
      <c r="A2072" s="38">
        <f>IF(M2072="","",HYPERLINK("https://www.youtube.com/watch?v="&amp;M2072,"▶"))</f>
        <v/>
      </c>
      <c r="B2072" s="39">
        <f>IF(C2072&lt;&gt;"",C2072,IF(P2072&lt;=IFERROR(INDEX(tblChannels[Watched Through],MATCH(N2072,tblChannels[Channel ID],0)),0),"Watched","Unwatched"))</f>
        <v/>
      </c>
      <c r="C2072" s="40" t="n"/>
      <c r="D2072" s="41" t="n"/>
      <c r="E2072" s="42" t="n">
        <v>43326.71041666667</v>
      </c>
      <c r="F2072" s="50" t="inlineStr">
        <is>
          <t>Super Carlin Brothers</t>
        </is>
      </c>
      <c r="G2072" t="inlineStr">
        <is>
          <t>Frozen's Oaken Explained</t>
        </is>
      </c>
      <c r="H2072" s="44" t="n">
        <v>0.007106481481481482</v>
      </c>
      <c r="I2072" s="45" t="n">
        <v>557494</v>
      </c>
      <c r="J2072" s="45" t="n">
        <v>18143</v>
      </c>
      <c r="K2072" s="45" t="n">
        <v>2938</v>
      </c>
      <c r="L2072" s="46" t="n"/>
      <c r="M2072" s="47" t="n"/>
      <c r="N2072" s="47" t="inlineStr">
        <is>
          <t>UCKZo4N0lVPccBkSiuyVh4yg</t>
        </is>
      </c>
      <c r="O2072" s="48" t="n">
        <v>43326.87708333333</v>
      </c>
      <c r="P2072" s="49" t="n">
        <v>43326</v>
      </c>
      <c r="Q2072" s="47" t="n">
        <v>1196</v>
      </c>
      <c r="R2072" s="47" t="inlineStr">
        <is>
          <t>No Video ID yet</t>
        </is>
      </c>
      <c r="S2072" s="49" t="n"/>
      <c r="T2072" s="49" t="n"/>
      <c r="U2072" s="47" t="inlineStr">
        <is>
          <t>Today J dives into the frigid world of Disney's Frozen to discuss everyone's favorite shop opener Oaken and his Hygge lifestyle! Get Jonathan and Beth a Sauna :: Hygge Song ::</t>
        </is>
      </c>
      <c r="V2072" s="47">
        <f>IF(AND(P2072&gt;=Calendar!$K$2,P2072&lt;EDATE(Calendar!$K$2,1),OR(Calendar!$K$4="*",N2072=Calendar!$K$4)),P2072*100+COUNTIFS($P$6:$P$3267,P2072,$Q$6:$Q$3267,"&lt;="&amp;Q2072,$N$6:$N$3267,Calendar!$K$4),"")</f>
        <v/>
      </c>
      <c r="W2072" s="47">
        <f>IF(AND(B2072=Queue!$C$4,OR(Queue!$K$4="*",N2072=Queue!$K$4)),Q2072,"")</f>
        <v/>
      </c>
    </row>
    <row r="2073">
      <c r="A2073" s="38">
        <f>IF(M2073="","",HYPERLINK("https://www.youtube.com/watch?v="&amp;M2073,"▶"))</f>
        <v/>
      </c>
      <c r="B2073" s="39">
        <f>IF(C2073&lt;&gt;"",C2073,IF(P2073&lt;=IFERROR(INDEX(tblChannels[Watched Through],MATCH(N2073,tblChannels[Channel ID],0)),0),"Watched","Unwatched"))</f>
        <v/>
      </c>
      <c r="C2073" s="40" t="n"/>
      <c r="D2073" s="41" t="n"/>
      <c r="E2073" s="42" t="n">
        <v>43325.66875</v>
      </c>
      <c r="F2073" s="52" t="inlineStr">
        <is>
          <t>Super Carlin Gaming</t>
        </is>
      </c>
      <c r="G2073" t="inlineStr">
        <is>
          <t>Moon Pizza | Rocket League #40</t>
        </is>
      </c>
      <c r="H2073" s="44" t="n">
        <v>0.01715277777777778</v>
      </c>
      <c r="I2073" s="45" t="n">
        <v>5173</v>
      </c>
      <c r="J2073" s="45" t="n">
        <v>274</v>
      </c>
      <c r="K2073" s="45" t="n">
        <v>95</v>
      </c>
      <c r="L2073" s="46" t="n"/>
      <c r="M2073" s="47" t="n"/>
      <c r="N2073" s="47" t="inlineStr">
        <is>
          <t>UCor_9jRnNNZVzTuQ92PKsaQ</t>
        </is>
      </c>
      <c r="O2073" s="48" t="n">
        <v>43325.83541666667</v>
      </c>
      <c r="P2073" s="49" t="n">
        <v>43325</v>
      </c>
      <c r="Q2073" s="47" t="n">
        <v>1195</v>
      </c>
      <c r="R2073" s="47" t="inlineStr">
        <is>
          <t>No Video ID yet</t>
        </is>
      </c>
      <c r="S2073" s="49" t="n"/>
      <c r="T2073" s="49" t="n"/>
      <c r="U2073" s="47" t="n"/>
      <c r="V2073" s="47">
        <f>IF(AND(P2073&gt;=Calendar!$K$2,P2073&lt;EDATE(Calendar!$K$2,1),OR(Calendar!$K$4="*",N2073=Calendar!$K$4)),P2073*100+COUNTIFS($P$6:$P$3267,P2073,$Q$6:$Q$3267,"&lt;="&amp;Q2073,$N$6:$N$3267,Calendar!$K$4),"")</f>
        <v/>
      </c>
      <c r="W2073" s="47">
        <f>IF(AND(B2073=Queue!$C$4,OR(Queue!$K$4="*",N2073=Queue!$K$4)),Q2073,"")</f>
        <v/>
      </c>
    </row>
    <row r="2074">
      <c r="A2074" s="38">
        <f>IF(M2074="","",HYPERLINK("https://www.youtube.com/watch?v="&amp;M2074,"▶"))</f>
        <v/>
      </c>
      <c r="B2074" s="39">
        <f>IF(C2074&lt;&gt;"",C2074,IF(P2074&lt;=IFERROR(INDEX(tblChannels[Watched Through],MATCH(N2074,tblChannels[Channel ID],0)),0),"Watched","Unwatched"))</f>
        <v/>
      </c>
      <c r="C2074" s="40" t="n"/>
      <c r="D2074" s="41" t="n"/>
      <c r="E2074" s="42" t="n">
        <v>43325.55555555555</v>
      </c>
      <c r="F2074" s="53" t="inlineStr">
        <is>
          <t>Jonathan Carlin</t>
        </is>
      </c>
      <c r="G2074" t="inlineStr">
        <is>
          <t>10 DAYS IN FLORIDA</t>
        </is>
      </c>
      <c r="H2074" s="44" t="n">
        <v>0.009409722222222222</v>
      </c>
      <c r="I2074" s="45" t="n">
        <v>46221</v>
      </c>
      <c r="J2074" s="45" t="n">
        <v>2311</v>
      </c>
      <c r="K2074" s="45" t="n">
        <v>403</v>
      </c>
      <c r="L2074" s="46" t="n"/>
      <c r="M2074" s="47" t="n"/>
      <c r="N2074" s="47" t="inlineStr">
        <is>
          <t>UCYPKFe86e6nm4TVUYKLsFUQ</t>
        </is>
      </c>
      <c r="O2074" s="48" t="n">
        <v>43325.72222222222</v>
      </c>
      <c r="P2074" s="49" t="n">
        <v>43325</v>
      </c>
      <c r="Q2074" s="47" t="n">
        <v>1194</v>
      </c>
      <c r="R2074" s="47" t="inlineStr">
        <is>
          <t>No Video ID yet</t>
        </is>
      </c>
      <c r="S2074" s="49" t="n"/>
      <c r="T2074" s="49" t="n"/>
      <c r="U2074" s="47" t="inlineStr">
        <is>
          <t>This week J, Beth and Luke head to Beth's childhood vacation spot in Florida! Luke tries some swimming, Beth hits an Instagram milestone and J tries to sleep.</t>
        </is>
      </c>
      <c r="V2074" s="47">
        <f>IF(AND(P2074&gt;=Calendar!$K$2,P2074&lt;EDATE(Calendar!$K$2,1),OR(Calendar!$K$4="*",N2074=Calendar!$K$4)),P2074*100+COUNTIFS($P$6:$P$3267,P2074,$Q$6:$Q$3267,"&lt;="&amp;Q2074,$N$6:$N$3267,Calendar!$K$4),"")</f>
        <v/>
      </c>
      <c r="W2074" s="47">
        <f>IF(AND(B2074=Queue!$C$4,OR(Queue!$K$4="*",N2074=Queue!$K$4)),Q2074,"")</f>
        <v/>
      </c>
    </row>
    <row r="2075">
      <c r="A2075" s="38">
        <f>IF(M2075="","",HYPERLINK("https://www.youtube.com/watch?v="&amp;M2075,"▶"))</f>
        <v/>
      </c>
      <c r="B2075" s="39">
        <f>IF(C2075&lt;&gt;"",C2075,IF(P2075&lt;=IFERROR(INDEX(tblChannels[Watched Through],MATCH(N2075,tblChannels[Channel ID],0)),0),"Watched","Unwatched"))</f>
        <v/>
      </c>
      <c r="C2075" s="40" t="n"/>
      <c r="D2075" s="41" t="n"/>
      <c r="E2075" s="42" t="n">
        <v>43321.77569444444</v>
      </c>
      <c r="F2075" s="50" t="inlineStr">
        <is>
          <t>Super Carlin Brothers</t>
        </is>
      </c>
      <c r="G2075" t="inlineStr">
        <is>
          <t>Why Dumbledore Actually Hired Lockhart</t>
        </is>
      </c>
      <c r="H2075" s="44" t="n">
        <v>0.00681712962962963</v>
      </c>
      <c r="I2075" s="45" t="n">
        <v>1896813</v>
      </c>
      <c r="J2075" s="45" t="n">
        <v>43895</v>
      </c>
      <c r="K2075" s="45" t="n">
        <v>5636</v>
      </c>
      <c r="L2075" s="46" t="n"/>
      <c r="M2075" s="47" t="n"/>
      <c r="N2075" s="47" t="inlineStr">
        <is>
          <t>UCKZo4N0lVPccBkSiuyVh4yg</t>
        </is>
      </c>
      <c r="O2075" s="48" t="n">
        <v>43321.94236111111</v>
      </c>
      <c r="P2075" s="49" t="n">
        <v>43321</v>
      </c>
      <c r="Q2075" s="47" t="n">
        <v>1193</v>
      </c>
      <c r="R2075" s="47" t="inlineStr">
        <is>
          <t>No Video ID yet</t>
        </is>
      </c>
      <c r="S2075" s="49" t="n"/>
      <c r="T2075" s="49" t="n"/>
      <c r="U2075" s="47" t="inlineStr">
        <is>
          <t>Read more about Lockhart's past :: Today Ben dives into the Wizarding World of Harry Potter to reveal why Dumbledore actually hired Gilderoy Lockhart in Harry Potter's second year at Hogwarts.</t>
        </is>
      </c>
      <c r="V2075" s="47">
        <f>IF(AND(P2075&gt;=Calendar!$K$2,P2075&lt;EDATE(Calendar!$K$2,1),OR(Calendar!$K$4="*",N2075=Calendar!$K$4)),P2075*100+COUNTIFS($P$6:$P$3267,P2075,$Q$6:$Q$3267,"&lt;="&amp;Q2075,$N$6:$N$3267,Calendar!$K$4),"")</f>
        <v/>
      </c>
      <c r="W2075" s="47">
        <f>IF(AND(B2075=Queue!$C$4,OR(Queue!$K$4="*",N2075=Queue!$K$4)),Q2075,"")</f>
        <v/>
      </c>
    </row>
    <row r="2076">
      <c r="A2076" s="38">
        <f>IF(M2076="","",HYPERLINK("https://www.youtube.com/watch?v="&amp;M2076,"▶"))</f>
        <v/>
      </c>
      <c r="B2076" s="39">
        <f>IF(C2076&lt;&gt;"",C2076,IF(P2076&lt;=IFERROR(INDEX(tblChannels[Watched Through],MATCH(N2076,tblChannels[Channel ID],0)),0),"Watched","Unwatched"))</f>
        <v/>
      </c>
      <c r="C2076" s="40" t="n"/>
      <c r="D2076" s="41" t="n"/>
      <c r="E2076" s="42" t="n">
        <v>43320.60347222222</v>
      </c>
      <c r="F2076" s="52" t="inlineStr">
        <is>
          <t>Super Carlin Gaming</t>
        </is>
      </c>
      <c r="G2076" t="inlineStr">
        <is>
          <t>Shoes on Animals | Rocket League #38</t>
        </is>
      </c>
      <c r="H2076" s="44" t="n">
        <v>0.01344907407407407</v>
      </c>
      <c r="I2076" s="45" t="n">
        <v>4975</v>
      </c>
      <c r="J2076" s="45" t="n">
        <v>298</v>
      </c>
      <c r="K2076" s="45" t="n">
        <v>82</v>
      </c>
      <c r="L2076" s="46" t="n"/>
      <c r="M2076" s="47" t="n"/>
      <c r="N2076" s="47" t="inlineStr">
        <is>
          <t>UCor_9jRnNNZVzTuQ92PKsaQ</t>
        </is>
      </c>
      <c r="O2076" s="48" t="n">
        <v>43320.77013888889</v>
      </c>
      <c r="P2076" s="49" t="n">
        <v>43320</v>
      </c>
      <c r="Q2076" s="47" t="n">
        <v>1192</v>
      </c>
      <c r="R2076" s="47" t="inlineStr">
        <is>
          <t>No Video ID yet</t>
        </is>
      </c>
      <c r="S2076" s="49" t="n"/>
      <c r="T2076" s="49" t="n"/>
      <c r="U2076" s="47" t="n"/>
      <c r="V2076" s="47">
        <f>IF(AND(P2076&gt;=Calendar!$K$2,P2076&lt;EDATE(Calendar!$K$2,1),OR(Calendar!$K$4="*",N2076=Calendar!$K$4)),P2076*100+COUNTIFS($P$6:$P$3267,P2076,$Q$6:$Q$3267,"&lt;="&amp;Q2076,$N$6:$N$3267,Calendar!$K$4),"")</f>
        <v/>
      </c>
      <c r="W2076" s="47">
        <f>IF(AND(B2076=Queue!$C$4,OR(Queue!$K$4="*",N2076=Queue!$K$4)),Q2076,"")</f>
        <v/>
      </c>
    </row>
    <row r="2077">
      <c r="A2077" s="38">
        <f>IF(M2077="","",HYPERLINK("https://www.youtube.com/watch?v="&amp;M2077,"▶"))</f>
        <v/>
      </c>
      <c r="B2077" s="39">
        <f>IF(C2077&lt;&gt;"",C2077,IF(P2077&lt;=IFERROR(INDEX(tblChannels[Watched Through],MATCH(N2077,tblChannels[Channel ID],0)),0),"Watched","Unwatched"))</f>
        <v/>
      </c>
      <c r="C2077" s="40" t="n"/>
      <c r="D2077" s="41" t="n"/>
      <c r="E2077" s="42" t="n">
        <v>43319.70763888889</v>
      </c>
      <c r="F2077" s="50" t="inlineStr">
        <is>
          <t>Super Carlin Brothers</t>
        </is>
      </c>
      <c r="G2077" t="inlineStr">
        <is>
          <t>The Youngest Quidditch Player | Harry Potter Theory</t>
        </is>
      </c>
      <c r="H2077" s="44" t="n">
        <v>0.007708333333333334</v>
      </c>
      <c r="I2077" s="45" t="n">
        <v>1042595</v>
      </c>
      <c r="J2077" s="45" t="n">
        <v>27651</v>
      </c>
      <c r="K2077" s="45" t="n">
        <v>3122</v>
      </c>
      <c r="L2077" s="46" t="n"/>
      <c r="M2077" s="47" t="n"/>
      <c r="N2077" s="47" t="inlineStr">
        <is>
          <t>UCKZo4N0lVPccBkSiuyVh4yg</t>
        </is>
      </c>
      <c r="O2077" s="48" t="n">
        <v>43319.87430555555</v>
      </c>
      <c r="P2077" s="49" t="n">
        <v>43319</v>
      </c>
      <c r="Q2077" s="47" t="n">
        <v>1191</v>
      </c>
      <c r="R2077" s="47" t="inlineStr">
        <is>
          <t>No Video ID yet</t>
        </is>
      </c>
      <c r="S2077" s="49" t="n"/>
      <c r="T2077" s="49" t="n"/>
      <c r="U2077" s="47" t="inlineStr">
        <is>
          <t>Bacon &amp; Eggs :: Today J dives into the Wizarding World of Harry Potter to answer one of the oldest mysteries of them all - Who was the youngest quidditch player for a century before Harry showed up?! Special thanks to the patrons who support Super Carlin Brothers on Patreon :: Adele Grafen, AgVoss, Birk Ljungfeldt, Cynthia Boyd, Dan, Fiona Martin, Hillary Reist, Jennifer, Jimmy McGowan, Joy Spears, Kat Waterflame, Kristhell Lopez, Lasse Buan, Maddie D, Meyling V, Michael Duntz, Miranda Vasquez, Natalie Masucci, Qui Le, Samantha bransdorf, Sandra, Sarah E McCartney, Sydney Hank, Vinnie Nicotra</t>
        </is>
      </c>
      <c r="V2077" s="47">
        <f>IF(AND(P2077&gt;=Calendar!$K$2,P2077&lt;EDATE(Calendar!$K$2,1),OR(Calendar!$K$4="*",N2077=Calendar!$K$4)),P2077*100+COUNTIFS($P$6:$P$3267,P2077,$Q$6:$Q$3267,"&lt;="&amp;Q2077,$N$6:$N$3267,Calendar!$K$4),"")</f>
        <v/>
      </c>
      <c r="W2077" s="47">
        <f>IF(AND(B2077=Queue!$C$4,OR(Queue!$K$4="*",N2077=Queue!$K$4)),Q2077,"")</f>
        <v/>
      </c>
    </row>
    <row r="2078">
      <c r="A2078" s="38">
        <f>IF(M2078="","",HYPERLINK("https://www.youtube.com/watch?v="&amp;M2078,"▶"))</f>
        <v/>
      </c>
      <c r="B2078" s="39">
        <f>IF(C2078&lt;&gt;"",C2078,IF(P2078&lt;=IFERROR(INDEX(tblChannels[Watched Through],MATCH(N2078,tblChannels[Channel ID],0)),0),"Watched","Unwatched"))</f>
        <v/>
      </c>
      <c r="C2078" s="40" t="n"/>
      <c r="D2078" s="41" t="n"/>
      <c r="E2078" s="42" t="n">
        <v>43318.68611111111</v>
      </c>
      <c r="F2078" s="52" t="inlineStr">
        <is>
          <t>Super Carlin Gaming</t>
        </is>
      </c>
      <c r="G2078" t="inlineStr">
        <is>
          <t>Cloudy as a Crystal Ball | Rocket League #37</t>
        </is>
      </c>
      <c r="H2078" s="44" t="n">
        <v>0.01519675925925926</v>
      </c>
      <c r="I2078" s="45" t="n">
        <v>5353</v>
      </c>
      <c r="J2078" s="45" t="n">
        <v>258</v>
      </c>
      <c r="K2078" s="45" t="n">
        <v>71</v>
      </c>
      <c r="L2078" s="46" t="n"/>
      <c r="M2078" s="47" t="n"/>
      <c r="N2078" s="47" t="inlineStr">
        <is>
          <t>UCor_9jRnNNZVzTuQ92PKsaQ</t>
        </is>
      </c>
      <c r="O2078" s="48" t="n">
        <v>43318.85277777778</v>
      </c>
      <c r="P2078" s="49" t="n">
        <v>43318</v>
      </c>
      <c r="Q2078" s="47" t="n">
        <v>1190</v>
      </c>
      <c r="R2078" s="47" t="inlineStr">
        <is>
          <t>No Video ID yet</t>
        </is>
      </c>
      <c r="S2078" s="49" t="n"/>
      <c r="T2078" s="49" t="n"/>
      <c r="U2078" s="47" t="n"/>
      <c r="V2078" s="47">
        <f>IF(AND(P2078&gt;=Calendar!$K$2,P2078&lt;EDATE(Calendar!$K$2,1),OR(Calendar!$K$4="*",N2078=Calendar!$K$4)),P2078*100+COUNTIFS($P$6:$P$3267,P2078,$Q$6:$Q$3267,"&lt;="&amp;Q2078,$N$6:$N$3267,Calendar!$K$4),"")</f>
        <v/>
      </c>
      <c r="W2078" s="47">
        <f>IF(AND(B2078=Queue!$C$4,OR(Queue!$K$4="*",N2078=Queue!$K$4)),Q2078,"")</f>
        <v/>
      </c>
    </row>
    <row r="2079">
      <c r="A2079" s="38">
        <f>IF(M2079="","",HYPERLINK("https://www.youtube.com/watch?v="&amp;M2079,"▶"))</f>
        <v/>
      </c>
      <c r="B2079" s="39">
        <f>IF(C2079&lt;&gt;"",C2079,IF(P2079&lt;=IFERROR(INDEX(tblChannels[Watched Through],MATCH(N2079,tblChannels[Channel ID],0)),0),"Watched","Unwatched"))</f>
        <v/>
      </c>
      <c r="C2079" s="40" t="n"/>
      <c r="D2079" s="41" t="n"/>
      <c r="E2079" s="42" t="n">
        <v>43318.5125</v>
      </c>
      <c r="F2079" s="53" t="inlineStr">
        <is>
          <t>Jonathan Carlin</t>
        </is>
      </c>
      <c r="G2079" t="inlineStr">
        <is>
          <t>JORDAN FORGOT THE STRAWS</t>
        </is>
      </c>
      <c r="H2079" s="44" t="n">
        <v>0.005405092592592592</v>
      </c>
      <c r="I2079" s="45" t="n">
        <v>31524</v>
      </c>
      <c r="J2079" s="45" t="n">
        <v>1648</v>
      </c>
      <c r="K2079" s="45" t="n">
        <v>164</v>
      </c>
      <c r="L2079" s="46" t="n"/>
      <c r="M2079" s="47" t="n"/>
      <c r="N2079" s="47" t="inlineStr">
        <is>
          <t>UCYPKFe86e6nm4TVUYKLsFUQ</t>
        </is>
      </c>
      <c r="O2079" s="48" t="n">
        <v>43318.67916666667</v>
      </c>
      <c r="P2079" s="49" t="n">
        <v>43318</v>
      </c>
      <c r="Q2079" s="47" t="n">
        <v>1189</v>
      </c>
      <c r="R2079" s="47" t="inlineStr">
        <is>
          <t>No Video ID yet</t>
        </is>
      </c>
      <c r="S2079" s="49" t="n"/>
      <c r="T2079" s="49" t="n"/>
      <c r="U2079" s="47" t="inlineStr">
        <is>
          <t>Get your own UNFORGETTABLE straws here :: This week is another Blitz week for SCB and J and Ben prepare for vacation, also... Jordan forgets the straws.</t>
        </is>
      </c>
      <c r="V2079" s="47">
        <f>IF(AND(P2079&gt;=Calendar!$K$2,P2079&lt;EDATE(Calendar!$K$2,1),OR(Calendar!$K$4="*",N2079=Calendar!$K$4)),P2079*100+COUNTIFS($P$6:$P$3267,P2079,$Q$6:$Q$3267,"&lt;="&amp;Q2079,$N$6:$N$3267,Calendar!$K$4),"")</f>
        <v/>
      </c>
      <c r="W2079" s="47">
        <f>IF(AND(B2079=Queue!$C$4,OR(Queue!$K$4="*",N2079=Queue!$K$4)),Q2079,"")</f>
        <v/>
      </c>
    </row>
    <row r="2080">
      <c r="A2080" s="38">
        <f>IF(M2080="","",HYPERLINK("https://www.youtube.com/watch?v="&amp;M2080,"▶"))</f>
        <v/>
      </c>
      <c r="B2080" s="39">
        <f>IF(C2080&lt;&gt;"",C2080,IF(P2080&lt;=IFERROR(INDEX(tblChannels[Watched Through],MATCH(N2080,tblChannels[Channel ID],0)),0),"Watched","Unwatched"))</f>
        <v/>
      </c>
      <c r="C2080" s="40" t="n"/>
      <c r="D2080" s="41" t="n"/>
      <c r="E2080" s="42" t="n">
        <v>43315.74930555555</v>
      </c>
      <c r="F2080" s="52" t="inlineStr">
        <is>
          <t>Super Carlin Gaming</t>
        </is>
      </c>
      <c r="G2080" t="inlineStr">
        <is>
          <t>LIVE! Rocket League Friday Afternoon Stream</t>
        </is>
      </c>
      <c r="H2080" s="44" t="n">
        <v>0.05140046296296296</v>
      </c>
      <c r="I2080" s="45" t="n">
        <v>4117</v>
      </c>
      <c r="J2080" s="45" t="n">
        <v>142</v>
      </c>
      <c r="K2080" s="45" t="n">
        <v>19</v>
      </c>
      <c r="L2080" s="46" t="n"/>
      <c r="M2080" s="47" t="n"/>
      <c r="N2080" s="47" t="inlineStr">
        <is>
          <t>UCor_9jRnNNZVzTuQ92PKsaQ</t>
        </is>
      </c>
      <c r="O2080" s="48" t="n">
        <v>43315.91597222222</v>
      </c>
      <c r="P2080" s="49" t="n">
        <v>43315</v>
      </c>
      <c r="Q2080" s="47" t="n">
        <v>1188</v>
      </c>
      <c r="R2080" s="47" t="inlineStr">
        <is>
          <t>No Video ID yet</t>
        </is>
      </c>
      <c r="S2080" s="49" t="n"/>
      <c r="T2080" s="49" t="n"/>
      <c r="U2080" s="47" t="inlineStr">
        <is>
          <t>Support the stream: J and DK close out the week with a little Rocket League action! Join The Discord! J on twitter: Ben on Twitter: DK STREAMS ON TWITCH: Jordan on YOUTUBE:</t>
        </is>
      </c>
      <c r="V2080" s="47">
        <f>IF(AND(P2080&gt;=Calendar!$K$2,P2080&lt;EDATE(Calendar!$K$2,1),OR(Calendar!$K$4="*",N2080=Calendar!$K$4)),P2080*100+COUNTIFS($P$6:$P$3267,P2080,$Q$6:$Q$3267,"&lt;="&amp;Q2080,$N$6:$N$3267,Calendar!$K$4),"")</f>
        <v/>
      </c>
      <c r="W2080" s="47">
        <f>IF(AND(B2080=Queue!$C$4,OR(Queue!$K$4="*",N2080=Queue!$K$4)),Q2080,"")</f>
        <v/>
      </c>
    </row>
    <row r="2081">
      <c r="A2081" s="38">
        <f>IF(M2081="","",HYPERLINK("https://www.youtube.com/watch?v="&amp;M2081,"▶"))</f>
        <v/>
      </c>
      <c r="B2081" s="39">
        <f>IF(C2081&lt;&gt;"",C2081,IF(P2081&lt;=IFERROR(INDEX(tblChannels[Watched Through],MATCH(N2081,tblChannels[Channel ID],0)),0),"Watched","Unwatched"))</f>
        <v/>
      </c>
      <c r="C2081" s="40" t="n"/>
      <c r="D2081" s="41" t="n"/>
      <c r="E2081" s="42" t="n">
        <v>43315.46736111111</v>
      </c>
      <c r="F2081" s="52" t="inlineStr">
        <is>
          <t>Super Carlin Gaming</t>
        </is>
      </c>
      <c r="G2081" t="inlineStr">
        <is>
          <t>Do the Hard Thing | Rocket League #36</t>
        </is>
      </c>
      <c r="H2081" s="44" t="n">
        <v>0.01572916666666667</v>
      </c>
      <c r="I2081" s="45" t="n">
        <v>5218</v>
      </c>
      <c r="J2081" s="45" t="n">
        <v>465</v>
      </c>
      <c r="K2081" s="45" t="n">
        <v>87</v>
      </c>
      <c r="L2081" s="46" t="n"/>
      <c r="M2081" s="47" t="n"/>
      <c r="N2081" s="47" t="inlineStr">
        <is>
          <t>UCor_9jRnNNZVzTuQ92PKsaQ</t>
        </is>
      </c>
      <c r="O2081" s="48" t="n">
        <v>43315.63402777778</v>
      </c>
      <c r="P2081" s="49" t="n">
        <v>43315</v>
      </c>
      <c r="Q2081" s="47" t="n">
        <v>1187</v>
      </c>
      <c r="R2081" s="47" t="inlineStr">
        <is>
          <t>No Video ID yet</t>
        </is>
      </c>
      <c r="S2081" s="49" t="n"/>
      <c r="T2081" s="49" t="n"/>
      <c r="U2081" s="47" t="n"/>
      <c r="V2081" s="47">
        <f>IF(AND(P2081&gt;=Calendar!$K$2,P2081&lt;EDATE(Calendar!$K$2,1),OR(Calendar!$K$4="*",N2081=Calendar!$K$4)),P2081*100+COUNTIFS($P$6:$P$3267,P2081,$Q$6:$Q$3267,"&lt;="&amp;Q2081,$N$6:$N$3267,Calendar!$K$4),"")</f>
        <v/>
      </c>
      <c r="W2081" s="47">
        <f>IF(AND(B2081=Queue!$C$4,OR(Queue!$K$4="*",N2081=Queue!$K$4)),Q2081,"")</f>
        <v/>
      </c>
    </row>
    <row r="2082">
      <c r="A2082" s="38">
        <f>IF(M2082="","",HYPERLINK("https://www.youtube.com/watch?v="&amp;M2082,"▶"))</f>
        <v/>
      </c>
      <c r="B2082" s="39">
        <f>IF(C2082&lt;&gt;"",C2082,IF(P2082&lt;=IFERROR(INDEX(tblChannels[Watched Through],MATCH(N2082,tblChannels[Channel ID],0)),0),"Watched","Unwatched"))</f>
        <v/>
      </c>
      <c r="C2082" s="40" t="n"/>
      <c r="D2082" s="41" t="n"/>
      <c r="E2082" s="42" t="n">
        <v>43314.63888888889</v>
      </c>
      <c r="F2082" s="50" t="inlineStr">
        <is>
          <t>Super Carlin Brothers</t>
        </is>
      </c>
      <c r="G2082" t="inlineStr">
        <is>
          <t>J vs Ben: HARDEST Battle of Hogwarts Quiz EVER</t>
        </is>
      </c>
      <c r="H2082" s="44" t="n">
        <v>0.0172337962962963</v>
      </c>
      <c r="I2082" s="45" t="n">
        <v>808895</v>
      </c>
      <c r="J2082" s="45" t="n">
        <v>17807</v>
      </c>
      <c r="K2082" s="45" t="n">
        <v>2684</v>
      </c>
      <c r="L2082" s="46" t="n"/>
      <c r="M2082" s="47" t="n"/>
      <c r="N2082" s="47" t="inlineStr">
        <is>
          <t>UCKZo4N0lVPccBkSiuyVh4yg</t>
        </is>
      </c>
      <c r="O2082" s="48" t="n">
        <v>43314.80555555555</v>
      </c>
      <c r="P2082" s="49" t="n">
        <v>43314</v>
      </c>
      <c r="Q2082" s="47" t="n">
        <v>1186</v>
      </c>
      <c r="R2082" s="47" t="inlineStr">
        <is>
          <t>No Video ID yet</t>
        </is>
      </c>
      <c r="S2082" s="49" t="n"/>
      <c r="T2082" s="49" t="n"/>
      <c r="U2082" s="47" t="inlineStr">
        <is>
          <t>Play along with us! :: This one is a doozy! J and Ben face off in todays episode tackling some of the most specific trivia from the Battle of Hogwarts Pottermore Quiz.</t>
        </is>
      </c>
      <c r="V2082" s="47">
        <f>IF(AND(P2082&gt;=Calendar!$K$2,P2082&lt;EDATE(Calendar!$K$2,1),OR(Calendar!$K$4="*",N2082=Calendar!$K$4)),P2082*100+COUNTIFS($P$6:$P$3267,P2082,$Q$6:$Q$3267,"&lt;="&amp;Q2082,$N$6:$N$3267,Calendar!$K$4),"")</f>
        <v/>
      </c>
      <c r="W2082" s="47">
        <f>IF(AND(B2082=Queue!$C$4,OR(Queue!$K$4="*",N2082=Queue!$K$4)),Q2082,"")</f>
        <v/>
      </c>
    </row>
    <row r="2083">
      <c r="A2083" s="38">
        <f>IF(M2083="","",HYPERLINK("https://www.youtube.com/watch?v="&amp;M2083,"▶"))</f>
        <v/>
      </c>
      <c r="B2083" s="39">
        <f>IF(C2083&lt;&gt;"",C2083,IF(P2083&lt;=IFERROR(INDEX(tblChannels[Watched Through],MATCH(N2083,tblChannels[Channel ID],0)),0),"Watched","Unwatched"))</f>
        <v/>
      </c>
      <c r="C2083" s="40" t="n"/>
      <c r="D2083" s="41" t="n"/>
      <c r="E2083" s="42" t="n">
        <v>43314.01666666667</v>
      </c>
      <c r="F2083" s="52" t="inlineStr">
        <is>
          <t>Super Carlin Gaming</t>
        </is>
      </c>
      <c r="G2083" t="inlineStr">
        <is>
          <t>LIVE! Sims 4 - Maul's Lair Grows!</t>
        </is>
      </c>
      <c r="H2083" s="44" t="n">
        <v>0.08833333333333333</v>
      </c>
      <c r="I2083" s="45" t="n">
        <v>5851</v>
      </c>
      <c r="J2083" s="45" t="n">
        <v>199</v>
      </c>
      <c r="K2083" s="45" t="n">
        <v>13</v>
      </c>
      <c r="L2083" s="46" t="n"/>
      <c r="M2083" s="47" t="n"/>
      <c r="N2083" s="47" t="inlineStr">
        <is>
          <t>UCor_9jRnNNZVzTuQ92PKsaQ</t>
        </is>
      </c>
      <c r="O2083" s="48" t="n">
        <v>43314.18333333333</v>
      </c>
      <c r="P2083" s="49" t="n">
        <v>43314</v>
      </c>
      <c r="Q2083" s="47" t="n">
        <v>1185</v>
      </c>
      <c r="R2083" s="47" t="inlineStr">
        <is>
          <t>No Video ID yet</t>
        </is>
      </c>
      <c r="S2083" s="49" t="n"/>
      <c r="T2083" s="49" t="n"/>
      <c r="U2083" s="47" t="inlineStr">
        <is>
          <t>Support the stream: Just livin that crazy Sim Life... with a Sith Lord. Join The Discord! J on twitter: Ben on Twitter: DK STREAMS ON TWITCH: Jordan on YOUTUBE:</t>
        </is>
      </c>
      <c r="V2083" s="47">
        <f>IF(AND(P2083&gt;=Calendar!$K$2,P2083&lt;EDATE(Calendar!$K$2,1),OR(Calendar!$K$4="*",N2083=Calendar!$K$4)),P2083*100+COUNTIFS($P$6:$P$3267,P2083,$Q$6:$Q$3267,"&lt;="&amp;Q2083,$N$6:$N$3267,Calendar!$K$4),"")</f>
        <v/>
      </c>
      <c r="W2083" s="47">
        <f>IF(AND(B2083=Queue!$C$4,OR(Queue!$K$4="*",N2083=Queue!$K$4)),Q2083,"")</f>
        <v/>
      </c>
    </row>
    <row r="2084">
      <c r="A2084" s="38">
        <f>IF(M2084="","",HYPERLINK("https://www.youtube.com/watch?v="&amp;M2084,"▶"))</f>
        <v/>
      </c>
      <c r="B2084" s="39">
        <f>IF(C2084&lt;&gt;"",C2084,IF(P2084&lt;=IFERROR(INDEX(tblChannels[Watched Through],MATCH(N2084,tblChannels[Channel ID],0)),0),"Watched","Unwatched"))</f>
        <v/>
      </c>
      <c r="C2084" s="40" t="n"/>
      <c r="D2084" s="41" t="n"/>
      <c r="E2084" s="42" t="n">
        <v>43313.50486111111</v>
      </c>
      <c r="F2084" s="52" t="inlineStr">
        <is>
          <t>Super Carlin Gaming</t>
        </is>
      </c>
      <c r="G2084" t="inlineStr">
        <is>
          <t>Puppy Cuddles | Rocket League #35</t>
        </is>
      </c>
      <c r="H2084" s="44" t="n">
        <v>0.01324074074074074</v>
      </c>
      <c r="I2084" s="45" t="n">
        <v>5787</v>
      </c>
      <c r="J2084" s="45" t="n">
        <v>331</v>
      </c>
      <c r="K2084" s="45" t="n">
        <v>55</v>
      </c>
      <c r="L2084" s="46" t="n"/>
      <c r="M2084" s="47" t="n"/>
      <c r="N2084" s="47" t="inlineStr">
        <is>
          <t>UCor_9jRnNNZVzTuQ92PKsaQ</t>
        </is>
      </c>
      <c r="O2084" s="48" t="n">
        <v>43313.67152777778</v>
      </c>
      <c r="P2084" s="49" t="n">
        <v>43313</v>
      </c>
      <c r="Q2084" s="47" t="n">
        <v>1184</v>
      </c>
      <c r="R2084" s="47" t="inlineStr">
        <is>
          <t>No Video ID yet</t>
        </is>
      </c>
      <c r="S2084" s="49" t="n"/>
      <c r="T2084" s="49" t="n"/>
      <c r="U2084" s="47" t="inlineStr">
        <is>
          <t>J, Ben, &amp; DK and Team Skywater enter the Rocket League Coliseum and try and win their way to the league championship!</t>
        </is>
      </c>
      <c r="V2084" s="47">
        <f>IF(AND(P2084&gt;=Calendar!$K$2,P2084&lt;EDATE(Calendar!$K$2,1),OR(Calendar!$K$4="*",N2084=Calendar!$K$4)),P2084*100+COUNTIFS($P$6:$P$3267,P2084,$Q$6:$Q$3267,"&lt;="&amp;Q2084,$N$6:$N$3267,Calendar!$K$4),"")</f>
        <v/>
      </c>
      <c r="W2084" s="47">
        <f>IF(AND(B2084=Queue!$C$4,OR(Queue!$K$4="*",N2084=Queue!$K$4)),Q2084,"")</f>
        <v/>
      </c>
    </row>
    <row r="2085">
      <c r="A2085" s="38">
        <f>IF(M2085="","",HYPERLINK("https://www.youtube.com/watch?v="&amp;M2085,"▶"))</f>
        <v/>
      </c>
      <c r="B2085" s="39">
        <f>IF(C2085&lt;&gt;"",C2085,IF(P2085&lt;=IFERROR(INDEX(tblChannels[Watched Through],MATCH(N2085,tblChannels[Channel ID],0)),0),"Watched","Unwatched"))</f>
        <v/>
      </c>
      <c r="C2085" s="40" t="n"/>
      <c r="D2085" s="41" t="n"/>
      <c r="E2085" s="42" t="n">
        <v>43312.68611111111</v>
      </c>
      <c r="F2085" s="50" t="inlineStr">
        <is>
          <t>Super Carlin Brothers</t>
        </is>
      </c>
      <c r="G2085" t="inlineStr">
        <is>
          <t>Harry Potter Theory: Kowalski Is A Descendant Of Helga Hufflepuff</t>
        </is>
      </c>
      <c r="H2085" s="44" t="n">
        <v>0.007800925925925926</v>
      </c>
      <c r="I2085" s="45" t="n">
        <v>1272173</v>
      </c>
      <c r="J2085" s="45" t="n">
        <v>38298</v>
      </c>
      <c r="K2085" s="45" t="n">
        <v>5096</v>
      </c>
      <c r="L2085" s="46" t="n"/>
      <c r="M2085" s="47" t="n"/>
      <c r="N2085" s="47" t="inlineStr">
        <is>
          <t>UCKZo4N0lVPccBkSiuyVh4yg</t>
        </is>
      </c>
      <c r="O2085" s="48" t="n">
        <v>43312.85277777778</v>
      </c>
      <c r="P2085" s="49" t="n">
        <v>43312</v>
      </c>
      <c r="Q2085" s="47" t="n">
        <v>1183</v>
      </c>
      <c r="R2085" s="47" t="inlineStr">
        <is>
          <t>No Video ID yet</t>
        </is>
      </c>
      <c r="S2085" s="49" t="n"/>
      <c r="T2085" s="49" t="n"/>
      <c r="U2085" s="47" t="inlineStr">
        <is>
          <t>PREORDER Lions, Snakes, Eagles and Cakes SHIRT :: Get 10% off if you order in the first 7 days! Today J dives into the Wizarding World of Harry Potter to reveal why Hufflepuff’s mascot is a badger AND more importantly determing if Jacob Kowalski from Fantastic Beasts and Where To Find Them is a descendant of Hogwarts founder Helga Hufflepuff.</t>
        </is>
      </c>
      <c r="V2085" s="47">
        <f>IF(AND(P2085&gt;=Calendar!$K$2,P2085&lt;EDATE(Calendar!$K$2,1),OR(Calendar!$K$4="*",N2085=Calendar!$K$4)),P2085*100+COUNTIFS($P$6:$P$3267,P2085,$Q$6:$Q$3267,"&lt;="&amp;Q2085,$N$6:$N$3267,Calendar!$K$4),"")</f>
        <v/>
      </c>
      <c r="W2085" s="47">
        <f>IF(AND(B2085=Queue!$C$4,OR(Queue!$K$4="*",N2085=Queue!$K$4)),Q2085,"")</f>
        <v/>
      </c>
    </row>
    <row r="2086">
      <c r="A2086" s="38">
        <f>IF(M2086="","",HYPERLINK("https://www.youtube.com/watch?v="&amp;M2086,"▶"))</f>
        <v/>
      </c>
      <c r="B2086" s="39">
        <f>IF(C2086&lt;&gt;"",C2086,IF(P2086&lt;=IFERROR(INDEX(tblChannels[Watched Through],MATCH(N2086,tblChannels[Channel ID],0)),0),"Watched","Unwatched"))</f>
        <v/>
      </c>
      <c r="C2086" s="40" t="n"/>
      <c r="D2086" s="41" t="n"/>
      <c r="E2086" s="42" t="n">
        <v>43311.58125</v>
      </c>
      <c r="F2086" s="52" t="inlineStr">
        <is>
          <t>Super Carlin Gaming</t>
        </is>
      </c>
      <c r="G2086" t="inlineStr">
        <is>
          <t>Can't Drive Boats on Land | Rocket League #34</t>
        </is>
      </c>
      <c r="H2086" s="44" t="n">
        <v>0.01342592592592593</v>
      </c>
      <c r="I2086" s="45" t="n">
        <v>4891</v>
      </c>
      <c r="J2086" s="45" t="n">
        <v>252</v>
      </c>
      <c r="K2086" s="45" t="n">
        <v>73</v>
      </c>
      <c r="L2086" s="46" t="n"/>
      <c r="M2086" s="47" t="n"/>
      <c r="N2086" s="47" t="inlineStr">
        <is>
          <t>UCor_9jRnNNZVzTuQ92PKsaQ</t>
        </is>
      </c>
      <c r="O2086" s="48" t="n">
        <v>43311.74791666667</v>
      </c>
      <c r="P2086" s="49" t="n">
        <v>43311</v>
      </c>
      <c r="Q2086" s="47" t="n">
        <v>1182</v>
      </c>
      <c r="R2086" s="47" t="inlineStr">
        <is>
          <t>No Video ID yet</t>
        </is>
      </c>
      <c r="S2086" s="49" t="n"/>
      <c r="T2086" s="49" t="n"/>
      <c r="U2086" s="47" t="n"/>
      <c r="V2086" s="47">
        <f>IF(AND(P2086&gt;=Calendar!$K$2,P2086&lt;EDATE(Calendar!$K$2,1),OR(Calendar!$K$4="*",N2086=Calendar!$K$4)),P2086*100+COUNTIFS($P$6:$P$3267,P2086,$Q$6:$Q$3267,"&lt;="&amp;Q2086,$N$6:$N$3267,Calendar!$K$4),"")</f>
        <v/>
      </c>
      <c r="W2086" s="47">
        <f>IF(AND(B2086=Queue!$C$4,OR(Queue!$K$4="*",N2086=Queue!$K$4)),Q2086,"")</f>
        <v/>
      </c>
    </row>
    <row r="2087">
      <c r="A2087" s="38">
        <f>IF(M2087="","",HYPERLINK("https://www.youtube.com/watch?v="&amp;M2087,"▶"))</f>
        <v/>
      </c>
      <c r="B2087" s="39">
        <f>IF(C2087&lt;&gt;"",C2087,IF(P2087&lt;=IFERROR(INDEX(tblChannels[Watched Through],MATCH(N2087,tblChannels[Channel ID],0)),0),"Watched","Unwatched"))</f>
        <v/>
      </c>
      <c r="C2087" s="40" t="n"/>
      <c r="D2087" s="41" t="n"/>
      <c r="E2087" s="42" t="n">
        <v>43311.50833333333</v>
      </c>
      <c r="F2087" s="53" t="inlineStr">
        <is>
          <t>Jonathan Carlin</t>
        </is>
      </c>
      <c r="G2087" t="inlineStr">
        <is>
          <t>BETH AND LUKE GO TO NEW YORK</t>
        </is>
      </c>
      <c r="H2087" s="44" t="n">
        <v>0.006527777777777778</v>
      </c>
      <c r="I2087" s="45" t="n">
        <v>30512</v>
      </c>
      <c r="J2087" s="45" t="n">
        <v>1500</v>
      </c>
      <c r="K2087" s="45" t="n">
        <v>166</v>
      </c>
      <c r="L2087" s="46" t="n"/>
      <c r="M2087" s="47" t="n"/>
      <c r="N2087" s="47" t="inlineStr">
        <is>
          <t>UCYPKFe86e6nm4TVUYKLsFUQ</t>
        </is>
      </c>
      <c r="O2087" s="48" t="n">
        <v>43311.675</v>
      </c>
      <c r="P2087" s="49" t="n">
        <v>43311</v>
      </c>
      <c r="Q2087" s="47" t="n">
        <v>1181</v>
      </c>
      <c r="R2087" s="47" t="inlineStr">
        <is>
          <t>No Video ID yet</t>
        </is>
      </c>
      <c r="S2087" s="49" t="n"/>
      <c r="T2087" s="49" t="n"/>
      <c r="U2087" s="47" t="inlineStr">
        <is>
          <t>Stainless Steel Straws :: This week we celebrate the 4th of July and then Beth and Luke head to NY for a graduation party while J stays home and gets some sleep!</t>
        </is>
      </c>
      <c r="V2087" s="47">
        <f>IF(AND(P2087&gt;=Calendar!$K$2,P2087&lt;EDATE(Calendar!$K$2,1),OR(Calendar!$K$4="*",N2087=Calendar!$K$4)),P2087*100+COUNTIFS($P$6:$P$3267,P2087,$Q$6:$Q$3267,"&lt;="&amp;Q2087,$N$6:$N$3267,Calendar!$K$4),"")</f>
        <v/>
      </c>
      <c r="W2087" s="47">
        <f>IF(AND(B2087=Queue!$C$4,OR(Queue!$K$4="*",N2087=Queue!$K$4)),Q2087,"")</f>
        <v/>
      </c>
    </row>
    <row r="2088">
      <c r="A2088" s="38">
        <f>IF(M2088="","",HYPERLINK("https://www.youtube.com/watch?v="&amp;M2088,"▶"))</f>
        <v/>
      </c>
      <c r="B2088" s="39">
        <f>IF(C2088&lt;&gt;"",C2088,IF(P2088&lt;=IFERROR(INDEX(tblChannels[Watched Through],MATCH(N2088,tblChannels[Channel ID],0)),0),"Watched","Unwatched"))</f>
        <v/>
      </c>
      <c r="C2088" s="40" t="n"/>
      <c r="D2088" s="41" t="n"/>
      <c r="E2088" s="42" t="n">
        <v>43308.52222222222</v>
      </c>
      <c r="F2088" s="52" t="inlineStr">
        <is>
          <t>Super Carlin Gaming</t>
        </is>
      </c>
      <c r="G2088" t="inlineStr">
        <is>
          <t>Clogging Our Way Back Up | Rocket League #33</t>
        </is>
      </c>
      <c r="H2088" s="44" t="n">
        <v>0.01737268518518519</v>
      </c>
      <c r="I2088" s="45" t="n">
        <v>4997</v>
      </c>
      <c r="J2088" s="45" t="n">
        <v>244</v>
      </c>
      <c r="K2088" s="45" t="n">
        <v>67</v>
      </c>
      <c r="L2088" s="46" t="n"/>
      <c r="M2088" s="47" t="n"/>
      <c r="N2088" s="47" t="inlineStr">
        <is>
          <t>UCor_9jRnNNZVzTuQ92PKsaQ</t>
        </is>
      </c>
      <c r="O2088" s="48" t="n">
        <v>43308.68888888889</v>
      </c>
      <c r="P2088" s="49" t="n">
        <v>43308</v>
      </c>
      <c r="Q2088" s="47" t="n">
        <v>1180</v>
      </c>
      <c r="R2088" s="47" t="inlineStr">
        <is>
          <t>No Video ID yet</t>
        </is>
      </c>
      <c r="S2088" s="49" t="n"/>
      <c r="T2088" s="49" t="n"/>
      <c r="U2088" s="47" t="inlineStr">
        <is>
          <t>Sierra's Channel:</t>
        </is>
      </c>
      <c r="V2088" s="47">
        <f>IF(AND(P2088&gt;=Calendar!$K$2,P2088&lt;EDATE(Calendar!$K$2,1),OR(Calendar!$K$4="*",N2088=Calendar!$K$4)),P2088*100+COUNTIFS($P$6:$P$3267,P2088,$Q$6:$Q$3267,"&lt;="&amp;Q2088,$N$6:$N$3267,Calendar!$K$4),"")</f>
        <v/>
      </c>
      <c r="W2088" s="47">
        <f>IF(AND(B2088=Queue!$C$4,OR(Queue!$K$4="*",N2088=Queue!$K$4)),Q2088,"")</f>
        <v/>
      </c>
    </row>
    <row r="2089">
      <c r="A2089" s="38">
        <f>IF(M2089="","",HYPERLINK("https://www.youtube.com/watch?v="&amp;M2089,"▶"))</f>
        <v/>
      </c>
      <c r="B2089" s="39">
        <f>IF(C2089&lt;&gt;"",C2089,IF(P2089&lt;=IFERROR(INDEX(tblChannels[Watched Through],MATCH(N2089,tblChannels[Channel ID],0)),0),"Watched","Unwatched"))</f>
        <v/>
      </c>
      <c r="C2089" s="40" t="n"/>
      <c r="D2089" s="41" t="n"/>
      <c r="E2089" s="42" t="n">
        <v>43307.67916666667</v>
      </c>
      <c r="F2089" s="50" t="inlineStr">
        <is>
          <t>Super Carlin Brothers</t>
        </is>
      </c>
      <c r="G2089" t="inlineStr">
        <is>
          <t>J vs Ben: Blind PIXAR Drawing Challenge</t>
        </is>
      </c>
      <c r="H2089" s="44" t="n">
        <v>0.00974537037037037</v>
      </c>
      <c r="I2089" s="45" t="n">
        <v>330800</v>
      </c>
      <c r="J2089" s="45" t="n">
        <v>11558</v>
      </c>
      <c r="K2089" s="45" t="n">
        <v>1218</v>
      </c>
      <c r="L2089" s="46" t="n"/>
      <c r="M2089" s="47" t="n"/>
      <c r="N2089" s="47" t="inlineStr">
        <is>
          <t>UCKZo4N0lVPccBkSiuyVh4yg</t>
        </is>
      </c>
      <c r="O2089" s="48" t="n">
        <v>43307.84583333333</v>
      </c>
      <c r="P2089" s="49" t="n">
        <v>43307</v>
      </c>
      <c r="Q2089" s="47" t="n">
        <v>1179</v>
      </c>
      <c r="R2089" s="47" t="inlineStr">
        <is>
          <t>No Video ID yet</t>
        </is>
      </c>
      <c r="S2089" s="49" t="n"/>
      <c r="T2089" s="49" t="n"/>
      <c r="U2089" s="47" t="inlineStr">
        <is>
          <t>Today J and Ben throw on some blindfolds.. or well an Iron Man mask and try to draw and guess different Pixar characters so they can win an awesome prize!</t>
        </is>
      </c>
      <c r="V2089" s="47">
        <f>IF(AND(P2089&gt;=Calendar!$K$2,P2089&lt;EDATE(Calendar!$K$2,1),OR(Calendar!$K$4="*",N2089=Calendar!$K$4)),P2089*100+COUNTIFS($P$6:$P$3267,P2089,$Q$6:$Q$3267,"&lt;="&amp;Q2089,$N$6:$N$3267,Calendar!$K$4),"")</f>
        <v/>
      </c>
      <c r="W2089" s="47">
        <f>IF(AND(B2089=Queue!$C$4,OR(Queue!$K$4="*",N2089=Queue!$K$4)),Q2089,"")</f>
        <v/>
      </c>
    </row>
    <row r="2090">
      <c r="A2090" s="38">
        <f>IF(M2090="","",HYPERLINK("https://www.youtube.com/watch?v="&amp;M2090,"▶"))</f>
        <v/>
      </c>
      <c r="B2090" s="39">
        <f>IF(C2090&lt;&gt;"",C2090,IF(P2090&lt;=IFERROR(INDEX(tblChannels[Watched Through],MATCH(N2090,tblChannels[Channel ID],0)),0),"Watched","Unwatched"))</f>
        <v/>
      </c>
      <c r="C2090" s="40" t="n"/>
      <c r="D2090" s="41" t="n"/>
      <c r="E2090" s="42" t="n">
        <v>43306.75625</v>
      </c>
      <c r="F2090" s="52" t="inlineStr">
        <is>
          <t>Super Carlin Gaming</t>
        </is>
      </c>
      <c r="G2090" t="inlineStr">
        <is>
          <t>LIVE - Shine Thief Returns!</t>
        </is>
      </c>
      <c r="H2090" s="44" t="n">
        <v>0.03729166666666667</v>
      </c>
      <c r="I2090" s="45" t="n">
        <v>5006</v>
      </c>
      <c r="J2090" s="45" t="n">
        <v>219</v>
      </c>
      <c r="K2090" s="45" t="n">
        <v>15</v>
      </c>
      <c r="L2090" s="46" t="n"/>
      <c r="M2090" s="47" t="n"/>
      <c r="N2090" s="47" t="inlineStr">
        <is>
          <t>UCor_9jRnNNZVzTuQ92PKsaQ</t>
        </is>
      </c>
      <c r="O2090" s="48" t="n">
        <v>43306.92291666667</v>
      </c>
      <c r="P2090" s="49" t="n">
        <v>43306</v>
      </c>
      <c r="Q2090" s="47" t="n">
        <v>1178</v>
      </c>
      <c r="R2090" s="47" t="inlineStr">
        <is>
          <t>No Video ID yet</t>
        </is>
      </c>
      <c r="S2090" s="49" t="n"/>
      <c r="T2090" s="49" t="n"/>
      <c r="U2090" s="47" t="inlineStr">
        <is>
          <t>Support the stream: The craziness returns! Today we introduce Jordan to the best Mario Kart Battle style there is! SHINE THIEF! Join The Discord! J on twitter: Ben on Twitter: DK STREAMS ON TWITCH: Jordan on YOUTUBE:</t>
        </is>
      </c>
      <c r="V2090" s="47">
        <f>IF(AND(P2090&gt;=Calendar!$K$2,P2090&lt;EDATE(Calendar!$K$2,1),OR(Calendar!$K$4="*",N2090=Calendar!$K$4)),P2090*100+COUNTIFS($P$6:$P$3267,P2090,$Q$6:$Q$3267,"&lt;="&amp;Q2090,$N$6:$N$3267,Calendar!$K$4),"")</f>
        <v/>
      </c>
      <c r="W2090" s="47">
        <f>IF(AND(B2090=Queue!$C$4,OR(Queue!$K$4="*",N2090=Queue!$K$4)),Q2090,"")</f>
        <v/>
      </c>
    </row>
    <row r="2091">
      <c r="A2091" s="38">
        <f>IF(M2091="","",HYPERLINK("https://www.youtube.com/watch?v="&amp;M2091,"▶"))</f>
        <v/>
      </c>
      <c r="B2091" s="39">
        <f>IF(C2091&lt;&gt;"",C2091,IF(P2091&lt;=IFERROR(INDEX(tblChannels[Watched Through],MATCH(N2091,tblChannels[Channel ID],0)),0),"Watched","Unwatched"))</f>
        <v/>
      </c>
      <c r="C2091" s="40" t="n"/>
      <c r="D2091" s="41" t="n"/>
      <c r="E2091" s="42" t="n">
        <v>43306.50138888889</v>
      </c>
      <c r="F2091" s="52" t="inlineStr">
        <is>
          <t>Super Carlin Gaming</t>
        </is>
      </c>
      <c r="G2091" t="inlineStr">
        <is>
          <t>The Awful Nutmeg | Rocket League #32</t>
        </is>
      </c>
      <c r="H2091" s="44" t="n">
        <v>0.0118287037037037</v>
      </c>
      <c r="I2091" s="45" t="n">
        <v>4819</v>
      </c>
      <c r="J2091" s="45" t="n">
        <v>214</v>
      </c>
      <c r="K2091" s="45" t="n">
        <v>34</v>
      </c>
      <c r="L2091" s="46" t="n"/>
      <c r="M2091" s="47" t="n"/>
      <c r="N2091" s="47" t="inlineStr">
        <is>
          <t>UCor_9jRnNNZVzTuQ92PKsaQ</t>
        </is>
      </c>
      <c r="O2091" s="48" t="n">
        <v>43306.66805555556</v>
      </c>
      <c r="P2091" s="49" t="n">
        <v>43306</v>
      </c>
      <c r="Q2091" s="47" t="n">
        <v>1177</v>
      </c>
      <c r="R2091" s="47" t="inlineStr">
        <is>
          <t>No Video ID yet</t>
        </is>
      </c>
      <c r="S2091" s="49" t="n"/>
      <c r="T2091" s="49" t="n"/>
      <c r="U2091" s="47" t="n"/>
      <c r="V2091" s="47">
        <f>IF(AND(P2091&gt;=Calendar!$K$2,P2091&lt;EDATE(Calendar!$K$2,1),OR(Calendar!$K$4="*",N2091=Calendar!$K$4)),P2091*100+COUNTIFS($P$6:$P$3267,P2091,$Q$6:$Q$3267,"&lt;="&amp;Q2091,$N$6:$N$3267,Calendar!$K$4),"")</f>
        <v/>
      </c>
      <c r="W2091" s="47">
        <f>IF(AND(B2091=Queue!$C$4,OR(Queue!$K$4="*",N2091=Queue!$K$4)),Q2091,"")</f>
        <v/>
      </c>
    </row>
    <row r="2092">
      <c r="A2092" s="38">
        <f>IF(M2092="","",HYPERLINK("https://www.youtube.com/watch?v="&amp;M2092,"▶"))</f>
        <v/>
      </c>
      <c r="B2092" s="39">
        <f>IF(C2092&lt;&gt;"",C2092,IF(P2092&lt;=IFERROR(INDEX(tblChannels[Watched Through],MATCH(N2092,tblChannels[Channel ID],0)),0),"Watched","Unwatched"))</f>
        <v/>
      </c>
      <c r="C2092" s="40" t="n"/>
      <c r="D2092" s="41" t="n"/>
      <c r="E2092" s="42" t="n">
        <v>43305.78263888889</v>
      </c>
      <c r="F2092" s="50" t="inlineStr">
        <is>
          <t>Super Carlin Brothers</t>
        </is>
      </c>
      <c r="G2092" t="inlineStr">
        <is>
          <t>Why Newt Is SO Important | Crimes of Grindelwald Trailer 2 Review</t>
        </is>
      </c>
      <c r="H2092" s="44" t="n">
        <v>0.00787037037037037</v>
      </c>
      <c r="I2092" s="45" t="n">
        <v>974312</v>
      </c>
      <c r="J2092" s="45" t="n">
        <v>24162</v>
      </c>
      <c r="K2092" s="45" t="n">
        <v>2792</v>
      </c>
      <c r="L2092" s="46" t="n"/>
      <c r="M2092" s="47" t="n"/>
      <c r="N2092" s="47" t="inlineStr">
        <is>
          <t>UCKZo4N0lVPccBkSiuyVh4yg</t>
        </is>
      </c>
      <c r="O2092" s="48" t="n">
        <v>43305.94930555556</v>
      </c>
      <c r="P2092" s="49" t="n">
        <v>43305</v>
      </c>
      <c r="Q2092" s="47" t="n">
        <v>1176</v>
      </c>
      <c r="R2092" s="47" t="inlineStr">
        <is>
          <t>No Video ID yet</t>
        </is>
      </c>
      <c r="S2092" s="49" t="n"/>
      <c r="T2092" s="49" t="n"/>
      <c r="U2092" s="47" t="inlineStr">
        <is>
          <t>We LOVE Fantastic Beasts and the new trailer looks amazing and required SO much analysis! The biggest question I think we get the answer to is why Newt is just SO important.</t>
        </is>
      </c>
      <c r="V2092" s="47">
        <f>IF(AND(P2092&gt;=Calendar!$K$2,P2092&lt;EDATE(Calendar!$K$2,1),OR(Calendar!$K$4="*",N2092=Calendar!$K$4)),P2092*100+COUNTIFS($P$6:$P$3267,P2092,$Q$6:$Q$3267,"&lt;="&amp;Q2092,$N$6:$N$3267,Calendar!$K$4),"")</f>
        <v/>
      </c>
      <c r="W2092" s="47">
        <f>IF(AND(B2092=Queue!$C$4,OR(Queue!$K$4="*",N2092=Queue!$K$4)),Q2092,"")</f>
        <v/>
      </c>
    </row>
    <row r="2093">
      <c r="A2093" s="38">
        <f>IF(M2093="","",HYPERLINK("https://www.youtube.com/watch?v="&amp;M2093,"▶"))</f>
        <v/>
      </c>
      <c r="B2093" s="39">
        <f>IF(C2093&lt;&gt;"",C2093,IF(P2093&lt;=IFERROR(INDEX(tblChannels[Watched Through],MATCH(N2093,tblChannels[Channel ID],0)),0),"Watched","Unwatched"))</f>
        <v/>
      </c>
      <c r="C2093" s="40" t="n"/>
      <c r="D2093" s="41" t="n"/>
      <c r="E2093" s="42" t="n">
        <v>43304.45972222222</v>
      </c>
      <c r="F2093" s="52" t="inlineStr">
        <is>
          <t>Super Carlin Gaming</t>
        </is>
      </c>
      <c r="G2093" t="inlineStr">
        <is>
          <t>Ben, the Secret Villain | Rocket League #31</t>
        </is>
      </c>
      <c r="H2093" s="44" t="n">
        <v>0.01211805555555556</v>
      </c>
      <c r="I2093" s="45" t="n">
        <v>5266</v>
      </c>
      <c r="J2093" s="45" t="n">
        <v>253</v>
      </c>
      <c r="K2093" s="45" t="n">
        <v>51</v>
      </c>
      <c r="L2093" s="46" t="n"/>
      <c r="M2093" s="47" t="n"/>
      <c r="N2093" s="47" t="inlineStr">
        <is>
          <t>UCor_9jRnNNZVzTuQ92PKsaQ</t>
        </is>
      </c>
      <c r="O2093" s="48" t="n">
        <v>43304.62638888889</v>
      </c>
      <c r="P2093" s="49" t="n">
        <v>43304</v>
      </c>
      <c r="Q2093" s="47" t="n">
        <v>1175</v>
      </c>
      <c r="R2093" s="47" t="inlineStr">
        <is>
          <t>No Video ID yet</t>
        </is>
      </c>
      <c r="S2093" s="49" t="n"/>
      <c r="T2093" s="49" t="n"/>
      <c r="U2093" s="47" t="n"/>
      <c r="V2093" s="47">
        <f>IF(AND(P2093&gt;=Calendar!$K$2,P2093&lt;EDATE(Calendar!$K$2,1),OR(Calendar!$K$4="*",N2093=Calendar!$K$4)),P2093*100+COUNTIFS($P$6:$P$3267,P2093,$Q$6:$Q$3267,"&lt;="&amp;Q2093,$N$6:$N$3267,Calendar!$K$4),"")</f>
        <v/>
      </c>
      <c r="W2093" s="47">
        <f>IF(AND(B2093=Queue!$C$4,OR(Queue!$K$4="*",N2093=Queue!$K$4)),Q2093,"")</f>
        <v/>
      </c>
    </row>
    <row r="2094">
      <c r="A2094" s="38">
        <f>IF(M2094="","",HYPERLINK("https://www.youtube.com/watch?v="&amp;M2094,"▶"))</f>
        <v/>
      </c>
      <c r="B2094" s="39">
        <f>IF(C2094&lt;&gt;"",C2094,IF(P2094&lt;=IFERROR(INDEX(tblChannels[Watched Through],MATCH(N2094,tblChannels[Channel ID],0)),0),"Watched","Unwatched"))</f>
        <v/>
      </c>
      <c r="C2094" s="40" t="n"/>
      <c r="D2094" s="41" t="n"/>
      <c r="E2094" s="42" t="n">
        <v>43304.42013888889</v>
      </c>
      <c r="F2094" s="53" t="inlineStr">
        <is>
          <t>Jonathan Carlin</t>
        </is>
      </c>
      <c r="G2094" t="inlineStr">
        <is>
          <t>LUKE GOES TO THE BEACH</t>
        </is>
      </c>
      <c r="H2094" s="44" t="n">
        <v>0.005972222222222223</v>
      </c>
      <c r="I2094" s="45" t="n">
        <v>39116</v>
      </c>
      <c r="J2094" s="45" t="n">
        <v>1970</v>
      </c>
      <c r="K2094" s="45" t="n">
        <v>0</v>
      </c>
      <c r="L2094" s="46" t="n"/>
      <c r="M2094" s="47" t="n"/>
      <c r="N2094" s="47" t="inlineStr">
        <is>
          <t>UCYPKFe86e6nm4TVUYKLsFUQ</t>
        </is>
      </c>
      <c r="O2094" s="48" t="n">
        <v>43304.58680555555</v>
      </c>
      <c r="P2094" s="49" t="n">
        <v>43304</v>
      </c>
      <c r="Q2094" s="47" t="n">
        <v>1174</v>
      </c>
      <c r="R2094" s="47" t="inlineStr">
        <is>
          <t>No Video ID yet</t>
        </is>
      </c>
      <c r="S2094" s="49" t="n"/>
      <c r="T2094" s="49" t="n"/>
      <c r="U2094" s="47" t="inlineStr">
        <is>
          <t>Back for barely an hour the Carlin family repacks and heads tp Holden Beach for a week of relaxation!</t>
        </is>
      </c>
      <c r="V2094" s="47">
        <f>IF(AND(P2094&gt;=Calendar!$K$2,P2094&lt;EDATE(Calendar!$K$2,1),OR(Calendar!$K$4="*",N2094=Calendar!$K$4)),P2094*100+COUNTIFS($P$6:$P$3267,P2094,$Q$6:$Q$3267,"&lt;="&amp;Q2094,$N$6:$N$3267,Calendar!$K$4),"")</f>
        <v/>
      </c>
      <c r="W2094" s="47">
        <f>IF(AND(B2094=Queue!$C$4,OR(Queue!$K$4="*",N2094=Queue!$K$4)),Q2094,"")</f>
        <v/>
      </c>
    </row>
    <row r="2095">
      <c r="A2095" s="38">
        <f>IF(M2095="","",HYPERLINK("https://www.youtube.com/watch?v="&amp;M2095,"▶"))</f>
        <v/>
      </c>
      <c r="B2095" s="39">
        <f>IF(C2095&lt;&gt;"",C2095,IF(P2095&lt;=IFERROR(INDEX(tblChannels[Watched Through],MATCH(N2095,tblChannels[Channel ID],0)),0),"Watched","Unwatched"))</f>
        <v/>
      </c>
      <c r="C2095" s="40" t="n"/>
      <c r="D2095" s="41" t="n"/>
      <c r="E2095" s="42" t="n">
        <v>43301.50555555556</v>
      </c>
      <c r="F2095" s="52" t="inlineStr">
        <is>
          <t>Super Carlin Gaming</t>
        </is>
      </c>
      <c r="G2095" t="inlineStr">
        <is>
          <t>DK-Sized Duck | Rocket League #30</t>
        </is>
      </c>
      <c r="H2095" s="44" t="n">
        <v>0.01094907407407407</v>
      </c>
      <c r="I2095" s="45" t="n">
        <v>5265</v>
      </c>
      <c r="J2095" s="45" t="n">
        <v>255</v>
      </c>
      <c r="K2095" s="45" t="n">
        <v>69</v>
      </c>
      <c r="L2095" s="46" t="n"/>
      <c r="M2095" s="47" t="n"/>
      <c r="N2095" s="47" t="inlineStr">
        <is>
          <t>UCor_9jRnNNZVzTuQ92PKsaQ</t>
        </is>
      </c>
      <c r="O2095" s="48" t="n">
        <v>43301.67222222222</v>
      </c>
      <c r="P2095" s="49" t="n">
        <v>43301</v>
      </c>
      <c r="Q2095" s="47" t="n">
        <v>1173</v>
      </c>
      <c r="R2095" s="47" t="inlineStr">
        <is>
          <t>No Video ID yet</t>
        </is>
      </c>
      <c r="S2095" s="49" t="n"/>
      <c r="T2095" s="49" t="n"/>
      <c r="U2095" s="47" t="n"/>
      <c r="V2095" s="47">
        <f>IF(AND(P2095&gt;=Calendar!$K$2,P2095&lt;EDATE(Calendar!$K$2,1),OR(Calendar!$K$4="*",N2095=Calendar!$K$4)),P2095*100+COUNTIFS($P$6:$P$3267,P2095,$Q$6:$Q$3267,"&lt;="&amp;Q2095,$N$6:$N$3267,Calendar!$K$4),"")</f>
        <v/>
      </c>
      <c r="W2095" s="47">
        <f>IF(AND(B2095=Queue!$C$4,OR(Queue!$K$4="*",N2095=Queue!$K$4)),Q2095,"")</f>
        <v/>
      </c>
    </row>
    <row r="2096">
      <c r="A2096" s="38">
        <f>IF(M2096="","",HYPERLINK("https://www.youtube.com/watch?v="&amp;M2096,"▶"))</f>
        <v/>
      </c>
      <c r="B2096" s="39">
        <f>IF(C2096&lt;&gt;"",C2096,IF(P2096&lt;=IFERROR(INDEX(tblChannels[Watched Through],MATCH(N2096,tblChannels[Channel ID],0)),0),"Watched","Unwatched"))</f>
        <v/>
      </c>
      <c r="C2096" s="40" t="n"/>
      <c r="D2096" s="41" t="n"/>
      <c r="E2096" s="42" t="n">
        <v>43300.70416666667</v>
      </c>
      <c r="F2096" s="50" t="inlineStr">
        <is>
          <t>Super Carlin Brothers</t>
        </is>
      </c>
      <c r="G2096" t="inlineStr">
        <is>
          <t>Is Ron Weasley Completely and Utterly Pointless?</t>
        </is>
      </c>
      <c r="H2096" s="44" t="n">
        <v>0.007175925925925926</v>
      </c>
      <c r="I2096" s="45" t="n">
        <v>1086562</v>
      </c>
      <c r="J2096" s="45" t="n">
        <v>29678</v>
      </c>
      <c r="K2096" s="45" t="n">
        <v>5332</v>
      </c>
      <c r="L2096" s="46" t="n"/>
      <c r="M2096" s="47" t="n"/>
      <c r="N2096" s="47" t="inlineStr">
        <is>
          <t>UCKZo4N0lVPccBkSiuyVh4yg</t>
        </is>
      </c>
      <c r="O2096" s="48" t="n">
        <v>43300.87083333333</v>
      </c>
      <c r="P2096" s="49" t="n">
        <v>43300</v>
      </c>
      <c r="Q2096" s="47" t="n">
        <v>1172</v>
      </c>
      <c r="R2096" s="47" t="inlineStr">
        <is>
          <t>No Video ID yet</t>
        </is>
      </c>
      <c r="S2096" s="49" t="n"/>
      <c r="T2096" s="49" t="n"/>
      <c r="U2096" s="47" t="inlineStr">
        <is>
          <t>It's more up for debate than you may think... But today Ben dissects Ron as a character and tries to determine whether or not he is even remotely helpful to the team. Nominate SCB for a Streamy!</t>
        </is>
      </c>
      <c r="V2096" s="47">
        <f>IF(AND(P2096&gt;=Calendar!$K$2,P2096&lt;EDATE(Calendar!$K$2,1),OR(Calendar!$K$4="*",N2096=Calendar!$K$4)),P2096*100+COUNTIFS($P$6:$P$3267,P2096,$Q$6:$Q$3267,"&lt;="&amp;Q2096,$N$6:$N$3267,Calendar!$K$4),"")</f>
        <v/>
      </c>
      <c r="W2096" s="47">
        <f>IF(AND(B2096=Queue!$C$4,OR(Queue!$K$4="*",N2096=Queue!$K$4)),Q2096,"")</f>
        <v/>
      </c>
    </row>
    <row r="2097">
      <c r="A2097" s="38">
        <f>IF(M2097="","",HYPERLINK("https://www.youtube.com/watch?v="&amp;M2097,"▶"))</f>
        <v/>
      </c>
      <c r="B2097" s="39">
        <f>IF(C2097&lt;&gt;"",C2097,IF(P2097&lt;=IFERROR(INDEX(tblChannels[Watched Through],MATCH(N2097,tblChannels[Channel ID],0)),0),"Watched","Unwatched"))</f>
        <v/>
      </c>
      <c r="C2097" s="40" t="n"/>
      <c r="D2097" s="41" t="n"/>
      <c r="E2097" s="42" t="n">
        <v>43299.45069444444</v>
      </c>
      <c r="F2097" s="52" t="inlineStr">
        <is>
          <t>Super Carlin Gaming</t>
        </is>
      </c>
      <c r="G2097" t="inlineStr">
        <is>
          <t>Don't Jinx It! | Rocket League #29</t>
        </is>
      </c>
      <c r="H2097" s="44" t="n">
        <v>0.01237268518518518</v>
      </c>
      <c r="I2097" s="45" t="n">
        <v>5349</v>
      </c>
      <c r="J2097" s="45" t="n">
        <v>253</v>
      </c>
      <c r="K2097" s="45" t="n">
        <v>60</v>
      </c>
      <c r="L2097" s="46" t="n"/>
      <c r="M2097" s="47" t="n"/>
      <c r="N2097" s="47" t="inlineStr">
        <is>
          <t>UCor_9jRnNNZVzTuQ92PKsaQ</t>
        </is>
      </c>
      <c r="O2097" s="48" t="n">
        <v>43299.61736111111</v>
      </c>
      <c r="P2097" s="49" t="n">
        <v>43299</v>
      </c>
      <c r="Q2097" s="47" t="n">
        <v>1171</v>
      </c>
      <c r="R2097" s="47" t="inlineStr">
        <is>
          <t>No Video ID yet</t>
        </is>
      </c>
      <c r="S2097" s="49" t="n"/>
      <c r="T2097" s="49" t="n"/>
      <c r="U2097" s="47" t="n"/>
      <c r="V2097" s="47">
        <f>IF(AND(P2097&gt;=Calendar!$K$2,P2097&lt;EDATE(Calendar!$K$2,1),OR(Calendar!$K$4="*",N2097=Calendar!$K$4)),P2097*100+COUNTIFS($P$6:$P$3267,P2097,$Q$6:$Q$3267,"&lt;="&amp;Q2097,$N$6:$N$3267,Calendar!$K$4),"")</f>
        <v/>
      </c>
      <c r="W2097" s="47">
        <f>IF(AND(B2097=Queue!$C$4,OR(Queue!$K$4="*",N2097=Queue!$K$4)),Q2097,"")</f>
        <v/>
      </c>
    </row>
    <row r="2098">
      <c r="A2098" s="38">
        <f>IF(M2098="","",HYPERLINK("https://www.youtube.com/watch?v="&amp;M2098,"▶"))</f>
        <v/>
      </c>
      <c r="B2098" s="39">
        <f>IF(C2098&lt;&gt;"",C2098,IF(P2098&lt;=IFERROR(INDEX(tblChannels[Watched Through],MATCH(N2098,tblChannels[Channel ID],0)),0),"Watched","Unwatched"))</f>
        <v/>
      </c>
      <c r="C2098" s="40" t="n"/>
      <c r="D2098" s="41" t="n"/>
      <c r="E2098" s="42" t="n">
        <v>43298.65555555555</v>
      </c>
      <c r="F2098" s="50" t="inlineStr">
        <is>
          <t>Super Carlin Brothers</t>
        </is>
      </c>
      <c r="G2098" t="inlineStr">
        <is>
          <t>Pixar Theory: What Will Jack-Jack's FINAL Powers Be?</t>
        </is>
      </c>
      <c r="H2098" s="44" t="n">
        <v>0.01018518518518519</v>
      </c>
      <c r="I2098" s="45" t="n">
        <v>1234457</v>
      </c>
      <c r="J2098" s="45" t="n">
        <v>30944</v>
      </c>
      <c r="K2098" s="45" t="n">
        <v>4685</v>
      </c>
      <c r="L2098" s="46" t="n"/>
      <c r="M2098" s="47" t="n"/>
      <c r="N2098" s="47" t="inlineStr">
        <is>
          <t>UCKZo4N0lVPccBkSiuyVh4yg</t>
        </is>
      </c>
      <c r="O2098" s="48" t="n">
        <v>43298.82222222222</v>
      </c>
      <c r="P2098" s="49" t="n">
        <v>43298</v>
      </c>
      <c r="Q2098" s="47" t="n">
        <v>1170</v>
      </c>
      <c r="R2098" s="47" t="inlineStr">
        <is>
          <t>No Video ID yet</t>
        </is>
      </c>
      <c r="S2098" s="49" t="n"/>
      <c r="T2098" s="49" t="n"/>
      <c r="U2098" s="47" t="inlineStr">
        <is>
          <t>Start protecting yourself on the web at or use code HEYBROTHER and save 77%! By now everyone knows that Jack Jack has more powers than is normal. So today J tries to figure out which of his many powers he may keep on into adulthood! (Spoilers, it's more than one)</t>
        </is>
      </c>
      <c r="V2098" s="47">
        <f>IF(AND(P2098&gt;=Calendar!$K$2,P2098&lt;EDATE(Calendar!$K$2,1),OR(Calendar!$K$4="*",N2098=Calendar!$K$4)),P2098*100+COUNTIFS($P$6:$P$3267,P2098,$Q$6:$Q$3267,"&lt;="&amp;Q2098,$N$6:$N$3267,Calendar!$K$4),"")</f>
        <v/>
      </c>
      <c r="W2098" s="47">
        <f>IF(AND(B2098=Queue!$C$4,OR(Queue!$K$4="*",N2098=Queue!$K$4)),Q2098,"")</f>
        <v/>
      </c>
    </row>
    <row r="2099">
      <c r="A2099" s="38">
        <f>IF(M2099="","",HYPERLINK("https://www.youtube.com/watch?v="&amp;M2099,"▶"))</f>
        <v/>
      </c>
      <c r="B2099" s="39">
        <f>IF(C2099&lt;&gt;"",C2099,IF(P2099&lt;=IFERROR(INDEX(tblChannels[Watched Through],MATCH(N2099,tblChannels[Channel ID],0)),0),"Watched","Unwatched"))</f>
        <v/>
      </c>
      <c r="C2099" s="40" t="n"/>
      <c r="D2099" s="41" t="n"/>
      <c r="E2099" s="42" t="n">
        <v>43297.59027777778</v>
      </c>
      <c r="F2099" s="52" t="inlineStr">
        <is>
          <t>Super Carlin Gaming</t>
        </is>
      </c>
      <c r="G2099" t="inlineStr">
        <is>
          <t>Déjà Vu | Rocket League #28</t>
        </is>
      </c>
      <c r="H2099" s="44" t="n">
        <v>0.01815972222222222</v>
      </c>
      <c r="I2099" s="45" t="n">
        <v>6504</v>
      </c>
      <c r="J2099" s="45" t="n">
        <v>271</v>
      </c>
      <c r="K2099" s="45" t="n">
        <v>63</v>
      </c>
      <c r="L2099" s="46" t="n"/>
      <c r="M2099" s="47" t="n"/>
      <c r="N2099" s="47" t="inlineStr">
        <is>
          <t>UCor_9jRnNNZVzTuQ92PKsaQ</t>
        </is>
      </c>
      <c r="O2099" s="48" t="n">
        <v>43297.75694444445</v>
      </c>
      <c r="P2099" s="49" t="n">
        <v>43297</v>
      </c>
      <c r="Q2099" s="47" t="n">
        <v>1169</v>
      </c>
      <c r="R2099" s="47" t="inlineStr">
        <is>
          <t>No Video ID yet</t>
        </is>
      </c>
      <c r="S2099" s="49" t="n"/>
      <c r="T2099" s="49" t="n"/>
      <c r="U2099" s="47" t="inlineStr">
        <is>
          <t>Here's Jordan's video that Ben mentioned:</t>
        </is>
      </c>
      <c r="V2099" s="47">
        <f>IF(AND(P2099&gt;=Calendar!$K$2,P2099&lt;EDATE(Calendar!$K$2,1),OR(Calendar!$K$4="*",N2099=Calendar!$K$4)),P2099*100+COUNTIFS($P$6:$P$3267,P2099,$Q$6:$Q$3267,"&lt;="&amp;Q2099,$N$6:$N$3267,Calendar!$K$4),"")</f>
        <v/>
      </c>
      <c r="W2099" s="47">
        <f>IF(AND(B2099=Queue!$C$4,OR(Queue!$K$4="*",N2099=Queue!$K$4)),Q2099,"")</f>
        <v/>
      </c>
    </row>
    <row r="2100">
      <c r="A2100" s="38">
        <f>IF(M2100="","",HYPERLINK("https://www.youtube.com/watch?v="&amp;M2100,"▶"))</f>
        <v/>
      </c>
      <c r="B2100" s="39">
        <f>IF(C2100&lt;&gt;"",C2100,IF(P2100&lt;=IFERROR(INDEX(tblChannels[Watched Through],MATCH(N2100,tblChannels[Channel ID],0)),0),"Watched","Unwatched"))</f>
        <v/>
      </c>
      <c r="C2100" s="40" t="n"/>
      <c r="D2100" s="41" t="n"/>
      <c r="E2100" s="42" t="n">
        <v>43297.53888888889</v>
      </c>
      <c r="F2100" s="53" t="inlineStr">
        <is>
          <t>Jonathan Carlin</t>
        </is>
      </c>
      <c r="G2100" t="inlineStr">
        <is>
          <t>SUPER CARLIN VID CON ADVENTURE</t>
        </is>
      </c>
      <c r="H2100" s="44" t="n">
        <v>0.007511574074074074</v>
      </c>
      <c r="I2100" s="45" t="n">
        <v>33395</v>
      </c>
      <c r="J2100" s="45" t="n">
        <v>1599</v>
      </c>
      <c r="K2100" s="45" t="n">
        <v>95</v>
      </c>
      <c r="L2100" s="46" t="n"/>
      <c r="M2100" s="47" t="n"/>
      <c r="N2100" s="47" t="inlineStr">
        <is>
          <t>UCYPKFe86e6nm4TVUYKLsFUQ</t>
        </is>
      </c>
      <c r="O2100" s="48" t="n">
        <v>43297.70555555556</v>
      </c>
      <c r="P2100" s="49" t="n">
        <v>43297</v>
      </c>
      <c r="Q2100" s="47" t="n">
        <v>1168</v>
      </c>
      <c r="R2100" s="47" t="inlineStr">
        <is>
          <t>No Video ID yet</t>
        </is>
      </c>
      <c r="S2100" s="49" t="n"/>
      <c r="T2100" s="49" t="n"/>
      <c r="U2100" s="47" t="inlineStr">
        <is>
          <t>This week J and the Super Carlin Brothers team do VID CON and hang out with Phillip DeFranco, Brizzy Voices and lots of other great people! SCB on The Philly D Book Club :: Solo Stove ::</t>
        </is>
      </c>
      <c r="V2100" s="47">
        <f>IF(AND(P2100&gt;=Calendar!$K$2,P2100&lt;EDATE(Calendar!$K$2,1),OR(Calendar!$K$4="*",N2100=Calendar!$K$4)),P2100*100+COUNTIFS($P$6:$P$3267,P2100,$Q$6:$Q$3267,"&lt;="&amp;Q2100,$N$6:$N$3267,Calendar!$K$4),"")</f>
        <v/>
      </c>
      <c r="W2100" s="47">
        <f>IF(AND(B2100=Queue!$C$4,OR(Queue!$K$4="*",N2100=Queue!$K$4)),Q2100,"")</f>
        <v/>
      </c>
    </row>
    <row r="2101">
      <c r="A2101" s="38">
        <f>IF(M2101="","",HYPERLINK("https://www.youtube.com/watch?v="&amp;M2101,"▶"))</f>
        <v/>
      </c>
      <c r="B2101" s="39">
        <f>IF(C2101&lt;&gt;"",C2101,IF(P2101&lt;=IFERROR(INDEX(tblChannels[Watched Through],MATCH(N2101,tblChannels[Channel ID],0)),0),"Watched","Unwatched"))</f>
        <v/>
      </c>
      <c r="C2101" s="40" t="n"/>
      <c r="D2101" s="41" t="n"/>
      <c r="E2101" s="42" t="n">
        <v>43295.5625</v>
      </c>
      <c r="F2101" s="52" t="inlineStr">
        <is>
          <t>Super Carlin Gaming</t>
        </is>
      </c>
      <c r="G2101" t="inlineStr">
        <is>
          <t>How Many Holes Do Straws Have? | Rocket League EXTRA</t>
        </is>
      </c>
      <c r="H2101" s="44" t="n">
        <v>0.0112037037037037</v>
      </c>
      <c r="I2101" s="45" t="n">
        <v>8452</v>
      </c>
      <c r="J2101" s="45" t="n">
        <v>291</v>
      </c>
      <c r="K2101" s="45" t="n">
        <v>92</v>
      </c>
      <c r="L2101" s="46" t="n"/>
      <c r="M2101" s="47" t="n"/>
      <c r="N2101" s="47" t="inlineStr">
        <is>
          <t>UCor_9jRnNNZVzTuQ92PKsaQ</t>
        </is>
      </c>
      <c r="O2101" s="48" t="n">
        <v>43295.72916666666</v>
      </c>
      <c r="P2101" s="49" t="n">
        <v>43295</v>
      </c>
      <c r="Q2101" s="47" t="n">
        <v>1167</v>
      </c>
      <c r="R2101" s="47" t="inlineStr">
        <is>
          <t>No Video ID yet</t>
        </is>
      </c>
      <c r="S2101" s="49" t="n"/>
      <c r="T2101" s="49" t="n"/>
      <c r="U2101" s="47" t="n"/>
      <c r="V2101" s="47">
        <f>IF(AND(P2101&gt;=Calendar!$K$2,P2101&lt;EDATE(Calendar!$K$2,1),OR(Calendar!$K$4="*",N2101=Calendar!$K$4)),P2101*100+COUNTIFS($P$6:$P$3267,P2101,$Q$6:$Q$3267,"&lt;="&amp;Q2101,$N$6:$N$3267,Calendar!$K$4),"")</f>
        <v/>
      </c>
      <c r="W2101" s="47">
        <f>IF(AND(B2101=Queue!$C$4,OR(Queue!$K$4="*",N2101=Queue!$K$4)),Q2101,"")</f>
        <v/>
      </c>
    </row>
    <row r="2102">
      <c r="A2102" s="38">
        <f>IF(M2102="","",HYPERLINK("https://www.youtube.com/watch?v="&amp;M2102,"▶"))</f>
        <v/>
      </c>
      <c r="B2102" s="39">
        <f>IF(C2102&lt;&gt;"",C2102,IF(P2102&lt;=IFERROR(INDEX(tblChannels[Watched Through],MATCH(N2102,tblChannels[Channel ID],0)),0),"Watched","Unwatched"))</f>
        <v/>
      </c>
      <c r="C2102" s="40" t="n"/>
      <c r="D2102" s="41" t="n"/>
      <c r="E2102" s="42" t="n">
        <v>43294.4375</v>
      </c>
      <c r="F2102" s="52" t="inlineStr">
        <is>
          <t>Super Carlin Gaming</t>
        </is>
      </c>
      <c r="G2102" t="inlineStr">
        <is>
          <t>Sparkly New Season | Rocket League #27</t>
        </is>
      </c>
      <c r="H2102" s="44" t="n">
        <v>0.0131712962962963</v>
      </c>
      <c r="I2102" s="45" t="n">
        <v>6117</v>
      </c>
      <c r="J2102" s="45" t="n">
        <v>256</v>
      </c>
      <c r="K2102" s="45" t="n">
        <v>86</v>
      </c>
      <c r="L2102" s="46" t="n"/>
      <c r="M2102" s="47" t="n"/>
      <c r="N2102" s="47" t="inlineStr">
        <is>
          <t>UCor_9jRnNNZVzTuQ92PKsaQ</t>
        </is>
      </c>
      <c r="O2102" s="48" t="n">
        <v>43294.60416666666</v>
      </c>
      <c r="P2102" s="49" t="n">
        <v>43294</v>
      </c>
      <c r="Q2102" s="47" t="n">
        <v>1166</v>
      </c>
      <c r="R2102" s="47" t="inlineStr">
        <is>
          <t>No Video ID yet</t>
        </is>
      </c>
      <c r="S2102" s="49" t="n"/>
      <c r="T2102" s="49" t="n"/>
      <c r="U2102" s="47" t="n"/>
      <c r="V2102" s="47">
        <f>IF(AND(P2102&gt;=Calendar!$K$2,P2102&lt;EDATE(Calendar!$K$2,1),OR(Calendar!$K$4="*",N2102=Calendar!$K$4)),P2102*100+COUNTIFS($P$6:$P$3267,P2102,$Q$6:$Q$3267,"&lt;="&amp;Q2102,$N$6:$N$3267,Calendar!$K$4),"")</f>
        <v/>
      </c>
      <c r="W2102" s="47">
        <f>IF(AND(B2102=Queue!$C$4,OR(Queue!$K$4="*",N2102=Queue!$K$4)),Q2102,"")</f>
        <v/>
      </c>
    </row>
    <row r="2103">
      <c r="A2103" s="38">
        <f>IF(M2103="","",HYPERLINK("https://www.youtube.com/watch?v="&amp;M2103,"▶"))</f>
        <v/>
      </c>
      <c r="B2103" s="39">
        <f>IF(C2103&lt;&gt;"",C2103,IF(P2103&lt;=IFERROR(INDEX(tblChannels[Watched Through],MATCH(N2103,tblChannels[Channel ID],0)),0),"Watched","Unwatched"))</f>
        <v/>
      </c>
      <c r="C2103" s="40" t="n"/>
      <c r="D2103" s="41" t="n"/>
      <c r="E2103" s="42" t="n">
        <v>43293.68680555555</v>
      </c>
      <c r="F2103" s="50" t="inlineStr">
        <is>
          <t>Super Carlin Brothers</t>
        </is>
      </c>
      <c r="G2103" t="inlineStr">
        <is>
          <t>Harry Potter Theory: The Origin of Moody's Eye</t>
        </is>
      </c>
      <c r="H2103" s="44" t="n">
        <v>0.008900462962962962</v>
      </c>
      <c r="I2103" s="45" t="n">
        <v>1425173</v>
      </c>
      <c r="J2103" s="45" t="n">
        <v>35869</v>
      </c>
      <c r="K2103" s="45" t="n">
        <v>4421</v>
      </c>
      <c r="L2103" s="46" t="n"/>
      <c r="M2103" s="47" t="n"/>
      <c r="N2103" s="47" t="inlineStr">
        <is>
          <t>UCKZo4N0lVPccBkSiuyVh4yg</t>
        </is>
      </c>
      <c r="O2103" s="48" t="n">
        <v>43293.85347222222</v>
      </c>
      <c r="P2103" s="49" t="n">
        <v>43293</v>
      </c>
      <c r="Q2103" s="47" t="n">
        <v>1165</v>
      </c>
      <c r="R2103" s="47" t="inlineStr">
        <is>
          <t>No Video ID yet</t>
        </is>
      </c>
      <c r="S2103" s="49" t="n"/>
      <c r="T2103" s="49" t="n"/>
      <c r="U2103" s="47" t="inlineStr">
        <is>
          <t>Use our link or text code scb to 500-500 to get a free book and 30-day free trial. SCB on The Philly D Book Club :: Today Ben dives into the Wizarding world of Harry Potter to discuss the mysterious history of Mad Eye Moody's eye and if it was perhaps once owned by Gellert Grindelwald P A T R E O N ►► M E R C H ►► PLAYLISTS V L O G ►► I N S T A G R A M ►► &amp; F A C E B O O K ►►</t>
        </is>
      </c>
      <c r="V2103" s="47">
        <f>IF(AND(P2103&gt;=Calendar!$K$2,P2103&lt;EDATE(Calendar!$K$2,1),OR(Calendar!$K$4="*",N2103=Calendar!$K$4)),P2103*100+COUNTIFS($P$6:$P$3267,P2103,$Q$6:$Q$3267,"&lt;="&amp;Q2103,$N$6:$N$3267,Calendar!$K$4),"")</f>
        <v/>
      </c>
      <c r="W2103" s="47">
        <f>IF(AND(B2103=Queue!$C$4,OR(Queue!$K$4="*",N2103=Queue!$K$4)),Q2103,"")</f>
        <v/>
      </c>
    </row>
    <row r="2104">
      <c r="A2104" s="38">
        <f>IF(M2104="","",HYPERLINK("https://www.youtube.com/watch?v="&amp;M2104,"▶"))</f>
        <v/>
      </c>
      <c r="B2104" s="39">
        <f>IF(C2104&lt;&gt;"",C2104,IF(P2104&lt;=IFERROR(INDEX(tblChannels[Watched Through],MATCH(N2104,tblChannels[Channel ID],0)),0),"Watched","Unwatched"))</f>
        <v/>
      </c>
      <c r="C2104" s="40" t="n"/>
      <c r="D2104" s="41" t="n"/>
      <c r="E2104" s="42" t="n">
        <v>43292.4375</v>
      </c>
      <c r="F2104" s="52" t="inlineStr">
        <is>
          <t>Super Carlin Gaming</t>
        </is>
      </c>
      <c r="G2104" t="inlineStr">
        <is>
          <t>Veritable Omelet (SEASON CHAMPIONSHIP!) | Rocket League #26</t>
        </is>
      </c>
      <c r="H2104" s="44" t="n">
        <v>0.01428240740740741</v>
      </c>
      <c r="I2104" s="45" t="n">
        <v>5925</v>
      </c>
      <c r="J2104" s="45" t="n">
        <v>290</v>
      </c>
      <c r="K2104" s="45" t="n">
        <v>96</v>
      </c>
      <c r="L2104" s="46" t="n"/>
      <c r="M2104" s="47" t="n"/>
      <c r="N2104" s="47" t="inlineStr">
        <is>
          <t>UCor_9jRnNNZVzTuQ92PKsaQ</t>
        </is>
      </c>
      <c r="O2104" s="48" t="n">
        <v>43292.60416666666</v>
      </c>
      <c r="P2104" s="49" t="n">
        <v>43292</v>
      </c>
      <c r="Q2104" s="47" t="n">
        <v>1164</v>
      </c>
      <c r="R2104" s="47" t="inlineStr">
        <is>
          <t>No Video ID yet</t>
        </is>
      </c>
      <c r="S2104" s="49" t="n"/>
      <c r="T2104" s="49" t="n"/>
      <c r="U2104" s="47" t="n"/>
      <c r="V2104" s="47">
        <f>IF(AND(P2104&gt;=Calendar!$K$2,P2104&lt;EDATE(Calendar!$K$2,1),OR(Calendar!$K$4="*",N2104=Calendar!$K$4)),P2104*100+COUNTIFS($P$6:$P$3267,P2104,$Q$6:$Q$3267,"&lt;="&amp;Q2104,$N$6:$N$3267,Calendar!$K$4),"")</f>
        <v/>
      </c>
      <c r="W2104" s="47">
        <f>IF(AND(B2104=Queue!$C$4,OR(Queue!$K$4="*",N2104=Queue!$K$4)),Q2104,"")</f>
        <v/>
      </c>
    </row>
    <row r="2105">
      <c r="A2105" s="38">
        <f>IF(M2105="","",HYPERLINK("https://www.youtube.com/watch?v="&amp;M2105,"▶"))</f>
        <v/>
      </c>
      <c r="B2105" s="39">
        <f>IF(C2105&lt;&gt;"",C2105,IF(P2105&lt;=IFERROR(INDEX(tblChannels[Watched Through],MATCH(N2105,tblChannels[Channel ID],0)),0),"Watched","Unwatched"))</f>
        <v/>
      </c>
      <c r="C2105" s="40" t="n"/>
      <c r="D2105" s="41" t="n"/>
      <c r="E2105" s="42" t="n">
        <v>43292.04027777778</v>
      </c>
      <c r="F2105" s="52" t="inlineStr">
        <is>
          <t>Super Carlin Gaming</t>
        </is>
      </c>
      <c r="G2105" t="inlineStr">
        <is>
          <t>LIVE - SIMS 4 - J, Ben, DK... and Darth Maul</t>
        </is>
      </c>
      <c r="H2105" s="44" t="n">
        <v>0.08090277777777778</v>
      </c>
      <c r="I2105" s="45" t="n">
        <v>7769</v>
      </c>
      <c r="J2105" s="45" t="n">
        <v>222</v>
      </c>
      <c r="K2105" s="45" t="n">
        <v>15</v>
      </c>
      <c r="L2105" s="46" t="n"/>
      <c r="M2105" s="47" t="n"/>
      <c r="N2105" s="47" t="inlineStr">
        <is>
          <t>UCor_9jRnNNZVzTuQ92PKsaQ</t>
        </is>
      </c>
      <c r="O2105" s="48" t="n">
        <v>43292.20694444444</v>
      </c>
      <c r="P2105" s="49" t="n">
        <v>43292</v>
      </c>
      <c r="Q2105" s="47" t="n">
        <v>1163</v>
      </c>
      <c r="R2105" s="47" t="inlineStr">
        <is>
          <t>No Video ID yet</t>
        </is>
      </c>
      <c r="S2105" s="49" t="n"/>
      <c r="T2105" s="49" t="n"/>
      <c r="U2105" s="47" t="inlineStr">
        <is>
          <t>Just 4 dudes livin that crazy SIM LIFE YO! Join The Discord! J on twitter: Ben on Twitter: DK on Twitter:</t>
        </is>
      </c>
      <c r="V2105" s="47">
        <f>IF(AND(P2105&gt;=Calendar!$K$2,P2105&lt;EDATE(Calendar!$K$2,1),OR(Calendar!$K$4="*",N2105=Calendar!$K$4)),P2105*100+COUNTIFS($P$6:$P$3267,P2105,$Q$6:$Q$3267,"&lt;="&amp;Q2105,$N$6:$N$3267,Calendar!$K$4),"")</f>
        <v/>
      </c>
      <c r="W2105" s="47">
        <f>IF(AND(B2105=Queue!$C$4,OR(Queue!$K$4="*",N2105=Queue!$K$4)),Q2105,"")</f>
        <v/>
      </c>
    </row>
    <row r="2106">
      <c r="A2106" s="38">
        <f>IF(M2106="","",HYPERLINK("https://www.youtube.com/watch?v="&amp;M2106,"▶"))</f>
        <v/>
      </c>
      <c r="B2106" s="39">
        <f>IF(C2106&lt;&gt;"",C2106,IF(P2106&lt;=IFERROR(INDEX(tblChannels[Watched Through],MATCH(N2106,tblChannels[Channel ID],0)),0),"Watched","Unwatched"))</f>
        <v/>
      </c>
      <c r="C2106" s="40" t="n"/>
      <c r="D2106" s="41" t="n"/>
      <c r="E2106" s="42" t="n">
        <v>43291.81666666667</v>
      </c>
      <c r="F2106" s="50" t="inlineStr">
        <is>
          <t>Super Carlin Brothers</t>
        </is>
      </c>
      <c r="G2106" t="inlineStr">
        <is>
          <t>How Dumbledore REALLY Planned Harry's Death | Harry Potter Theory</t>
        </is>
      </c>
      <c r="H2106" s="44" t="n">
        <v>0.009791666666666667</v>
      </c>
      <c r="I2106" s="45" t="n">
        <v>1745061</v>
      </c>
      <c r="J2106" s="45" t="n">
        <v>40333</v>
      </c>
      <c r="K2106" s="45" t="n">
        <v>3212</v>
      </c>
      <c r="L2106" s="46" t="n"/>
      <c r="M2106" s="47" t="n"/>
      <c r="N2106" s="47" t="inlineStr">
        <is>
          <t>UCKZo4N0lVPccBkSiuyVh4yg</t>
        </is>
      </c>
      <c r="O2106" s="48" t="n">
        <v>43291.98333333333</v>
      </c>
      <c r="P2106" s="49" t="n">
        <v>43291</v>
      </c>
      <c r="Q2106" s="47" t="n">
        <v>1162</v>
      </c>
      <c r="R2106" s="47" t="inlineStr">
        <is>
          <t>No Video ID yet</t>
        </is>
      </c>
      <c r="S2106" s="49" t="n"/>
      <c r="T2106" s="49" t="n"/>
      <c r="U2106" s="47" t="inlineStr">
        <is>
          <t>Today J dives into the Wizarding World of Harry Potter to try and figure out why Dumbledore left Harry, Ron and Hermione the Tales of Beedle the Bard, the Snitch and the Deluminator and how they all tie into the mysterious phrase: I Open At The Close.</t>
        </is>
      </c>
      <c r="V2106" s="47">
        <f>IF(AND(P2106&gt;=Calendar!$K$2,P2106&lt;EDATE(Calendar!$K$2,1),OR(Calendar!$K$4="*",N2106=Calendar!$K$4)),P2106*100+COUNTIFS($P$6:$P$3267,P2106,$Q$6:$Q$3267,"&lt;="&amp;Q2106,$N$6:$N$3267,Calendar!$K$4),"")</f>
        <v/>
      </c>
      <c r="W2106" s="47">
        <f>IF(AND(B2106=Queue!$C$4,OR(Queue!$K$4="*",N2106=Queue!$K$4)),Q2106,"")</f>
        <v/>
      </c>
    </row>
    <row r="2107">
      <c r="A2107" s="38">
        <f>IF(M2107="","",HYPERLINK("https://www.youtube.com/watch?v="&amp;M2107,"▶"))</f>
        <v/>
      </c>
      <c r="B2107" s="39">
        <f>IF(C2107&lt;&gt;"",C2107,IF(P2107&lt;=IFERROR(INDEX(tblChannels[Watched Through],MATCH(N2107,tblChannels[Channel ID],0)),0),"Watched","Unwatched"))</f>
        <v/>
      </c>
      <c r="C2107" s="40" t="n"/>
      <c r="D2107" s="41" t="n"/>
      <c r="E2107" s="42" t="n">
        <v>43290.575</v>
      </c>
      <c r="F2107" s="52" t="inlineStr">
        <is>
          <t>Super Carlin Gaming</t>
        </is>
      </c>
      <c r="G2107" t="inlineStr">
        <is>
          <t>Crock Pot Liners | Rocket League #25</t>
        </is>
      </c>
      <c r="H2107" s="44" t="n">
        <v>0.01418981481481481</v>
      </c>
      <c r="I2107" s="45" t="n">
        <v>5940</v>
      </c>
      <c r="J2107" s="45" t="n">
        <v>271</v>
      </c>
      <c r="K2107" s="45" t="n">
        <v>75</v>
      </c>
      <c r="L2107" s="46" t="n"/>
      <c r="M2107" s="47" t="n"/>
      <c r="N2107" s="47" t="inlineStr">
        <is>
          <t>UCor_9jRnNNZVzTuQ92PKsaQ</t>
        </is>
      </c>
      <c r="O2107" s="48" t="n">
        <v>43290.74166666667</v>
      </c>
      <c r="P2107" s="49" t="n">
        <v>43290</v>
      </c>
      <c r="Q2107" s="47" t="n">
        <v>1161</v>
      </c>
      <c r="R2107" s="47" t="inlineStr">
        <is>
          <t>No Video ID yet</t>
        </is>
      </c>
      <c r="S2107" s="49" t="n"/>
      <c r="T2107" s="49" t="n"/>
      <c r="U2107" s="47" t="inlineStr">
        <is>
          <t>Crock Pot Liners:</t>
        </is>
      </c>
      <c r="V2107" s="47">
        <f>IF(AND(P2107&gt;=Calendar!$K$2,P2107&lt;EDATE(Calendar!$K$2,1),OR(Calendar!$K$4="*",N2107=Calendar!$K$4)),P2107*100+COUNTIFS($P$6:$P$3267,P2107,$Q$6:$Q$3267,"&lt;="&amp;Q2107,$N$6:$N$3267,Calendar!$K$4),"")</f>
        <v/>
      </c>
      <c r="W2107" s="47">
        <f>IF(AND(B2107=Queue!$C$4,OR(Queue!$K$4="*",N2107=Queue!$K$4)),Q2107,"")</f>
        <v/>
      </c>
    </row>
    <row r="2108">
      <c r="A2108" s="38">
        <f>IF(M2108="","",HYPERLINK("https://www.youtube.com/watch?v="&amp;M2108,"▶"))</f>
        <v/>
      </c>
      <c r="B2108" s="39">
        <f>IF(C2108&lt;&gt;"",C2108,IF(P2108&lt;=IFERROR(INDEX(tblChannels[Watched Through],MATCH(N2108,tblChannels[Channel ID],0)),0),"Watched","Unwatched"))</f>
        <v/>
      </c>
      <c r="C2108" s="40" t="n"/>
      <c r="D2108" s="41" t="n"/>
      <c r="E2108" s="42" t="n">
        <v>43290.46458333333</v>
      </c>
      <c r="F2108" s="53" t="inlineStr">
        <is>
          <t>Jonathan Carlin</t>
        </is>
      </c>
      <c r="G2108" t="inlineStr">
        <is>
          <t>SPARTAN RACE | DC MEET UP</t>
        </is>
      </c>
      <c r="H2108" s="44" t="n">
        <v>0.007060185185185185</v>
      </c>
      <c r="I2108" s="45" t="n">
        <v>36333</v>
      </c>
      <c r="J2108" s="45" t="n">
        <v>1654</v>
      </c>
      <c r="K2108" s="45" t="n">
        <v>158</v>
      </c>
      <c r="L2108" s="46" t="n"/>
      <c r="M2108" s="47" t="n"/>
      <c r="N2108" s="47" t="inlineStr">
        <is>
          <t>UCYPKFe86e6nm4TVUYKLsFUQ</t>
        </is>
      </c>
      <c r="O2108" s="48" t="n">
        <v>43290.63125</v>
      </c>
      <c r="P2108" s="49" t="n">
        <v>43290</v>
      </c>
      <c r="Q2108" s="47" t="n">
        <v>1160</v>
      </c>
      <c r="R2108" s="47" t="inlineStr">
        <is>
          <t>No Video ID yet</t>
        </is>
      </c>
      <c r="S2108" s="49" t="n"/>
      <c r="T2108" s="49" t="n"/>
      <c r="U2108" s="47" t="inlineStr">
        <is>
          <t>This week we travel to DC to do a Spartan Race with members of our Discord Server and then watch Incredibles 2 with 287 Super Carlin Frens and then meet them all! Basically the best weekend ever and SEAMUS IS BACK! Bubble Machine :: Special thanks to: Seamus Gorman, Rachael 'Data' Fox and Lauren 'Bubbles' Alexandra for offering their footage of the race to the vlog!</t>
        </is>
      </c>
      <c r="V2108" s="47">
        <f>IF(AND(P2108&gt;=Calendar!$K$2,P2108&lt;EDATE(Calendar!$K$2,1),OR(Calendar!$K$4="*",N2108=Calendar!$K$4)),P2108*100+COUNTIFS($P$6:$P$3267,P2108,$Q$6:$Q$3267,"&lt;="&amp;Q2108,$N$6:$N$3267,Calendar!$K$4),"")</f>
        <v/>
      </c>
      <c r="W2108" s="47">
        <f>IF(AND(B2108=Queue!$C$4,OR(Queue!$K$4="*",N2108=Queue!$K$4)),Q2108,"")</f>
        <v/>
      </c>
    </row>
    <row r="2109">
      <c r="A2109" s="38">
        <f>IF(M2109="","",HYPERLINK("https://www.youtube.com/watch?v="&amp;M2109,"▶"))</f>
        <v/>
      </c>
      <c r="B2109" s="39">
        <f>IF(C2109&lt;&gt;"",C2109,IF(P2109&lt;=IFERROR(INDEX(tblChannels[Watched Through],MATCH(N2109,tblChannels[Channel ID],0)),0),"Watched","Unwatched"))</f>
        <v/>
      </c>
      <c r="C2109" s="40" t="n"/>
      <c r="D2109" s="41" t="n"/>
      <c r="E2109" s="42" t="n">
        <v>43287.4375</v>
      </c>
      <c r="F2109" s="52" t="inlineStr">
        <is>
          <t>Super Carlin Gaming</t>
        </is>
      </c>
      <c r="G2109" t="inlineStr">
        <is>
          <t>Standing in a Puddle | Rocket League #24</t>
        </is>
      </c>
      <c r="H2109" s="44" t="n">
        <v>0.01306712962962963</v>
      </c>
      <c r="I2109" s="45" t="n">
        <v>5959</v>
      </c>
      <c r="J2109" s="45" t="n">
        <v>271</v>
      </c>
      <c r="K2109" s="45" t="n">
        <v>55</v>
      </c>
      <c r="L2109" s="46" t="n"/>
      <c r="M2109" s="47" t="n"/>
      <c r="N2109" s="47" t="inlineStr">
        <is>
          <t>UCor_9jRnNNZVzTuQ92PKsaQ</t>
        </is>
      </c>
      <c r="O2109" s="48" t="n">
        <v>43287.60416666666</v>
      </c>
      <c r="P2109" s="49" t="n">
        <v>43287</v>
      </c>
      <c r="Q2109" s="47" t="n">
        <v>1159</v>
      </c>
      <c r="R2109" s="47" t="inlineStr">
        <is>
          <t>No Video ID yet</t>
        </is>
      </c>
      <c r="S2109" s="49" t="n"/>
      <c r="T2109" s="49" t="n"/>
      <c r="U2109" s="47" t="n"/>
      <c r="V2109" s="47">
        <f>IF(AND(P2109&gt;=Calendar!$K$2,P2109&lt;EDATE(Calendar!$K$2,1),OR(Calendar!$K$4="*",N2109=Calendar!$K$4)),P2109*100+COUNTIFS($P$6:$P$3267,P2109,$Q$6:$Q$3267,"&lt;="&amp;Q2109,$N$6:$N$3267,Calendar!$K$4),"")</f>
        <v/>
      </c>
      <c r="W2109" s="47">
        <f>IF(AND(B2109=Queue!$C$4,OR(Queue!$K$4="*",N2109=Queue!$K$4)),Q2109,"")</f>
        <v/>
      </c>
    </row>
    <row r="2110">
      <c r="A2110" s="38">
        <f>IF(M2110="","",HYPERLINK("https://www.youtube.com/watch?v="&amp;M2110,"▶"))</f>
        <v/>
      </c>
      <c r="B2110" s="39">
        <f>IF(C2110&lt;&gt;"",C2110,IF(P2110&lt;=IFERROR(INDEX(tblChannels[Watched Through],MATCH(N2110,tblChannels[Channel ID],0)),0),"Watched","Unwatched"))</f>
        <v/>
      </c>
      <c r="C2110" s="40" t="n"/>
      <c r="D2110" s="41" t="n"/>
      <c r="E2110" s="42" t="n">
        <v>43287.04861111111</v>
      </c>
      <c r="F2110" s="52" t="inlineStr">
        <is>
          <t>Super Carlin Gaming</t>
        </is>
      </c>
      <c r="G2110" t="inlineStr">
        <is>
          <t>LIVE - Rocket League! T-REX EXPLOSIONS!</t>
        </is>
      </c>
      <c r="H2110" s="44" t="n">
        <v>0.07550925925925926</v>
      </c>
      <c r="I2110" s="45" t="n">
        <v>2345</v>
      </c>
      <c r="J2110" s="45" t="n">
        <v>128</v>
      </c>
      <c r="K2110" s="45" t="n">
        <v>5</v>
      </c>
      <c r="L2110" s="46" t="n"/>
      <c r="M2110" s="47" t="n"/>
      <c r="N2110" s="47" t="inlineStr">
        <is>
          <t>UCor_9jRnNNZVzTuQ92PKsaQ</t>
        </is>
      </c>
      <c r="O2110" s="48" t="n">
        <v>43287.21527777778</v>
      </c>
      <c r="P2110" s="49" t="n">
        <v>43287</v>
      </c>
      <c r="Q2110" s="47" t="n">
        <v>1158</v>
      </c>
      <c r="R2110" s="47" t="inlineStr">
        <is>
          <t>No Video ID yet</t>
        </is>
      </c>
      <c r="S2110" s="49" t="n"/>
      <c r="T2110" s="49" t="n"/>
      <c r="U2110" s="47" t="inlineStr">
        <is>
          <t>Support the stream: J ventures into the world of online Rocket League where he anticipates doing poorly - SOUNDS FUN! Join The Discord! J on twitter: Ben on Twitter: DK on Twitter:</t>
        </is>
      </c>
      <c r="V2110" s="47">
        <f>IF(AND(P2110&gt;=Calendar!$K$2,P2110&lt;EDATE(Calendar!$K$2,1),OR(Calendar!$K$4="*",N2110=Calendar!$K$4)),P2110*100+COUNTIFS($P$6:$P$3267,P2110,$Q$6:$Q$3267,"&lt;="&amp;Q2110,$N$6:$N$3267,Calendar!$K$4),"")</f>
        <v/>
      </c>
      <c r="W2110" s="47">
        <f>IF(AND(B2110=Queue!$C$4,OR(Queue!$K$4="*",N2110=Queue!$K$4)),Q2110,"")</f>
        <v/>
      </c>
    </row>
    <row r="2111">
      <c r="A2111" s="38">
        <f>IF(M2111="","",HYPERLINK("https://www.youtube.com/watch?v="&amp;M2111,"▶"))</f>
        <v/>
      </c>
      <c r="B2111" s="39">
        <f>IF(C2111&lt;&gt;"",C2111,IF(P2111&lt;=IFERROR(INDEX(tblChannels[Watched Through],MATCH(N2111,tblChannels[Channel ID],0)),0),"Watched","Unwatched"))</f>
        <v/>
      </c>
      <c r="C2111" s="40" t="n"/>
      <c r="D2111" s="41" t="n"/>
      <c r="E2111" s="42" t="n">
        <v>43286.79930555556</v>
      </c>
      <c r="F2111" s="50" t="inlineStr">
        <is>
          <t>Super Carlin Brothers</t>
        </is>
      </c>
      <c r="G2111" t="inlineStr">
        <is>
          <t>Everything They LEFT OUT Of Incredibles 2</t>
        </is>
      </c>
      <c r="H2111" s="44" t="n">
        <v>0.006134259259259259</v>
      </c>
      <c r="I2111" s="45" t="n">
        <v>971175</v>
      </c>
      <c r="J2111" s="45" t="n">
        <v>26066</v>
      </c>
      <c r="K2111" s="45" t="n">
        <v>2006</v>
      </c>
      <c r="L2111" s="46" t="n"/>
      <c r="M2111" s="47" t="n"/>
      <c r="N2111" s="47" t="inlineStr">
        <is>
          <t>UCKZo4N0lVPccBkSiuyVh4yg</t>
        </is>
      </c>
      <c r="O2111" s="48" t="n">
        <v>43286.96597222222</v>
      </c>
      <c r="P2111" s="49" t="n">
        <v>43286</v>
      </c>
      <c r="Q2111" s="47" t="n">
        <v>1157</v>
      </c>
      <c r="R2111" s="47" t="inlineStr">
        <is>
          <t>No Video ID yet</t>
        </is>
      </c>
      <c r="S2111" s="49" t="n"/>
      <c r="T2111" s="49" t="n"/>
      <c r="U2111" s="47" t="inlineStr">
        <is>
          <t>Art of Incredibles 2 :: Today Ben dives into the world of Pixar to discuss all of the things Disney Pixar initially had planned to be in the movie but ultimately didnt make the cut.</t>
        </is>
      </c>
      <c r="V2111" s="47">
        <f>IF(AND(P2111&gt;=Calendar!$K$2,P2111&lt;EDATE(Calendar!$K$2,1),OR(Calendar!$K$4="*",N2111=Calendar!$K$4)),P2111*100+COUNTIFS($P$6:$P$3267,P2111,$Q$6:$Q$3267,"&lt;="&amp;Q2111,$N$6:$N$3267,Calendar!$K$4),"")</f>
        <v/>
      </c>
      <c r="W2111" s="47">
        <f>IF(AND(B2111=Queue!$C$4,OR(Queue!$K$4="*",N2111=Queue!$K$4)),Q2111,"")</f>
        <v/>
      </c>
    </row>
    <row r="2112">
      <c r="A2112" s="38">
        <f>IF(M2112="","",HYPERLINK("https://www.youtube.com/watch?v="&amp;M2112,"▶"))</f>
        <v/>
      </c>
      <c r="B2112" s="39">
        <f>IF(C2112&lt;&gt;"",C2112,IF(P2112&lt;=IFERROR(INDEX(tblChannels[Watched Through],MATCH(N2112,tblChannels[Channel ID],0)),0),"Watched","Unwatched"))</f>
        <v/>
      </c>
      <c r="C2112" s="40" t="n"/>
      <c r="D2112" s="41" t="n"/>
      <c r="E2112" s="42" t="n">
        <v>43285.4375</v>
      </c>
      <c r="F2112" s="52" t="inlineStr">
        <is>
          <t>Super Carlin Gaming</t>
        </is>
      </c>
      <c r="G2112" t="inlineStr">
        <is>
          <t>Low and Wet | Rocket League #23</t>
        </is>
      </c>
      <c r="H2112" s="44" t="n">
        <v>0.01459490740740741</v>
      </c>
      <c r="I2112" s="45" t="n">
        <v>6139</v>
      </c>
      <c r="J2112" s="45" t="n">
        <v>284</v>
      </c>
      <c r="K2112" s="45" t="n">
        <v>65</v>
      </c>
      <c r="L2112" s="46" t="n"/>
      <c r="M2112" s="47" t="n"/>
      <c r="N2112" s="47" t="inlineStr">
        <is>
          <t>UCor_9jRnNNZVzTuQ92PKsaQ</t>
        </is>
      </c>
      <c r="O2112" s="48" t="n">
        <v>43285.60416666666</v>
      </c>
      <c r="P2112" s="49" t="n">
        <v>43285</v>
      </c>
      <c r="Q2112" s="47" t="n">
        <v>1156</v>
      </c>
      <c r="R2112" s="47" t="inlineStr">
        <is>
          <t>No Video ID yet</t>
        </is>
      </c>
      <c r="S2112" s="49" t="n"/>
      <c r="T2112" s="49" t="n"/>
      <c r="U2112" s="47" t="n"/>
      <c r="V2112" s="47">
        <f>IF(AND(P2112&gt;=Calendar!$K$2,P2112&lt;EDATE(Calendar!$K$2,1),OR(Calendar!$K$4="*",N2112=Calendar!$K$4)),P2112*100+COUNTIFS($P$6:$P$3267,P2112,$Q$6:$Q$3267,"&lt;="&amp;Q2112,$N$6:$N$3267,Calendar!$K$4),"")</f>
        <v/>
      </c>
      <c r="W2112" s="47">
        <f>IF(AND(B2112=Queue!$C$4,OR(Queue!$K$4="*",N2112=Queue!$K$4)),Q2112,"")</f>
        <v/>
      </c>
    </row>
    <row r="2113">
      <c r="A2113" s="38">
        <f>IF(M2113="","",HYPERLINK("https://www.youtube.com/watch?v="&amp;M2113,"▶"))</f>
        <v/>
      </c>
      <c r="B2113" s="39">
        <f>IF(C2113&lt;&gt;"",C2113,IF(P2113&lt;=IFERROR(INDEX(tblChannels[Watched Through],MATCH(N2113,tblChannels[Channel ID],0)),0),"Watched","Unwatched"))</f>
        <v/>
      </c>
      <c r="C2113" s="40" t="n"/>
      <c r="D2113" s="41" t="n"/>
      <c r="E2113" s="42" t="n">
        <v>43284.77430555555</v>
      </c>
      <c r="F2113" s="50" t="inlineStr">
        <is>
          <t>Super Carlin Brothers</t>
        </is>
      </c>
      <c r="G2113" t="inlineStr">
        <is>
          <t>Pixar Theory: MR. GIBBS REVEALED!</t>
        </is>
      </c>
      <c r="H2113" s="44" t="n">
        <v>0.009571759259259259</v>
      </c>
      <c r="I2113" s="45" t="n">
        <v>1839955</v>
      </c>
      <c r="J2113" s="45" t="n">
        <v>42652</v>
      </c>
      <c r="K2113" s="45" t="n">
        <v>6095</v>
      </c>
      <c r="L2113" s="46" t="n"/>
      <c r="M2113" s="47" t="n"/>
      <c r="N2113" s="47" t="inlineStr">
        <is>
          <t>UCKZo4N0lVPccBkSiuyVh4yg</t>
        </is>
      </c>
      <c r="O2113" s="48" t="n">
        <v>43284.94097222222</v>
      </c>
      <c r="P2113" s="49" t="n">
        <v>43284</v>
      </c>
      <c r="Q2113" s="47" t="n">
        <v>1155</v>
      </c>
      <c r="R2113" s="47" t="inlineStr">
        <is>
          <t>No Video ID yet</t>
        </is>
      </c>
      <c r="S2113" s="49" t="n"/>
      <c r="T2113" s="49" t="n"/>
      <c r="U2113" s="47" t="inlineStr">
        <is>
          <t>After months of deliberation J and Ben think they have finally gotten to the bottom of one of Disney Pixar's biggest mysteries: the infamous Mr. Gibbs theory and the identity of Boo's parents!</t>
        </is>
      </c>
      <c r="V2113" s="47">
        <f>IF(AND(P2113&gt;=Calendar!$K$2,P2113&lt;EDATE(Calendar!$K$2,1),OR(Calendar!$K$4="*",N2113=Calendar!$K$4)),P2113*100+COUNTIFS($P$6:$P$3267,P2113,$Q$6:$Q$3267,"&lt;="&amp;Q2113,$N$6:$N$3267,Calendar!$K$4),"")</f>
        <v/>
      </c>
      <c r="W2113" s="47">
        <f>IF(AND(B2113=Queue!$C$4,OR(Queue!$K$4="*",N2113=Queue!$K$4)),Q2113,"")</f>
        <v/>
      </c>
    </row>
    <row r="2114">
      <c r="A2114" s="38">
        <f>IF(M2114="","",HYPERLINK("https://www.youtube.com/watch?v="&amp;M2114,"▶"))</f>
        <v/>
      </c>
      <c r="B2114" s="39">
        <f>IF(C2114&lt;&gt;"",C2114,IF(P2114&lt;=IFERROR(INDEX(tblChannels[Watched Through],MATCH(N2114,tblChannels[Channel ID],0)),0),"Watched","Unwatched"))</f>
        <v/>
      </c>
      <c r="C2114" s="40" t="n"/>
      <c r="D2114" s="41" t="n"/>
      <c r="E2114" s="42" t="n">
        <v>43283.6375</v>
      </c>
      <c r="F2114" s="52" t="inlineStr">
        <is>
          <t>Super Carlin Gaming</t>
        </is>
      </c>
      <c r="G2114" t="inlineStr">
        <is>
          <t>We Got Someone Fired | Rocket League #22</t>
        </is>
      </c>
      <c r="H2114" s="44" t="n">
        <v>0.01493055555555556</v>
      </c>
      <c r="I2114" s="45" t="n">
        <v>6587</v>
      </c>
      <c r="J2114" s="45" t="n">
        <v>310</v>
      </c>
      <c r="K2114" s="45" t="n">
        <v>77</v>
      </c>
      <c r="L2114" s="46" t="n"/>
      <c r="M2114" s="47" t="n"/>
      <c r="N2114" s="47" t="inlineStr">
        <is>
          <t>UCor_9jRnNNZVzTuQ92PKsaQ</t>
        </is>
      </c>
      <c r="O2114" s="48" t="n">
        <v>43283.80416666667</v>
      </c>
      <c r="P2114" s="49" t="n">
        <v>43283</v>
      </c>
      <c r="Q2114" s="47" t="n">
        <v>1154</v>
      </c>
      <c r="R2114" s="47" t="inlineStr">
        <is>
          <t>No Video ID yet</t>
        </is>
      </c>
      <c r="S2114" s="49" t="n"/>
      <c r="T2114" s="49" t="n"/>
      <c r="U2114" s="47" t="n"/>
      <c r="V2114" s="47">
        <f>IF(AND(P2114&gt;=Calendar!$K$2,P2114&lt;EDATE(Calendar!$K$2,1),OR(Calendar!$K$4="*",N2114=Calendar!$K$4)),P2114*100+COUNTIFS($P$6:$P$3267,P2114,$Q$6:$Q$3267,"&lt;="&amp;Q2114,$N$6:$N$3267,Calendar!$K$4),"")</f>
        <v/>
      </c>
      <c r="W2114" s="47">
        <f>IF(AND(B2114=Queue!$C$4,OR(Queue!$K$4="*",N2114=Queue!$K$4)),Q2114,"")</f>
        <v/>
      </c>
    </row>
    <row r="2115">
      <c r="A2115" s="38">
        <f>IF(M2115="","",HYPERLINK("https://www.youtube.com/watch?v="&amp;M2115,"▶"))</f>
        <v/>
      </c>
      <c r="B2115" s="39">
        <f>IF(C2115&lt;&gt;"",C2115,IF(P2115&lt;=IFERROR(INDEX(tblChannels[Watched Through],MATCH(N2115,tblChannels[Channel ID],0)),0),"Watched","Unwatched"))</f>
        <v/>
      </c>
      <c r="C2115" s="40" t="n"/>
      <c r="D2115" s="41" t="n"/>
      <c r="E2115" s="42" t="n">
        <v>43283.48194444444</v>
      </c>
      <c r="F2115" s="53" t="inlineStr">
        <is>
          <t>Jonathan Carlin</t>
        </is>
      </c>
      <c r="G2115" t="inlineStr">
        <is>
          <t>Beth's Last Week of School | Jordan's First Week at SCB</t>
        </is>
      </c>
      <c r="H2115" s="44" t="n">
        <v>0.006724537037037037</v>
      </c>
      <c r="I2115" s="45" t="n">
        <v>39982</v>
      </c>
      <c r="J2115" s="45" t="n">
        <v>1907</v>
      </c>
      <c r="K2115" s="45" t="n">
        <v>235</v>
      </c>
      <c r="L2115" s="46" t="n"/>
      <c r="M2115" s="47" t="n"/>
      <c r="N2115" s="47" t="inlineStr">
        <is>
          <t>UCYPKFe86e6nm4TVUYKLsFUQ</t>
        </is>
      </c>
      <c r="O2115" s="48" t="n">
        <v>43283.64861111111</v>
      </c>
      <c r="P2115" s="49" t="n">
        <v>43283</v>
      </c>
      <c r="Q2115" s="47" t="n">
        <v>1153</v>
      </c>
      <c r="R2115" s="47" t="inlineStr">
        <is>
          <t>No Video ID yet</t>
        </is>
      </c>
      <c r="S2115" s="49" t="n"/>
      <c r="T2115" s="49" t="n"/>
      <c r="U2115" s="47" t="inlineStr">
        <is>
          <t>This week the SCB team welcomes a new employee while back at the house Beth says good bye to teaching.</t>
        </is>
      </c>
      <c r="V2115" s="47">
        <f>IF(AND(P2115&gt;=Calendar!$K$2,P2115&lt;EDATE(Calendar!$K$2,1),OR(Calendar!$K$4="*",N2115=Calendar!$K$4)),P2115*100+COUNTIFS($P$6:$P$3267,P2115,$Q$6:$Q$3267,"&lt;="&amp;Q2115,$N$6:$N$3267,Calendar!$K$4),"")</f>
        <v/>
      </c>
      <c r="W2115" s="47">
        <f>IF(AND(B2115=Queue!$C$4,OR(Queue!$K$4="*",N2115=Queue!$K$4)),Q2115,"")</f>
        <v/>
      </c>
    </row>
    <row r="2116">
      <c r="A2116" s="38">
        <f>IF(M2116="","",HYPERLINK("https://www.youtube.com/watch?v="&amp;M2116,"▶"))</f>
        <v/>
      </c>
      <c r="B2116" s="39">
        <f>IF(C2116&lt;&gt;"",C2116,IF(P2116&lt;=IFERROR(INDEX(tblChannels[Watched Through],MATCH(N2116,tblChannels[Channel ID],0)),0),"Watched","Unwatched"))</f>
        <v/>
      </c>
      <c r="C2116" s="40" t="n"/>
      <c r="D2116" s="41" t="n"/>
      <c r="E2116" s="42" t="n">
        <v>43283.05</v>
      </c>
      <c r="F2116" s="52" t="inlineStr">
        <is>
          <t>Super Carlin Gaming</t>
        </is>
      </c>
      <c r="G2116" t="inlineStr">
        <is>
          <t>LIVE - Rocket League! Probably Getting Destroyed Online...</t>
        </is>
      </c>
      <c r="H2116" s="44" t="n">
        <v>0.08182870370370371</v>
      </c>
      <c r="I2116" s="45" t="n">
        <v>2929</v>
      </c>
      <c r="J2116" s="45" t="n">
        <v>126</v>
      </c>
      <c r="K2116" s="45" t="n">
        <v>7</v>
      </c>
      <c r="L2116" s="46" t="n"/>
      <c r="M2116" s="47" t="n"/>
      <c r="N2116" s="47" t="inlineStr">
        <is>
          <t>UCor_9jRnNNZVzTuQ92PKsaQ</t>
        </is>
      </c>
      <c r="O2116" s="48" t="n">
        <v>43283.21666666667</v>
      </c>
      <c r="P2116" s="49" t="n">
        <v>43283</v>
      </c>
      <c r="Q2116" s="47" t="n">
        <v>1152</v>
      </c>
      <c r="R2116" s="47" t="inlineStr">
        <is>
          <t>No Video ID yet</t>
        </is>
      </c>
      <c r="S2116" s="49" t="n"/>
      <c r="T2116" s="49" t="n"/>
      <c r="U2116" s="47" t="inlineStr">
        <is>
          <t>Support the stream: J ventures into the world of online Rocket League where he anticipates doing poorly - SOUNDS FUN! Join The Discord! J on twitter: Ben on Twitter: DK on Twitter:</t>
        </is>
      </c>
      <c r="V2116" s="47">
        <f>IF(AND(P2116&gt;=Calendar!$K$2,P2116&lt;EDATE(Calendar!$K$2,1),OR(Calendar!$K$4="*",N2116=Calendar!$K$4)),P2116*100+COUNTIFS($P$6:$P$3267,P2116,$Q$6:$Q$3267,"&lt;="&amp;Q2116,$N$6:$N$3267,Calendar!$K$4),"")</f>
        <v/>
      </c>
      <c r="W2116" s="47">
        <f>IF(AND(B2116=Queue!$C$4,OR(Queue!$K$4="*",N2116=Queue!$K$4)),Q2116,"")</f>
        <v/>
      </c>
    </row>
    <row r="2117">
      <c r="A2117" s="38">
        <f>IF(M2117="","",HYPERLINK("https://www.youtube.com/watch?v="&amp;M2117,"▶"))</f>
        <v/>
      </c>
      <c r="B2117" s="39">
        <f>IF(C2117&lt;&gt;"",C2117,IF(P2117&lt;=IFERROR(INDEX(tblChannels[Watched Through],MATCH(N2117,tblChannels[Channel ID],0)),0),"Watched","Unwatched"))</f>
        <v/>
      </c>
      <c r="C2117" s="40" t="n"/>
      <c r="D2117" s="41" t="n"/>
      <c r="E2117" s="42" t="n">
        <v>43280.41666666666</v>
      </c>
      <c r="F2117" s="52" t="inlineStr">
        <is>
          <t>Super Carlin Gaming</t>
        </is>
      </c>
      <c r="G2117" t="inlineStr">
        <is>
          <t>I'M BATMAN | Rocket League #21</t>
        </is>
      </c>
      <c r="H2117" s="44" t="n">
        <v>0.01478009259259259</v>
      </c>
      <c r="I2117" s="45" t="n">
        <v>6554</v>
      </c>
      <c r="J2117" s="45" t="n">
        <v>265</v>
      </c>
      <c r="K2117" s="45" t="n">
        <v>93</v>
      </c>
      <c r="L2117" s="46" t="n"/>
      <c r="M2117" s="47" t="n"/>
      <c r="N2117" s="47" t="inlineStr">
        <is>
          <t>UCor_9jRnNNZVzTuQ92PKsaQ</t>
        </is>
      </c>
      <c r="O2117" s="48" t="n">
        <v>43280.58333333334</v>
      </c>
      <c r="P2117" s="49" t="n">
        <v>43280</v>
      </c>
      <c r="Q2117" s="47" t="n">
        <v>1151</v>
      </c>
      <c r="R2117" s="47" t="inlineStr">
        <is>
          <t>No Video ID yet</t>
        </is>
      </c>
      <c r="S2117" s="49" t="n"/>
      <c r="T2117" s="49" t="n"/>
      <c r="U2117" s="47" t="inlineStr">
        <is>
          <t>J, Ben and Team Skywater enter the Rocket League Coliseum and try and win their way to the league championship! Also we are driving Batmobiles and are BATMAN!</t>
        </is>
      </c>
      <c r="V2117" s="47">
        <f>IF(AND(P2117&gt;=Calendar!$K$2,P2117&lt;EDATE(Calendar!$K$2,1),OR(Calendar!$K$4="*",N2117=Calendar!$K$4)),P2117*100+COUNTIFS($P$6:$P$3267,P2117,$Q$6:$Q$3267,"&lt;="&amp;Q2117,$N$6:$N$3267,Calendar!$K$4),"")</f>
        <v/>
      </c>
      <c r="W2117" s="47">
        <f>IF(AND(B2117=Queue!$C$4,OR(Queue!$K$4="*",N2117=Queue!$K$4)),Q2117,"")</f>
        <v/>
      </c>
    </row>
    <row r="2118">
      <c r="A2118" s="38">
        <f>IF(M2118="","",HYPERLINK("https://www.youtube.com/watch?v="&amp;M2118,"▶"))</f>
        <v/>
      </c>
      <c r="B2118" s="39">
        <f>IF(C2118&lt;&gt;"",C2118,IF(P2118&lt;=IFERROR(INDEX(tblChannels[Watched Through],MATCH(N2118,tblChannels[Channel ID],0)),0),"Watched","Unwatched"))</f>
        <v/>
      </c>
      <c r="C2118" s="40" t="n"/>
      <c r="D2118" s="41" t="n"/>
      <c r="E2118" s="42" t="n">
        <v>43279.64513888889</v>
      </c>
      <c r="F2118" s="50" t="inlineStr">
        <is>
          <t>Super Carlin Brothers</t>
        </is>
      </c>
      <c r="G2118" t="inlineStr">
        <is>
          <t>J vs Ben vs Brizzy: Sorting Pixar Characters Into Hogwarts Houses</t>
        </is>
      </c>
      <c r="H2118" s="44" t="n">
        <v>0.01842592592592593</v>
      </c>
      <c r="I2118" s="45" t="n">
        <v>774668</v>
      </c>
      <c r="J2118" s="45" t="n">
        <v>17942</v>
      </c>
      <c r="K2118" s="45" t="n">
        <v>3508</v>
      </c>
      <c r="L2118" s="46" t="n"/>
      <c r="M2118" s="47" t="n"/>
      <c r="N2118" s="47" t="inlineStr">
        <is>
          <t>UCKZo4N0lVPccBkSiuyVh4yg</t>
        </is>
      </c>
      <c r="O2118" s="48" t="n">
        <v>43279.81180555555</v>
      </c>
      <c r="P2118" s="49" t="n">
        <v>43279</v>
      </c>
      <c r="Q2118" s="47" t="n">
        <v>1150</v>
      </c>
      <c r="R2118" s="47" t="inlineStr">
        <is>
          <t>No Video ID yet</t>
        </is>
      </c>
      <c r="S2118" s="49" t="n"/>
      <c r="T2118" s="49" t="n"/>
      <c r="U2118" s="47" t="inlineStr">
        <is>
          <t>Check out Brizzy's channel :: Fantastic Geeks and Where to Find Them :: Today J, Ben and Brizzy face off and try and decide which Hogwarts Houses different Pixar characters belong in! Is Woody a Slytherin? Is EVE a Ravenclaw - FIND OUT!</t>
        </is>
      </c>
      <c r="V2118" s="47">
        <f>IF(AND(P2118&gt;=Calendar!$K$2,P2118&lt;EDATE(Calendar!$K$2,1),OR(Calendar!$K$4="*",N2118=Calendar!$K$4)),P2118*100+COUNTIFS($P$6:$P$3267,P2118,$Q$6:$Q$3267,"&lt;="&amp;Q2118,$N$6:$N$3267,Calendar!$K$4),"")</f>
        <v/>
      </c>
      <c r="W2118" s="47">
        <f>IF(AND(B2118=Queue!$C$4,OR(Queue!$K$4="*",N2118=Queue!$K$4)),Q2118,"")</f>
        <v/>
      </c>
    </row>
    <row r="2119">
      <c r="A2119" s="38">
        <f>IF(M2119="","",HYPERLINK("https://www.youtube.com/watch?v="&amp;M2119,"▶"))</f>
        <v/>
      </c>
      <c r="B2119" s="39">
        <f>IF(C2119&lt;&gt;"",C2119,IF(P2119&lt;=IFERROR(INDEX(tblChannels[Watched Through],MATCH(N2119,tblChannels[Channel ID],0)),0),"Watched","Unwatched"))</f>
        <v/>
      </c>
      <c r="C2119" s="40" t="n"/>
      <c r="D2119" s="41" t="n"/>
      <c r="E2119" s="42" t="n">
        <v>43278.41666666666</v>
      </c>
      <c r="F2119" s="52" t="inlineStr">
        <is>
          <t>Super Carlin Gaming</t>
        </is>
      </c>
      <c r="G2119" t="inlineStr">
        <is>
          <t>Crusty Toothpaste | Rocket League #20</t>
        </is>
      </c>
      <c r="H2119" s="44" t="n">
        <v>0.01288194444444444</v>
      </c>
      <c r="I2119" s="45" t="n">
        <v>6678</v>
      </c>
      <c r="J2119" s="45" t="n">
        <v>259</v>
      </c>
      <c r="K2119" s="45" t="n">
        <v>60</v>
      </c>
      <c r="L2119" s="46" t="n"/>
      <c r="M2119" s="47" t="n"/>
      <c r="N2119" s="47" t="inlineStr">
        <is>
          <t>UCor_9jRnNNZVzTuQ92PKsaQ</t>
        </is>
      </c>
      <c r="O2119" s="48" t="n">
        <v>43278.58333333334</v>
      </c>
      <c r="P2119" s="49" t="n">
        <v>43278</v>
      </c>
      <c r="Q2119" s="47" t="n">
        <v>1149</v>
      </c>
      <c r="R2119" s="47" t="inlineStr">
        <is>
          <t>No Video ID yet</t>
        </is>
      </c>
      <c r="S2119" s="49" t="n"/>
      <c r="T2119" s="49" t="n"/>
      <c r="U2119" s="47" t="inlineStr">
        <is>
          <t>J, Ben and Team Skywater enter the Rocket League Coliseum and try and win their way to the league championship! Also Ben had a crazy roommate who had specific rules about toothpaste lids</t>
        </is>
      </c>
      <c r="V2119" s="47">
        <f>IF(AND(P2119&gt;=Calendar!$K$2,P2119&lt;EDATE(Calendar!$K$2,1),OR(Calendar!$K$4="*",N2119=Calendar!$K$4)),P2119*100+COUNTIFS($P$6:$P$3267,P2119,$Q$6:$Q$3267,"&lt;="&amp;Q2119,$N$6:$N$3267,Calendar!$K$4),"")</f>
        <v/>
      </c>
      <c r="W2119" s="47">
        <f>IF(AND(B2119=Queue!$C$4,OR(Queue!$K$4="*",N2119=Queue!$K$4)),Q2119,"")</f>
        <v/>
      </c>
    </row>
    <row r="2120">
      <c r="A2120" s="38">
        <f>IF(M2120="","",HYPERLINK("https://www.youtube.com/watch?v="&amp;M2120,"▶"))</f>
        <v/>
      </c>
      <c r="B2120" s="39">
        <f>IF(C2120&lt;&gt;"",C2120,IF(P2120&lt;=IFERROR(INDEX(tblChannels[Watched Through],MATCH(N2120,tblChannels[Channel ID],0)),0),"Watched","Unwatched"))</f>
        <v/>
      </c>
      <c r="C2120" s="40" t="n"/>
      <c r="D2120" s="41" t="n"/>
      <c r="E2120" s="42" t="n">
        <v>43277.625</v>
      </c>
      <c r="F2120" s="50" t="inlineStr">
        <is>
          <t>Super Carlin Brothers</t>
        </is>
      </c>
      <c r="G2120" t="inlineStr">
        <is>
          <t>Top 10 CRINGE Moments in Harry Potter Movies</t>
        </is>
      </c>
      <c r="H2120" s="44" t="n">
        <v>0.010625</v>
      </c>
      <c r="I2120" s="45" t="n">
        <v>2212728</v>
      </c>
      <c r="J2120" s="45" t="n">
        <v>53324</v>
      </c>
      <c r="K2120" s="45" t="n">
        <v>10356</v>
      </c>
      <c r="L2120" s="46" t="n"/>
      <c r="M2120" s="47" t="n"/>
      <c r="N2120" s="47" t="inlineStr">
        <is>
          <t>UCKZo4N0lVPccBkSiuyVh4yg</t>
        </is>
      </c>
      <c r="O2120" s="48" t="n">
        <v>43277.79166666666</v>
      </c>
      <c r="P2120" s="49" t="n">
        <v>43277</v>
      </c>
      <c r="Q2120" s="47" t="n">
        <v>1148</v>
      </c>
      <c r="R2120" s="47" t="inlineStr">
        <is>
          <t>No Video ID yet</t>
        </is>
      </c>
      <c r="S2120" s="49" t="n"/>
      <c r="T2120" s="49" t="n"/>
      <c r="U2120" s="47" t="inlineStr">
        <is>
          <t>We all love the Harry Potter movies, but for every perfect moment of Dobby or Hagrid, there is a Cringe worthy moment where Harry awkwardly eats a cookie - Today dives into the Wizarding World to celebrate those moments with the Top 10 Cringe moments in Harry Potter movies!</t>
        </is>
      </c>
      <c r="V2120" s="47">
        <f>IF(AND(P2120&gt;=Calendar!$K$2,P2120&lt;EDATE(Calendar!$K$2,1),OR(Calendar!$K$4="*",N2120=Calendar!$K$4)),P2120*100+COUNTIFS($P$6:$P$3267,P2120,$Q$6:$Q$3267,"&lt;="&amp;Q2120,$N$6:$N$3267,Calendar!$K$4),"")</f>
        <v/>
      </c>
      <c r="W2120" s="47">
        <f>IF(AND(B2120=Queue!$C$4,OR(Queue!$K$4="*",N2120=Queue!$K$4)),Q2120,"")</f>
        <v/>
      </c>
    </row>
    <row r="2121">
      <c r="A2121" s="38">
        <f>IF(M2121="","",HYPERLINK("https://www.youtube.com/watch?v="&amp;M2121,"▶"))</f>
        <v/>
      </c>
      <c r="B2121" s="39">
        <f>IF(C2121&lt;&gt;"",C2121,IF(P2121&lt;=IFERROR(INDEX(tblChannels[Watched Through],MATCH(N2121,tblChannels[Channel ID],0)),0),"Watched","Unwatched"))</f>
        <v/>
      </c>
      <c r="C2121" s="40" t="n"/>
      <c r="D2121" s="41" t="n"/>
      <c r="E2121" s="42" t="n">
        <v>43276.41666666666</v>
      </c>
      <c r="F2121" s="52" t="inlineStr">
        <is>
          <t>Super Carlin Gaming</t>
        </is>
      </c>
      <c r="G2121" t="inlineStr">
        <is>
          <t>Video Games Make Me Sing! | Rocket League #19</t>
        </is>
      </c>
      <c r="H2121" s="44" t="n">
        <v>0.01375</v>
      </c>
      <c r="I2121" s="45" t="n">
        <v>6954</v>
      </c>
      <c r="J2121" s="45" t="n">
        <v>292</v>
      </c>
      <c r="K2121" s="45" t="n">
        <v>81</v>
      </c>
      <c r="L2121" s="46" t="n"/>
      <c r="M2121" s="47" t="n"/>
      <c r="N2121" s="47" t="inlineStr">
        <is>
          <t>UCor_9jRnNNZVzTuQ92PKsaQ</t>
        </is>
      </c>
      <c r="O2121" s="48" t="n">
        <v>43276.58333333334</v>
      </c>
      <c r="P2121" s="49" t="n">
        <v>43276</v>
      </c>
      <c r="Q2121" s="47" t="n">
        <v>1147</v>
      </c>
      <c r="R2121" s="47" t="inlineStr">
        <is>
          <t>No Video ID yet</t>
        </is>
      </c>
      <c r="S2121" s="49" t="n"/>
      <c r="T2121" s="49" t="n"/>
      <c r="U2121" s="47" t="inlineStr">
        <is>
          <t>J, Ben and Team Skywater enter the Rocket League Coliseum and try and win their way to the league championship! Also Ben may sing...</t>
        </is>
      </c>
      <c r="V2121" s="47">
        <f>IF(AND(P2121&gt;=Calendar!$K$2,P2121&lt;EDATE(Calendar!$K$2,1),OR(Calendar!$K$4="*",N2121=Calendar!$K$4)),P2121*100+COUNTIFS($P$6:$P$3267,P2121,$Q$6:$Q$3267,"&lt;="&amp;Q2121,$N$6:$N$3267,Calendar!$K$4),"")</f>
        <v/>
      </c>
      <c r="W2121" s="47">
        <f>IF(AND(B2121=Queue!$C$4,OR(Queue!$K$4="*",N2121=Queue!$K$4)),Q2121,"")</f>
        <v/>
      </c>
    </row>
    <row r="2122">
      <c r="A2122" s="38">
        <f>IF(M2122="","",HYPERLINK("https://www.youtube.com/watch?v="&amp;M2122,"▶"))</f>
        <v/>
      </c>
      <c r="B2122" s="39">
        <f>IF(C2122&lt;&gt;"",C2122,IF(P2122&lt;=IFERROR(INDEX(tblChannels[Watched Through],MATCH(N2122,tblChannels[Channel ID],0)),0),"Watched","Unwatched"))</f>
        <v/>
      </c>
      <c r="C2122" s="40" t="n"/>
      <c r="D2122" s="41" t="n"/>
      <c r="E2122" s="42" t="n">
        <v>43273.4375</v>
      </c>
      <c r="F2122" s="52" t="inlineStr">
        <is>
          <t>Super Carlin Gaming</t>
        </is>
      </c>
      <c r="G2122" t="inlineStr">
        <is>
          <t>Not Just Woolies | Rocket League #18</t>
        </is>
      </c>
      <c r="H2122" s="44" t="n">
        <v>0.01322916666666667</v>
      </c>
      <c r="I2122" s="45" t="n">
        <v>7004</v>
      </c>
      <c r="J2122" s="45" t="n">
        <v>275</v>
      </c>
      <c r="K2122" s="45" t="n">
        <v>64</v>
      </c>
      <c r="L2122" s="46" t="n"/>
      <c r="M2122" s="47" t="n"/>
      <c r="N2122" s="47" t="inlineStr">
        <is>
          <t>UCor_9jRnNNZVzTuQ92PKsaQ</t>
        </is>
      </c>
      <c r="O2122" s="48" t="n">
        <v>43273.60416666666</v>
      </c>
      <c r="P2122" s="49" t="n">
        <v>43273</v>
      </c>
      <c r="Q2122" s="47" t="n">
        <v>1146</v>
      </c>
      <c r="R2122" s="47" t="inlineStr">
        <is>
          <t>No Video ID yet</t>
        </is>
      </c>
      <c r="S2122" s="49" t="n"/>
      <c r="T2122" s="49" t="n"/>
      <c r="U2122" s="47" t="n"/>
      <c r="V2122" s="47">
        <f>IF(AND(P2122&gt;=Calendar!$K$2,P2122&lt;EDATE(Calendar!$K$2,1),OR(Calendar!$K$4="*",N2122=Calendar!$K$4)),P2122*100+COUNTIFS($P$6:$P$3267,P2122,$Q$6:$Q$3267,"&lt;="&amp;Q2122,$N$6:$N$3267,Calendar!$K$4),"")</f>
        <v/>
      </c>
      <c r="W2122" s="47">
        <f>IF(AND(B2122=Queue!$C$4,OR(Queue!$K$4="*",N2122=Queue!$K$4)),Q2122,"")</f>
        <v/>
      </c>
    </row>
    <row r="2123">
      <c r="A2123" s="38">
        <f>IF(M2123="","",HYPERLINK("https://www.youtube.com/watch?v="&amp;M2123,"▶"))</f>
        <v/>
      </c>
      <c r="B2123" s="39">
        <f>IF(C2123&lt;&gt;"",C2123,IF(P2123&lt;=IFERROR(INDEX(tblChannels[Watched Through],MATCH(N2123,tblChannels[Channel ID],0)),0),"Watched","Unwatched"))</f>
        <v/>
      </c>
      <c r="C2123" s="40" t="n"/>
      <c r="D2123" s="41" t="n"/>
      <c r="E2123" s="42" t="n">
        <v>43272.625</v>
      </c>
      <c r="F2123" s="50" t="inlineStr">
        <is>
          <t>Super Carlin Brothers</t>
        </is>
      </c>
      <c r="G2123" t="inlineStr">
        <is>
          <t>How Incredibles 2 Fits Into The Pixar Theory</t>
        </is>
      </c>
      <c r="H2123" s="44" t="n">
        <v>0.007141203703703703</v>
      </c>
      <c r="I2123" s="45" t="n">
        <v>1602292</v>
      </c>
      <c r="J2123" s="45" t="n">
        <v>41445</v>
      </c>
      <c r="K2123" s="45" t="n">
        <v>4427</v>
      </c>
      <c r="L2123" s="46" t="n"/>
      <c r="M2123" s="47" t="n"/>
      <c r="N2123" s="47" t="inlineStr">
        <is>
          <t>UCKZo4N0lVPccBkSiuyVh4yg</t>
        </is>
      </c>
      <c r="O2123" s="48" t="n">
        <v>43272.79166666666</v>
      </c>
      <c r="P2123" s="49" t="n">
        <v>43272</v>
      </c>
      <c r="Q2123" s="47" t="n">
        <v>1145</v>
      </c>
      <c r="R2123" s="47" t="inlineStr">
        <is>
          <t>No Video ID yet</t>
        </is>
      </c>
      <c r="S2123" s="49" t="n"/>
      <c r="T2123" s="49" t="n"/>
      <c r="U2123" s="47" t="inlineStr">
        <is>
          <t>Today Ben goes over how Disney Pixar's latest film: Incredibles 2 fits into the Pixar Theory! Check out Jon Negroni's original Pixar Theory Post ::</t>
        </is>
      </c>
      <c r="V2123" s="47">
        <f>IF(AND(P2123&gt;=Calendar!$K$2,P2123&lt;EDATE(Calendar!$K$2,1),OR(Calendar!$K$4="*",N2123=Calendar!$K$4)),P2123*100+COUNTIFS($P$6:$P$3267,P2123,$Q$6:$Q$3267,"&lt;="&amp;Q2123,$N$6:$N$3267,Calendar!$K$4),"")</f>
        <v/>
      </c>
      <c r="W2123" s="47">
        <f>IF(AND(B2123=Queue!$C$4,OR(Queue!$K$4="*",N2123=Queue!$K$4)),Q2123,"")</f>
        <v/>
      </c>
    </row>
    <row r="2124">
      <c r="A2124" s="38">
        <f>IF(M2124="","",HYPERLINK("https://www.youtube.com/watch?v="&amp;M2124,"▶"))</f>
        <v/>
      </c>
      <c r="B2124" s="39">
        <f>IF(C2124&lt;&gt;"",C2124,IF(P2124&lt;=IFERROR(INDEX(tblChannels[Watched Through],MATCH(N2124,tblChannels[Channel ID],0)),0),"Watched","Unwatched"))</f>
        <v/>
      </c>
      <c r="C2124" s="40" t="n"/>
      <c r="D2124" s="41" t="n"/>
      <c r="E2124" s="42" t="n">
        <v>43271.4375</v>
      </c>
      <c r="F2124" s="52" t="inlineStr">
        <is>
          <t>Super Carlin Gaming</t>
        </is>
      </c>
      <c r="G2124" t="inlineStr">
        <is>
          <t>Dallas Fort Houston | Rocket League #17</t>
        </is>
      </c>
      <c r="H2124" s="44" t="n">
        <v>0.01520833333333333</v>
      </c>
      <c r="I2124" s="45" t="n">
        <v>7947</v>
      </c>
      <c r="J2124" s="45" t="n">
        <v>298</v>
      </c>
      <c r="K2124" s="45" t="n">
        <v>64</v>
      </c>
      <c r="L2124" s="46" t="n"/>
      <c r="M2124" s="47" t="n"/>
      <c r="N2124" s="47" t="inlineStr">
        <is>
          <t>UCor_9jRnNNZVzTuQ92PKsaQ</t>
        </is>
      </c>
      <c r="O2124" s="48" t="n">
        <v>43271.60416666666</v>
      </c>
      <c r="P2124" s="49" t="n">
        <v>43271</v>
      </c>
      <c r="Q2124" s="47" t="n">
        <v>1144</v>
      </c>
      <c r="R2124" s="47" t="inlineStr">
        <is>
          <t>No Video ID yet</t>
        </is>
      </c>
      <c r="S2124" s="49" t="n"/>
      <c r="T2124" s="49" t="n"/>
      <c r="U2124" s="47" t="n"/>
      <c r="V2124" s="47">
        <f>IF(AND(P2124&gt;=Calendar!$K$2,P2124&lt;EDATE(Calendar!$K$2,1),OR(Calendar!$K$4="*",N2124=Calendar!$K$4)),P2124*100+COUNTIFS($P$6:$P$3267,P2124,$Q$6:$Q$3267,"&lt;="&amp;Q2124,$N$6:$N$3267,Calendar!$K$4),"")</f>
        <v/>
      </c>
      <c r="W2124" s="47">
        <f>IF(AND(B2124=Queue!$C$4,OR(Queue!$K$4="*",N2124=Queue!$K$4)),Q2124,"")</f>
        <v/>
      </c>
    </row>
    <row r="2125">
      <c r="A2125" s="38">
        <f>IF(M2125="","",HYPERLINK("https://www.youtube.com/watch?v="&amp;M2125,"▶"))</f>
        <v/>
      </c>
      <c r="B2125" s="39">
        <f>IF(C2125&lt;&gt;"",C2125,IF(P2125&lt;=IFERROR(INDEX(tblChannels[Watched Through],MATCH(N2125,tblChannels[Channel ID],0)),0),"Watched","Unwatched"))</f>
        <v/>
      </c>
      <c r="C2125" s="40" t="n"/>
      <c r="D2125" s="41" t="n"/>
      <c r="E2125" s="42" t="n">
        <v>43270.51388888889</v>
      </c>
      <c r="F2125" s="50" t="inlineStr">
        <is>
          <t>Super Carlin Brothers</t>
        </is>
      </c>
      <c r="G2125" t="inlineStr">
        <is>
          <t>Is Incredibles 2 The Best Pixar Sequel? | SPOILER REVIEW</t>
        </is>
      </c>
      <c r="H2125" s="44" t="n">
        <v>0.03846064814814815</v>
      </c>
      <c r="I2125" s="45" t="n">
        <v>609532</v>
      </c>
      <c r="J2125" s="45" t="n">
        <v>13600</v>
      </c>
      <c r="K2125" s="45" t="n">
        <v>4081</v>
      </c>
      <c r="L2125" s="46" t="n"/>
      <c r="M2125" s="47" t="n"/>
      <c r="N2125" s="47" t="inlineStr">
        <is>
          <t>UCKZo4N0lVPccBkSiuyVh4yg</t>
        </is>
      </c>
      <c r="O2125" s="48" t="n">
        <v>43270.68055555555</v>
      </c>
      <c r="P2125" s="49" t="n">
        <v>43270</v>
      </c>
      <c r="Q2125" s="47" t="n">
        <v>1143</v>
      </c>
      <c r="R2125" s="47" t="inlineStr">
        <is>
          <t>No Video ID yet</t>
        </is>
      </c>
      <c r="S2125" s="49" t="n"/>
      <c r="T2125" s="49" t="n"/>
      <c r="U2125" s="47" t="inlineStr">
        <is>
          <t>Disney Pixar's Incredibles 2 just hit theaters and J and Ben have MANY thoughts! Today they are joined by their editor DK to give their full Spoiler review of Incredibles 2!</t>
        </is>
      </c>
      <c r="V2125" s="47">
        <f>IF(AND(P2125&gt;=Calendar!$K$2,P2125&lt;EDATE(Calendar!$K$2,1),OR(Calendar!$K$4="*",N2125=Calendar!$K$4)),P2125*100+COUNTIFS($P$6:$P$3267,P2125,$Q$6:$Q$3267,"&lt;="&amp;Q2125,$N$6:$N$3267,Calendar!$K$4),"")</f>
        <v/>
      </c>
      <c r="W2125" s="47">
        <f>IF(AND(B2125=Queue!$C$4,OR(Queue!$K$4="*",N2125=Queue!$K$4)),Q2125,"")</f>
        <v/>
      </c>
    </row>
    <row r="2126">
      <c r="A2126" s="38">
        <f>IF(M2126="","",HYPERLINK("https://www.youtube.com/watch?v="&amp;M2126,"▶"))</f>
        <v/>
      </c>
      <c r="B2126" s="39">
        <f>IF(C2126&lt;&gt;"",C2126,IF(P2126&lt;=IFERROR(INDEX(tblChannels[Watched Through],MATCH(N2126,tblChannels[Channel ID],0)),0),"Watched","Unwatched"))</f>
        <v/>
      </c>
      <c r="C2126" s="40" t="n"/>
      <c r="D2126" s="41" t="n"/>
      <c r="E2126" s="42" t="n">
        <v>43269.72013888889</v>
      </c>
      <c r="F2126" s="53" t="inlineStr">
        <is>
          <t>Jonathan Carlin</t>
        </is>
      </c>
      <c r="G2126" t="inlineStr">
        <is>
          <t>New Employees Cause Floods and Fevers</t>
        </is>
      </c>
      <c r="H2126" s="44" t="n">
        <v>0.00818287037037037</v>
      </c>
      <c r="I2126" s="45" t="n">
        <v>44665</v>
      </c>
      <c r="J2126" s="45" t="n">
        <v>1981</v>
      </c>
      <c r="K2126" s="45" t="n">
        <v>285</v>
      </c>
      <c r="L2126" s="46" t="n"/>
      <c r="M2126" s="47" t="n"/>
      <c r="N2126" s="47" t="inlineStr">
        <is>
          <t>UCYPKFe86e6nm4TVUYKLsFUQ</t>
        </is>
      </c>
      <c r="O2126" s="48" t="n">
        <v>43269.88680555556</v>
      </c>
      <c r="P2126" s="49" t="n">
        <v>43269</v>
      </c>
      <c r="Q2126" s="47" t="n">
        <v>1142</v>
      </c>
      <c r="R2126" s="47" t="inlineStr">
        <is>
          <t>No Video ID yet</t>
        </is>
      </c>
      <c r="S2126" s="49" t="n"/>
      <c r="T2126" s="49" t="n"/>
      <c r="U2126" s="47" t="inlineStr">
        <is>
          <t>This week Luke tries solid foods, J solves his pool table problem and a new employee is making her way to SCB!</t>
        </is>
      </c>
      <c r="V2126" s="47">
        <f>IF(AND(P2126&gt;=Calendar!$K$2,P2126&lt;EDATE(Calendar!$K$2,1),OR(Calendar!$K$4="*",N2126=Calendar!$K$4)),P2126*100+COUNTIFS($P$6:$P$3267,P2126,$Q$6:$Q$3267,"&lt;="&amp;Q2126,$N$6:$N$3267,Calendar!$K$4),"")</f>
        <v/>
      </c>
      <c r="W2126" s="47">
        <f>IF(AND(B2126=Queue!$C$4,OR(Queue!$K$4="*",N2126=Queue!$K$4)),Q2126,"")</f>
        <v/>
      </c>
    </row>
    <row r="2127">
      <c r="A2127" s="38">
        <f>IF(M2127="","",HYPERLINK("https://www.youtube.com/watch?v="&amp;M2127,"▶"))</f>
        <v/>
      </c>
      <c r="B2127" s="39">
        <f>IF(C2127&lt;&gt;"",C2127,IF(P2127&lt;=IFERROR(INDEX(tblChannels[Watched Through],MATCH(N2127,tblChannels[Channel ID],0)),0),"Watched","Unwatched"))</f>
        <v/>
      </c>
      <c r="C2127" s="40" t="n"/>
      <c r="D2127" s="41" t="n"/>
      <c r="E2127" s="42" t="n">
        <v>43269.44236111111</v>
      </c>
      <c r="F2127" s="52" t="inlineStr">
        <is>
          <t>Super Carlin Gaming</t>
        </is>
      </c>
      <c r="G2127" t="inlineStr">
        <is>
          <t>The Ol' Whiff &amp; Score | Rocket League #16</t>
        </is>
      </c>
      <c r="H2127" s="44" t="n">
        <v>0.01458333333333333</v>
      </c>
      <c r="I2127" s="45" t="n">
        <v>7836</v>
      </c>
      <c r="J2127" s="45" t="n">
        <v>312</v>
      </c>
      <c r="K2127" s="45" t="n">
        <v>62</v>
      </c>
      <c r="L2127" s="46" t="n"/>
      <c r="M2127" s="47" t="n"/>
      <c r="N2127" s="47" t="inlineStr">
        <is>
          <t>UCor_9jRnNNZVzTuQ92PKsaQ</t>
        </is>
      </c>
      <c r="O2127" s="48" t="n">
        <v>43269.60902777778</v>
      </c>
      <c r="P2127" s="49" t="n">
        <v>43269</v>
      </c>
      <c r="Q2127" s="47" t="n">
        <v>1141</v>
      </c>
      <c r="R2127" s="47" t="inlineStr">
        <is>
          <t>No Video ID yet</t>
        </is>
      </c>
      <c r="S2127" s="49" t="n"/>
      <c r="T2127" s="49" t="n"/>
      <c r="U2127" s="47" t="n"/>
      <c r="V2127" s="47">
        <f>IF(AND(P2127&gt;=Calendar!$K$2,P2127&lt;EDATE(Calendar!$K$2,1),OR(Calendar!$K$4="*",N2127=Calendar!$K$4)),P2127*100+COUNTIFS($P$6:$P$3267,P2127,$Q$6:$Q$3267,"&lt;="&amp;Q2127,$N$6:$N$3267,Calendar!$K$4),"")</f>
        <v/>
      </c>
      <c r="W2127" s="47">
        <f>IF(AND(B2127=Queue!$C$4,OR(Queue!$K$4="*",N2127=Queue!$K$4)),Q2127,"")</f>
        <v/>
      </c>
    </row>
    <row r="2128">
      <c r="A2128" s="38">
        <f>IF(M2128="","",HYPERLINK("https://www.youtube.com/watch?v="&amp;M2128,"▶"))</f>
        <v/>
      </c>
      <c r="B2128" s="39">
        <f>IF(C2128&lt;&gt;"",C2128,IF(P2128&lt;=IFERROR(INDEX(tblChannels[Watched Through],MATCH(N2128,tblChannels[Channel ID],0)),0),"Watched","Unwatched"))</f>
        <v/>
      </c>
      <c r="C2128" s="40" t="n"/>
      <c r="D2128" s="41" t="n"/>
      <c r="E2128" s="42" t="n">
        <v>43266.4375</v>
      </c>
      <c r="F2128" s="52" t="inlineStr">
        <is>
          <t>Super Carlin Gaming</t>
        </is>
      </c>
      <c r="G2128" t="inlineStr">
        <is>
          <t>Holy Krabbie Patties | Rocket League #15</t>
        </is>
      </c>
      <c r="H2128" s="44" t="n">
        <v>0.0140162037037037</v>
      </c>
      <c r="I2128" s="45" t="n">
        <v>8037</v>
      </c>
      <c r="J2128" s="45" t="n">
        <v>316</v>
      </c>
      <c r="K2128" s="45" t="n">
        <v>79</v>
      </c>
      <c r="L2128" s="46" t="n"/>
      <c r="M2128" s="47" t="n"/>
      <c r="N2128" s="47" t="inlineStr">
        <is>
          <t>UCor_9jRnNNZVzTuQ92PKsaQ</t>
        </is>
      </c>
      <c r="O2128" s="48" t="n">
        <v>43266.60416666666</v>
      </c>
      <c r="P2128" s="49" t="n">
        <v>43266</v>
      </c>
      <c r="Q2128" s="47" t="n">
        <v>1140</v>
      </c>
      <c r="R2128" s="47" t="inlineStr">
        <is>
          <t>No Video ID yet</t>
        </is>
      </c>
      <c r="S2128" s="49" t="n"/>
      <c r="T2128" s="49" t="n"/>
      <c r="U2128" s="47" t="n"/>
      <c r="V2128" s="47">
        <f>IF(AND(P2128&gt;=Calendar!$K$2,P2128&lt;EDATE(Calendar!$K$2,1),OR(Calendar!$K$4="*",N2128=Calendar!$K$4)),P2128*100+COUNTIFS($P$6:$P$3267,P2128,$Q$6:$Q$3267,"&lt;="&amp;Q2128,$N$6:$N$3267,Calendar!$K$4),"")</f>
        <v/>
      </c>
      <c r="W2128" s="47">
        <f>IF(AND(B2128=Queue!$C$4,OR(Queue!$K$4="*",N2128=Queue!$K$4)),Q2128,"")</f>
        <v/>
      </c>
    </row>
    <row r="2129">
      <c r="A2129" s="38">
        <f>IF(M2129="","",HYPERLINK("https://www.youtube.com/watch?v="&amp;M2129,"▶"))</f>
        <v/>
      </c>
      <c r="B2129" s="39">
        <f>IF(C2129&lt;&gt;"",C2129,IF(P2129&lt;=IFERROR(INDEX(tblChannels[Watched Through],MATCH(N2129,tblChannels[Channel ID],0)),0),"Watched","Unwatched"))</f>
        <v/>
      </c>
      <c r="C2129" s="40" t="n"/>
      <c r="D2129" s="41" t="n"/>
      <c r="E2129" s="42" t="n">
        <v>43265.71180555555</v>
      </c>
      <c r="F2129" s="50" t="inlineStr">
        <is>
          <t>Super Carlin Brothers</t>
        </is>
      </c>
      <c r="G2129" t="inlineStr">
        <is>
          <t>Neville Is Master Of The Elder Wand | Harry Potter Theory</t>
        </is>
      </c>
      <c r="H2129" s="44" t="n">
        <v>0.008553240740740741</v>
      </c>
      <c r="I2129" s="45" t="n">
        <v>713529</v>
      </c>
      <c r="J2129" s="45" t="n">
        <v>20102</v>
      </c>
      <c r="K2129" s="45" t="n">
        <v>2660</v>
      </c>
      <c r="L2129" s="46" t="n"/>
      <c r="M2129" s="47" t="n"/>
      <c r="N2129" s="47" t="inlineStr">
        <is>
          <t>UCKZo4N0lVPccBkSiuyVh4yg</t>
        </is>
      </c>
      <c r="O2129" s="48" t="n">
        <v>43265.87847222222</v>
      </c>
      <c r="P2129" s="49" t="n">
        <v>43265</v>
      </c>
      <c r="Q2129" s="47" t="n">
        <v>1139</v>
      </c>
      <c r="R2129" s="47" t="inlineStr">
        <is>
          <t>No Video ID yet</t>
        </is>
      </c>
      <c r="S2129" s="49" t="n"/>
      <c r="T2129" s="49" t="n"/>
      <c r="U2129" s="47" t="inlineStr">
        <is>
          <t>Join the Dollar Shave Club :: Thanks to our sponsor Dollar Shave Club, new members get their 1st month of the 'Daily Essentials’ Starter Set including the Executive Razor and trial-sized versions of their Shave Butter, Body Cleanser and One Wipe Charlies’ Butt Wipes for ONLY $5 with FREE shipping. After that razors are just a few bucks a month. Today Ben dives into the Wizarding World of Harry Potter to try and work out the true path of the most famous Deathly Hallow: The Elder Wand - Sure Harry ends up the Master.. but is it possible Neville is the master as well?</t>
        </is>
      </c>
      <c r="V2129" s="47">
        <f>IF(AND(P2129&gt;=Calendar!$K$2,P2129&lt;EDATE(Calendar!$K$2,1),OR(Calendar!$K$4="*",N2129=Calendar!$K$4)),P2129*100+COUNTIFS($P$6:$P$3267,P2129,$Q$6:$Q$3267,"&lt;="&amp;Q2129,$N$6:$N$3267,Calendar!$K$4),"")</f>
        <v/>
      </c>
      <c r="W2129" s="47">
        <f>IF(AND(B2129=Queue!$C$4,OR(Queue!$K$4="*",N2129=Queue!$K$4)),Q2129,"")</f>
        <v/>
      </c>
    </row>
    <row r="2130">
      <c r="A2130" s="38">
        <f>IF(M2130="","",HYPERLINK("https://www.youtube.com/watch?v="&amp;M2130,"▶"))</f>
        <v/>
      </c>
      <c r="B2130" s="39">
        <f>IF(C2130&lt;&gt;"",C2130,IF(P2130&lt;=IFERROR(INDEX(tblChannels[Watched Through],MATCH(N2130,tblChannels[Channel ID],0)),0),"Watched","Unwatched"))</f>
        <v/>
      </c>
      <c r="C2130" s="40" t="n"/>
      <c r="D2130" s="41" t="n"/>
      <c r="E2130" s="42" t="n">
        <v>43265.53402777778</v>
      </c>
      <c r="F2130" s="52" t="inlineStr">
        <is>
          <t>Super Carlin Gaming</t>
        </is>
      </c>
      <c r="G2130" t="inlineStr">
        <is>
          <t>Live Streaming Signing!</t>
        </is>
      </c>
      <c r="H2130" s="44" t="n">
        <v>0.03734953703703704</v>
      </c>
      <c r="I2130" s="45" t="n">
        <v>4158</v>
      </c>
      <c r="J2130" s="45" t="n">
        <v>235</v>
      </c>
      <c r="K2130" s="45" t="n">
        <v>38</v>
      </c>
      <c r="L2130" s="46" t="n"/>
      <c r="M2130" s="47" t="n"/>
      <c r="N2130" s="47" t="inlineStr">
        <is>
          <t>UCor_9jRnNNZVzTuQ92PKsaQ</t>
        </is>
      </c>
      <c r="O2130" s="48" t="n">
        <v>43265.70069444444</v>
      </c>
      <c r="P2130" s="49" t="n">
        <v>43265</v>
      </c>
      <c r="Q2130" s="47" t="n">
        <v>1138</v>
      </c>
      <c r="R2130" s="47" t="inlineStr">
        <is>
          <t>No Video ID yet</t>
        </is>
      </c>
      <c r="S2130" s="49" t="n"/>
      <c r="T2130" s="49" t="n"/>
      <c r="U2130" s="47" t="inlineStr">
        <is>
          <t>Patreon.com/SuperCarlinBrothers</t>
        </is>
      </c>
      <c r="V2130" s="47">
        <f>IF(AND(P2130&gt;=Calendar!$K$2,P2130&lt;EDATE(Calendar!$K$2,1),OR(Calendar!$K$4="*",N2130=Calendar!$K$4)),P2130*100+COUNTIFS($P$6:$P$3267,P2130,$Q$6:$Q$3267,"&lt;="&amp;Q2130,$N$6:$N$3267,Calendar!$K$4),"")</f>
        <v/>
      </c>
      <c r="W2130" s="47">
        <f>IF(AND(B2130=Queue!$C$4,OR(Queue!$K$4="*",N2130=Queue!$K$4)),Q2130,"")</f>
        <v/>
      </c>
    </row>
    <row r="2131">
      <c r="A2131" s="38">
        <f>IF(M2131="","",HYPERLINK("https://www.youtube.com/watch?v="&amp;M2131,"▶"))</f>
        <v/>
      </c>
      <c r="B2131" s="39">
        <f>IF(C2131&lt;&gt;"",C2131,IF(P2131&lt;=IFERROR(INDEX(tblChannels[Watched Through],MATCH(N2131,tblChannels[Channel ID],0)),0),"Watched","Unwatched"))</f>
        <v/>
      </c>
      <c r="C2131" s="40" t="n"/>
      <c r="D2131" s="41" t="n"/>
      <c r="E2131" s="42" t="n">
        <v>43264.4375</v>
      </c>
      <c r="F2131" s="52" t="inlineStr">
        <is>
          <t>Super Carlin Gaming</t>
        </is>
      </c>
      <c r="G2131" t="inlineStr">
        <is>
          <t>Humbled? | Rocket League #14</t>
        </is>
      </c>
      <c r="H2131" s="44" t="n">
        <v>0.01197916666666667</v>
      </c>
      <c r="I2131" s="45" t="n">
        <v>7994</v>
      </c>
      <c r="J2131" s="45" t="n">
        <v>298</v>
      </c>
      <c r="K2131" s="45" t="n">
        <v>53</v>
      </c>
      <c r="L2131" s="46" t="n"/>
      <c r="M2131" s="47" t="n"/>
      <c r="N2131" s="47" t="inlineStr">
        <is>
          <t>UCor_9jRnNNZVzTuQ92PKsaQ</t>
        </is>
      </c>
      <c r="O2131" s="48" t="n">
        <v>43264.60416666666</v>
      </c>
      <c r="P2131" s="49" t="n">
        <v>43264</v>
      </c>
      <c r="Q2131" s="47" t="n">
        <v>1137</v>
      </c>
      <c r="R2131" s="47" t="inlineStr">
        <is>
          <t>No Video ID yet</t>
        </is>
      </c>
      <c r="S2131" s="49" t="n"/>
      <c r="T2131" s="49" t="n"/>
      <c r="U2131" s="47" t="n"/>
      <c r="V2131" s="47">
        <f>IF(AND(P2131&gt;=Calendar!$K$2,P2131&lt;EDATE(Calendar!$K$2,1),OR(Calendar!$K$4="*",N2131=Calendar!$K$4)),P2131*100+COUNTIFS($P$6:$P$3267,P2131,$Q$6:$Q$3267,"&lt;="&amp;Q2131,$N$6:$N$3267,Calendar!$K$4),"")</f>
        <v/>
      </c>
      <c r="W2131" s="47">
        <f>IF(AND(B2131=Queue!$C$4,OR(Queue!$K$4="*",N2131=Queue!$K$4)),Q2131,"")</f>
        <v/>
      </c>
    </row>
    <row r="2132">
      <c r="A2132" s="38">
        <f>IF(M2132="","",HYPERLINK("https://www.youtube.com/watch?v="&amp;M2132,"▶"))</f>
        <v/>
      </c>
      <c r="B2132" s="39">
        <f>IF(C2132&lt;&gt;"",C2132,IF(P2132&lt;=IFERROR(INDEX(tblChannels[Watched Through],MATCH(N2132,tblChannels[Channel ID],0)),0),"Watched","Unwatched"))</f>
        <v/>
      </c>
      <c r="C2132" s="40" t="n"/>
      <c r="D2132" s="41" t="n"/>
      <c r="E2132" s="42" t="n">
        <v>43263.71458333333</v>
      </c>
      <c r="F2132" s="50" t="inlineStr">
        <is>
          <t>Super Carlin Brothers</t>
        </is>
      </c>
      <c r="G2132" t="inlineStr">
        <is>
          <t>How Harry Potter and the Deathly Hallows Was Kept Secret | Harry Potter History</t>
        </is>
      </c>
      <c r="H2132" s="44" t="n">
        <v>0.01005787037037037</v>
      </c>
      <c r="I2132" s="45" t="n">
        <v>796996</v>
      </c>
      <c r="J2132" s="45" t="n">
        <v>24236</v>
      </c>
      <c r="K2132" s="45" t="n">
        <v>3581</v>
      </c>
      <c r="L2132" s="46" t="n"/>
      <c r="M2132" s="47" t="n"/>
      <c r="N2132" s="47" t="inlineStr">
        <is>
          <t>UCKZo4N0lVPccBkSiuyVh4yg</t>
        </is>
      </c>
      <c r="O2132" s="48" t="n">
        <v>43263.88125</v>
      </c>
      <c r="P2132" s="49" t="n">
        <v>43263</v>
      </c>
      <c r="Q2132" s="47" t="n">
        <v>1136</v>
      </c>
      <c r="R2132" s="47" t="inlineStr">
        <is>
          <t>No Video ID yet</t>
        </is>
      </c>
      <c r="S2132" s="49" t="n"/>
      <c r="T2132" s="49" t="n"/>
      <c r="U2132" s="47" t="inlineStr">
        <is>
          <t>Use our link or text code scb to 500-500 to get a free book and 30-day free trial. Today J dives into the Wizarding World of Harry Potter to uncover the crazy lengths Bloomsbury went to to keep Harry Potter and the Deathly Hallows Spoiler free to the masses and preserve that amazing magic moment. This video was inspired by a story in this TIME magazine:</t>
        </is>
      </c>
      <c r="V2132" s="47">
        <f>IF(AND(P2132&gt;=Calendar!$K$2,P2132&lt;EDATE(Calendar!$K$2,1),OR(Calendar!$K$4="*",N2132=Calendar!$K$4)),P2132*100+COUNTIFS($P$6:$P$3267,P2132,$Q$6:$Q$3267,"&lt;="&amp;Q2132,$N$6:$N$3267,Calendar!$K$4),"")</f>
        <v/>
      </c>
      <c r="W2132" s="47">
        <f>IF(AND(B2132=Queue!$C$4,OR(Queue!$K$4="*",N2132=Queue!$K$4)),Q2132,"")</f>
        <v/>
      </c>
    </row>
    <row r="2133">
      <c r="A2133" s="38">
        <f>IF(M2133="","",HYPERLINK("https://www.youtube.com/watch?v="&amp;M2133,"▶"))</f>
        <v/>
      </c>
      <c r="B2133" s="39">
        <f>IF(C2133&lt;&gt;"",C2133,IF(P2133&lt;=IFERROR(INDEX(tblChannels[Watched Through],MATCH(N2133,tblChannels[Channel ID],0)),0),"Watched","Unwatched"))</f>
        <v/>
      </c>
      <c r="C2133" s="40" t="n"/>
      <c r="D2133" s="41" t="n"/>
      <c r="E2133" s="42" t="n">
        <v>43262.56875</v>
      </c>
      <c r="F2133" s="53" t="inlineStr">
        <is>
          <t>Jonathan Carlin</t>
        </is>
      </c>
      <c r="G2133" t="inlineStr">
        <is>
          <t>FLASH FLOOD ADVENTURE</t>
        </is>
      </c>
      <c r="H2133" s="44" t="n">
        <v>0.01072916666666667</v>
      </c>
      <c r="I2133" s="45" t="n">
        <v>61932</v>
      </c>
      <c r="J2133" s="45" t="n">
        <v>2391</v>
      </c>
      <c r="K2133" s="45" t="n">
        <v>284</v>
      </c>
      <c r="L2133" s="46" t="n"/>
      <c r="M2133" s="47" t="n"/>
      <c r="N2133" s="47" t="inlineStr">
        <is>
          <t>UCYPKFe86e6nm4TVUYKLsFUQ</t>
        </is>
      </c>
      <c r="O2133" s="48" t="n">
        <v>43262.73541666667</v>
      </c>
      <c r="P2133" s="49" t="n">
        <v>43262</v>
      </c>
      <c r="Q2133" s="47" t="n">
        <v>1135</v>
      </c>
      <c r="R2133" s="47" t="inlineStr">
        <is>
          <t>No Video ID yet</t>
        </is>
      </c>
      <c r="S2133" s="49" t="n"/>
      <c r="T2133" s="49" t="n"/>
      <c r="U2133" s="47" t="inlineStr">
        <is>
          <t>This week J battles the eye doctor, he and Beth enjoy some million dollar bacon, and it rains... like a lot.</t>
        </is>
      </c>
      <c r="V2133" s="47">
        <f>IF(AND(P2133&gt;=Calendar!$K$2,P2133&lt;EDATE(Calendar!$K$2,1),OR(Calendar!$K$4="*",N2133=Calendar!$K$4)),P2133*100+COUNTIFS($P$6:$P$3267,P2133,$Q$6:$Q$3267,"&lt;="&amp;Q2133,$N$6:$N$3267,Calendar!$K$4),"")</f>
        <v/>
      </c>
      <c r="W2133" s="47">
        <f>IF(AND(B2133=Queue!$C$4,OR(Queue!$K$4="*",N2133=Queue!$K$4)),Q2133,"")</f>
        <v/>
      </c>
    </row>
    <row r="2134">
      <c r="A2134" s="38">
        <f>IF(M2134="","",HYPERLINK("https://www.youtube.com/watch?v="&amp;M2134,"▶"))</f>
        <v/>
      </c>
      <c r="B2134" s="39">
        <f>IF(C2134&lt;&gt;"",C2134,IF(P2134&lt;=IFERROR(INDEX(tblChannels[Watched Through],MATCH(N2134,tblChannels[Channel ID],0)),0),"Watched","Unwatched"))</f>
        <v/>
      </c>
      <c r="C2134" s="40" t="n"/>
      <c r="D2134" s="41" t="n"/>
      <c r="E2134" s="42" t="n">
        <v>43262.47638888889</v>
      </c>
      <c r="F2134" s="52" t="inlineStr">
        <is>
          <t>Super Carlin Gaming</t>
        </is>
      </c>
      <c r="G2134" t="inlineStr">
        <is>
          <t>Dinosaurs, I Hate You | Rocket League #13</t>
        </is>
      </c>
      <c r="H2134" s="44" t="n">
        <v>0.01261574074074074</v>
      </c>
      <c r="I2134" s="45" t="n">
        <v>8982</v>
      </c>
      <c r="J2134" s="45" t="n">
        <v>310</v>
      </c>
      <c r="K2134" s="45" t="n">
        <v>58</v>
      </c>
      <c r="L2134" s="46" t="n"/>
      <c r="M2134" s="47" t="n"/>
      <c r="N2134" s="47" t="inlineStr">
        <is>
          <t>UCor_9jRnNNZVzTuQ92PKsaQ</t>
        </is>
      </c>
      <c r="O2134" s="48" t="n">
        <v>43262.64305555556</v>
      </c>
      <c r="P2134" s="49" t="n">
        <v>43262</v>
      </c>
      <c r="Q2134" s="47" t="n">
        <v>1134</v>
      </c>
      <c r="R2134" s="47" t="inlineStr">
        <is>
          <t>No Video ID yet</t>
        </is>
      </c>
      <c r="S2134" s="49" t="n"/>
      <c r="T2134" s="49" t="n"/>
      <c r="U2134" s="47" t="n"/>
      <c r="V2134" s="47">
        <f>IF(AND(P2134&gt;=Calendar!$K$2,P2134&lt;EDATE(Calendar!$K$2,1),OR(Calendar!$K$4="*",N2134=Calendar!$K$4)),P2134*100+COUNTIFS($P$6:$P$3267,P2134,$Q$6:$Q$3267,"&lt;="&amp;Q2134,$N$6:$N$3267,Calendar!$K$4),"")</f>
        <v/>
      </c>
      <c r="W2134" s="47">
        <f>IF(AND(B2134=Queue!$C$4,OR(Queue!$K$4="*",N2134=Queue!$K$4)),Q2134,"")</f>
        <v/>
      </c>
    </row>
    <row r="2135">
      <c r="A2135" s="38">
        <f>IF(M2135="","",HYPERLINK("https://www.youtube.com/watch?v="&amp;M2135,"▶"))</f>
        <v/>
      </c>
      <c r="B2135" s="39">
        <f>IF(C2135&lt;&gt;"",C2135,IF(P2135&lt;=IFERROR(INDEX(tblChannels[Watched Through],MATCH(N2135,tblChannels[Channel ID],0)),0),"Watched","Unwatched"))</f>
        <v/>
      </c>
      <c r="C2135" s="40" t="n"/>
      <c r="D2135" s="41" t="n"/>
      <c r="E2135" s="42" t="n">
        <v>43259.4375</v>
      </c>
      <c r="F2135" s="52" t="inlineStr">
        <is>
          <t>Super Carlin Gaming</t>
        </is>
      </c>
      <c r="G2135" t="inlineStr">
        <is>
          <t>Fill the Void | Rocket League #12</t>
        </is>
      </c>
      <c r="H2135" s="44" t="n">
        <v>0.01275462962962963</v>
      </c>
      <c r="I2135" s="45" t="n">
        <v>9374</v>
      </c>
      <c r="J2135" s="45" t="n">
        <v>317</v>
      </c>
      <c r="K2135" s="45" t="n">
        <v>82</v>
      </c>
      <c r="L2135" s="46" t="n"/>
      <c r="M2135" s="47" t="n"/>
      <c r="N2135" s="47" t="inlineStr">
        <is>
          <t>UCor_9jRnNNZVzTuQ92PKsaQ</t>
        </is>
      </c>
      <c r="O2135" s="48" t="n">
        <v>43259.60416666666</v>
      </c>
      <c r="P2135" s="49" t="n">
        <v>43259</v>
      </c>
      <c r="Q2135" s="47" t="n">
        <v>1133</v>
      </c>
      <c r="R2135" s="47" t="inlineStr">
        <is>
          <t>No Video ID yet</t>
        </is>
      </c>
      <c r="S2135" s="49" t="n"/>
      <c r="T2135" s="49" t="n"/>
      <c r="U2135" s="47" t="n"/>
      <c r="V2135" s="47">
        <f>IF(AND(P2135&gt;=Calendar!$K$2,P2135&lt;EDATE(Calendar!$K$2,1),OR(Calendar!$K$4="*",N2135=Calendar!$K$4)),P2135*100+COUNTIFS($P$6:$P$3267,P2135,$Q$6:$Q$3267,"&lt;="&amp;Q2135,$N$6:$N$3267,Calendar!$K$4),"")</f>
        <v/>
      </c>
      <c r="W2135" s="47">
        <f>IF(AND(B2135=Queue!$C$4,OR(Queue!$K$4="*",N2135=Queue!$K$4)),Q2135,"")</f>
        <v/>
      </c>
    </row>
    <row r="2136">
      <c r="A2136" s="38">
        <f>IF(M2136="","",HYPERLINK("https://www.youtube.com/watch?v="&amp;M2136,"▶"))</f>
        <v/>
      </c>
      <c r="B2136" s="39">
        <f>IF(C2136&lt;&gt;"",C2136,IF(P2136&lt;=IFERROR(INDEX(tblChannels[Watched Through],MATCH(N2136,tblChannels[Channel ID],0)),0),"Watched","Unwatched"))</f>
        <v/>
      </c>
      <c r="C2136" s="40" t="n"/>
      <c r="D2136" s="41" t="n"/>
      <c r="E2136" s="42" t="n">
        <v>43258.75902777778</v>
      </c>
      <c r="F2136" s="50" t="inlineStr">
        <is>
          <t>Super Carlin Brothers</t>
        </is>
      </c>
      <c r="G2136" t="inlineStr">
        <is>
          <t>Top 10 Easter Eggs To Look For In Incredibles 2</t>
        </is>
      </c>
      <c r="H2136" s="44" t="n">
        <v>0.008043981481481482</v>
      </c>
      <c r="I2136" s="45" t="n">
        <v>277248</v>
      </c>
      <c r="J2136" s="45" t="n">
        <v>10512</v>
      </c>
      <c r="K2136" s="45" t="n">
        <v>1422</v>
      </c>
      <c r="L2136" s="46" t="n"/>
      <c r="M2136" s="47" t="n"/>
      <c r="N2136" s="47" t="inlineStr">
        <is>
          <t>UCKZo4N0lVPccBkSiuyVh4yg</t>
        </is>
      </c>
      <c r="O2136" s="48" t="n">
        <v>43258.92569444444</v>
      </c>
      <c r="P2136" s="49" t="n">
        <v>43258</v>
      </c>
      <c r="Q2136" s="47" t="n">
        <v>1132</v>
      </c>
      <c r="R2136" s="47" t="inlineStr">
        <is>
          <t>No Video ID yet</t>
        </is>
      </c>
      <c r="S2136" s="49" t="n"/>
      <c r="T2136" s="49" t="n"/>
      <c r="U2136" s="47" t="inlineStr">
        <is>
          <t>Disney Pixar's Incredibles 2 comes out next week and we are SO excited! As ever we are on the lookout for how Incredibles 2 will fit into the Pixar theory and that starts with the Easter Eggs so today Ben is running down his list of Top 10 Easter Eggs to look for in Incredibles 2.</t>
        </is>
      </c>
      <c r="V2136" s="47">
        <f>IF(AND(P2136&gt;=Calendar!$K$2,P2136&lt;EDATE(Calendar!$K$2,1),OR(Calendar!$K$4="*",N2136=Calendar!$K$4)),P2136*100+COUNTIFS($P$6:$P$3267,P2136,$Q$6:$Q$3267,"&lt;="&amp;Q2136,$N$6:$N$3267,Calendar!$K$4),"")</f>
        <v/>
      </c>
      <c r="W2136" s="47">
        <f>IF(AND(B2136=Queue!$C$4,OR(Queue!$K$4="*",N2136=Queue!$K$4)),Q2136,"")</f>
        <v/>
      </c>
    </row>
    <row r="2137">
      <c r="A2137" s="38">
        <f>IF(M2137="","",HYPERLINK("https://www.youtube.com/watch?v="&amp;M2137,"▶"))</f>
        <v/>
      </c>
      <c r="B2137" s="39">
        <f>IF(C2137&lt;&gt;"",C2137,IF(P2137&lt;=IFERROR(INDEX(tblChannels[Watched Through],MATCH(N2137,tblChannels[Channel ID],0)),0),"Watched","Unwatched"))</f>
        <v/>
      </c>
      <c r="C2137" s="40" t="n"/>
      <c r="D2137" s="41" t="n"/>
      <c r="E2137" s="42" t="n">
        <v>43257.4375</v>
      </c>
      <c r="F2137" s="52" t="inlineStr">
        <is>
          <t>Super Carlin Gaming</t>
        </is>
      </c>
      <c r="G2137" t="inlineStr">
        <is>
          <t>Gopher in the Pothole | Rocket League #11</t>
        </is>
      </c>
      <c r="H2137" s="44" t="n">
        <v>0.01452546296296296</v>
      </c>
      <c r="I2137" s="45" t="n">
        <v>9801</v>
      </c>
      <c r="J2137" s="45" t="n">
        <v>383</v>
      </c>
      <c r="K2137" s="45" t="n">
        <v>70</v>
      </c>
      <c r="L2137" s="46" t="n"/>
      <c r="M2137" s="47" t="n"/>
      <c r="N2137" s="47" t="inlineStr">
        <is>
          <t>UCor_9jRnNNZVzTuQ92PKsaQ</t>
        </is>
      </c>
      <c r="O2137" s="48" t="n">
        <v>43257.60416666666</v>
      </c>
      <c r="P2137" s="49" t="n">
        <v>43257</v>
      </c>
      <c r="Q2137" s="47" t="n">
        <v>1131</v>
      </c>
      <c r="R2137" s="47" t="inlineStr">
        <is>
          <t>No Video ID yet</t>
        </is>
      </c>
      <c r="S2137" s="49" t="n"/>
      <c r="T2137" s="49" t="n"/>
      <c r="U2137" s="47" t="n"/>
      <c r="V2137" s="47">
        <f>IF(AND(P2137&gt;=Calendar!$K$2,P2137&lt;EDATE(Calendar!$K$2,1),OR(Calendar!$K$4="*",N2137=Calendar!$K$4)),P2137*100+COUNTIFS($P$6:$P$3267,P2137,$Q$6:$Q$3267,"&lt;="&amp;Q2137,$N$6:$N$3267,Calendar!$K$4),"")</f>
        <v/>
      </c>
      <c r="W2137" s="47">
        <f>IF(AND(B2137=Queue!$C$4,OR(Queue!$K$4="*",N2137=Queue!$K$4)),Q2137,"")</f>
        <v/>
      </c>
    </row>
    <row r="2138">
      <c r="A2138" s="38">
        <f>IF(M2138="","",HYPERLINK("https://www.youtube.com/watch?v="&amp;M2138,"▶"))</f>
        <v/>
      </c>
      <c r="B2138" s="39">
        <f>IF(C2138&lt;&gt;"",C2138,IF(P2138&lt;=IFERROR(INDEX(tblChannels[Watched Through],MATCH(N2138,tblChannels[Channel ID],0)),0),"Watched","Unwatched"))</f>
        <v/>
      </c>
      <c r="C2138" s="40" t="n"/>
      <c r="D2138" s="41" t="n"/>
      <c r="E2138" s="42" t="n">
        <v>43256.69027777778</v>
      </c>
      <c r="F2138" s="50" t="inlineStr">
        <is>
          <t>Super Carlin Brothers</t>
        </is>
      </c>
      <c r="G2138" t="inlineStr">
        <is>
          <t>Did SOLO Reveal Rey's Mother!? | Star Wars Theory</t>
        </is>
      </c>
      <c r="H2138" s="44" t="n">
        <v>0.007245370370370371</v>
      </c>
      <c r="I2138" s="45" t="n">
        <v>838164</v>
      </c>
      <c r="J2138" s="45" t="n">
        <v>17316</v>
      </c>
      <c r="K2138" s="45" t="n">
        <v>3749</v>
      </c>
      <c r="L2138" s="46" t="n"/>
      <c r="M2138" s="47" t="n"/>
      <c r="N2138" s="47" t="inlineStr">
        <is>
          <t>UCKZo4N0lVPccBkSiuyVh4yg</t>
        </is>
      </c>
      <c r="O2138" s="48" t="n">
        <v>43256.85694444444</v>
      </c>
      <c r="P2138" s="49" t="n">
        <v>43256</v>
      </c>
      <c r="Q2138" s="47" t="n">
        <v>1130</v>
      </c>
      <c r="R2138" s="47" t="inlineStr">
        <is>
          <t>No Video ID yet</t>
        </is>
      </c>
      <c r="S2138" s="49" t="n"/>
      <c r="T2138" s="49" t="n"/>
      <c r="U2138" s="47" t="inlineStr">
        <is>
          <t>Star Wars latest adventure SOLO just hit theater's and dropped some crazy new info on us, so today J is diving into the Star Wars Galaxy to give his review, discuss if Qi'ra is Rey's mother and explain that crazy cameo!</t>
        </is>
      </c>
      <c r="V2138" s="47">
        <f>IF(AND(P2138&gt;=Calendar!$K$2,P2138&lt;EDATE(Calendar!$K$2,1),OR(Calendar!$K$4="*",N2138=Calendar!$K$4)),P2138*100+COUNTIFS($P$6:$P$3267,P2138,$Q$6:$Q$3267,"&lt;="&amp;Q2138,$N$6:$N$3267,Calendar!$K$4),"")</f>
        <v/>
      </c>
      <c r="W2138" s="47">
        <f>IF(AND(B2138=Queue!$C$4,OR(Queue!$K$4="*",N2138=Queue!$K$4)),Q2138,"")</f>
        <v/>
      </c>
    </row>
    <row r="2139">
      <c r="A2139" s="38">
        <f>IF(M2139="","",HYPERLINK("https://www.youtube.com/watch?v="&amp;M2139,"▶"))</f>
        <v/>
      </c>
      <c r="B2139" s="39">
        <f>IF(C2139&lt;&gt;"",C2139,IF(P2139&lt;=IFERROR(INDEX(tblChannels[Watched Through],MATCH(N2139,tblChannels[Channel ID],0)),0),"Watched","Unwatched"))</f>
        <v/>
      </c>
      <c r="C2139" s="40" t="n"/>
      <c r="D2139" s="41" t="n"/>
      <c r="E2139" s="42" t="n">
        <v>43255.45694444444</v>
      </c>
      <c r="F2139" s="53" t="inlineStr">
        <is>
          <t>Jonathan Carlin</t>
        </is>
      </c>
      <c r="G2139" t="inlineStr">
        <is>
          <t>TOGETHER FOR 12 YEARS!</t>
        </is>
      </c>
      <c r="H2139" s="44" t="n">
        <v>0.005601851851851852</v>
      </c>
      <c r="I2139" s="45" t="n">
        <v>60731</v>
      </c>
      <c r="J2139" s="45" t="n">
        <v>2963</v>
      </c>
      <c r="K2139" s="45" t="n">
        <v>200</v>
      </c>
      <c r="L2139" s="46" t="n"/>
      <c r="M2139" s="47" t="n"/>
      <c r="N2139" s="47" t="inlineStr">
        <is>
          <t>UCYPKFe86e6nm4TVUYKLsFUQ</t>
        </is>
      </c>
      <c r="O2139" s="48" t="n">
        <v>43255.62361111111</v>
      </c>
      <c r="P2139" s="49" t="n">
        <v>43255</v>
      </c>
      <c r="Q2139" s="47" t="n">
        <v>1129</v>
      </c>
      <c r="R2139" s="47" t="inlineStr">
        <is>
          <t>No Video ID yet</t>
        </is>
      </c>
      <c r="S2139" s="49" t="n"/>
      <c r="T2139" s="49" t="n"/>
      <c r="U2139" s="47" t="inlineStr">
        <is>
          <t>Beth and J celebrate an anniversary and deal with some rain damage... Luke learns to fly.</t>
        </is>
      </c>
      <c r="V2139" s="47">
        <f>IF(AND(P2139&gt;=Calendar!$K$2,P2139&lt;EDATE(Calendar!$K$2,1),OR(Calendar!$K$4="*",N2139=Calendar!$K$4)),P2139*100+COUNTIFS($P$6:$P$3267,P2139,$Q$6:$Q$3267,"&lt;="&amp;Q2139,$N$6:$N$3267,Calendar!$K$4),"")</f>
        <v/>
      </c>
      <c r="W2139" s="47">
        <f>IF(AND(B2139=Queue!$C$4,OR(Queue!$K$4="*",N2139=Queue!$K$4)),Q2139,"")</f>
        <v/>
      </c>
    </row>
    <row r="2140">
      <c r="A2140" s="38">
        <f>IF(M2140="","",HYPERLINK("https://www.youtube.com/watch?v="&amp;M2140,"▶"))</f>
        <v/>
      </c>
      <c r="B2140" s="39">
        <f>IF(C2140&lt;&gt;"",C2140,IF(P2140&lt;=IFERROR(INDEX(tblChannels[Watched Through],MATCH(N2140,tblChannels[Channel ID],0)),0),"Watched","Unwatched"))</f>
        <v/>
      </c>
      <c r="C2140" s="40" t="n"/>
      <c r="D2140" s="41" t="n"/>
      <c r="E2140" s="42" t="n">
        <v>43255.4375</v>
      </c>
      <c r="F2140" s="52" t="inlineStr">
        <is>
          <t>Super Carlin Gaming</t>
        </is>
      </c>
      <c r="G2140" t="inlineStr">
        <is>
          <t>The Other R Word | Rocket League #10</t>
        </is>
      </c>
      <c r="H2140" s="44" t="n">
        <v>0.01392361111111111</v>
      </c>
      <c r="I2140" s="45" t="n">
        <v>10577</v>
      </c>
      <c r="J2140" s="45" t="n">
        <v>424</v>
      </c>
      <c r="K2140" s="45" t="n">
        <v>186</v>
      </c>
      <c r="L2140" s="46" t="n"/>
      <c r="M2140" s="47" t="n"/>
      <c r="N2140" s="47" t="inlineStr">
        <is>
          <t>UCor_9jRnNNZVzTuQ92PKsaQ</t>
        </is>
      </c>
      <c r="O2140" s="48" t="n">
        <v>43255.60416666666</v>
      </c>
      <c r="P2140" s="49" t="n">
        <v>43255</v>
      </c>
      <c r="Q2140" s="47" t="n">
        <v>1128</v>
      </c>
      <c r="R2140" s="47" t="inlineStr">
        <is>
          <t>No Video ID yet</t>
        </is>
      </c>
      <c r="S2140" s="49" t="n"/>
      <c r="T2140" s="49" t="n"/>
      <c r="U2140" s="47" t="n"/>
      <c r="V2140" s="47">
        <f>IF(AND(P2140&gt;=Calendar!$K$2,P2140&lt;EDATE(Calendar!$K$2,1),OR(Calendar!$K$4="*",N2140=Calendar!$K$4)),P2140*100+COUNTIFS($P$6:$P$3267,P2140,$Q$6:$Q$3267,"&lt;="&amp;Q2140,$N$6:$N$3267,Calendar!$K$4),"")</f>
        <v/>
      </c>
      <c r="W2140" s="47">
        <f>IF(AND(B2140=Queue!$C$4,OR(Queue!$K$4="*",N2140=Queue!$K$4)),Q2140,"")</f>
        <v/>
      </c>
    </row>
    <row r="2141">
      <c r="A2141" s="38">
        <f>IF(M2141="","",HYPERLINK("https://www.youtube.com/watch?v="&amp;M2141,"▶"))</f>
        <v/>
      </c>
      <c r="B2141" s="39">
        <f>IF(C2141&lt;&gt;"",C2141,IF(P2141&lt;=IFERROR(INDEX(tblChannels[Watched Through],MATCH(N2141,tblChannels[Channel ID],0)),0),"Watched","Unwatched"))</f>
        <v/>
      </c>
      <c r="C2141" s="40" t="n"/>
      <c r="D2141" s="41" t="n"/>
      <c r="E2141" s="42" t="n">
        <v>43252.75416666667</v>
      </c>
      <c r="F2141" s="52" t="inlineStr">
        <is>
          <t>Super Carlin Gaming</t>
        </is>
      </c>
      <c r="G2141" t="inlineStr">
        <is>
          <t>LIVE - Q&amp;A with Ben, J and DK! - Friday Rocket League</t>
        </is>
      </c>
      <c r="H2141" s="44" t="n">
        <v>0.06438657407407407</v>
      </c>
      <c r="I2141" s="45" t="n">
        <v>4075</v>
      </c>
      <c r="J2141" s="45" t="n">
        <v>167</v>
      </c>
      <c r="K2141" s="45" t="n">
        <v>11</v>
      </c>
      <c r="L2141" s="46" t="n"/>
      <c r="M2141" s="47" t="n"/>
      <c r="N2141" s="47" t="inlineStr">
        <is>
          <t>UCor_9jRnNNZVzTuQ92PKsaQ</t>
        </is>
      </c>
      <c r="O2141" s="48" t="n">
        <v>43252.92083333333</v>
      </c>
      <c r="P2141" s="49" t="n">
        <v>43252</v>
      </c>
      <c r="Q2141" s="47" t="n">
        <v>1127</v>
      </c>
      <c r="R2141" s="47" t="inlineStr">
        <is>
          <t>No Video ID yet</t>
        </is>
      </c>
      <c r="S2141" s="49" t="n"/>
      <c r="T2141" s="49" t="n"/>
      <c r="U2141" s="47" t="inlineStr">
        <is>
          <t>Ben, J and DK answer your questions and try their very best at Rocket League Join The Discord! J on twitter: Ben on Twitter: DK on Twitter:</t>
        </is>
      </c>
      <c r="V2141" s="47">
        <f>IF(AND(P2141&gt;=Calendar!$K$2,P2141&lt;EDATE(Calendar!$K$2,1),OR(Calendar!$K$4="*",N2141=Calendar!$K$4)),P2141*100+COUNTIFS($P$6:$P$3267,P2141,$Q$6:$Q$3267,"&lt;="&amp;Q2141,$N$6:$N$3267,Calendar!$K$4),"")</f>
        <v/>
      </c>
      <c r="W2141" s="47">
        <f>IF(AND(B2141=Queue!$C$4,OR(Queue!$K$4="*",N2141=Queue!$K$4)),Q2141,"")</f>
        <v/>
      </c>
    </row>
    <row r="2142">
      <c r="A2142" s="38">
        <f>IF(M2142="","",HYPERLINK("https://www.youtube.com/watch?v="&amp;M2142,"▶"))</f>
        <v/>
      </c>
      <c r="B2142" s="39">
        <f>IF(C2142&lt;&gt;"",C2142,IF(P2142&lt;=IFERROR(INDEX(tblChannels[Watched Through],MATCH(N2142,tblChannels[Channel ID],0)),0),"Watched","Unwatched"))</f>
        <v/>
      </c>
      <c r="C2142" s="40" t="n"/>
      <c r="D2142" s="41" t="n"/>
      <c r="E2142" s="42" t="n">
        <v>43252.61666666667</v>
      </c>
      <c r="F2142" s="52" t="inlineStr">
        <is>
          <t>Super Carlin Gaming</t>
        </is>
      </c>
      <c r="G2142" t="inlineStr">
        <is>
          <t>Trash Bags | Rocket League #9</t>
        </is>
      </c>
      <c r="H2142" s="44" t="n">
        <v>0.01271990740740741</v>
      </c>
      <c r="I2142" s="45" t="n">
        <v>10502</v>
      </c>
      <c r="J2142" s="45" t="n">
        <v>377</v>
      </c>
      <c r="K2142" s="45" t="n">
        <v>61</v>
      </c>
      <c r="L2142" s="46" t="n"/>
      <c r="M2142" s="47" t="n"/>
      <c r="N2142" s="47" t="inlineStr">
        <is>
          <t>UCor_9jRnNNZVzTuQ92PKsaQ</t>
        </is>
      </c>
      <c r="O2142" s="48" t="n">
        <v>43252.78333333333</v>
      </c>
      <c r="P2142" s="49" t="n">
        <v>43252</v>
      </c>
      <c r="Q2142" s="47" t="n">
        <v>1126</v>
      </c>
      <c r="R2142" s="47" t="inlineStr">
        <is>
          <t>No Video ID yet</t>
        </is>
      </c>
      <c r="S2142" s="49" t="n"/>
      <c r="T2142" s="49" t="n"/>
      <c r="U2142" s="47" t="n"/>
      <c r="V2142" s="47">
        <f>IF(AND(P2142&gt;=Calendar!$K$2,P2142&lt;EDATE(Calendar!$K$2,1),OR(Calendar!$K$4="*",N2142=Calendar!$K$4)),P2142*100+COUNTIFS($P$6:$P$3267,P2142,$Q$6:$Q$3267,"&lt;="&amp;Q2142,$N$6:$N$3267,Calendar!$K$4),"")</f>
        <v/>
      </c>
      <c r="W2142" s="47">
        <f>IF(AND(B2142=Queue!$C$4,OR(Queue!$K$4="*",N2142=Queue!$K$4)),Q2142,"")</f>
        <v/>
      </c>
    </row>
    <row r="2143">
      <c r="A2143" s="38">
        <f>IF(M2143="","",HYPERLINK("https://www.youtube.com/watch?v="&amp;M2143,"▶"))</f>
        <v/>
      </c>
      <c r="B2143" s="39">
        <f>IF(C2143&lt;&gt;"",C2143,IF(P2143&lt;=IFERROR(INDEX(tblChannels[Watched Through],MATCH(N2143,tblChannels[Channel ID],0)),0),"Watched","Unwatched"))</f>
        <v/>
      </c>
      <c r="C2143" s="40" t="n"/>
      <c r="D2143" s="41" t="n"/>
      <c r="E2143" s="42" t="n">
        <v>43251.74236111111</v>
      </c>
      <c r="F2143" s="50" t="inlineStr">
        <is>
          <t>Super Carlin Brothers</t>
        </is>
      </c>
      <c r="G2143" t="inlineStr">
        <is>
          <t>Newt's Secret Dragon Revealed | Fantastic Beasts Theory</t>
        </is>
      </c>
      <c r="H2143" s="44" t="n">
        <v>0.007997685185185186</v>
      </c>
      <c r="I2143" s="45" t="n">
        <v>358288</v>
      </c>
      <c r="J2143" s="45" t="n">
        <v>12646</v>
      </c>
      <c r="K2143" s="45" t="n">
        <v>1919</v>
      </c>
      <c r="L2143" s="46" t="n"/>
      <c r="M2143" s="47" t="n"/>
      <c r="N2143" s="47" t="inlineStr">
        <is>
          <t>UCKZo4N0lVPccBkSiuyVh4yg</t>
        </is>
      </c>
      <c r="O2143" s="48" t="n">
        <v>43251.90902777778</v>
      </c>
      <c r="P2143" s="49" t="n">
        <v>43251</v>
      </c>
      <c r="Q2143" s="47" t="n">
        <v>1125</v>
      </c>
      <c r="R2143" s="47" t="inlineStr">
        <is>
          <t>No Video ID yet</t>
        </is>
      </c>
      <c r="S2143" s="49" t="n"/>
      <c r="T2143" s="49" t="n"/>
      <c r="U2143" s="47" t="inlineStr">
        <is>
          <t>Pottermore just released the cover art for the Screenplay of Fantastic Beasts: The Crimes of Grindelwald and it is full of Easter Eggs and possible plot points so today Ben is diving into the Wizarding World of Harry Potter and trying uncover what secrets this new cover holds!</t>
        </is>
      </c>
      <c r="V2143" s="47">
        <f>IF(AND(P2143&gt;=Calendar!$K$2,P2143&lt;EDATE(Calendar!$K$2,1),OR(Calendar!$K$4="*",N2143=Calendar!$K$4)),P2143*100+COUNTIFS($P$6:$P$3267,P2143,$Q$6:$Q$3267,"&lt;="&amp;Q2143,$N$6:$N$3267,Calendar!$K$4),"")</f>
        <v/>
      </c>
      <c r="W2143" s="47">
        <f>IF(AND(B2143=Queue!$C$4,OR(Queue!$K$4="*",N2143=Queue!$K$4)),Q2143,"")</f>
        <v/>
      </c>
    </row>
    <row r="2144">
      <c r="A2144" s="38">
        <f>IF(M2144="","",HYPERLINK("https://www.youtube.com/watch?v="&amp;M2144,"▶"))</f>
        <v/>
      </c>
      <c r="B2144" s="39">
        <f>IF(C2144&lt;&gt;"",C2144,IF(P2144&lt;=IFERROR(INDEX(tblChannels[Watched Through],MATCH(N2144,tblChannels[Channel ID],0)),0),"Watched","Unwatched"))</f>
        <v/>
      </c>
      <c r="C2144" s="40" t="n"/>
      <c r="D2144" s="41" t="n"/>
      <c r="E2144" s="42" t="n">
        <v>43250.5</v>
      </c>
      <c r="F2144" s="52" t="inlineStr">
        <is>
          <t>Super Carlin Gaming</t>
        </is>
      </c>
      <c r="G2144" t="inlineStr">
        <is>
          <t>Why Am I Not The BOSS? | Rocket League #8</t>
        </is>
      </c>
      <c r="H2144" s="44" t="n">
        <v>0.01310185185185185</v>
      </c>
      <c r="I2144" s="45" t="n">
        <v>11890</v>
      </c>
      <c r="J2144" s="45" t="n">
        <v>399</v>
      </c>
      <c r="K2144" s="45" t="n">
        <v>85</v>
      </c>
      <c r="L2144" s="46" t="n"/>
      <c r="M2144" s="47" t="n"/>
      <c r="N2144" s="47" t="inlineStr">
        <is>
          <t>UCor_9jRnNNZVzTuQ92PKsaQ</t>
        </is>
      </c>
      <c r="O2144" s="48" t="n">
        <v>43250.66666666666</v>
      </c>
      <c r="P2144" s="49" t="n">
        <v>43250</v>
      </c>
      <c r="Q2144" s="47" t="n">
        <v>1124</v>
      </c>
      <c r="R2144" s="47" t="inlineStr">
        <is>
          <t>No Video ID yet</t>
        </is>
      </c>
      <c r="S2144" s="49" t="n"/>
      <c r="T2144" s="49" t="n"/>
      <c r="U2144" s="47" t="n"/>
      <c r="V2144" s="47">
        <f>IF(AND(P2144&gt;=Calendar!$K$2,P2144&lt;EDATE(Calendar!$K$2,1),OR(Calendar!$K$4="*",N2144=Calendar!$K$4)),P2144*100+COUNTIFS($P$6:$P$3267,P2144,$Q$6:$Q$3267,"&lt;="&amp;Q2144,$N$6:$N$3267,Calendar!$K$4),"")</f>
        <v/>
      </c>
      <c r="W2144" s="47">
        <f>IF(AND(B2144=Queue!$C$4,OR(Queue!$K$4="*",N2144=Queue!$K$4)),Q2144,"")</f>
        <v/>
      </c>
    </row>
    <row r="2145">
      <c r="A2145" s="38">
        <f>IF(M2145="","",HYPERLINK("https://www.youtube.com/watch?v="&amp;M2145,"▶"))</f>
        <v/>
      </c>
      <c r="B2145" s="39">
        <f>IF(C2145&lt;&gt;"",C2145,IF(P2145&lt;=IFERROR(INDEX(tblChannels[Watched Through],MATCH(N2145,tblChannels[Channel ID],0)),0),"Watched","Unwatched"))</f>
        <v/>
      </c>
      <c r="C2145" s="40" t="n"/>
      <c r="D2145" s="41" t="n"/>
      <c r="E2145" s="42" t="n">
        <v>43249.74236111111</v>
      </c>
      <c r="F2145" s="50" t="inlineStr">
        <is>
          <t>Super Carlin Brothers</t>
        </is>
      </c>
      <c r="G2145" t="inlineStr">
        <is>
          <t>The RAREST Harry Potter Book EVER</t>
        </is>
      </c>
      <c r="H2145" s="44" t="n">
        <v>0.008530092592592593</v>
      </c>
      <c r="I2145" s="45" t="n">
        <v>1200961</v>
      </c>
      <c r="J2145" s="45" t="n">
        <v>32985</v>
      </c>
      <c r="K2145" s="45" t="n">
        <v>4414</v>
      </c>
      <c r="L2145" s="46" t="n"/>
      <c r="M2145" s="47" t="n"/>
      <c r="N2145" s="47" t="inlineStr">
        <is>
          <t>UCKZo4N0lVPccBkSiuyVh4yg</t>
        </is>
      </c>
      <c r="O2145" s="48" t="n">
        <v>43249.90902777778</v>
      </c>
      <c r="P2145" s="49" t="n">
        <v>43249</v>
      </c>
      <c r="Q2145" s="47" t="n">
        <v>1123</v>
      </c>
      <c r="R2145" s="47" t="inlineStr">
        <is>
          <t>No Video ID yet</t>
        </is>
      </c>
      <c r="S2145" s="49" t="n"/>
      <c r="T2145" s="49" t="n"/>
      <c r="U2145" s="47" t="inlineStr">
        <is>
          <t>Today J dives into the Wizarding World of Harry Potter to uncover what the rarest Harry Potter books on Earth are and what to look for if you are a collector Harold Bloom Interview ::</t>
        </is>
      </c>
      <c r="V2145" s="47">
        <f>IF(AND(P2145&gt;=Calendar!$K$2,P2145&lt;EDATE(Calendar!$K$2,1),OR(Calendar!$K$4="*",N2145=Calendar!$K$4)),P2145*100+COUNTIFS($P$6:$P$3267,P2145,$Q$6:$Q$3267,"&lt;="&amp;Q2145,$N$6:$N$3267,Calendar!$K$4),"")</f>
        <v/>
      </c>
      <c r="W2145" s="47">
        <f>IF(AND(B2145=Queue!$C$4,OR(Queue!$K$4="*",N2145=Queue!$K$4)),Q2145,"")</f>
        <v/>
      </c>
    </row>
    <row r="2146">
      <c r="A2146" s="38">
        <f>IF(M2146="","",HYPERLINK("https://www.youtube.com/watch?v="&amp;M2146,"▶"))</f>
        <v/>
      </c>
      <c r="B2146" s="39">
        <f>IF(C2146&lt;&gt;"",C2146,IF(P2146&lt;=IFERROR(INDEX(tblChannels[Watched Through],MATCH(N2146,tblChannels[Channel ID],0)),0),"Watched","Unwatched"))</f>
        <v/>
      </c>
      <c r="C2146" s="40" t="n"/>
      <c r="D2146" s="41" t="n"/>
      <c r="E2146" s="42" t="n">
        <v>43248.82708333333</v>
      </c>
      <c r="F2146" s="53" t="inlineStr">
        <is>
          <t>Jonathan Carlin</t>
        </is>
      </c>
      <c r="G2146" t="inlineStr">
        <is>
          <t>I FORGOT MY PANTS!</t>
        </is>
      </c>
      <c r="H2146" s="44" t="n">
        <v>0.007916666666666667</v>
      </c>
      <c r="I2146" s="45" t="n">
        <v>45376</v>
      </c>
      <c r="J2146" s="45" t="n">
        <v>1890</v>
      </c>
      <c r="K2146" s="45" t="n">
        <v>185</v>
      </c>
      <c r="L2146" s="46" t="n"/>
      <c r="M2146" s="47" t="n"/>
      <c r="N2146" s="47" t="inlineStr">
        <is>
          <t>UCYPKFe86e6nm4TVUYKLsFUQ</t>
        </is>
      </c>
      <c r="O2146" s="48" t="n">
        <v>43248.99375</v>
      </c>
      <c r="P2146" s="49" t="n">
        <v>43248</v>
      </c>
      <c r="Q2146" s="47" t="n">
        <v>1122</v>
      </c>
      <c r="R2146" s="47" t="inlineStr">
        <is>
          <t>No Video ID yet</t>
        </is>
      </c>
      <c r="S2146" s="49" t="n"/>
      <c r="T2146" s="49" t="n"/>
      <c r="U2146" s="47" t="inlineStr">
        <is>
          <t>J and Beth head to Virginia Beach for a wedding... J left something behind... Also Beth has BIG ANNOUCEMENT!</t>
        </is>
      </c>
      <c r="V2146" s="47">
        <f>IF(AND(P2146&gt;=Calendar!$K$2,P2146&lt;EDATE(Calendar!$K$2,1),OR(Calendar!$K$4="*",N2146=Calendar!$K$4)),P2146*100+COUNTIFS($P$6:$P$3267,P2146,$Q$6:$Q$3267,"&lt;="&amp;Q2146,$N$6:$N$3267,Calendar!$K$4),"")</f>
        <v/>
      </c>
      <c r="W2146" s="47">
        <f>IF(AND(B2146=Queue!$C$4,OR(Queue!$K$4="*",N2146=Queue!$K$4)),Q2146,"")</f>
        <v/>
      </c>
    </row>
    <row r="2147">
      <c r="A2147" s="38">
        <f>IF(M2147="","",HYPERLINK("https://www.youtube.com/watch?v="&amp;M2147,"▶"))</f>
        <v/>
      </c>
      <c r="B2147" s="39">
        <f>IF(C2147&lt;&gt;"",C2147,IF(P2147&lt;=IFERROR(INDEX(tblChannels[Watched Through],MATCH(N2147,tblChannels[Channel ID],0)),0),"Watched","Unwatched"))</f>
        <v/>
      </c>
      <c r="C2147" s="40" t="n"/>
      <c r="D2147" s="41" t="n"/>
      <c r="E2147" s="42" t="n">
        <v>43248.41666666666</v>
      </c>
      <c r="F2147" s="52" t="inlineStr">
        <is>
          <t>Super Carlin Gaming</t>
        </is>
      </c>
      <c r="G2147" t="inlineStr">
        <is>
          <t>The Thief of Happiness | Rocket League #7</t>
        </is>
      </c>
      <c r="H2147" s="44" t="n">
        <v>0.01280092592592593</v>
      </c>
      <c r="I2147" s="45" t="n">
        <v>12768</v>
      </c>
      <c r="J2147" s="45" t="n">
        <v>465</v>
      </c>
      <c r="K2147" s="45" t="n">
        <v>81</v>
      </c>
      <c r="L2147" s="46" t="n"/>
      <c r="M2147" s="47" t="n"/>
      <c r="N2147" s="47" t="inlineStr">
        <is>
          <t>UCor_9jRnNNZVzTuQ92PKsaQ</t>
        </is>
      </c>
      <c r="O2147" s="48" t="n">
        <v>43248.58333333334</v>
      </c>
      <c r="P2147" s="49" t="n">
        <v>43248</v>
      </c>
      <c r="Q2147" s="47" t="n">
        <v>1121</v>
      </c>
      <c r="R2147" s="47" t="inlineStr">
        <is>
          <t>No Video ID yet</t>
        </is>
      </c>
      <c r="S2147" s="49" t="n"/>
      <c r="T2147" s="49" t="n"/>
      <c r="U2147" s="47" t="n"/>
      <c r="V2147" s="47">
        <f>IF(AND(P2147&gt;=Calendar!$K$2,P2147&lt;EDATE(Calendar!$K$2,1),OR(Calendar!$K$4="*",N2147=Calendar!$K$4)),P2147*100+COUNTIFS($P$6:$P$3267,P2147,$Q$6:$Q$3267,"&lt;="&amp;Q2147,$N$6:$N$3267,Calendar!$K$4),"")</f>
        <v/>
      </c>
      <c r="W2147" s="47">
        <f>IF(AND(B2147=Queue!$C$4,OR(Queue!$K$4="*",N2147=Queue!$K$4)),Q2147,"")</f>
        <v/>
      </c>
    </row>
    <row r="2148">
      <c r="A2148" s="38">
        <f>IF(M2148="","",HYPERLINK("https://www.youtube.com/watch?v="&amp;M2148,"▶"))</f>
        <v/>
      </c>
      <c r="B2148" s="39">
        <f>IF(C2148&lt;&gt;"",C2148,IF(P2148&lt;=IFERROR(INDEX(tblChannels[Watched Through],MATCH(N2148,tblChannels[Channel ID],0)),0),"Watched","Unwatched"))</f>
        <v/>
      </c>
      <c r="C2148" s="40" t="n"/>
      <c r="D2148" s="41" t="n"/>
      <c r="E2148" s="42" t="n">
        <v>43246.69791666666</v>
      </c>
      <c r="F2148" s="52" t="inlineStr">
        <is>
          <t>Super Carlin Gaming</t>
        </is>
      </c>
      <c r="G2148" t="inlineStr">
        <is>
          <t>LIVE - Beth Builds a Family! | SIMS 4</t>
        </is>
      </c>
      <c r="H2148" s="44" t="n">
        <v>0.07284722222222222</v>
      </c>
      <c r="I2148" s="45" t="n">
        <v>12803</v>
      </c>
      <c r="J2148" s="45" t="n">
        <v>389</v>
      </c>
      <c r="K2148" s="45" t="n">
        <v>42</v>
      </c>
      <c r="L2148" s="46" t="n"/>
      <c r="M2148" s="47" t="n"/>
      <c r="N2148" s="47" t="inlineStr">
        <is>
          <t>UCor_9jRnNNZVzTuQ92PKsaQ</t>
        </is>
      </c>
      <c r="O2148" s="48" t="n">
        <v>43246.86458333334</v>
      </c>
      <c r="P2148" s="49" t="n">
        <v>43246</v>
      </c>
      <c r="Q2148" s="47" t="n">
        <v>1120</v>
      </c>
      <c r="R2148" s="47" t="inlineStr">
        <is>
          <t>No Video ID yet</t>
        </is>
      </c>
      <c r="S2148" s="49" t="n"/>
      <c r="T2148" s="49" t="n"/>
      <c r="U2148" s="47" t="inlineStr">
        <is>
          <t>Beth takes the reigns and builds a new Sim Family! Join The Discord! J on twitter: Ben on Twitter: DK on Twitter:</t>
        </is>
      </c>
      <c r="V2148" s="47">
        <f>IF(AND(P2148&gt;=Calendar!$K$2,P2148&lt;EDATE(Calendar!$K$2,1),OR(Calendar!$K$4="*",N2148=Calendar!$K$4)),P2148*100+COUNTIFS($P$6:$P$3267,P2148,$Q$6:$Q$3267,"&lt;="&amp;Q2148,$N$6:$N$3267,Calendar!$K$4),"")</f>
        <v/>
      </c>
      <c r="W2148" s="47">
        <f>IF(AND(B2148=Queue!$C$4,OR(Queue!$K$4="*",N2148=Queue!$K$4)),Q2148,"")</f>
        <v/>
      </c>
    </row>
    <row r="2149">
      <c r="A2149" s="38">
        <f>IF(M2149="","",HYPERLINK("https://www.youtube.com/watch?v="&amp;M2149,"▶"))</f>
        <v/>
      </c>
      <c r="B2149" s="39">
        <f>IF(C2149&lt;&gt;"",C2149,IF(P2149&lt;=IFERROR(INDEX(tblChannels[Watched Through],MATCH(N2149,tblChannels[Channel ID],0)),0),"Watched","Unwatched"))</f>
        <v/>
      </c>
      <c r="C2149" s="40" t="n"/>
      <c r="D2149" s="41" t="n"/>
      <c r="E2149" s="42" t="n">
        <v>43245.48402777778</v>
      </c>
      <c r="F2149" s="52" t="inlineStr">
        <is>
          <t>Super Carlin Gaming</t>
        </is>
      </c>
      <c r="G2149" t="inlineStr">
        <is>
          <t>Everything Bad is Wrong with the World | Rocket League #6</t>
        </is>
      </c>
      <c r="H2149" s="44" t="n">
        <v>0.01498842592592593</v>
      </c>
      <c r="I2149" s="45" t="n">
        <v>13043</v>
      </c>
      <c r="J2149" s="45" t="n">
        <v>483</v>
      </c>
      <c r="K2149" s="45" t="n">
        <v>67</v>
      </c>
      <c r="L2149" s="46" t="n"/>
      <c r="M2149" s="47" t="n"/>
      <c r="N2149" s="47" t="inlineStr">
        <is>
          <t>UCor_9jRnNNZVzTuQ92PKsaQ</t>
        </is>
      </c>
      <c r="O2149" s="48" t="n">
        <v>43245.65069444444</v>
      </c>
      <c r="P2149" s="49" t="n">
        <v>43245</v>
      </c>
      <c r="Q2149" s="47" t="n">
        <v>1119</v>
      </c>
      <c r="R2149" s="47" t="inlineStr">
        <is>
          <t>No Video ID yet</t>
        </is>
      </c>
      <c r="S2149" s="49" t="n"/>
      <c r="T2149" s="49" t="n"/>
      <c r="U2149" s="47" t="n"/>
      <c r="V2149" s="47">
        <f>IF(AND(P2149&gt;=Calendar!$K$2,P2149&lt;EDATE(Calendar!$K$2,1),OR(Calendar!$K$4="*",N2149=Calendar!$K$4)),P2149*100+COUNTIFS($P$6:$P$3267,P2149,$Q$6:$Q$3267,"&lt;="&amp;Q2149,$N$6:$N$3267,Calendar!$K$4),"")</f>
        <v/>
      </c>
      <c r="W2149" s="47">
        <f>IF(AND(B2149=Queue!$C$4,OR(Queue!$K$4="*",N2149=Queue!$K$4)),Q2149,"")</f>
        <v/>
      </c>
    </row>
    <row r="2150">
      <c r="A2150" s="38">
        <f>IF(M2150="","",HYPERLINK("https://www.youtube.com/watch?v="&amp;M2150,"▶"))</f>
        <v/>
      </c>
      <c r="B2150" s="39">
        <f>IF(C2150&lt;&gt;"",C2150,IF(P2150&lt;=IFERROR(INDEX(tblChannels[Watched Through],MATCH(N2150,tblChannels[Channel ID],0)),0),"Watched","Unwatched"))</f>
        <v/>
      </c>
      <c r="C2150" s="40" t="n"/>
      <c r="D2150" s="41" t="n"/>
      <c r="E2150" s="42" t="n">
        <v>43244.6625</v>
      </c>
      <c r="F2150" s="50" t="inlineStr">
        <is>
          <t>Super Carlin Brothers</t>
        </is>
      </c>
      <c r="G2150" t="inlineStr">
        <is>
          <t>J vs Ben: ULTIMATE Sirius Black Quiz</t>
        </is>
      </c>
      <c r="H2150" s="44" t="n">
        <v>0.024375</v>
      </c>
      <c r="I2150" s="45" t="n">
        <v>1324390</v>
      </c>
      <c r="J2150" s="45" t="n">
        <v>20847</v>
      </c>
      <c r="K2150" s="45" t="n">
        <v>4285</v>
      </c>
      <c r="L2150" s="46" t="n"/>
      <c r="M2150" s="47" t="n"/>
      <c r="N2150" s="47" t="inlineStr">
        <is>
          <t>UCKZo4N0lVPccBkSiuyVh4yg</t>
        </is>
      </c>
      <c r="O2150" s="48" t="n">
        <v>43244.82916666667</v>
      </c>
      <c r="P2150" s="49" t="n">
        <v>43244</v>
      </c>
      <c r="Q2150" s="47" t="n">
        <v>1118</v>
      </c>
      <c r="R2150" s="47" t="inlineStr">
        <is>
          <t>No Video ID yet</t>
        </is>
      </c>
      <c r="S2150" s="49" t="n"/>
      <c r="T2150" s="49" t="n"/>
      <c r="U2150" s="47" t="inlineStr">
        <is>
          <t>Take the Quiz :: Today J and Ben dive into the Wizarding World of Harry Potter and face off to see who has more knowledge of of the most infamous convict to ever escape Azkaban: Sirius Black!</t>
        </is>
      </c>
      <c r="V2150" s="47">
        <f>IF(AND(P2150&gt;=Calendar!$K$2,P2150&lt;EDATE(Calendar!$K$2,1),OR(Calendar!$K$4="*",N2150=Calendar!$K$4)),P2150*100+COUNTIFS($P$6:$P$3267,P2150,$Q$6:$Q$3267,"&lt;="&amp;Q2150,$N$6:$N$3267,Calendar!$K$4),"")</f>
        <v/>
      </c>
      <c r="W2150" s="47">
        <f>IF(AND(B2150=Queue!$C$4,OR(Queue!$K$4="*",N2150=Queue!$K$4)),Q2150,"")</f>
        <v/>
      </c>
    </row>
    <row r="2151">
      <c r="A2151" s="38">
        <f>IF(M2151="","",HYPERLINK("https://www.youtube.com/watch?v="&amp;M2151,"▶"))</f>
        <v/>
      </c>
      <c r="B2151" s="39">
        <f>IF(C2151&lt;&gt;"",C2151,IF(P2151&lt;=IFERROR(INDEX(tblChannels[Watched Through],MATCH(N2151,tblChannels[Channel ID],0)),0),"Watched","Unwatched"))</f>
        <v/>
      </c>
      <c r="C2151" s="40" t="n"/>
      <c r="D2151" s="41" t="n"/>
      <c r="E2151" s="42" t="n">
        <v>43243.88125</v>
      </c>
      <c r="F2151" s="53" t="inlineStr">
        <is>
          <t>Jonathan Carlin</t>
        </is>
      </c>
      <c r="G2151" t="inlineStr">
        <is>
          <t>Q&amp;A w/Beth &amp; J (AND LUKE)</t>
        </is>
      </c>
      <c r="H2151" s="44" t="n">
        <v>0.04277777777777778</v>
      </c>
      <c r="I2151" s="45" t="n">
        <v>15409</v>
      </c>
      <c r="J2151" s="45" t="n">
        <v>593</v>
      </c>
      <c r="K2151" s="45" t="n">
        <v>0</v>
      </c>
      <c r="L2151" s="46" t="n"/>
      <c r="M2151" s="47" t="n"/>
      <c r="N2151" s="47" t="inlineStr">
        <is>
          <t>UCYPKFe86e6nm4TVUYKLsFUQ</t>
        </is>
      </c>
      <c r="O2151" s="48" t="n">
        <v>43244.04791666667</v>
      </c>
      <c r="P2151" s="49" t="n">
        <v>43243</v>
      </c>
      <c r="Q2151" s="47" t="n">
        <v>1117</v>
      </c>
      <c r="R2151" s="47" t="inlineStr">
        <is>
          <t>No Video ID yet</t>
        </is>
      </c>
      <c r="S2151" s="49" t="n"/>
      <c r="T2151" s="49" t="n"/>
      <c r="U2151" s="47" t="inlineStr">
        <is>
          <t>J and his Wife Beth answer your questions with their son Luke!</t>
        </is>
      </c>
      <c r="V2151" s="47">
        <f>IF(AND(P2151&gt;=Calendar!$K$2,P2151&lt;EDATE(Calendar!$K$2,1),OR(Calendar!$K$4="*",N2151=Calendar!$K$4)),P2151*100+COUNTIFS($P$6:$P$3267,P2151,$Q$6:$Q$3267,"&lt;="&amp;Q2151,$N$6:$N$3267,Calendar!$K$4),"")</f>
        <v/>
      </c>
      <c r="W2151" s="47">
        <f>IF(AND(B2151=Queue!$C$4,OR(Queue!$K$4="*",N2151=Queue!$K$4)),Q2151,"")</f>
        <v/>
      </c>
    </row>
    <row r="2152">
      <c r="A2152" s="38">
        <f>IF(M2152="","",HYPERLINK("https://www.youtube.com/watch?v="&amp;M2152,"▶"))</f>
        <v/>
      </c>
      <c r="B2152" s="39">
        <f>IF(C2152&lt;&gt;"",C2152,IF(P2152&lt;=IFERROR(INDEX(tblChannels[Watched Through],MATCH(N2152,tblChannels[Channel ID],0)),0),"Watched","Unwatched"))</f>
        <v/>
      </c>
      <c r="C2152" s="40" t="n"/>
      <c r="D2152" s="41" t="n"/>
      <c r="E2152" s="42" t="n">
        <v>43243.49305555555</v>
      </c>
      <c r="F2152" s="52" t="inlineStr">
        <is>
          <t>Super Carlin Gaming</t>
        </is>
      </c>
      <c r="G2152" t="inlineStr">
        <is>
          <t>Give a Dog a Job | Rocket League #5</t>
        </is>
      </c>
      <c r="H2152" s="44" t="n">
        <v>0.01228009259259259</v>
      </c>
      <c r="I2152" s="45" t="n">
        <v>13241</v>
      </c>
      <c r="J2152" s="45" t="n">
        <v>467</v>
      </c>
      <c r="K2152" s="45" t="n">
        <v>115</v>
      </c>
      <c r="L2152" s="46" t="n"/>
      <c r="M2152" s="47" t="n"/>
      <c r="N2152" s="47" t="inlineStr">
        <is>
          <t>UCor_9jRnNNZVzTuQ92PKsaQ</t>
        </is>
      </c>
      <c r="O2152" s="48" t="n">
        <v>43243.65972222222</v>
      </c>
      <c r="P2152" s="49" t="n">
        <v>43243</v>
      </c>
      <c r="Q2152" s="47" t="n">
        <v>1116</v>
      </c>
      <c r="R2152" s="47" t="inlineStr">
        <is>
          <t>No Video ID yet</t>
        </is>
      </c>
      <c r="S2152" s="49" t="n"/>
      <c r="T2152" s="49" t="n"/>
      <c r="U2152" s="47" t="n"/>
      <c r="V2152" s="47">
        <f>IF(AND(P2152&gt;=Calendar!$K$2,P2152&lt;EDATE(Calendar!$K$2,1),OR(Calendar!$K$4="*",N2152=Calendar!$K$4)),P2152*100+COUNTIFS($P$6:$P$3267,P2152,$Q$6:$Q$3267,"&lt;="&amp;Q2152,$N$6:$N$3267,Calendar!$K$4),"")</f>
        <v/>
      </c>
      <c r="W2152" s="47">
        <f>IF(AND(B2152=Queue!$C$4,OR(Queue!$K$4="*",N2152=Queue!$K$4)),Q2152,"")</f>
        <v/>
      </c>
    </row>
    <row r="2153">
      <c r="A2153" s="38">
        <f>IF(M2153="","",HYPERLINK("https://www.youtube.com/watch?v="&amp;M2153,"▶"))</f>
        <v/>
      </c>
      <c r="B2153" s="39">
        <f>IF(C2153&lt;&gt;"",C2153,IF(P2153&lt;=IFERROR(INDEX(tblChannels[Watched Through],MATCH(N2153,tblChannels[Channel ID],0)),0),"Watched","Unwatched"))</f>
        <v/>
      </c>
      <c r="C2153" s="40" t="n"/>
      <c r="D2153" s="41" t="n"/>
      <c r="E2153" s="42" t="n">
        <v>43242.94375</v>
      </c>
      <c r="F2153" s="52" t="inlineStr">
        <is>
          <t>Super Carlin Gaming</t>
        </is>
      </c>
      <c r="G2153" t="inlineStr">
        <is>
          <t>LIVE: Come Rage With Me! - Getting Over It</t>
        </is>
      </c>
      <c r="H2153" s="44" t="n">
        <v>0.06592592592592593</v>
      </c>
      <c r="I2153" s="45" t="n">
        <v>4773</v>
      </c>
      <c r="J2153" s="45" t="n">
        <v>216</v>
      </c>
      <c r="K2153" s="45" t="n">
        <v>12</v>
      </c>
      <c r="L2153" s="46" t="n"/>
      <c r="M2153" s="47" t="n"/>
      <c r="N2153" s="47" t="inlineStr">
        <is>
          <t>UCor_9jRnNNZVzTuQ92PKsaQ</t>
        </is>
      </c>
      <c r="O2153" s="48" t="n">
        <v>43243.11041666667</v>
      </c>
      <c r="P2153" s="49" t="n">
        <v>43242</v>
      </c>
      <c r="Q2153" s="47" t="n">
        <v>1115</v>
      </c>
      <c r="R2153" s="47" t="inlineStr">
        <is>
          <t>No Video ID yet</t>
        </is>
      </c>
      <c r="S2153" s="49" t="n"/>
      <c r="T2153" s="49" t="n"/>
      <c r="U2153" s="47" t="inlineStr">
        <is>
          <t>Can we finally scale Dwaye the Rock Face today??? (god i seriously hope so) Join The Discord! J on twitter: Ben on Twitter: DK on Twitter:</t>
        </is>
      </c>
      <c r="V2153" s="47">
        <f>IF(AND(P2153&gt;=Calendar!$K$2,P2153&lt;EDATE(Calendar!$K$2,1),OR(Calendar!$K$4="*",N2153=Calendar!$K$4)),P2153*100+COUNTIFS($P$6:$P$3267,P2153,$Q$6:$Q$3267,"&lt;="&amp;Q2153,$N$6:$N$3267,Calendar!$K$4),"")</f>
        <v/>
      </c>
      <c r="W2153" s="47">
        <f>IF(AND(B2153=Queue!$C$4,OR(Queue!$K$4="*",N2153=Queue!$K$4)),Q2153,"")</f>
        <v/>
      </c>
    </row>
    <row r="2154">
      <c r="A2154" s="38">
        <f>IF(M2154="","",HYPERLINK("https://www.youtube.com/watch?v="&amp;M2154,"▶"))</f>
        <v/>
      </c>
      <c r="B2154" s="39">
        <f>IF(C2154&lt;&gt;"",C2154,IF(P2154&lt;=IFERROR(INDEX(tblChannels[Watched Through],MATCH(N2154,tblChannels[Channel ID],0)),0),"Watched","Unwatched"))</f>
        <v/>
      </c>
      <c r="C2154" s="40" t="n"/>
      <c r="D2154" s="41" t="n"/>
      <c r="E2154" s="42" t="n">
        <v>43242.72361111111</v>
      </c>
      <c r="F2154" s="50" t="inlineStr">
        <is>
          <t>Super Carlin Brothers</t>
        </is>
      </c>
      <c r="G2154" t="inlineStr">
        <is>
          <t>Why Do Wizards Study Astronomy? | Harry Potter Explained</t>
        </is>
      </c>
      <c r="H2154" s="44" t="n">
        <v>0.007083333333333333</v>
      </c>
      <c r="I2154" s="45" t="n">
        <v>819515</v>
      </c>
      <c r="J2154" s="45" t="n">
        <v>22501</v>
      </c>
      <c r="K2154" s="45" t="n">
        <v>2715</v>
      </c>
      <c r="L2154" s="46" t="n"/>
      <c r="M2154" s="47" t="n"/>
      <c r="N2154" s="47" t="inlineStr">
        <is>
          <t>UCKZo4N0lVPccBkSiuyVh4yg</t>
        </is>
      </c>
      <c r="O2154" s="48" t="n">
        <v>43242.89027777778</v>
      </c>
      <c r="P2154" s="49" t="n">
        <v>43242</v>
      </c>
      <c r="Q2154" s="47" t="n">
        <v>1114</v>
      </c>
      <c r="R2154" s="47" t="inlineStr">
        <is>
          <t>No Video ID yet</t>
        </is>
      </c>
      <c r="S2154" s="49" t="n"/>
      <c r="T2154" s="49" t="n"/>
      <c r="U2154" s="47" t="inlineStr">
        <is>
          <t>Today J dives into the Wizarding World of Harry Potter to try and explain why wizards need to study space.</t>
        </is>
      </c>
      <c r="V2154" s="47">
        <f>IF(AND(P2154&gt;=Calendar!$K$2,P2154&lt;EDATE(Calendar!$K$2,1),OR(Calendar!$K$4="*",N2154=Calendar!$K$4)),P2154*100+COUNTIFS($P$6:$P$3267,P2154,$Q$6:$Q$3267,"&lt;="&amp;Q2154,$N$6:$N$3267,Calendar!$K$4),"")</f>
        <v/>
      </c>
      <c r="W2154" s="47">
        <f>IF(AND(B2154=Queue!$C$4,OR(Queue!$K$4="*",N2154=Queue!$K$4)),Q2154,"")</f>
        <v/>
      </c>
    </row>
    <row r="2155">
      <c r="A2155" s="38">
        <f>IF(M2155="","",HYPERLINK("https://www.youtube.com/watch?v="&amp;M2155,"▶"))</f>
        <v/>
      </c>
      <c r="B2155" s="39">
        <f>IF(C2155&lt;&gt;"",C2155,IF(P2155&lt;=IFERROR(INDEX(tblChannels[Watched Through],MATCH(N2155,tblChannels[Channel ID],0)),0),"Watched","Unwatched"))</f>
        <v/>
      </c>
      <c r="C2155" s="40" t="n"/>
      <c r="D2155" s="41" t="n"/>
      <c r="E2155" s="42" t="n">
        <v>43242.41666666666</v>
      </c>
      <c r="F2155" s="53" t="inlineStr">
        <is>
          <t>Jonathan Carlin</t>
        </is>
      </c>
      <c r="G2155" t="inlineStr">
        <is>
          <t>Luke's First Road Trip!</t>
        </is>
      </c>
      <c r="H2155" s="44" t="n">
        <v>0.008738425925925926</v>
      </c>
      <c r="I2155" s="45" t="n">
        <v>46936</v>
      </c>
      <c r="J2155" s="45" t="n">
        <v>1928</v>
      </c>
      <c r="K2155" s="45" t="n">
        <v>440</v>
      </c>
      <c r="L2155" s="46" t="n"/>
      <c r="M2155" s="47" t="n"/>
      <c r="N2155" s="47" t="inlineStr">
        <is>
          <t>UCYPKFe86e6nm4TVUYKLsFUQ</t>
        </is>
      </c>
      <c r="O2155" s="48" t="n">
        <v>43242.58333333334</v>
      </c>
      <c r="P2155" s="49" t="n">
        <v>43242</v>
      </c>
      <c r="Q2155" s="47" t="n">
        <v>1113</v>
      </c>
      <c r="R2155" s="47" t="inlineStr">
        <is>
          <t>No Video ID yet</t>
        </is>
      </c>
      <c r="S2155" s="49" t="n"/>
      <c r="T2155" s="49" t="n"/>
      <c r="U2155" s="47" t="inlineStr">
        <is>
          <t>This week Beth, J and Luke head to Knoxville Tennessee for Luke's first road trip - Beth packs everything we own.</t>
        </is>
      </c>
      <c r="V2155" s="47">
        <f>IF(AND(P2155&gt;=Calendar!$K$2,P2155&lt;EDATE(Calendar!$K$2,1),OR(Calendar!$K$4="*",N2155=Calendar!$K$4)),P2155*100+COUNTIFS($P$6:$P$3267,P2155,$Q$6:$Q$3267,"&lt;="&amp;Q2155,$N$6:$N$3267,Calendar!$K$4),"")</f>
        <v/>
      </c>
      <c r="W2155" s="47">
        <f>IF(AND(B2155=Queue!$C$4,OR(Queue!$K$4="*",N2155=Queue!$K$4)),Q2155,"")</f>
        <v/>
      </c>
    </row>
    <row r="2156">
      <c r="A2156" s="38">
        <f>IF(M2156="","",HYPERLINK("https://www.youtube.com/watch?v="&amp;M2156,"▶"))</f>
        <v/>
      </c>
      <c r="B2156" s="39">
        <f>IF(C2156&lt;&gt;"",C2156,IF(P2156&lt;=IFERROR(INDEX(tblChannels[Watched Through],MATCH(N2156,tblChannels[Channel ID],0)),0),"Watched","Unwatched"))</f>
        <v/>
      </c>
      <c r="C2156" s="40" t="n"/>
      <c r="D2156" s="41" t="n"/>
      <c r="E2156" s="42" t="n">
        <v>43241.46597222222</v>
      </c>
      <c r="F2156" s="52" t="inlineStr">
        <is>
          <t>Super Carlin Gaming</t>
        </is>
      </c>
      <c r="G2156" t="inlineStr">
        <is>
          <t>Getting a BowFlex™ | Rocket League #4</t>
        </is>
      </c>
      <c r="H2156" s="44" t="n">
        <v>0.01295138888888889</v>
      </c>
      <c r="I2156" s="45" t="n">
        <v>15296</v>
      </c>
      <c r="J2156" s="45" t="n">
        <v>520</v>
      </c>
      <c r="K2156" s="45" t="n">
        <v>76</v>
      </c>
      <c r="L2156" s="46" t="n"/>
      <c r="M2156" s="47" t="n"/>
      <c r="N2156" s="47" t="inlineStr">
        <is>
          <t>UCor_9jRnNNZVzTuQ92PKsaQ</t>
        </is>
      </c>
      <c r="O2156" s="48" t="n">
        <v>43241.63263888889</v>
      </c>
      <c r="P2156" s="49" t="n">
        <v>43241</v>
      </c>
      <c r="Q2156" s="47" t="n">
        <v>1112</v>
      </c>
      <c r="R2156" s="47" t="inlineStr">
        <is>
          <t>No Video ID yet</t>
        </is>
      </c>
      <c r="S2156" s="49" t="n"/>
      <c r="T2156" s="49" t="n"/>
      <c r="U2156" s="47" t="inlineStr">
        <is>
          <t>Today J and Ben embark on a new quest to captain their Rocket League team: Skywater to become Season Champs!</t>
        </is>
      </c>
      <c r="V2156" s="47">
        <f>IF(AND(P2156&gt;=Calendar!$K$2,P2156&lt;EDATE(Calendar!$K$2,1),OR(Calendar!$K$4="*",N2156=Calendar!$K$4)),P2156*100+COUNTIFS($P$6:$P$3267,P2156,$Q$6:$Q$3267,"&lt;="&amp;Q2156,$N$6:$N$3267,Calendar!$K$4),"")</f>
        <v/>
      </c>
      <c r="W2156" s="47">
        <f>IF(AND(B2156=Queue!$C$4,OR(Queue!$K$4="*",N2156=Queue!$K$4)),Q2156,"")</f>
        <v/>
      </c>
    </row>
    <row r="2157">
      <c r="A2157" s="38">
        <f>IF(M2157="","",HYPERLINK("https://www.youtube.com/watch?v="&amp;M2157,"▶"))</f>
        <v/>
      </c>
      <c r="B2157" s="39">
        <f>IF(C2157&lt;&gt;"",C2157,IF(P2157&lt;=IFERROR(INDEX(tblChannels[Watched Through],MATCH(N2157,tblChannels[Channel ID],0)),0),"Watched","Unwatched"))</f>
        <v/>
      </c>
      <c r="C2157" s="40" t="n"/>
      <c r="D2157" s="41" t="n"/>
      <c r="E2157" s="42" t="n">
        <v>43238.74722222222</v>
      </c>
      <c r="F2157" s="52" t="inlineStr">
        <is>
          <t>Super Carlin Gaming</t>
        </is>
      </c>
      <c r="G2157" t="inlineStr">
        <is>
          <t>LIVE: Q&amp;A w/ Ben, J and DK - Rocket League!</t>
        </is>
      </c>
      <c r="H2157" s="44" t="n">
        <v>0.06275462962962963</v>
      </c>
      <c r="I2157" s="45" t="n">
        <v>6554</v>
      </c>
      <c r="J2157" s="45" t="n">
        <v>229</v>
      </c>
      <c r="K2157" s="45" t="n">
        <v>22</v>
      </c>
      <c r="L2157" s="46" t="n"/>
      <c r="M2157" s="47" t="n"/>
      <c r="N2157" s="47" t="inlineStr">
        <is>
          <t>UCor_9jRnNNZVzTuQ92PKsaQ</t>
        </is>
      </c>
      <c r="O2157" s="48" t="n">
        <v>43238.91388888889</v>
      </c>
      <c r="P2157" s="49" t="n">
        <v>43238</v>
      </c>
      <c r="Q2157" s="47" t="n">
        <v>1111</v>
      </c>
      <c r="R2157" s="47" t="inlineStr">
        <is>
          <t>No Video ID yet</t>
        </is>
      </c>
      <c r="S2157" s="49" t="n"/>
      <c r="T2157" s="49" t="n"/>
      <c r="U2157" s="47" t="inlineStr">
        <is>
          <t>Friday Afternoon Live stream Q&amp;A with Ben, J and DK while they continue to fail at Rocket League! Join The Discord! J on twitter: Ben on Twitter: DK on Twitter:</t>
        </is>
      </c>
      <c r="V2157" s="47">
        <f>IF(AND(P2157&gt;=Calendar!$K$2,P2157&lt;EDATE(Calendar!$K$2,1),OR(Calendar!$K$4="*",N2157=Calendar!$K$4)),P2157*100+COUNTIFS($P$6:$P$3267,P2157,$Q$6:$Q$3267,"&lt;="&amp;Q2157,$N$6:$N$3267,Calendar!$K$4),"")</f>
        <v/>
      </c>
      <c r="W2157" s="47">
        <f>IF(AND(B2157=Queue!$C$4,OR(Queue!$K$4="*",N2157=Queue!$K$4)),Q2157,"")</f>
        <v/>
      </c>
    </row>
    <row r="2158">
      <c r="A2158" s="38">
        <f>IF(M2158="","",HYPERLINK("https://www.youtube.com/watch?v="&amp;M2158,"▶"))</f>
        <v/>
      </c>
      <c r="B2158" s="39">
        <f>IF(C2158&lt;&gt;"",C2158,IF(P2158&lt;=IFERROR(INDEX(tblChannels[Watched Through],MATCH(N2158,tblChannels[Channel ID],0)),0),"Watched","Unwatched"))</f>
        <v/>
      </c>
      <c r="C2158" s="40" t="n"/>
      <c r="D2158" s="41" t="n"/>
      <c r="E2158" s="42" t="n">
        <v>43238.45416666667</v>
      </c>
      <c r="F2158" s="52" t="inlineStr">
        <is>
          <t>Super Carlin Gaming</t>
        </is>
      </c>
      <c r="G2158" t="inlineStr">
        <is>
          <t>Salty the Cracker | Rocket League #3</t>
        </is>
      </c>
      <c r="H2158" s="44" t="n">
        <v>0.01174768518518519</v>
      </c>
      <c r="I2158" s="45" t="n">
        <v>18053</v>
      </c>
      <c r="J2158" s="45" t="n">
        <v>530</v>
      </c>
      <c r="K2158" s="45" t="n">
        <v>101</v>
      </c>
      <c r="L2158" s="46" t="n"/>
      <c r="M2158" s="47" t="n"/>
      <c r="N2158" s="47" t="inlineStr">
        <is>
          <t>UCor_9jRnNNZVzTuQ92PKsaQ</t>
        </is>
      </c>
      <c r="O2158" s="48" t="n">
        <v>43238.62083333333</v>
      </c>
      <c r="P2158" s="49" t="n">
        <v>43238</v>
      </c>
      <c r="Q2158" s="47" t="n">
        <v>1110</v>
      </c>
      <c r="R2158" s="47" t="inlineStr">
        <is>
          <t>No Video ID yet</t>
        </is>
      </c>
      <c r="S2158" s="49" t="n"/>
      <c r="T2158" s="49" t="n"/>
      <c r="U2158" s="47" t="inlineStr">
        <is>
          <t>Today J and Ben embark on a new quest to captain their Rocket League team: Skywater to become Season Champs!</t>
        </is>
      </c>
      <c r="V2158" s="47">
        <f>IF(AND(P2158&gt;=Calendar!$K$2,P2158&lt;EDATE(Calendar!$K$2,1),OR(Calendar!$K$4="*",N2158=Calendar!$K$4)),P2158*100+COUNTIFS($P$6:$P$3267,P2158,$Q$6:$Q$3267,"&lt;="&amp;Q2158,$N$6:$N$3267,Calendar!$K$4),"")</f>
        <v/>
      </c>
      <c r="W2158" s="47">
        <f>IF(AND(B2158=Queue!$C$4,OR(Queue!$K$4="*",N2158=Queue!$K$4)),Q2158,"")</f>
        <v/>
      </c>
    </row>
    <row r="2159">
      <c r="A2159" s="38">
        <f>IF(M2159="","",HYPERLINK("https://www.youtube.com/watch?v="&amp;M2159,"▶"))</f>
        <v/>
      </c>
      <c r="B2159" s="39">
        <f>IF(C2159&lt;&gt;"",C2159,IF(P2159&lt;=IFERROR(INDEX(tblChannels[Watched Through],MATCH(N2159,tblChannels[Channel ID],0)),0),"Watched","Unwatched"))</f>
        <v/>
      </c>
      <c r="C2159" s="40" t="n"/>
      <c r="D2159" s="41" t="n"/>
      <c r="E2159" s="42" t="n">
        <v>43238.00555555556</v>
      </c>
      <c r="F2159" s="52" t="inlineStr">
        <is>
          <t>Super Carlin Gaming</t>
        </is>
      </c>
      <c r="G2159" t="inlineStr">
        <is>
          <t>Another Night of Angry Zen - Getting Over It</t>
        </is>
      </c>
      <c r="H2159" s="44" t="n">
        <v>0.05737268518518519</v>
      </c>
      <c r="I2159" s="45" t="n">
        <v>4815</v>
      </c>
      <c r="J2159" s="45" t="n">
        <v>209</v>
      </c>
      <c r="K2159" s="45" t="n">
        <v>11</v>
      </c>
      <c r="L2159" s="46" t="n"/>
      <c r="M2159" s="47" t="n"/>
      <c r="N2159" s="47" t="inlineStr">
        <is>
          <t>UCor_9jRnNNZVzTuQ92PKsaQ</t>
        </is>
      </c>
      <c r="O2159" s="48" t="n">
        <v>43238.17222222222</v>
      </c>
      <c r="P2159" s="49" t="n">
        <v>43238</v>
      </c>
      <c r="Q2159" s="47" t="n">
        <v>1109</v>
      </c>
      <c r="R2159" s="47" t="inlineStr">
        <is>
          <t>No Video ID yet</t>
        </is>
      </c>
      <c r="S2159" s="49" t="n"/>
      <c r="T2159" s="49" t="n"/>
      <c r="U2159" s="47" t="inlineStr">
        <is>
          <t>A stressful day deserves a nice relaxing evening with Jill the Grill right? Join The Discord! J on twitter: Ben on Twitter:</t>
        </is>
      </c>
      <c r="V2159" s="47">
        <f>IF(AND(P2159&gt;=Calendar!$K$2,P2159&lt;EDATE(Calendar!$K$2,1),OR(Calendar!$K$4="*",N2159=Calendar!$K$4)),P2159*100+COUNTIFS($P$6:$P$3267,P2159,$Q$6:$Q$3267,"&lt;="&amp;Q2159,$N$6:$N$3267,Calendar!$K$4),"")</f>
        <v/>
      </c>
      <c r="W2159" s="47">
        <f>IF(AND(B2159=Queue!$C$4,OR(Queue!$K$4="*",N2159=Queue!$K$4)),Q2159,"")</f>
        <v/>
      </c>
    </row>
    <row r="2160">
      <c r="A2160" s="38">
        <f>IF(M2160="","",HYPERLINK("https://www.youtube.com/watch?v="&amp;M2160,"▶"))</f>
        <v/>
      </c>
      <c r="B2160" s="39">
        <f>IF(C2160&lt;&gt;"",C2160,IF(P2160&lt;=IFERROR(INDEX(tblChannels[Watched Through],MATCH(N2160,tblChannels[Channel ID],0)),0),"Watched","Unwatched"))</f>
        <v/>
      </c>
      <c r="C2160" s="40" t="n"/>
      <c r="D2160" s="41" t="n"/>
      <c r="E2160" s="42" t="n">
        <v>43237.76041666666</v>
      </c>
      <c r="F2160" s="50" t="inlineStr">
        <is>
          <t>Super Carlin Brothers</t>
        </is>
      </c>
      <c r="G2160" t="inlineStr">
        <is>
          <t>Fred's Secret Family History | Big Hero 6 Theory</t>
        </is>
      </c>
      <c r="H2160" s="44" t="n">
        <v>0.006712962962962963</v>
      </c>
      <c r="I2160" s="45" t="n">
        <v>1629560</v>
      </c>
      <c r="J2160" s="45" t="n">
        <v>27465</v>
      </c>
      <c r="K2160" s="45" t="n">
        <v>3474</v>
      </c>
      <c r="L2160" s="46" t="n"/>
      <c r="M2160" s="47" t="n"/>
      <c r="N2160" s="47" t="inlineStr">
        <is>
          <t>UCKZo4N0lVPccBkSiuyVh4yg</t>
        </is>
      </c>
      <c r="O2160" s="48" t="n">
        <v>43237.92708333334</v>
      </c>
      <c r="P2160" s="49" t="n">
        <v>43237</v>
      </c>
      <c r="Q2160" s="47" t="n">
        <v>1108</v>
      </c>
      <c r="R2160" s="47" t="inlineStr">
        <is>
          <t>No Video ID yet</t>
        </is>
      </c>
      <c r="S2160" s="49" t="n"/>
      <c r="T2160" s="49" t="n"/>
      <c r="U2160" s="47" t="inlineStr">
        <is>
          <t>(●—●) Today Ben dives into the futuristic city of San Fransokyo and Disney's Big Hero 6 to try and determine how and why Fred is so rich an if he is related to anyone else in the Disney-verse</t>
        </is>
      </c>
      <c r="V2160" s="47">
        <f>IF(AND(P2160&gt;=Calendar!$K$2,P2160&lt;EDATE(Calendar!$K$2,1),OR(Calendar!$K$4="*",N2160=Calendar!$K$4)),P2160*100+COUNTIFS($P$6:$P$3267,P2160,$Q$6:$Q$3267,"&lt;="&amp;Q2160,$N$6:$N$3267,Calendar!$K$4),"")</f>
        <v/>
      </c>
      <c r="W2160" s="47">
        <f>IF(AND(B2160=Queue!$C$4,OR(Queue!$K$4="*",N2160=Queue!$K$4)),Q2160,"")</f>
        <v/>
      </c>
    </row>
    <row r="2161">
      <c r="A2161" s="38">
        <f>IF(M2161="","",HYPERLINK("https://www.youtube.com/watch?v="&amp;M2161,"▶"))</f>
        <v/>
      </c>
      <c r="B2161" s="39">
        <f>IF(C2161&lt;&gt;"",C2161,IF(P2161&lt;=IFERROR(INDEX(tblChannels[Watched Through],MATCH(N2161,tblChannels[Channel ID],0)),0),"Watched","Unwatched"))</f>
        <v/>
      </c>
      <c r="C2161" s="40" t="n"/>
      <c r="D2161" s="41" t="n"/>
      <c r="E2161" s="42" t="n">
        <v>43236.48333333333</v>
      </c>
      <c r="F2161" s="52" t="inlineStr">
        <is>
          <t>Super Carlin Gaming</t>
        </is>
      </c>
      <c r="G2161" t="inlineStr">
        <is>
          <t>Ghosts Hate Rain | Rocket League #2</t>
        </is>
      </c>
      <c r="H2161" s="44" t="n">
        <v>0.01518518518518519</v>
      </c>
      <c r="I2161" s="45" t="n">
        <v>23801</v>
      </c>
      <c r="J2161" s="45" t="n">
        <v>750</v>
      </c>
      <c r="K2161" s="45" t="n">
        <v>150</v>
      </c>
      <c r="L2161" s="46" t="n"/>
      <c r="M2161" s="47" t="n"/>
      <c r="N2161" s="47" t="inlineStr">
        <is>
          <t>UCor_9jRnNNZVzTuQ92PKsaQ</t>
        </is>
      </c>
      <c r="O2161" s="48" t="n">
        <v>43236.65</v>
      </c>
      <c r="P2161" s="49" t="n">
        <v>43236</v>
      </c>
      <c r="Q2161" s="47" t="n">
        <v>1107</v>
      </c>
      <c r="R2161" s="47" t="inlineStr">
        <is>
          <t>No Video ID yet</t>
        </is>
      </c>
      <c r="S2161" s="49" t="n"/>
      <c r="T2161" s="49" t="n"/>
      <c r="U2161" s="47" t="n"/>
      <c r="V2161" s="47">
        <f>IF(AND(P2161&gt;=Calendar!$K$2,P2161&lt;EDATE(Calendar!$K$2,1),OR(Calendar!$K$4="*",N2161=Calendar!$K$4)),P2161*100+COUNTIFS($P$6:$P$3267,P2161,$Q$6:$Q$3267,"&lt;="&amp;Q2161,$N$6:$N$3267,Calendar!$K$4),"")</f>
        <v/>
      </c>
      <c r="W2161" s="47">
        <f>IF(AND(B2161=Queue!$C$4,OR(Queue!$K$4="*",N2161=Queue!$K$4)),Q2161,"")</f>
        <v/>
      </c>
    </row>
    <row r="2162">
      <c r="A2162" s="38">
        <f>IF(M2162="","",HYPERLINK("https://www.youtube.com/watch?v="&amp;M2162,"▶"))</f>
        <v/>
      </c>
      <c r="B2162" s="39">
        <f>IF(C2162&lt;&gt;"",C2162,IF(P2162&lt;=IFERROR(INDEX(tblChannels[Watched Through],MATCH(N2162,tblChannels[Channel ID],0)),0),"Watched","Unwatched"))</f>
        <v/>
      </c>
      <c r="C2162" s="40" t="n"/>
      <c r="D2162" s="41" t="n"/>
      <c r="E2162" s="42" t="n">
        <v>43235.83819444444</v>
      </c>
      <c r="F2162" s="50" t="inlineStr">
        <is>
          <t>Super Carlin Brothers</t>
        </is>
      </c>
      <c r="G2162" t="inlineStr">
        <is>
          <t>Is Avengers Infinity War The Best Marvel Movie? | SPOILER REVIEW</t>
        </is>
      </c>
      <c r="H2162" s="44" t="n">
        <v>0.03842592592592593</v>
      </c>
      <c r="I2162" s="45" t="n">
        <v>805135</v>
      </c>
      <c r="J2162" s="45" t="n">
        <v>16157</v>
      </c>
      <c r="K2162" s="45" t="n">
        <v>4503</v>
      </c>
      <c r="L2162" s="46" t="n"/>
      <c r="M2162" s="47" t="n"/>
      <c r="N2162" s="47" t="inlineStr">
        <is>
          <t>UCKZo4N0lVPccBkSiuyVh4yg</t>
        </is>
      </c>
      <c r="O2162" s="48" t="n">
        <v>43236.00486111111</v>
      </c>
      <c r="P2162" s="49" t="n">
        <v>43235</v>
      </c>
      <c r="Q2162" s="47" t="n">
        <v>1106</v>
      </c>
      <c r="R2162" s="47" t="inlineStr">
        <is>
          <t>No Video ID yet</t>
        </is>
      </c>
      <c r="S2162" s="49" t="n"/>
      <c r="T2162" s="49" t="n"/>
      <c r="U2162" s="47" t="inlineStr">
        <is>
          <t>Today J and Ben give their full SPOILER review of the latest and maybe greatest Marvel movie: Avengers Infinity War.</t>
        </is>
      </c>
      <c r="V2162" s="47">
        <f>IF(AND(P2162&gt;=Calendar!$K$2,P2162&lt;EDATE(Calendar!$K$2,1),OR(Calendar!$K$4="*",N2162=Calendar!$K$4)),P2162*100+COUNTIFS($P$6:$P$3267,P2162,$Q$6:$Q$3267,"&lt;="&amp;Q2162,$N$6:$N$3267,Calendar!$K$4),"")</f>
        <v/>
      </c>
      <c r="W2162" s="47">
        <f>IF(AND(B2162=Queue!$C$4,OR(Queue!$K$4="*",N2162=Queue!$K$4)),Q2162,"")</f>
        <v/>
      </c>
    </row>
    <row r="2163">
      <c r="A2163" s="38">
        <f>IF(M2163="","",HYPERLINK("https://www.youtube.com/watch?v="&amp;M2163,"▶"))</f>
        <v/>
      </c>
      <c r="B2163" s="39">
        <f>IF(C2163&lt;&gt;"",C2163,IF(P2163&lt;=IFERROR(INDEX(tblChannels[Watched Through],MATCH(N2163,tblChannels[Channel ID],0)),0),"Watched","Unwatched"))</f>
        <v/>
      </c>
      <c r="C2163" s="40" t="n"/>
      <c r="D2163" s="41" t="n"/>
      <c r="E2163" s="42" t="n">
        <v>43234.60416666666</v>
      </c>
      <c r="F2163" s="52" t="inlineStr">
        <is>
          <t>Super Carlin Gaming</t>
        </is>
      </c>
      <c r="G2163" t="inlineStr">
        <is>
          <t>It Begins! | Rocket League #1</t>
        </is>
      </c>
      <c r="H2163" s="44" t="n">
        <v>0.01481481481481482</v>
      </c>
      <c r="I2163" s="45" t="n">
        <v>57001</v>
      </c>
      <c r="J2163" s="45" t="n">
        <v>1515</v>
      </c>
      <c r="K2163" s="45" t="n">
        <v>268</v>
      </c>
      <c r="L2163" s="46" t="n"/>
      <c r="M2163" s="47" t="n"/>
      <c r="N2163" s="47" t="inlineStr">
        <is>
          <t>UCor_9jRnNNZVzTuQ92PKsaQ</t>
        </is>
      </c>
      <c r="O2163" s="48" t="n">
        <v>43234.77083333334</v>
      </c>
      <c r="P2163" s="49" t="n">
        <v>43234</v>
      </c>
      <c r="Q2163" s="47" t="n">
        <v>1105</v>
      </c>
      <c r="R2163" s="47" t="inlineStr">
        <is>
          <t>No Video ID yet</t>
        </is>
      </c>
      <c r="S2163" s="49" t="n"/>
      <c r="T2163" s="49" t="n"/>
      <c r="U2163" s="47" t="inlineStr">
        <is>
          <t>NEW SERIES! Today J and Ben embark on a new quest to captain their Rocket League team: Skywater to become Season Champs!</t>
        </is>
      </c>
      <c r="V2163" s="47">
        <f>IF(AND(P2163&gt;=Calendar!$K$2,P2163&lt;EDATE(Calendar!$K$2,1),OR(Calendar!$K$4="*",N2163=Calendar!$K$4)),P2163*100+COUNTIFS($P$6:$P$3267,P2163,$Q$6:$Q$3267,"&lt;="&amp;Q2163,$N$6:$N$3267,Calendar!$K$4),"")</f>
        <v/>
      </c>
      <c r="W2163" s="47">
        <f>IF(AND(B2163=Queue!$C$4,OR(Queue!$K$4="*",N2163=Queue!$K$4)),Q2163,"")</f>
        <v/>
      </c>
    </row>
    <row r="2164">
      <c r="A2164" s="38">
        <f>IF(M2164="","",HYPERLINK("https://www.youtube.com/watch?v="&amp;M2164,"▶"))</f>
        <v/>
      </c>
      <c r="B2164" s="39">
        <f>IF(C2164&lt;&gt;"",C2164,IF(P2164&lt;=IFERROR(INDEX(tblChannels[Watched Through],MATCH(N2164,tblChannels[Channel ID],0)),0),"Watched","Unwatched"))</f>
        <v/>
      </c>
      <c r="C2164" s="40" t="n"/>
      <c r="D2164" s="41" t="n"/>
      <c r="E2164" s="42" t="n">
        <v>43234.48888888889</v>
      </c>
      <c r="F2164" s="53" t="inlineStr">
        <is>
          <t>Jonathan Carlin</t>
        </is>
      </c>
      <c r="G2164" t="inlineStr">
        <is>
          <t>BLITZ WEEK</t>
        </is>
      </c>
      <c r="H2164" s="44" t="n">
        <v>0.006689814814814815</v>
      </c>
      <c r="I2164" s="45" t="n">
        <v>36789</v>
      </c>
      <c r="J2164" s="45" t="n">
        <v>1795</v>
      </c>
      <c r="K2164" s="45" t="n">
        <v>142</v>
      </c>
      <c r="L2164" s="46" t="n"/>
      <c r="M2164" s="47" t="n"/>
      <c r="N2164" s="47" t="inlineStr">
        <is>
          <t>UCYPKFe86e6nm4TVUYKLsFUQ</t>
        </is>
      </c>
      <c r="O2164" s="48" t="n">
        <v>43234.65555555555</v>
      </c>
      <c r="P2164" s="49" t="n">
        <v>43234</v>
      </c>
      <c r="Q2164" s="47" t="n">
        <v>1104</v>
      </c>
      <c r="R2164" s="47" t="inlineStr">
        <is>
          <t>No Video ID yet</t>
        </is>
      </c>
      <c r="S2164" s="49" t="n"/>
      <c r="T2164" s="49" t="n"/>
      <c r="U2164" s="47" t="inlineStr">
        <is>
          <t>This week J, Ben and DK tackle BLITZ WEEK at the office, where they try and make a video everyday in an effort to maybe get ahead on work - Also Infinity War comes out, but J has tickets to a different show!</t>
        </is>
      </c>
      <c r="V2164" s="47">
        <f>IF(AND(P2164&gt;=Calendar!$K$2,P2164&lt;EDATE(Calendar!$K$2,1),OR(Calendar!$K$4="*",N2164=Calendar!$K$4)),P2164*100+COUNTIFS($P$6:$P$3267,P2164,$Q$6:$Q$3267,"&lt;="&amp;Q2164,$N$6:$N$3267,Calendar!$K$4),"")</f>
        <v/>
      </c>
      <c r="W2164" s="47">
        <f>IF(AND(B2164=Queue!$C$4,OR(Queue!$K$4="*",N2164=Queue!$K$4)),Q2164,"")</f>
        <v/>
      </c>
    </row>
    <row r="2165">
      <c r="A2165" s="38">
        <f>IF(M2165="","",HYPERLINK("https://www.youtube.com/watch?v="&amp;M2165,"▶"))</f>
        <v/>
      </c>
      <c r="B2165" s="39">
        <f>IF(C2165&lt;&gt;"",C2165,IF(P2165&lt;=IFERROR(INDEX(tblChannels[Watched Through],MATCH(N2165,tblChannels[Channel ID],0)),0),"Watched","Unwatched"))</f>
        <v/>
      </c>
      <c r="C2165" s="40" t="n"/>
      <c r="D2165" s="41" t="n"/>
      <c r="E2165" s="42" t="n">
        <v>43230.75208333333</v>
      </c>
      <c r="F2165" s="50" t="inlineStr">
        <is>
          <t>Super Carlin Brothers</t>
        </is>
      </c>
      <c r="G2165" t="inlineStr">
        <is>
          <t>Why Lucius Malfoy Is The Worst Death Eater Ever</t>
        </is>
      </c>
      <c r="H2165" s="44" t="n">
        <v>0.008148148148148147</v>
      </c>
      <c r="I2165" s="45" t="n">
        <v>1443383</v>
      </c>
      <c r="J2165" s="45" t="n">
        <v>32296</v>
      </c>
      <c r="K2165" s="45" t="n">
        <v>2804</v>
      </c>
      <c r="L2165" s="46" t="n"/>
      <c r="M2165" s="47" t="n"/>
      <c r="N2165" s="47" t="inlineStr">
        <is>
          <t>UCKZo4N0lVPccBkSiuyVh4yg</t>
        </is>
      </c>
      <c r="O2165" s="48" t="n">
        <v>43230.91875</v>
      </c>
      <c r="P2165" s="49" t="n">
        <v>43230</v>
      </c>
      <c r="Q2165" s="47" t="n">
        <v>1103</v>
      </c>
      <c r="R2165" s="47" t="inlineStr">
        <is>
          <t>No Video ID yet</t>
        </is>
      </c>
      <c r="S2165" s="49" t="n"/>
      <c r="T2165" s="49" t="n"/>
      <c r="U2165" s="47" t="inlineStr">
        <is>
          <t>Use our link or text code scb to 500-500 to get a free book and 30-day free trial. Today Ben dives into the Wizarding World of Harry Potter to discuss one of the least effective Death Eaters of them all and his plan to kill Harry in the Chamber of Secrets.</t>
        </is>
      </c>
      <c r="V2165" s="47">
        <f>IF(AND(P2165&gt;=Calendar!$K$2,P2165&lt;EDATE(Calendar!$K$2,1),OR(Calendar!$K$4="*",N2165=Calendar!$K$4)),P2165*100+COUNTIFS($P$6:$P$3267,P2165,$Q$6:$Q$3267,"&lt;="&amp;Q2165,$N$6:$N$3267,Calendar!$K$4),"")</f>
        <v/>
      </c>
      <c r="W2165" s="47">
        <f>IF(AND(B2165=Queue!$C$4,OR(Queue!$K$4="*",N2165=Queue!$K$4)),Q2165,"")</f>
        <v/>
      </c>
    </row>
    <row r="2166">
      <c r="A2166" s="38">
        <f>IF(M2166="","",HYPERLINK("https://www.youtube.com/watch?v="&amp;M2166,"▶"))</f>
        <v/>
      </c>
      <c r="B2166" s="39">
        <f>IF(C2166&lt;&gt;"",C2166,IF(P2166&lt;=IFERROR(INDEX(tblChannels[Watched Through],MATCH(N2166,tblChannels[Channel ID],0)),0),"Watched","Unwatched"))</f>
        <v/>
      </c>
      <c r="C2166" s="40" t="n"/>
      <c r="D2166" s="41" t="n"/>
      <c r="E2166" s="42" t="n">
        <v>43230</v>
      </c>
      <c r="F2166" s="52" t="inlineStr">
        <is>
          <t>Super Carlin Gaming</t>
        </is>
      </c>
      <c r="G2166" t="inlineStr">
        <is>
          <t>Keep Calm SLAM AND FWOOP - Getting Over It</t>
        </is>
      </c>
      <c r="H2166" s="44" t="n">
        <v>0.06739583333333334</v>
      </c>
      <c r="I2166" s="45" t="n">
        <v>5632</v>
      </c>
      <c r="J2166" s="45" t="n">
        <v>256</v>
      </c>
      <c r="K2166" s="45" t="n">
        <v>18</v>
      </c>
      <c r="L2166" s="46" t="n"/>
      <c r="M2166" s="47" t="n"/>
      <c r="N2166" s="47" t="inlineStr">
        <is>
          <t>UCor_9jRnNNZVzTuQ92PKsaQ</t>
        </is>
      </c>
      <c r="O2166" s="48" t="n">
        <v>43230.16666666666</v>
      </c>
      <c r="P2166" s="49" t="n">
        <v>43230</v>
      </c>
      <c r="Q2166" s="47" t="n">
        <v>1102</v>
      </c>
      <c r="R2166" s="47" t="inlineStr">
        <is>
          <t>No Video ID yet</t>
        </is>
      </c>
      <c r="S2166" s="49" t="n"/>
      <c r="T2166" s="49" t="n"/>
      <c r="U2166" s="47" t="inlineStr">
        <is>
          <t>Today we reunite with our old friend Jill the Grill and try not to lose our minds =( Join The Discord! J on twitter: Ben on Twitter:</t>
        </is>
      </c>
      <c r="V2166" s="47">
        <f>IF(AND(P2166&gt;=Calendar!$K$2,P2166&lt;EDATE(Calendar!$K$2,1),OR(Calendar!$K$4="*",N2166=Calendar!$K$4)),P2166*100+COUNTIFS($P$6:$P$3267,P2166,$Q$6:$Q$3267,"&lt;="&amp;Q2166,$N$6:$N$3267,Calendar!$K$4),"")</f>
        <v/>
      </c>
      <c r="W2166" s="47">
        <f>IF(AND(B2166=Queue!$C$4,OR(Queue!$K$4="*",N2166=Queue!$K$4)),Q2166,"")</f>
        <v/>
      </c>
    </row>
    <row r="2167">
      <c r="A2167" s="38">
        <f>IF(M2167="","",HYPERLINK("https://www.youtube.com/watch?v="&amp;M2167,"▶"))</f>
        <v/>
      </c>
      <c r="B2167" s="39">
        <f>IF(C2167&lt;&gt;"",C2167,IF(P2167&lt;=IFERROR(INDEX(tblChannels[Watched Through],MATCH(N2167,tblChannels[Channel ID],0)),0),"Watched","Unwatched"))</f>
        <v/>
      </c>
      <c r="C2167" s="40" t="n"/>
      <c r="D2167" s="41" t="n"/>
      <c r="E2167" s="42" t="n">
        <v>43228.98680555556</v>
      </c>
      <c r="F2167" s="52" t="inlineStr">
        <is>
          <t>Super Carlin Gaming</t>
        </is>
      </c>
      <c r="G2167" t="inlineStr">
        <is>
          <t>I Need A COOP! - Stardew Valley</t>
        </is>
      </c>
      <c r="H2167" s="44" t="n">
        <v>0.03601851851851852</v>
      </c>
      <c r="I2167" s="45" t="n">
        <v>4936</v>
      </c>
      <c r="J2167" s="45" t="n">
        <v>205</v>
      </c>
      <c r="K2167" s="45" t="n">
        <v>21</v>
      </c>
      <c r="L2167" s="46" t="n"/>
      <c r="M2167" s="47" t="n"/>
      <c r="N2167" s="47" t="inlineStr">
        <is>
          <t>UCor_9jRnNNZVzTuQ92PKsaQ</t>
        </is>
      </c>
      <c r="O2167" s="48" t="n">
        <v>43229.15347222222</v>
      </c>
      <c r="P2167" s="49" t="n">
        <v>43228</v>
      </c>
      <c r="Q2167" s="47" t="n">
        <v>1101</v>
      </c>
      <c r="R2167" s="47" t="inlineStr">
        <is>
          <t>No Video ID yet</t>
        </is>
      </c>
      <c r="S2167" s="49" t="n"/>
      <c r="T2167" s="49" t="n"/>
      <c r="U2167" s="47" t="inlineStr">
        <is>
          <t>I have a dog named Torch and need a coop for my farm! Also how does this game work?! Join The Discord! J on twitter: Ben on Twitter:</t>
        </is>
      </c>
      <c r="V2167" s="47">
        <f>IF(AND(P2167&gt;=Calendar!$K$2,P2167&lt;EDATE(Calendar!$K$2,1),OR(Calendar!$K$4="*",N2167=Calendar!$K$4)),P2167*100+COUNTIFS($P$6:$P$3267,P2167,$Q$6:$Q$3267,"&lt;="&amp;Q2167,$N$6:$N$3267,Calendar!$K$4),"")</f>
        <v/>
      </c>
      <c r="W2167" s="47">
        <f>IF(AND(B2167=Queue!$C$4,OR(Queue!$K$4="*",N2167=Queue!$K$4)),Q2167,"")</f>
        <v/>
      </c>
    </row>
    <row r="2168">
      <c r="A2168" s="38">
        <f>IF(M2168="","",HYPERLINK("https://www.youtube.com/watch?v="&amp;M2168,"▶"))</f>
        <v/>
      </c>
      <c r="B2168" s="39">
        <f>IF(C2168&lt;&gt;"",C2168,IF(P2168&lt;=IFERROR(INDEX(tblChannels[Watched Through],MATCH(N2168,tblChannels[Channel ID],0)),0),"Watched","Unwatched"))</f>
        <v/>
      </c>
      <c r="C2168" s="40" t="n"/>
      <c r="D2168" s="41" t="n"/>
      <c r="E2168" s="42" t="n">
        <v>43228.71388888889</v>
      </c>
      <c r="F2168" s="50" t="inlineStr">
        <is>
          <t>Super Carlin Brothers</t>
        </is>
      </c>
      <c r="G2168" t="inlineStr">
        <is>
          <t>Pixar Theory: The Government Hired Syndrome</t>
        </is>
      </c>
      <c r="H2168" s="44" t="n">
        <v>0.008518518518518519</v>
      </c>
      <c r="I2168" s="45" t="n">
        <v>655387</v>
      </c>
      <c r="J2168" s="45" t="n">
        <v>20387</v>
      </c>
      <c r="K2168" s="45" t="n">
        <v>1547</v>
      </c>
      <c r="L2168" s="46" t="n"/>
      <c r="M2168" s="47" t="n"/>
      <c r="N2168" s="47" t="inlineStr">
        <is>
          <t>UCKZo4N0lVPccBkSiuyVh4yg</t>
        </is>
      </c>
      <c r="O2168" s="48" t="n">
        <v>43228.88055555556</v>
      </c>
      <c r="P2168" s="49" t="n">
        <v>43228</v>
      </c>
      <c r="Q2168" s="47" t="n">
        <v>1100</v>
      </c>
      <c r="R2168" s="47" t="inlineStr">
        <is>
          <t>No Video ID yet</t>
        </is>
      </c>
      <c r="S2168" s="49" t="n"/>
      <c r="T2168" s="49" t="n"/>
      <c r="U2168" s="47" t="inlineStr">
        <is>
          <t>Today J dives into the world of Pixar's Incredibles to determine if Syndrome was working with the government to eliminate supers!</t>
        </is>
      </c>
      <c r="V2168" s="47">
        <f>IF(AND(P2168&gt;=Calendar!$K$2,P2168&lt;EDATE(Calendar!$K$2,1),OR(Calendar!$K$4="*",N2168=Calendar!$K$4)),P2168*100+COUNTIFS($P$6:$P$3267,P2168,$Q$6:$Q$3267,"&lt;="&amp;Q2168,$N$6:$N$3267,Calendar!$K$4),"")</f>
        <v/>
      </c>
      <c r="W2168" s="47">
        <f>IF(AND(B2168=Queue!$C$4,OR(Queue!$K$4="*",N2168=Queue!$K$4)),Q2168,"")</f>
        <v/>
      </c>
    </row>
    <row r="2169">
      <c r="A2169" s="38">
        <f>IF(M2169="","",HYPERLINK("https://www.youtube.com/watch?v="&amp;M2169,"▶"))</f>
        <v/>
      </c>
      <c r="B2169" s="39">
        <f>IF(C2169&lt;&gt;"",C2169,IF(P2169&lt;=IFERROR(INDEX(tblChannels[Watched Through],MATCH(N2169,tblChannels[Channel ID],0)),0),"Watched","Unwatched"))</f>
        <v/>
      </c>
      <c r="C2169" s="40" t="n"/>
      <c r="D2169" s="41" t="n"/>
      <c r="E2169" s="42" t="n">
        <v>43227.79027777778</v>
      </c>
      <c r="F2169" s="53" t="inlineStr">
        <is>
          <t>Jonathan Carlin</t>
        </is>
      </c>
      <c r="G2169" t="inlineStr">
        <is>
          <t>BETH RUNS THE TOUGHEST HALF MARATHON IN AMERICA</t>
        </is>
      </c>
      <c r="H2169" s="44" t="n">
        <v>0.006747685185185186</v>
      </c>
      <c r="I2169" s="45" t="n">
        <v>33887</v>
      </c>
      <c r="J2169" s="45" t="n">
        <v>1670</v>
      </c>
      <c r="K2169" s="45" t="n">
        <v>202</v>
      </c>
      <c r="L2169" s="46" t="n"/>
      <c r="M2169" s="47" t="n"/>
      <c r="N2169" s="47" t="inlineStr">
        <is>
          <t>UCYPKFe86e6nm4TVUYKLsFUQ</t>
        </is>
      </c>
      <c r="O2169" s="48" t="n">
        <v>43227.95694444444</v>
      </c>
      <c r="P2169" s="49" t="n">
        <v>43227</v>
      </c>
      <c r="Q2169" s="47" t="n">
        <v>1099</v>
      </c>
      <c r="R2169" s="47" t="inlineStr">
        <is>
          <t>No Video ID yet</t>
        </is>
      </c>
      <c r="S2169" s="49" t="n"/>
      <c r="T2169" s="49" t="n"/>
      <c r="U2169" s="47" t="inlineStr">
        <is>
          <t>This week Beth continues to be a total boss and runs the Blue Ridge Half Marathon aka America's Toughest Half Road Marathon! Also J makes dinner!</t>
        </is>
      </c>
      <c r="V2169" s="47">
        <f>IF(AND(P2169&gt;=Calendar!$K$2,P2169&lt;EDATE(Calendar!$K$2,1),OR(Calendar!$K$4="*",N2169=Calendar!$K$4)),P2169*100+COUNTIFS($P$6:$P$3267,P2169,$Q$6:$Q$3267,"&lt;="&amp;Q2169,$N$6:$N$3267,Calendar!$K$4),"")</f>
        <v/>
      </c>
      <c r="W2169" s="47">
        <f>IF(AND(B2169=Queue!$C$4,OR(Queue!$K$4="*",N2169=Queue!$K$4)),Q2169,"")</f>
        <v/>
      </c>
    </row>
    <row r="2170">
      <c r="A2170" s="38">
        <f>IF(M2170="","",HYPERLINK("https://www.youtube.com/watch?v="&amp;M2170,"▶"))</f>
        <v/>
      </c>
      <c r="B2170" s="39">
        <f>IF(C2170&lt;&gt;"",C2170,IF(P2170&lt;=IFERROR(INDEX(tblChannels[Watched Through],MATCH(N2170,tblChannels[Channel ID],0)),0),"Watched","Unwatched"))</f>
        <v/>
      </c>
      <c r="C2170" s="40" t="n"/>
      <c r="D2170" s="41" t="n"/>
      <c r="E2170" s="42" t="n">
        <v>43223.96944444445</v>
      </c>
      <c r="F2170" s="52" t="inlineStr">
        <is>
          <t>Super Carlin Gaming</t>
        </is>
      </c>
      <c r="G2170" t="inlineStr">
        <is>
          <t>Why Am I Doing This To Myself?! - GETTING OVER IT</t>
        </is>
      </c>
      <c r="H2170" s="44" t="n">
        <v>0.04796296296296296</v>
      </c>
      <c r="I2170" s="45" t="n">
        <v>10506</v>
      </c>
      <c r="J2170" s="45" t="n">
        <v>315</v>
      </c>
      <c r="K2170" s="45" t="n">
        <v>25</v>
      </c>
      <c r="L2170" s="46" t="n"/>
      <c r="M2170" s="47" t="n"/>
      <c r="N2170" s="47" t="inlineStr">
        <is>
          <t>UCor_9jRnNNZVzTuQ92PKsaQ</t>
        </is>
      </c>
      <c r="O2170" s="48" t="n">
        <v>43224.13611111111</v>
      </c>
      <c r="P2170" s="49" t="n">
        <v>43223</v>
      </c>
      <c r="Q2170" s="47" t="n">
        <v>1098</v>
      </c>
      <c r="R2170" s="47" t="inlineStr">
        <is>
          <t>No Video ID yet</t>
        </is>
      </c>
      <c r="S2170" s="49" t="n"/>
      <c r="T2170" s="49" t="n"/>
      <c r="U2170" s="47" t="inlineStr">
        <is>
          <t>I'm not screaming, YOU'RE SCREAMING! Join The Discord! J on twitter: Ben on Twitter:</t>
        </is>
      </c>
      <c r="V2170" s="47">
        <f>IF(AND(P2170&gt;=Calendar!$K$2,P2170&lt;EDATE(Calendar!$K$2,1),OR(Calendar!$K$4="*",N2170=Calendar!$K$4)),P2170*100+COUNTIFS($P$6:$P$3267,P2170,$Q$6:$Q$3267,"&lt;="&amp;Q2170,$N$6:$N$3267,Calendar!$K$4),"")</f>
        <v/>
      </c>
      <c r="W2170" s="47">
        <f>IF(AND(B2170=Queue!$C$4,OR(Queue!$K$4="*",N2170=Queue!$K$4)),Q2170,"")</f>
        <v/>
      </c>
    </row>
    <row r="2171">
      <c r="A2171" s="38">
        <f>IF(M2171="","",HYPERLINK("https://www.youtube.com/watch?v="&amp;M2171,"▶"))</f>
        <v/>
      </c>
      <c r="B2171" s="39">
        <f>IF(C2171&lt;&gt;"",C2171,IF(P2171&lt;=IFERROR(INDEX(tblChannels[Watched Through],MATCH(N2171,tblChannels[Channel ID],0)),0),"Watched","Unwatched"))</f>
        <v/>
      </c>
      <c r="C2171" s="40" t="n"/>
      <c r="D2171" s="41" t="n"/>
      <c r="E2171" s="42" t="n">
        <v>43223.71944444445</v>
      </c>
      <c r="F2171" s="50" t="inlineStr">
        <is>
          <t>Super Carlin Brothers</t>
        </is>
      </c>
      <c r="G2171" t="inlineStr">
        <is>
          <t>Why Moana Looks Like Te Fiti | Disney Theory</t>
        </is>
      </c>
      <c r="H2171" s="44" t="n">
        <v>0.00619212962962963</v>
      </c>
      <c r="I2171" s="45" t="n">
        <v>3096492</v>
      </c>
      <c r="J2171" s="45" t="n">
        <v>85425</v>
      </c>
      <c r="K2171" s="45" t="n">
        <v>7250</v>
      </c>
      <c r="L2171" s="46" t="n"/>
      <c r="M2171" s="47" t="n"/>
      <c r="N2171" s="47" t="inlineStr">
        <is>
          <t>UCKZo4N0lVPccBkSiuyVh4yg</t>
        </is>
      </c>
      <c r="O2171" s="48" t="n">
        <v>43223.88611111111</v>
      </c>
      <c r="P2171" s="49" t="n">
        <v>43223</v>
      </c>
      <c r="Q2171" s="47" t="n">
        <v>1097</v>
      </c>
      <c r="R2171" s="47" t="inlineStr">
        <is>
          <t>No Video ID yet</t>
        </is>
      </c>
      <c r="S2171" s="49" t="n"/>
      <c r="T2171" s="49" t="n"/>
      <c r="U2171" s="47" t="inlineStr">
        <is>
          <t>Today Ben dives into the ocean of Disney's Moana to discuss why Moana looks exactly like the island goddess of Te Fiti</t>
        </is>
      </c>
      <c r="V2171" s="47">
        <f>IF(AND(P2171&gt;=Calendar!$K$2,P2171&lt;EDATE(Calendar!$K$2,1),OR(Calendar!$K$4="*",N2171=Calendar!$K$4)),P2171*100+COUNTIFS($P$6:$P$3267,P2171,$Q$6:$Q$3267,"&lt;="&amp;Q2171,$N$6:$N$3267,Calendar!$K$4),"")</f>
        <v/>
      </c>
      <c r="W2171" s="47">
        <f>IF(AND(B2171=Queue!$C$4,OR(Queue!$K$4="*",N2171=Queue!$K$4)),Q2171,"")</f>
        <v/>
      </c>
    </row>
    <row r="2172">
      <c r="A2172" s="38">
        <f>IF(M2172="","",HYPERLINK("https://www.youtube.com/watch?v="&amp;M2172,"▶"))</f>
        <v/>
      </c>
      <c r="B2172" s="39">
        <f>IF(C2172&lt;&gt;"",C2172,IF(P2172&lt;=IFERROR(INDEX(tblChannels[Watched Through],MATCH(N2172,tblChannels[Channel ID],0)),0),"Watched","Unwatched"))</f>
        <v/>
      </c>
      <c r="C2172" s="40" t="n"/>
      <c r="D2172" s="41" t="n"/>
      <c r="E2172" s="42" t="n">
        <v>43223.56041666667</v>
      </c>
      <c r="F2172" s="52" t="inlineStr">
        <is>
          <t>Super Carlin Gaming</t>
        </is>
      </c>
      <c r="G2172" t="inlineStr">
        <is>
          <t>J IS TOTALLY GETTING OVER IT!</t>
        </is>
      </c>
      <c r="H2172" s="44" t="n">
        <v>0.07559027777777778</v>
      </c>
      <c r="I2172" s="45" t="n">
        <v>7239</v>
      </c>
      <c r="J2172" s="45" t="n">
        <v>278</v>
      </c>
      <c r="K2172" s="45" t="n">
        <v>18</v>
      </c>
      <c r="L2172" s="46" t="n"/>
      <c r="M2172" s="47" t="n"/>
      <c r="N2172" s="47" t="inlineStr">
        <is>
          <t>UCor_9jRnNNZVzTuQ92PKsaQ</t>
        </is>
      </c>
      <c r="O2172" s="48" t="n">
        <v>43223.72708333333</v>
      </c>
      <c r="P2172" s="49" t="n">
        <v>43223</v>
      </c>
      <c r="Q2172" s="47" t="n">
        <v>1096</v>
      </c>
      <c r="R2172" s="47" t="inlineStr">
        <is>
          <t>No Video ID yet</t>
        </is>
      </c>
      <c r="S2172" s="49" t="n"/>
      <c r="T2172" s="49" t="n"/>
      <c r="U2172" s="47" t="inlineStr">
        <is>
          <t>I'm not screaming, YOU'RE SCREAMING! Join The Discord! J on twitter: Ben on Twitter:</t>
        </is>
      </c>
      <c r="V2172" s="47">
        <f>IF(AND(P2172&gt;=Calendar!$K$2,P2172&lt;EDATE(Calendar!$K$2,1),OR(Calendar!$K$4="*",N2172=Calendar!$K$4)),P2172*100+COUNTIFS($P$6:$P$3267,P2172,$Q$6:$Q$3267,"&lt;="&amp;Q2172,$N$6:$N$3267,Calendar!$K$4),"")</f>
        <v/>
      </c>
      <c r="W2172" s="47">
        <f>IF(AND(B2172=Queue!$C$4,OR(Queue!$K$4="*",N2172=Queue!$K$4)),Q2172,"")</f>
        <v/>
      </c>
    </row>
    <row r="2173">
      <c r="A2173" s="38">
        <f>IF(M2173="","",HYPERLINK("https://www.youtube.com/watch?v="&amp;M2173,"▶"))</f>
        <v/>
      </c>
      <c r="B2173" s="39">
        <f>IF(C2173&lt;&gt;"",C2173,IF(P2173&lt;=IFERROR(INDEX(tblChannels[Watched Through],MATCH(N2173,tblChannels[Channel ID],0)),0),"Watched","Unwatched"))</f>
        <v/>
      </c>
      <c r="C2173" s="40" t="n"/>
      <c r="D2173" s="41" t="n"/>
      <c r="E2173" s="42" t="n">
        <v>43222.74861111111</v>
      </c>
      <c r="F2173" s="52" t="inlineStr">
        <is>
          <t>Super Carlin Gaming</t>
        </is>
      </c>
      <c r="G2173" t="inlineStr">
        <is>
          <t>Ben &amp; J play 'Getting Over It"</t>
        </is>
      </c>
      <c r="H2173" s="44" t="n">
        <v>0.08002314814814815</v>
      </c>
      <c r="I2173" s="45" t="n">
        <v>13197</v>
      </c>
      <c r="J2173" s="45" t="n">
        <v>462</v>
      </c>
      <c r="K2173" s="45" t="n">
        <v>33</v>
      </c>
      <c r="L2173" s="46" t="n"/>
      <c r="M2173" s="47" t="n"/>
      <c r="N2173" s="47" t="inlineStr">
        <is>
          <t>UCor_9jRnNNZVzTuQ92PKsaQ</t>
        </is>
      </c>
      <c r="O2173" s="48" t="n">
        <v>43222.91527777778</v>
      </c>
      <c r="P2173" s="49" t="n">
        <v>43222</v>
      </c>
      <c r="Q2173" s="47" t="n">
        <v>1095</v>
      </c>
      <c r="R2173" s="47" t="inlineStr">
        <is>
          <t>No Video ID yet</t>
        </is>
      </c>
      <c r="S2173" s="49" t="n"/>
      <c r="T2173" s="49" t="n"/>
      <c r="U2173" s="47" t="inlineStr">
        <is>
          <t>Join The Discord! J on twitter: Ben on Twitter:</t>
        </is>
      </c>
      <c r="V2173" s="47">
        <f>IF(AND(P2173&gt;=Calendar!$K$2,P2173&lt;EDATE(Calendar!$K$2,1),OR(Calendar!$K$4="*",N2173=Calendar!$K$4)),P2173*100+COUNTIFS($P$6:$P$3267,P2173,$Q$6:$Q$3267,"&lt;="&amp;Q2173,$N$6:$N$3267,Calendar!$K$4),"")</f>
        <v/>
      </c>
      <c r="W2173" s="47">
        <f>IF(AND(B2173=Queue!$C$4,OR(Queue!$K$4="*",N2173=Queue!$K$4)),Q2173,"")</f>
        <v/>
      </c>
    </row>
    <row r="2174">
      <c r="A2174" s="38">
        <f>IF(M2174="","",HYPERLINK("https://www.youtube.com/watch?v="&amp;M2174,"▶"))</f>
        <v/>
      </c>
      <c r="B2174" s="39">
        <f>IF(C2174&lt;&gt;"",C2174,IF(P2174&lt;=IFERROR(INDEX(tblChannels[Watched Through],MATCH(N2174,tblChannels[Channel ID],0)),0),"Watched","Unwatched"))</f>
        <v/>
      </c>
      <c r="C2174" s="40" t="n"/>
      <c r="D2174" s="41" t="n"/>
      <c r="E2174" s="42" t="n">
        <v>43221.72430555556</v>
      </c>
      <c r="F2174" s="50" t="inlineStr">
        <is>
          <t>Super Carlin Brothers</t>
        </is>
      </c>
      <c r="G2174" t="inlineStr">
        <is>
          <t>Which House Was Hagrid In? | Harry Potter Theory</t>
        </is>
      </c>
      <c r="H2174" s="44" t="n">
        <v>0.01032407407407407</v>
      </c>
      <c r="I2174" s="45" t="n">
        <v>2448207</v>
      </c>
      <c r="J2174" s="45" t="n">
        <v>56156</v>
      </c>
      <c r="K2174" s="45" t="n">
        <v>12858</v>
      </c>
      <c r="L2174" s="46" t="n"/>
      <c r="M2174" s="47" t="n"/>
      <c r="N2174" s="47" t="inlineStr">
        <is>
          <t>UCKZo4N0lVPccBkSiuyVh4yg</t>
        </is>
      </c>
      <c r="O2174" s="48" t="n">
        <v>43221.89097222222</v>
      </c>
      <c r="P2174" s="49" t="n">
        <v>43221</v>
      </c>
      <c r="Q2174" s="47" t="n">
        <v>1094</v>
      </c>
      <c r="R2174" s="47" t="inlineStr">
        <is>
          <t>No Video ID yet</t>
        </is>
      </c>
      <c r="S2174" s="49" t="n"/>
      <c r="T2174" s="49" t="n"/>
      <c r="U2174" s="47" t="inlineStr">
        <is>
          <t>Today J dives into the Wizarding World of Harry Potter to discuss which house Hagrid was in! Gryffindor? Slytherin? Ravenclaw? Pancakes?</t>
        </is>
      </c>
      <c r="V2174" s="47">
        <f>IF(AND(P2174&gt;=Calendar!$K$2,P2174&lt;EDATE(Calendar!$K$2,1),OR(Calendar!$K$4="*",N2174=Calendar!$K$4)),P2174*100+COUNTIFS($P$6:$P$3267,P2174,$Q$6:$Q$3267,"&lt;="&amp;Q2174,$N$6:$N$3267,Calendar!$K$4),"")</f>
        <v/>
      </c>
      <c r="W2174" s="47">
        <f>IF(AND(B2174=Queue!$C$4,OR(Queue!$K$4="*",N2174=Queue!$K$4)),Q2174,"")</f>
        <v/>
      </c>
    </row>
    <row r="2175">
      <c r="A2175" s="38">
        <f>IF(M2175="","",HYPERLINK("https://www.youtube.com/watch?v="&amp;M2175,"▶"))</f>
        <v/>
      </c>
      <c r="B2175" s="39">
        <f>IF(C2175&lt;&gt;"",C2175,IF(P2175&lt;=IFERROR(INDEX(tblChannels[Watched Through],MATCH(N2175,tblChannels[Channel ID],0)),0),"Watched","Unwatched"))</f>
        <v/>
      </c>
      <c r="C2175" s="40" t="n"/>
      <c r="D2175" s="41" t="n"/>
      <c r="E2175" s="42" t="n">
        <v>43220.56805555556</v>
      </c>
      <c r="F2175" s="53" t="inlineStr">
        <is>
          <t>Jonathan Carlin</t>
        </is>
      </c>
      <c r="G2175" t="inlineStr">
        <is>
          <t>BETH'S FIRST WEEK BACK AT SCHOOL!</t>
        </is>
      </c>
      <c r="H2175" s="44" t="n">
        <v>0.006469907407407408</v>
      </c>
      <c r="I2175" s="45" t="n">
        <v>40117</v>
      </c>
      <c r="J2175" s="45" t="n">
        <v>2011</v>
      </c>
      <c r="K2175" s="45" t="n">
        <v>290</v>
      </c>
      <c r="L2175" s="46" t="n"/>
      <c r="M2175" s="47" t="n"/>
      <c r="N2175" s="47" t="inlineStr">
        <is>
          <t>UCYPKFe86e6nm4TVUYKLsFUQ</t>
        </is>
      </c>
      <c r="O2175" s="48" t="n">
        <v>43220.73472222222</v>
      </c>
      <c r="P2175" s="49" t="n">
        <v>43220</v>
      </c>
      <c r="Q2175" s="47" t="n">
        <v>1093</v>
      </c>
      <c r="R2175" s="47" t="inlineStr">
        <is>
          <t>No Video ID yet</t>
        </is>
      </c>
      <c r="S2175" s="49" t="n"/>
      <c r="T2175" s="49" t="n"/>
      <c r="U2175" s="47" t="inlineStr">
        <is>
          <t>Beth's maternity leave comes to an end and she returns to teaching, J has a momentary freak out and Luke's smile saves the day!</t>
        </is>
      </c>
      <c r="V2175" s="47">
        <f>IF(AND(P2175&gt;=Calendar!$K$2,P2175&lt;EDATE(Calendar!$K$2,1),OR(Calendar!$K$4="*",N2175=Calendar!$K$4)),P2175*100+COUNTIFS($P$6:$P$3267,P2175,$Q$6:$Q$3267,"&lt;="&amp;Q2175,$N$6:$N$3267,Calendar!$K$4),"")</f>
        <v/>
      </c>
      <c r="W2175" s="47">
        <f>IF(AND(B2175=Queue!$C$4,OR(Queue!$K$4="*",N2175=Queue!$K$4)),Q2175,"")</f>
        <v/>
      </c>
    </row>
    <row r="2176">
      <c r="A2176" s="38">
        <f>IF(M2176="","",HYPERLINK("https://www.youtube.com/watch?v="&amp;M2176,"▶"))</f>
        <v/>
      </c>
      <c r="B2176" s="39">
        <f>IF(C2176&lt;&gt;"",C2176,IF(P2176&lt;=IFERROR(INDEX(tblChannels[Watched Through],MATCH(N2176,tblChannels[Channel ID],0)),0),"Watched","Unwatched"))</f>
        <v/>
      </c>
      <c r="C2176" s="40" t="n"/>
      <c r="D2176" s="41" t="n"/>
      <c r="E2176" s="42" t="n">
        <v>43218.59791666667</v>
      </c>
      <c r="F2176" s="52" t="inlineStr">
        <is>
          <t>Super Carlin Gaming</t>
        </is>
      </c>
      <c r="G2176" t="inlineStr">
        <is>
          <t>Luke and J Play Pokemon Leaf Green | Mono Type FIRE Run #6</t>
        </is>
      </c>
      <c r="H2176" s="44" t="n">
        <v>0.05646990740740741</v>
      </c>
      <c r="I2176" s="45" t="n">
        <v>11617</v>
      </c>
      <c r="J2176" s="45" t="n">
        <v>294</v>
      </c>
      <c r="K2176" s="45" t="n">
        <v>45</v>
      </c>
      <c r="L2176" s="46" t="n"/>
      <c r="M2176" s="47" t="n"/>
      <c r="N2176" s="47" t="inlineStr">
        <is>
          <t>UCor_9jRnNNZVzTuQ92PKsaQ</t>
        </is>
      </c>
      <c r="O2176" s="48" t="n">
        <v>43218.76458333333</v>
      </c>
      <c r="P2176" s="49" t="n">
        <v>43218</v>
      </c>
      <c r="Q2176" s="47" t="n">
        <v>1092</v>
      </c>
      <c r="R2176" s="47" t="inlineStr">
        <is>
          <t>No Video ID yet</t>
        </is>
      </c>
      <c r="S2176" s="49" t="n"/>
      <c r="T2176" s="49" t="n"/>
      <c r="U2176" s="47" t="inlineStr">
        <is>
          <t>Join The Discord! J on twitter:</t>
        </is>
      </c>
      <c r="V2176" s="47">
        <f>IF(AND(P2176&gt;=Calendar!$K$2,P2176&lt;EDATE(Calendar!$K$2,1),OR(Calendar!$K$4="*",N2176=Calendar!$K$4)),P2176*100+COUNTIFS($P$6:$P$3267,P2176,$Q$6:$Q$3267,"&lt;="&amp;Q2176,$N$6:$N$3267,Calendar!$K$4),"")</f>
        <v/>
      </c>
      <c r="W2176" s="47">
        <f>IF(AND(B2176=Queue!$C$4,OR(Queue!$K$4="*",N2176=Queue!$K$4)),Q2176,"")</f>
        <v/>
      </c>
    </row>
    <row r="2177">
      <c r="A2177" s="38">
        <f>IF(M2177="","",HYPERLINK("https://www.youtube.com/watch?v="&amp;M2177,"▶"))</f>
        <v/>
      </c>
      <c r="B2177" s="39">
        <f>IF(C2177&lt;&gt;"",C2177,IF(P2177&lt;=IFERROR(INDEX(tblChannels[Watched Through],MATCH(N2177,tblChannels[Channel ID],0)),0),"Watched","Unwatched"))</f>
        <v/>
      </c>
      <c r="C2177" s="40" t="n"/>
      <c r="D2177" s="41" t="n"/>
      <c r="E2177" s="42" t="n">
        <v>43217.7375</v>
      </c>
      <c r="F2177" s="52" t="inlineStr">
        <is>
          <t>Super Carlin Gaming</t>
        </is>
      </c>
      <c r="G2177" t="inlineStr">
        <is>
          <t>Mario Kart LIVE! Possibly for the last time?!?</t>
        </is>
      </c>
      <c r="H2177" s="44" t="n">
        <v>0.04684027777777778</v>
      </c>
      <c r="I2177" s="45" t="n">
        <v>13221</v>
      </c>
      <c r="J2177" s="45" t="n">
        <v>416</v>
      </c>
      <c r="K2177" s="45" t="n">
        <v>56</v>
      </c>
      <c r="L2177" s="46" t="n"/>
      <c r="M2177" s="47" t="n"/>
      <c r="N2177" s="47" t="inlineStr">
        <is>
          <t>UCor_9jRnNNZVzTuQ92PKsaQ</t>
        </is>
      </c>
      <c r="O2177" s="48" t="n">
        <v>43217.90416666667</v>
      </c>
      <c r="P2177" s="49" t="n">
        <v>43217</v>
      </c>
      <c r="Q2177" s="47" t="n">
        <v>1091</v>
      </c>
      <c r="R2177" s="47" t="inlineStr">
        <is>
          <t>No Video ID yet</t>
        </is>
      </c>
      <c r="S2177" s="49" t="n"/>
      <c r="T2177" s="49" t="n"/>
      <c r="U2177" s="47" t="inlineStr">
        <is>
          <t>Join The Discord! J on twitter: DK STREAMS ON TWITCH:</t>
        </is>
      </c>
      <c r="V2177" s="47">
        <f>IF(AND(P2177&gt;=Calendar!$K$2,P2177&lt;EDATE(Calendar!$K$2,1),OR(Calendar!$K$4="*",N2177=Calendar!$K$4)),P2177*100+COUNTIFS($P$6:$P$3267,P2177,$Q$6:$Q$3267,"&lt;="&amp;Q2177,$N$6:$N$3267,Calendar!$K$4),"")</f>
        <v/>
      </c>
      <c r="W2177" s="47">
        <f>IF(AND(B2177=Queue!$C$4,OR(Queue!$K$4="*",N2177=Queue!$K$4)),Q2177,"")</f>
        <v/>
      </c>
    </row>
    <row r="2178">
      <c r="A2178" s="38">
        <f>IF(M2178="","",HYPERLINK("https://www.youtube.com/watch?v="&amp;M2178,"▶"))</f>
        <v/>
      </c>
      <c r="B2178" s="39">
        <f>IF(C2178&lt;&gt;"",C2178,IF(P2178&lt;=IFERROR(INDEX(tblChannels[Watched Through],MATCH(N2178,tblChannels[Channel ID],0)),0),"Watched","Unwatched"))</f>
        <v/>
      </c>
      <c r="C2178" s="40" t="n"/>
      <c r="D2178" s="41" t="n"/>
      <c r="E2178" s="42" t="n">
        <v>43217.63472222222</v>
      </c>
      <c r="F2178" s="50" t="inlineStr">
        <is>
          <t>Super Carlin Brothers</t>
        </is>
      </c>
      <c r="G2178" t="inlineStr">
        <is>
          <t>J vs Ben: HARDEST Remus Lupin Quiz EVER!</t>
        </is>
      </c>
      <c r="H2178" s="44" t="n">
        <v>0.02197916666666667</v>
      </c>
      <c r="I2178" s="45" t="n">
        <v>1116318</v>
      </c>
      <c r="J2178" s="45" t="n">
        <v>20005</v>
      </c>
      <c r="K2178" s="45" t="n">
        <v>3337</v>
      </c>
      <c r="L2178" s="46" t="n"/>
      <c r="M2178" s="47" t="n"/>
      <c r="N2178" s="47" t="inlineStr">
        <is>
          <t>UCKZo4N0lVPccBkSiuyVh4yg</t>
        </is>
      </c>
      <c r="O2178" s="48" t="n">
        <v>43217.80138888889</v>
      </c>
      <c r="P2178" s="49" t="n">
        <v>43217</v>
      </c>
      <c r="Q2178" s="47" t="n">
        <v>1090</v>
      </c>
      <c r="R2178" s="47" t="inlineStr">
        <is>
          <t>No Video ID yet</t>
        </is>
      </c>
      <c r="S2178" s="49" t="n"/>
      <c r="T2178" s="49" t="n"/>
      <c r="U2178" s="47" t="inlineStr">
        <is>
          <t>Join Honey for FREE Take the Quiz :: Today J and Ben face off in another Harry Potter showdown to find out who knows the Wizarding World's favorite werewolf Remus Lupin the best!</t>
        </is>
      </c>
      <c r="V2178" s="47">
        <f>IF(AND(P2178&gt;=Calendar!$K$2,P2178&lt;EDATE(Calendar!$K$2,1),OR(Calendar!$K$4="*",N2178=Calendar!$K$4)),P2178*100+COUNTIFS($P$6:$P$3267,P2178,$Q$6:$Q$3267,"&lt;="&amp;Q2178,$N$6:$N$3267,Calendar!$K$4),"")</f>
        <v/>
      </c>
      <c r="W2178" s="47">
        <f>IF(AND(B2178=Queue!$C$4,OR(Queue!$K$4="*",N2178=Queue!$K$4)),Q2178,"")</f>
        <v/>
      </c>
    </row>
    <row r="2179">
      <c r="A2179" s="38">
        <f>IF(M2179="","",HYPERLINK("https://www.youtube.com/watch?v="&amp;M2179,"▶"))</f>
        <v/>
      </c>
      <c r="B2179" s="39">
        <f>IF(C2179&lt;&gt;"",C2179,IF(P2179&lt;=IFERROR(INDEX(tblChannels[Watched Through],MATCH(N2179,tblChannels[Channel ID],0)),0),"Watched","Unwatched"))</f>
        <v/>
      </c>
      <c r="C2179" s="40" t="n"/>
      <c r="D2179" s="41" t="n"/>
      <c r="E2179" s="42" t="n">
        <v>43216.4875</v>
      </c>
      <c r="F2179" s="52" t="inlineStr">
        <is>
          <t>Super Carlin Gaming</t>
        </is>
      </c>
      <c r="G2179" t="inlineStr">
        <is>
          <t>Hamstrings | Mario Kart Roulette #92</t>
        </is>
      </c>
      <c r="H2179" s="44" t="n">
        <v>0.01306712962962963</v>
      </c>
      <c r="I2179" s="45" t="n">
        <v>9687</v>
      </c>
      <c r="J2179" s="45" t="n">
        <v>371</v>
      </c>
      <c r="K2179" s="45" t="n">
        <v>73</v>
      </c>
      <c r="L2179" s="46" t="n"/>
      <c r="M2179" s="47" t="n"/>
      <c r="N2179" s="47" t="inlineStr">
        <is>
          <t>UCor_9jRnNNZVzTuQ92PKsaQ</t>
        </is>
      </c>
      <c r="O2179" s="48" t="n">
        <v>43216.65416666667</v>
      </c>
      <c r="P2179" s="49" t="n">
        <v>43216</v>
      </c>
      <c r="Q2179" s="47" t="n">
        <v>1089</v>
      </c>
      <c r="R2179" s="47" t="inlineStr">
        <is>
          <t>No Video ID yet</t>
        </is>
      </c>
      <c r="S2179" s="49" t="n"/>
      <c r="T2179" s="49" t="n"/>
      <c r="U2179" s="47" t="inlineStr">
        <is>
          <t>J and Ben continue to try to 3 star every cup with randomly chosen karts and characters while they answer your questions and give you advice!!</t>
        </is>
      </c>
      <c r="V2179" s="47">
        <f>IF(AND(P2179&gt;=Calendar!$K$2,P2179&lt;EDATE(Calendar!$K$2,1),OR(Calendar!$K$4="*",N2179=Calendar!$K$4)),P2179*100+COUNTIFS($P$6:$P$3267,P2179,$Q$6:$Q$3267,"&lt;="&amp;Q2179,$N$6:$N$3267,Calendar!$K$4),"")</f>
        <v/>
      </c>
      <c r="W2179" s="47">
        <f>IF(AND(B2179=Queue!$C$4,OR(Queue!$K$4="*",N2179=Queue!$K$4)),Q2179,"")</f>
        <v/>
      </c>
    </row>
    <row r="2180">
      <c r="A2180" s="38">
        <f>IF(M2180="","",HYPERLINK("https://www.youtube.com/watch?v="&amp;M2180,"▶"))</f>
        <v/>
      </c>
      <c r="B2180" s="39">
        <f>IF(C2180&lt;&gt;"",C2180,IF(P2180&lt;=IFERROR(INDEX(tblChannels[Watched Through],MATCH(N2180,tblChannels[Channel ID],0)),0),"Watched","Unwatched"))</f>
        <v/>
      </c>
      <c r="C2180" s="40" t="n"/>
      <c r="D2180" s="41" t="n"/>
      <c r="E2180" s="42" t="n">
        <v>43214.69861111111</v>
      </c>
      <c r="F2180" s="50" t="inlineStr">
        <is>
          <t>Super Carlin Brothers</t>
        </is>
      </c>
      <c r="G2180" t="inlineStr">
        <is>
          <t>EVERY MARVEL MOVIE RANKED</t>
        </is>
      </c>
      <c r="H2180" s="44" t="n">
        <v>0.03819444444444445</v>
      </c>
      <c r="I2180" s="45" t="n">
        <v>708332</v>
      </c>
      <c r="J2180" s="45" t="n">
        <v>13676</v>
      </c>
      <c r="K2180" s="45" t="n">
        <v>4383</v>
      </c>
      <c r="L2180" s="46" t="n"/>
      <c r="M2180" s="47" t="n"/>
      <c r="N2180" s="47" t="inlineStr">
        <is>
          <t>UCKZo4N0lVPccBkSiuyVh4yg</t>
        </is>
      </c>
      <c r="O2180" s="48" t="n">
        <v>43214.86527777778</v>
      </c>
      <c r="P2180" s="49" t="n">
        <v>43214</v>
      </c>
      <c r="Q2180" s="47" t="n">
        <v>1088</v>
      </c>
      <c r="R2180" s="47" t="inlineStr">
        <is>
          <t>No Video ID yet</t>
        </is>
      </c>
      <c r="S2180" s="49" t="n"/>
      <c r="T2180" s="49" t="n"/>
      <c r="U2180" s="47" t="inlineStr">
        <is>
          <t>Today in celebration of Marvel's Infinity War J and Ben are giving their official ranking of the entire MCU library from Iron Man to Black Panther! Which one is your favorite?!</t>
        </is>
      </c>
      <c r="V2180" s="47">
        <f>IF(AND(P2180&gt;=Calendar!$K$2,P2180&lt;EDATE(Calendar!$K$2,1),OR(Calendar!$K$4="*",N2180=Calendar!$K$4)),P2180*100+COUNTIFS($P$6:$P$3267,P2180,$Q$6:$Q$3267,"&lt;="&amp;Q2180,$N$6:$N$3267,Calendar!$K$4),"")</f>
        <v/>
      </c>
      <c r="W2180" s="47">
        <f>IF(AND(B2180=Queue!$C$4,OR(Queue!$K$4="*",N2180=Queue!$K$4)),Q2180,"")</f>
        <v/>
      </c>
    </row>
    <row r="2181">
      <c r="A2181" s="38">
        <f>IF(M2181="","",HYPERLINK("https://www.youtube.com/watch?v="&amp;M2181,"▶"))</f>
        <v/>
      </c>
      <c r="B2181" s="39">
        <f>IF(C2181&lt;&gt;"",C2181,IF(P2181&lt;=IFERROR(INDEX(tblChannels[Watched Through],MATCH(N2181,tblChannels[Channel ID],0)),0),"Watched","Unwatched"))</f>
        <v/>
      </c>
      <c r="C2181" s="40" t="n"/>
      <c r="D2181" s="41" t="n"/>
      <c r="E2181" s="42" t="n">
        <v>43214.44236111111</v>
      </c>
      <c r="F2181" s="52" t="inlineStr">
        <is>
          <t>Super Carlin Gaming</t>
        </is>
      </c>
      <c r="G2181" t="inlineStr">
        <is>
          <t>Ben Got Catfished | Mario Kart Roulette #91</t>
        </is>
      </c>
      <c r="H2181" s="44" t="n">
        <v>0.0134837962962963</v>
      </c>
      <c r="I2181" s="45" t="n">
        <v>8982</v>
      </c>
      <c r="J2181" s="45" t="n">
        <v>387</v>
      </c>
      <c r="K2181" s="45" t="n">
        <v>81</v>
      </c>
      <c r="L2181" s="46" t="n"/>
      <c r="M2181" s="47" t="n"/>
      <c r="N2181" s="47" t="inlineStr">
        <is>
          <t>UCor_9jRnNNZVzTuQ92PKsaQ</t>
        </is>
      </c>
      <c r="O2181" s="48" t="n">
        <v>43214.60902777778</v>
      </c>
      <c r="P2181" s="49" t="n">
        <v>43214</v>
      </c>
      <c r="Q2181" s="47" t="n">
        <v>1087</v>
      </c>
      <c r="R2181" s="47" t="inlineStr">
        <is>
          <t>No Video ID yet</t>
        </is>
      </c>
      <c r="S2181" s="49" t="n"/>
      <c r="T2181" s="49" t="n"/>
      <c r="U2181" s="47" t="inlineStr">
        <is>
          <t>J and Ben continue to try to 3 star every cup with randomly chosen karts and characters while they answer your questions and give you advice!!</t>
        </is>
      </c>
      <c r="V2181" s="47">
        <f>IF(AND(P2181&gt;=Calendar!$K$2,P2181&lt;EDATE(Calendar!$K$2,1),OR(Calendar!$K$4="*",N2181=Calendar!$K$4)),P2181*100+COUNTIFS($P$6:$P$3267,P2181,$Q$6:$Q$3267,"&lt;="&amp;Q2181,$N$6:$N$3267,Calendar!$K$4),"")</f>
        <v/>
      </c>
      <c r="W2181" s="47">
        <f>IF(AND(B2181=Queue!$C$4,OR(Queue!$K$4="*",N2181=Queue!$K$4)),Q2181,"")</f>
        <v/>
      </c>
    </row>
    <row r="2182">
      <c r="A2182" s="38">
        <f>IF(M2182="","",HYPERLINK("https://www.youtube.com/watch?v="&amp;M2182,"▶"))</f>
        <v/>
      </c>
      <c r="B2182" s="39">
        <f>IF(C2182&lt;&gt;"",C2182,IF(P2182&lt;=IFERROR(INDEX(tblChannels[Watched Through],MATCH(N2182,tblChannels[Channel ID],0)),0),"Watched","Unwatched"))</f>
        <v/>
      </c>
      <c r="C2182" s="40" t="n"/>
      <c r="D2182" s="41" t="n"/>
      <c r="E2182" s="42" t="n">
        <v>43213.59097222222</v>
      </c>
      <c r="F2182" s="53" t="inlineStr">
        <is>
          <t>Jonathan Carlin</t>
        </is>
      </c>
      <c r="G2182" t="inlineStr">
        <is>
          <t>Luke Learns to ROLL OVER!</t>
        </is>
      </c>
      <c r="H2182" s="44" t="n">
        <v>0.006631944444444445</v>
      </c>
      <c r="I2182" s="45" t="n">
        <v>54927</v>
      </c>
      <c r="J2182" s="45" t="n">
        <v>2289</v>
      </c>
      <c r="K2182" s="45" t="n">
        <v>257</v>
      </c>
      <c r="L2182" s="46" t="n"/>
      <c r="M2182" s="47" t="n"/>
      <c r="N2182" s="47" t="inlineStr">
        <is>
          <t>UCYPKFe86e6nm4TVUYKLsFUQ</t>
        </is>
      </c>
      <c r="O2182" s="48" t="n">
        <v>43213.75763888889</v>
      </c>
      <c r="P2182" s="49" t="n">
        <v>43213</v>
      </c>
      <c r="Q2182" s="47" t="n">
        <v>1086</v>
      </c>
      <c r="R2182" s="47" t="inlineStr">
        <is>
          <t>No Video ID yet</t>
        </is>
      </c>
      <c r="S2182" s="49" t="n"/>
      <c r="T2182" s="49" t="n"/>
      <c r="U2182" s="47" t="inlineStr">
        <is>
          <t>Luke learns a new trick, J finds a new burger (it was at River and Rail), and Beth does a lot of running! Also BIG Congratulations to my brother-in-law Daniel who was recently ordained!</t>
        </is>
      </c>
      <c r="V2182" s="47">
        <f>IF(AND(P2182&gt;=Calendar!$K$2,P2182&lt;EDATE(Calendar!$K$2,1),OR(Calendar!$K$4="*",N2182=Calendar!$K$4)),P2182*100+COUNTIFS($P$6:$P$3267,P2182,$Q$6:$Q$3267,"&lt;="&amp;Q2182,$N$6:$N$3267,Calendar!$K$4),"")</f>
        <v/>
      </c>
      <c r="W2182" s="47">
        <f>IF(AND(B2182=Queue!$C$4,OR(Queue!$K$4="*",N2182=Queue!$K$4)),Q2182,"")</f>
        <v/>
      </c>
    </row>
    <row r="2183">
      <c r="A2183" s="38">
        <f>IF(M2183="","",HYPERLINK("https://www.youtube.com/watch?v="&amp;M2183,"▶"))</f>
        <v/>
      </c>
      <c r="B2183" s="39">
        <f>IF(C2183&lt;&gt;"",C2183,IF(P2183&lt;=IFERROR(INDEX(tblChannels[Watched Through],MATCH(N2183,tblChannels[Channel ID],0)),0),"Watched","Unwatched"))</f>
        <v/>
      </c>
      <c r="C2183" s="40" t="n"/>
      <c r="D2183" s="41" t="n"/>
      <c r="E2183" s="42" t="n">
        <v>43209.80555555555</v>
      </c>
      <c r="F2183" s="50" t="inlineStr">
        <is>
          <t>Super Carlin Brothers</t>
        </is>
      </c>
      <c r="G2183" t="inlineStr">
        <is>
          <t>Shrek Vs Disney</t>
        </is>
      </c>
      <c r="H2183" s="44" t="n">
        <v>0.006875</v>
      </c>
      <c r="I2183" s="45" t="n">
        <v>724209</v>
      </c>
      <c r="J2183" s="45" t="n">
        <v>24313</v>
      </c>
      <c r="K2183" s="45" t="n">
        <v>2558</v>
      </c>
      <c r="L2183" s="46" t="n"/>
      <c r="M2183" s="47" t="n"/>
      <c r="N2183" s="47" t="inlineStr">
        <is>
          <t>UCKZo4N0lVPccBkSiuyVh4yg</t>
        </is>
      </c>
      <c r="O2183" s="48" t="n">
        <v>43209.97222222222</v>
      </c>
      <c r="P2183" s="49" t="n">
        <v>43209</v>
      </c>
      <c r="Q2183" s="47" t="n">
        <v>1085</v>
      </c>
      <c r="R2183" s="47" t="inlineStr">
        <is>
          <t>No Video ID yet</t>
        </is>
      </c>
      <c r="S2183" s="49" t="n"/>
      <c r="T2183" s="49" t="n"/>
      <c r="U2183" s="47" t="inlineStr">
        <is>
          <t>Today Ben dives into the not so magical world of Duloc and Dreamwork’s Shrek to discuss the dramatic backstory of its development and how it seeks to take on Disney.</t>
        </is>
      </c>
      <c r="V2183" s="47">
        <f>IF(AND(P2183&gt;=Calendar!$K$2,P2183&lt;EDATE(Calendar!$K$2,1),OR(Calendar!$K$4="*",N2183=Calendar!$K$4)),P2183*100+COUNTIFS($P$6:$P$3267,P2183,$Q$6:$Q$3267,"&lt;="&amp;Q2183,$N$6:$N$3267,Calendar!$K$4),"")</f>
        <v/>
      </c>
      <c r="W2183" s="47">
        <f>IF(AND(B2183=Queue!$C$4,OR(Queue!$K$4="*",N2183=Queue!$K$4)),Q2183,"")</f>
        <v/>
      </c>
    </row>
    <row r="2184">
      <c r="A2184" s="38">
        <f>IF(M2184="","",HYPERLINK("https://www.youtube.com/watch?v="&amp;M2184,"▶"))</f>
        <v/>
      </c>
      <c r="B2184" s="39">
        <f>IF(C2184&lt;&gt;"",C2184,IF(P2184&lt;=IFERROR(INDEX(tblChannels[Watched Through],MATCH(N2184,tblChannels[Channel ID],0)),0),"Watched","Unwatched"))</f>
        <v/>
      </c>
      <c r="C2184" s="40" t="n"/>
      <c r="D2184" s="41" t="n"/>
      <c r="E2184" s="42" t="n">
        <v>43209.4375</v>
      </c>
      <c r="F2184" s="52" t="inlineStr">
        <is>
          <t>Super Carlin Gaming</t>
        </is>
      </c>
      <c r="G2184" t="inlineStr">
        <is>
          <t>Donkey Pillows | Mario Kart Roulette #90</t>
        </is>
      </c>
      <c r="H2184" s="44" t="n">
        <v>0.01438657407407407</v>
      </c>
      <c r="I2184" s="45" t="n">
        <v>8805</v>
      </c>
      <c r="J2184" s="45" t="n">
        <v>357</v>
      </c>
      <c r="K2184" s="45" t="n">
        <v>99</v>
      </c>
      <c r="L2184" s="46" t="n"/>
      <c r="M2184" s="47" t="n"/>
      <c r="N2184" s="47" t="inlineStr">
        <is>
          <t>UCor_9jRnNNZVzTuQ92PKsaQ</t>
        </is>
      </c>
      <c r="O2184" s="48" t="n">
        <v>43209.60416666666</v>
      </c>
      <c r="P2184" s="49" t="n">
        <v>43209</v>
      </c>
      <c r="Q2184" s="47" t="n">
        <v>1084</v>
      </c>
      <c r="R2184" s="47" t="inlineStr">
        <is>
          <t>No Video ID yet</t>
        </is>
      </c>
      <c r="S2184" s="49" t="n"/>
      <c r="T2184" s="49" t="n"/>
      <c r="U2184" s="47" t="inlineStr">
        <is>
          <t>J and Ben continue to try to 3 star every cup with randomly chosen karts and characters while they answer your questions and give you advice!!</t>
        </is>
      </c>
      <c r="V2184" s="47">
        <f>IF(AND(P2184&gt;=Calendar!$K$2,P2184&lt;EDATE(Calendar!$K$2,1),OR(Calendar!$K$4="*",N2184=Calendar!$K$4)),P2184*100+COUNTIFS($P$6:$P$3267,P2184,$Q$6:$Q$3267,"&lt;="&amp;Q2184,$N$6:$N$3267,Calendar!$K$4),"")</f>
        <v/>
      </c>
      <c r="W2184" s="47">
        <f>IF(AND(B2184=Queue!$C$4,OR(Queue!$K$4="*",N2184=Queue!$K$4)),Q2184,"")</f>
        <v/>
      </c>
    </row>
    <row r="2185">
      <c r="A2185" s="38">
        <f>IF(M2185="","",HYPERLINK("https://www.youtube.com/watch?v="&amp;M2185,"▶"))</f>
        <v/>
      </c>
      <c r="B2185" s="39">
        <f>IF(C2185&lt;&gt;"",C2185,IF(P2185&lt;=IFERROR(INDEX(tblChannels[Watched Through],MATCH(N2185,tblChannels[Channel ID],0)),0),"Watched","Unwatched"))</f>
        <v/>
      </c>
      <c r="C2185" s="40" t="n"/>
      <c r="D2185" s="41" t="n"/>
      <c r="E2185" s="42" t="n">
        <v>43207.73402777778</v>
      </c>
      <c r="F2185" s="50" t="inlineStr">
        <is>
          <t>Super Carlin Brothers</t>
        </is>
      </c>
      <c r="G2185" t="inlineStr">
        <is>
          <t>Frozen Makes NO Sense</t>
        </is>
      </c>
      <c r="H2185" s="44" t="n">
        <v>0.007916666666666667</v>
      </c>
      <c r="I2185" s="45" t="n">
        <v>785448</v>
      </c>
      <c r="J2185" s="45" t="n">
        <v>30299</v>
      </c>
      <c r="K2185" s="45" t="n">
        <v>3413</v>
      </c>
      <c r="L2185" s="46" t="n"/>
      <c r="M2185" s="47" t="n"/>
      <c r="N2185" s="47" t="inlineStr">
        <is>
          <t>UCKZo4N0lVPccBkSiuyVh4yg</t>
        </is>
      </c>
      <c r="O2185" s="48" t="n">
        <v>43207.90069444444</v>
      </c>
      <c r="P2185" s="49" t="n">
        <v>43207</v>
      </c>
      <c r="Q2185" s="47" t="n">
        <v>1083</v>
      </c>
      <c r="R2185" s="47" t="inlineStr">
        <is>
          <t>No Video ID yet</t>
        </is>
      </c>
      <c r="S2185" s="49" t="n"/>
      <c r="T2185" s="49" t="n"/>
      <c r="U2185" s="47" t="inlineStr">
        <is>
          <t>Today J dives into the wintery world of Disney’s Frozen to discuss how it just doesnt make any sense at all! Why can’t Anna just know about the ice powers??</t>
        </is>
      </c>
      <c r="V2185" s="47">
        <f>IF(AND(P2185&gt;=Calendar!$K$2,P2185&lt;EDATE(Calendar!$K$2,1),OR(Calendar!$K$4="*",N2185=Calendar!$K$4)),P2185*100+COUNTIFS($P$6:$P$3267,P2185,$Q$6:$Q$3267,"&lt;="&amp;Q2185,$N$6:$N$3267,Calendar!$K$4),"")</f>
        <v/>
      </c>
      <c r="W2185" s="47">
        <f>IF(AND(B2185=Queue!$C$4,OR(Queue!$K$4="*",N2185=Queue!$K$4)),Q2185,"")</f>
        <v/>
      </c>
    </row>
    <row r="2186">
      <c r="A2186" s="38">
        <f>IF(M2186="","",HYPERLINK("https://www.youtube.com/watch?v="&amp;M2186,"▶"))</f>
        <v/>
      </c>
      <c r="B2186" s="39">
        <f>IF(C2186&lt;&gt;"",C2186,IF(P2186&lt;=IFERROR(INDEX(tblChannels[Watched Through],MATCH(N2186,tblChannels[Channel ID],0)),0),"Watched","Unwatched"))</f>
        <v/>
      </c>
      <c r="C2186" s="40" t="n"/>
      <c r="D2186" s="41" t="n"/>
      <c r="E2186" s="42" t="n">
        <v>43207.4375</v>
      </c>
      <c r="F2186" s="52" t="inlineStr">
        <is>
          <t>Super Carlin Gaming</t>
        </is>
      </c>
      <c r="G2186" t="inlineStr">
        <is>
          <t>Apple Juice | Mario Kart Roulette #89</t>
        </is>
      </c>
      <c r="H2186" s="44" t="n">
        <v>0.01340277777777778</v>
      </c>
      <c r="I2186" s="45" t="n">
        <v>8151</v>
      </c>
      <c r="J2186" s="45" t="n">
        <v>357</v>
      </c>
      <c r="K2186" s="45" t="n">
        <v>139</v>
      </c>
      <c r="L2186" s="46" t="n"/>
      <c r="M2186" s="47" t="n"/>
      <c r="N2186" s="47" t="inlineStr">
        <is>
          <t>UCor_9jRnNNZVzTuQ92PKsaQ</t>
        </is>
      </c>
      <c r="O2186" s="48" t="n">
        <v>43207.60416666666</v>
      </c>
      <c r="P2186" s="49" t="n">
        <v>43207</v>
      </c>
      <c r="Q2186" s="47" t="n">
        <v>1082</v>
      </c>
      <c r="R2186" s="47" t="inlineStr">
        <is>
          <t>No Video ID yet</t>
        </is>
      </c>
      <c r="S2186" s="49" t="n"/>
      <c r="T2186" s="49" t="n"/>
      <c r="U2186" s="47" t="inlineStr">
        <is>
          <t>J and Ben continue to try to 3 star every cup with randomly chosen karts and characters while they answer your questions and give you advice!!</t>
        </is>
      </c>
      <c r="V2186" s="47">
        <f>IF(AND(P2186&gt;=Calendar!$K$2,P2186&lt;EDATE(Calendar!$K$2,1),OR(Calendar!$K$4="*",N2186=Calendar!$K$4)),P2186*100+COUNTIFS($P$6:$P$3267,P2186,$Q$6:$Q$3267,"&lt;="&amp;Q2186,$N$6:$N$3267,Calendar!$K$4),"")</f>
        <v/>
      </c>
      <c r="W2186" s="47">
        <f>IF(AND(B2186=Queue!$C$4,OR(Queue!$K$4="*",N2186=Queue!$K$4)),Q2186,"")</f>
        <v/>
      </c>
    </row>
    <row r="2187">
      <c r="A2187" s="38">
        <f>IF(M2187="","",HYPERLINK("https://www.youtube.com/watch?v="&amp;M2187,"▶"))</f>
        <v/>
      </c>
      <c r="B2187" s="39">
        <f>IF(C2187&lt;&gt;"",C2187,IF(P2187&lt;=IFERROR(INDEX(tblChannels[Watched Through],MATCH(N2187,tblChannels[Channel ID],0)),0),"Watched","Unwatched"))</f>
        <v/>
      </c>
      <c r="C2187" s="40" t="n"/>
      <c r="D2187" s="41" t="n"/>
      <c r="E2187" s="42" t="n">
        <v>43206.64791666667</v>
      </c>
      <c r="F2187" s="53" t="inlineStr">
        <is>
          <t>Jonathan Carlin</t>
        </is>
      </c>
      <c r="G2187" t="inlineStr">
        <is>
          <t>How To Be A Fashionable Dad</t>
        </is>
      </c>
      <c r="H2187" s="44" t="n">
        <v>0.004456018518518519</v>
      </c>
      <c r="I2187" s="45" t="n">
        <v>34666</v>
      </c>
      <c r="J2187" s="45" t="n">
        <v>1663</v>
      </c>
      <c r="K2187" s="45" t="n">
        <v>137</v>
      </c>
      <c r="L2187" s="46" t="n"/>
      <c r="M2187" s="47" t="n"/>
      <c r="N2187" s="47" t="inlineStr">
        <is>
          <t>UCYPKFe86e6nm4TVUYKLsFUQ</t>
        </is>
      </c>
      <c r="O2187" s="48" t="n">
        <v>43206.81458333333</v>
      </c>
      <c r="P2187" s="49" t="n">
        <v>43206</v>
      </c>
      <c r="Q2187" s="47" t="n">
        <v>1081</v>
      </c>
      <c r="R2187" s="47" t="inlineStr">
        <is>
          <t>No Video ID yet</t>
        </is>
      </c>
      <c r="S2187" s="49" t="n"/>
      <c r="T2187" s="49" t="n"/>
      <c r="U2187" s="47" t="inlineStr">
        <is>
          <t>Lemony Flutter Cuticle Butter :: This week Beth runs 11 freaking miles, J does 100 pushups as fast as he can, and we hang out with some awesome people - Also mail.</t>
        </is>
      </c>
      <c r="V2187" s="47">
        <f>IF(AND(P2187&gt;=Calendar!$K$2,P2187&lt;EDATE(Calendar!$K$2,1),OR(Calendar!$K$4="*",N2187=Calendar!$K$4)),P2187*100+COUNTIFS($P$6:$P$3267,P2187,$Q$6:$Q$3267,"&lt;="&amp;Q2187,$N$6:$N$3267,Calendar!$K$4),"")</f>
        <v/>
      </c>
      <c r="W2187" s="47">
        <f>IF(AND(B2187=Queue!$C$4,OR(Queue!$K$4="*",N2187=Queue!$K$4)),Q2187,"")</f>
        <v/>
      </c>
    </row>
    <row r="2188">
      <c r="A2188" s="38">
        <f>IF(M2188="","",HYPERLINK("https://www.youtube.com/watch?v="&amp;M2188,"▶"))</f>
        <v/>
      </c>
      <c r="B2188" s="39">
        <f>IF(C2188&lt;&gt;"",C2188,IF(P2188&lt;=IFERROR(INDEX(tblChannels[Watched Through],MATCH(N2188,tblChannels[Channel ID],0)),0),"Watched","Unwatched"))</f>
        <v/>
      </c>
      <c r="C2188" s="40" t="n"/>
      <c r="D2188" s="41" t="n"/>
      <c r="E2188" s="42" t="n">
        <v>43202.76944444444</v>
      </c>
      <c r="F2188" s="50" t="inlineStr">
        <is>
          <t>Super Carlin Brothers</t>
        </is>
      </c>
      <c r="G2188" t="inlineStr">
        <is>
          <t>What Happened To Kristoff's Parents? | Frozen Theory</t>
        </is>
      </c>
      <c r="H2188" s="44" t="n">
        <v>0.006863425925925926</v>
      </c>
      <c r="I2188" s="45" t="n">
        <v>993482</v>
      </c>
      <c r="J2188" s="45" t="n">
        <v>27685</v>
      </c>
      <c r="K2188" s="45" t="n">
        <v>2749</v>
      </c>
      <c r="L2188" s="46" t="n"/>
      <c r="M2188" s="47" t="n"/>
      <c r="N2188" s="47" t="inlineStr">
        <is>
          <t>UCKZo4N0lVPccBkSiuyVh4yg</t>
        </is>
      </c>
      <c r="O2188" s="48" t="n">
        <v>43202.93611111111</v>
      </c>
      <c r="P2188" s="49" t="n">
        <v>43202</v>
      </c>
      <c r="Q2188" s="47" t="n">
        <v>1080</v>
      </c>
      <c r="R2188" s="47" t="inlineStr">
        <is>
          <t>No Video ID yet</t>
        </is>
      </c>
      <c r="S2188" s="49" t="n"/>
      <c r="T2188" s="49" t="n"/>
      <c r="U2188" s="47" t="inlineStr">
        <is>
          <t>Super Carlin Bracket :: Follow us on Twitter to play along: Today Ben dives into the enchanted land of Arendelle and Disney's Frozen to find out what happened to Krisoff's parents?</t>
        </is>
      </c>
      <c r="V2188" s="47">
        <f>IF(AND(P2188&gt;=Calendar!$K$2,P2188&lt;EDATE(Calendar!$K$2,1),OR(Calendar!$K$4="*",N2188=Calendar!$K$4)),P2188*100+COUNTIFS($P$6:$P$3267,P2188,$Q$6:$Q$3267,"&lt;="&amp;Q2188,$N$6:$N$3267,Calendar!$K$4),"")</f>
        <v/>
      </c>
      <c r="W2188" s="47">
        <f>IF(AND(B2188=Queue!$C$4,OR(Queue!$K$4="*",N2188=Queue!$K$4)),Q2188,"")</f>
        <v/>
      </c>
    </row>
    <row r="2189">
      <c r="A2189" s="38">
        <f>IF(M2189="","",HYPERLINK("https://www.youtube.com/watch?v="&amp;M2189,"▶"))</f>
        <v/>
      </c>
      <c r="B2189" s="39">
        <f>IF(C2189&lt;&gt;"",C2189,IF(P2189&lt;=IFERROR(INDEX(tblChannels[Watched Through],MATCH(N2189,tblChannels[Channel ID],0)),0),"Watched","Unwatched"))</f>
        <v/>
      </c>
      <c r="C2189" s="40" t="n"/>
      <c r="D2189" s="41" t="n"/>
      <c r="E2189" s="42" t="n">
        <v>43202.46458333333</v>
      </c>
      <c r="F2189" s="52" t="inlineStr">
        <is>
          <t>Super Carlin Gaming</t>
        </is>
      </c>
      <c r="G2189" t="inlineStr">
        <is>
          <t>What Defines a Loaf? | Mario Kart Roulette #88</t>
        </is>
      </c>
      <c r="H2189" s="44" t="n">
        <v>0.01189814814814815</v>
      </c>
      <c r="I2189" s="45" t="n">
        <v>7861</v>
      </c>
      <c r="J2189" s="45" t="n">
        <v>380</v>
      </c>
      <c r="K2189" s="45" t="n">
        <v>153</v>
      </c>
      <c r="L2189" s="46" t="n"/>
      <c r="M2189" s="47" t="n"/>
      <c r="N2189" s="47" t="inlineStr">
        <is>
          <t>UCor_9jRnNNZVzTuQ92PKsaQ</t>
        </is>
      </c>
      <c r="O2189" s="48" t="n">
        <v>43202.63125</v>
      </c>
      <c r="P2189" s="49" t="n">
        <v>43202</v>
      </c>
      <c r="Q2189" s="47" t="n">
        <v>1079</v>
      </c>
      <c r="R2189" s="47" t="inlineStr">
        <is>
          <t>No Video ID yet</t>
        </is>
      </c>
      <c r="S2189" s="49" t="n"/>
      <c r="T2189" s="49" t="n"/>
      <c r="U2189" s="47" t="inlineStr">
        <is>
          <t>J and Ben continue to try to 3 star every cup with randomly chosen karts and characters while they answer your questions and give you advice!!</t>
        </is>
      </c>
      <c r="V2189" s="47">
        <f>IF(AND(P2189&gt;=Calendar!$K$2,P2189&lt;EDATE(Calendar!$K$2,1),OR(Calendar!$K$4="*",N2189=Calendar!$K$4)),P2189*100+COUNTIFS($P$6:$P$3267,P2189,$Q$6:$Q$3267,"&lt;="&amp;Q2189,$N$6:$N$3267,Calendar!$K$4),"")</f>
        <v/>
      </c>
      <c r="W2189" s="47">
        <f>IF(AND(B2189=Queue!$C$4,OR(Queue!$K$4="*",N2189=Queue!$K$4)),Q2189,"")</f>
        <v/>
      </c>
    </row>
    <row r="2190">
      <c r="A2190" s="38">
        <f>IF(M2190="","",HYPERLINK("https://www.youtube.com/watch?v="&amp;M2190,"▶"))</f>
        <v/>
      </c>
      <c r="B2190" s="39">
        <f>IF(C2190&lt;&gt;"",C2190,IF(P2190&lt;=IFERROR(INDEX(tblChannels[Watched Through],MATCH(N2190,tblChannels[Channel ID],0)),0),"Watched","Unwatched"))</f>
        <v/>
      </c>
      <c r="C2190" s="40" t="n"/>
      <c r="D2190" s="41" t="n"/>
      <c r="E2190" s="42" t="n">
        <v>43200.71805555555</v>
      </c>
      <c r="F2190" s="50" t="inlineStr">
        <is>
          <t>Super Carlin Brothers</t>
        </is>
      </c>
      <c r="G2190" t="inlineStr">
        <is>
          <t>Why Credence Definitely Won't Survive | Fantastic Beasts Theory</t>
        </is>
      </c>
      <c r="H2190" s="44" t="n">
        <v>0.008414351851851852</v>
      </c>
      <c r="I2190" s="45" t="n">
        <v>841798</v>
      </c>
      <c r="J2190" s="45" t="n">
        <v>22535</v>
      </c>
      <c r="K2190" s="45" t="n">
        <v>2977</v>
      </c>
      <c r="L2190" s="46" t="n"/>
      <c r="M2190" s="47" t="n"/>
      <c r="N2190" s="47" t="inlineStr">
        <is>
          <t>UCKZo4N0lVPccBkSiuyVh4yg</t>
        </is>
      </c>
      <c r="O2190" s="48" t="n">
        <v>43200.88472222222</v>
      </c>
      <c r="P2190" s="49" t="n">
        <v>43200</v>
      </c>
      <c r="Q2190" s="47" t="n">
        <v>1078</v>
      </c>
      <c r="R2190" s="47" t="inlineStr">
        <is>
          <t>No Video ID yet</t>
        </is>
      </c>
      <c r="S2190" s="49" t="n"/>
      <c r="T2190" s="49" t="n"/>
      <c r="U2190" s="47" t="inlineStr">
        <is>
          <t>Super Carlin Bracket :: Follow us on Twitter to play along: Today J dives into the Wizarding World of Harry Potter to discuss how Credence Barebone will meet his inevitable end according to Aesop’s Fables. Bacon and Eggs Podcast :: Fantastic Geeks and Where To Find Them Podcast ::</t>
        </is>
      </c>
      <c r="V2190" s="47">
        <f>IF(AND(P2190&gt;=Calendar!$K$2,P2190&lt;EDATE(Calendar!$K$2,1),OR(Calendar!$K$4="*",N2190=Calendar!$K$4)),P2190*100+COUNTIFS($P$6:$P$3267,P2190,$Q$6:$Q$3267,"&lt;="&amp;Q2190,$N$6:$N$3267,Calendar!$K$4),"")</f>
        <v/>
      </c>
      <c r="W2190" s="47">
        <f>IF(AND(B2190=Queue!$C$4,OR(Queue!$K$4="*",N2190=Queue!$K$4)),Q2190,"")</f>
        <v/>
      </c>
    </row>
    <row r="2191">
      <c r="A2191" s="38">
        <f>IF(M2191="","",HYPERLINK("https://www.youtube.com/watch?v="&amp;M2191,"▶"))</f>
        <v/>
      </c>
      <c r="B2191" s="39">
        <f>IF(C2191&lt;&gt;"",C2191,IF(P2191&lt;=IFERROR(INDEX(tblChannels[Watched Through],MATCH(N2191,tblChannels[Channel ID],0)),0),"Watched","Unwatched"))</f>
        <v/>
      </c>
      <c r="C2191" s="40" t="n"/>
      <c r="D2191" s="41" t="n"/>
      <c r="E2191" s="42" t="n">
        <v>43200.46041666667</v>
      </c>
      <c r="F2191" s="52" t="inlineStr">
        <is>
          <t>Super Carlin Gaming</t>
        </is>
      </c>
      <c r="G2191" t="inlineStr">
        <is>
          <t>Emotional Affair | Mario Kart Roulette #87</t>
        </is>
      </c>
      <c r="H2191" s="44" t="n">
        <v>0.01146990740740741</v>
      </c>
      <c r="I2191" s="45" t="n">
        <v>7454</v>
      </c>
      <c r="J2191" s="45" t="n">
        <v>332</v>
      </c>
      <c r="K2191" s="45" t="n">
        <v>102</v>
      </c>
      <c r="L2191" s="46" t="n"/>
      <c r="M2191" s="47" t="n"/>
      <c r="N2191" s="47" t="inlineStr">
        <is>
          <t>UCor_9jRnNNZVzTuQ92PKsaQ</t>
        </is>
      </c>
      <c r="O2191" s="48" t="n">
        <v>43200.62708333333</v>
      </c>
      <c r="P2191" s="49" t="n">
        <v>43200</v>
      </c>
      <c r="Q2191" s="47" t="n">
        <v>1077</v>
      </c>
      <c r="R2191" s="47" t="inlineStr">
        <is>
          <t>No Video ID yet</t>
        </is>
      </c>
      <c r="S2191" s="49" t="n"/>
      <c r="T2191" s="49" t="n"/>
      <c r="U2191" s="47" t="inlineStr">
        <is>
          <t>J and Ben continue to try to 3 star every cup with randomly chosen karts and characters while they answer your questions and give you advice!!</t>
        </is>
      </c>
      <c r="V2191" s="47">
        <f>IF(AND(P2191&gt;=Calendar!$K$2,P2191&lt;EDATE(Calendar!$K$2,1),OR(Calendar!$K$4="*",N2191=Calendar!$K$4)),P2191*100+COUNTIFS($P$6:$P$3267,P2191,$Q$6:$Q$3267,"&lt;="&amp;Q2191,$N$6:$N$3267,Calendar!$K$4),"")</f>
        <v/>
      </c>
      <c r="W2191" s="47">
        <f>IF(AND(B2191=Queue!$C$4,OR(Queue!$K$4="*",N2191=Queue!$K$4)),Q2191,"")</f>
        <v/>
      </c>
    </row>
    <row r="2192">
      <c r="A2192" s="38">
        <f>IF(M2192="","",HYPERLINK("https://www.youtube.com/watch?v="&amp;M2192,"▶"))</f>
        <v/>
      </c>
      <c r="B2192" s="39">
        <f>IF(C2192&lt;&gt;"",C2192,IF(P2192&lt;=IFERROR(INDEX(tblChannels[Watched Through],MATCH(N2192,tblChannels[Channel ID],0)),0),"Watched","Unwatched"))</f>
        <v/>
      </c>
      <c r="C2192" s="40" t="n"/>
      <c r="D2192" s="41" t="n"/>
      <c r="E2192" s="42" t="n">
        <v>43199.56041666667</v>
      </c>
      <c r="F2192" s="53" t="inlineStr">
        <is>
          <t>Jonathan Carlin</t>
        </is>
      </c>
      <c r="G2192" t="inlineStr">
        <is>
          <t>THE 300 POUND SQUAT!</t>
        </is>
      </c>
      <c r="H2192" s="44" t="n">
        <v>0.003449074074074074</v>
      </c>
      <c r="I2192" s="45" t="n">
        <v>24532</v>
      </c>
      <c r="J2192" s="45" t="n">
        <v>1455</v>
      </c>
      <c r="K2192" s="45" t="n">
        <v>203</v>
      </c>
      <c r="L2192" s="46" t="n"/>
      <c r="M2192" s="47" t="n"/>
      <c r="N2192" s="47" t="inlineStr">
        <is>
          <t>UCYPKFe86e6nm4TVUYKLsFUQ</t>
        </is>
      </c>
      <c r="O2192" s="48" t="n">
        <v>43199.72708333333</v>
      </c>
      <c r="P2192" s="49" t="n">
        <v>43199</v>
      </c>
      <c r="Q2192" s="47" t="n">
        <v>1076</v>
      </c>
      <c r="R2192" s="47" t="inlineStr">
        <is>
          <t>No Video ID yet</t>
        </is>
      </c>
      <c r="S2192" s="49" t="n"/>
      <c r="T2192" s="49" t="n"/>
      <c r="U2192" s="47" t="inlineStr">
        <is>
          <t>This week J and Beth recover from their trip to Disney, J tries to set some new PR's at the gym, we try out a new donut shop and play some games! Flash Point :: Dominion :: Dark Ages ::</t>
        </is>
      </c>
      <c r="V2192" s="47">
        <f>IF(AND(P2192&gt;=Calendar!$K$2,P2192&lt;EDATE(Calendar!$K$2,1),OR(Calendar!$K$4="*",N2192=Calendar!$K$4)),P2192*100+COUNTIFS($P$6:$P$3267,P2192,$Q$6:$Q$3267,"&lt;="&amp;Q2192,$N$6:$N$3267,Calendar!$K$4),"")</f>
        <v/>
      </c>
      <c r="W2192" s="47">
        <f>IF(AND(B2192=Queue!$C$4,OR(Queue!$K$4="*",N2192=Queue!$K$4)),Q2192,"")</f>
        <v/>
      </c>
    </row>
    <row r="2193">
      <c r="A2193" s="38">
        <f>IF(M2193="","",HYPERLINK("https://www.youtube.com/watch?v="&amp;M2193,"▶"))</f>
        <v/>
      </c>
      <c r="B2193" s="39">
        <f>IF(C2193&lt;&gt;"",C2193,IF(P2193&lt;=IFERROR(INDEX(tblChannels[Watched Through],MATCH(N2193,tblChannels[Channel ID],0)),0),"Watched","Unwatched"))</f>
        <v/>
      </c>
      <c r="C2193" s="40" t="n"/>
      <c r="D2193" s="41" t="n"/>
      <c r="E2193" s="42" t="n">
        <v>43195.83819444444</v>
      </c>
      <c r="F2193" s="50" t="inlineStr">
        <is>
          <t>Super Carlin Brothers</t>
        </is>
      </c>
      <c r="G2193" t="inlineStr">
        <is>
          <t>Albus Percival Wulfric Brian Dumbledore's Ridiculously Long Name Finally Explained At Last</t>
        </is>
      </c>
      <c r="H2193" s="44" t="n">
        <v>0.006064814814814815</v>
      </c>
      <c r="I2193" s="45" t="n">
        <v>848899</v>
      </c>
      <c r="J2193" s="45" t="n">
        <v>24827</v>
      </c>
      <c r="K2193" s="45" t="n">
        <v>4871</v>
      </c>
      <c r="L2193" s="46" t="n"/>
      <c r="M2193" s="47" t="n"/>
      <c r="N2193" s="47" t="inlineStr">
        <is>
          <t>UCKZo4N0lVPccBkSiuyVh4yg</t>
        </is>
      </c>
      <c r="O2193" s="48" t="n">
        <v>43196.00486111111</v>
      </c>
      <c r="P2193" s="49" t="n">
        <v>43195</v>
      </c>
      <c r="Q2193" s="47" t="n">
        <v>1075</v>
      </c>
      <c r="R2193" s="47" t="inlineStr">
        <is>
          <t>No Video ID yet</t>
        </is>
      </c>
      <c r="S2193" s="49" t="n"/>
      <c r="T2193" s="49" t="n"/>
      <c r="U2193" s="47" t="inlineStr">
        <is>
          <t>SCB Meet Up Tix :: Today Ben dives into the Wizarding World of Harry Potter and finally gets to the bottom of Albus Percival Wulfric Brian Dumbledore's Ridiculously long name.</t>
        </is>
      </c>
      <c r="V2193" s="47">
        <f>IF(AND(P2193&gt;=Calendar!$K$2,P2193&lt;EDATE(Calendar!$K$2,1),OR(Calendar!$K$4="*",N2193=Calendar!$K$4)),P2193*100+COUNTIFS($P$6:$P$3267,P2193,$Q$6:$Q$3267,"&lt;="&amp;Q2193,$N$6:$N$3267,Calendar!$K$4),"")</f>
        <v/>
      </c>
      <c r="W2193" s="47">
        <f>IF(AND(B2193=Queue!$C$4,OR(Queue!$K$4="*",N2193=Queue!$K$4)),Q2193,"")</f>
        <v/>
      </c>
    </row>
    <row r="2194">
      <c r="A2194" s="38">
        <f>IF(M2194="","",HYPERLINK("https://www.youtube.com/watch?v="&amp;M2194,"▶"))</f>
        <v/>
      </c>
      <c r="B2194" s="39">
        <f>IF(C2194&lt;&gt;"",C2194,IF(P2194&lt;=IFERROR(INDEX(tblChannels[Watched Through],MATCH(N2194,tblChannels[Channel ID],0)),0),"Watched","Unwatched"))</f>
        <v/>
      </c>
      <c r="C2194" s="40" t="n"/>
      <c r="D2194" s="41" t="n"/>
      <c r="E2194" s="42" t="n">
        <v>43195.4375</v>
      </c>
      <c r="F2194" s="52" t="inlineStr">
        <is>
          <t>Super Carlin Gaming</t>
        </is>
      </c>
      <c r="G2194" t="inlineStr">
        <is>
          <t>Assertive With Your Feelings | Mario Kart Roulette #86</t>
        </is>
      </c>
      <c r="H2194" s="44" t="n">
        <v>0.0115162037037037</v>
      </c>
      <c r="I2194" s="45" t="n">
        <v>7784</v>
      </c>
      <c r="J2194" s="45" t="n">
        <v>338</v>
      </c>
      <c r="K2194" s="45" t="n">
        <v>100</v>
      </c>
      <c r="L2194" s="46" t="n"/>
      <c r="M2194" s="47" t="n"/>
      <c r="N2194" s="47" t="inlineStr">
        <is>
          <t>UCor_9jRnNNZVzTuQ92PKsaQ</t>
        </is>
      </c>
      <c r="O2194" s="48" t="n">
        <v>43195.60416666666</v>
      </c>
      <c r="P2194" s="49" t="n">
        <v>43195</v>
      </c>
      <c r="Q2194" s="47" t="n">
        <v>1074</v>
      </c>
      <c r="R2194" s="47" t="inlineStr">
        <is>
          <t>No Video ID yet</t>
        </is>
      </c>
      <c r="S2194" s="49" t="n"/>
      <c r="T2194" s="49" t="n"/>
      <c r="U2194" s="47" t="inlineStr">
        <is>
          <t>J and Ben continue to try to 3 star every cup with randomly chosen karts and characters while they answer your questions and give you advice!!</t>
        </is>
      </c>
      <c r="V2194" s="47">
        <f>IF(AND(P2194&gt;=Calendar!$K$2,P2194&lt;EDATE(Calendar!$K$2,1),OR(Calendar!$K$4="*",N2194=Calendar!$K$4)),P2194*100+COUNTIFS($P$6:$P$3267,P2194,$Q$6:$Q$3267,"&lt;="&amp;Q2194,$N$6:$N$3267,Calendar!$K$4),"")</f>
        <v/>
      </c>
      <c r="W2194" s="47">
        <f>IF(AND(B2194=Queue!$C$4,OR(Queue!$K$4="*",N2194=Queue!$K$4)),Q2194,"")</f>
        <v/>
      </c>
    </row>
    <row r="2195">
      <c r="A2195" s="38">
        <f>IF(M2195="","",HYPERLINK("https://www.youtube.com/watch?v="&amp;M2195,"▶"))</f>
        <v/>
      </c>
      <c r="B2195" s="39">
        <f>IF(C2195&lt;&gt;"",C2195,IF(P2195&lt;=IFERROR(INDEX(tblChannels[Watched Through],MATCH(N2195,tblChannels[Channel ID],0)),0),"Watched","Unwatched"))</f>
        <v/>
      </c>
      <c r="C2195" s="40" t="n"/>
      <c r="D2195" s="41" t="n"/>
      <c r="E2195" s="42" t="n">
        <v>43193.84305555555</v>
      </c>
      <c r="F2195" s="50" t="inlineStr">
        <is>
          <t>Super Carlin Brothers</t>
        </is>
      </c>
      <c r="G2195" t="inlineStr">
        <is>
          <t>The Haunted History Of The Haunted Mansion</t>
        </is>
      </c>
      <c r="H2195" s="44" t="n">
        <v>0.007615740740740741</v>
      </c>
      <c r="I2195" s="45" t="n">
        <v>487921</v>
      </c>
      <c r="J2195" s="45" t="n">
        <v>15664</v>
      </c>
      <c r="K2195" s="45" t="n">
        <v>2335</v>
      </c>
      <c r="L2195" s="46" t="n"/>
      <c r="M2195" s="47" t="n"/>
      <c r="N2195" s="47" t="inlineStr">
        <is>
          <t>UCKZo4N0lVPccBkSiuyVh4yg</t>
        </is>
      </c>
      <c r="O2195" s="48" t="n">
        <v>43194.00972222222</v>
      </c>
      <c r="P2195" s="49" t="n">
        <v>43193</v>
      </c>
      <c r="Q2195" s="47" t="n">
        <v>1073</v>
      </c>
      <c r="R2195" s="47" t="inlineStr">
        <is>
          <t>No Video ID yet</t>
        </is>
      </c>
      <c r="S2195" s="49" t="n"/>
      <c r="T2195" s="49" t="n"/>
      <c r="U2195" s="47" t="inlineStr">
        <is>
          <t>Today J dives into the somewhat haunted past of one of the most popular rides in Disneyland and Disney World: The Haunted Mansion! Imaginary Worlds Podcast :: A Special thanks to the patron who support Super Carlin Brothers on Patreon: Kat Waterflame, Adele Grafen, Joy Spears, Jimmy McGowan, Jennifer, Sandra, Andrew, Hillary Reist, Natarandall, Faihle Grayson, Vinnie Nicotra, Brychan John, Chris Morones, James Lord, Miranda Vasquez, Natalie Masucci, Qui Le, Big Meme Boi, I Is Wolfee, Sarah E McCartney, Lasse Buan, Charles C. Seymour, Kristhell Lopez, Amy Beerbower, Isabella</t>
        </is>
      </c>
      <c r="V2195" s="47">
        <f>IF(AND(P2195&gt;=Calendar!$K$2,P2195&lt;EDATE(Calendar!$K$2,1),OR(Calendar!$K$4="*",N2195=Calendar!$K$4)),P2195*100+COUNTIFS($P$6:$P$3267,P2195,$Q$6:$Q$3267,"&lt;="&amp;Q2195,$N$6:$N$3267,Calendar!$K$4),"")</f>
        <v/>
      </c>
      <c r="W2195" s="47">
        <f>IF(AND(B2195=Queue!$C$4,OR(Queue!$K$4="*",N2195=Queue!$K$4)),Q2195,"")</f>
        <v/>
      </c>
    </row>
    <row r="2196">
      <c r="A2196" s="38">
        <f>IF(M2196="","",HYPERLINK("https://www.youtube.com/watch?v="&amp;M2196,"▶"))</f>
        <v/>
      </c>
      <c r="B2196" s="39">
        <f>IF(C2196&lt;&gt;"",C2196,IF(P2196&lt;=IFERROR(INDEX(tblChannels[Watched Through],MATCH(N2196,tblChannels[Channel ID],0)),0),"Watched","Unwatched"))</f>
        <v/>
      </c>
      <c r="C2196" s="40" t="n"/>
      <c r="D2196" s="41" t="n"/>
      <c r="E2196" s="42" t="n">
        <v>43193.4375</v>
      </c>
      <c r="F2196" s="52" t="inlineStr">
        <is>
          <t>Super Carlin Gaming</t>
        </is>
      </c>
      <c r="G2196" t="inlineStr">
        <is>
          <t>The Pretzel Method | Mario Kart Roulette 85??</t>
        </is>
      </c>
      <c r="H2196" s="44" t="n">
        <v>0.0115162037037037</v>
      </c>
      <c r="I2196" s="45" t="n">
        <v>7970</v>
      </c>
      <c r="J2196" s="45" t="n">
        <v>380</v>
      </c>
      <c r="K2196" s="45" t="n">
        <v>159</v>
      </c>
      <c r="L2196" s="46" t="n"/>
      <c r="M2196" s="47" t="n"/>
      <c r="N2196" s="47" t="inlineStr">
        <is>
          <t>UCor_9jRnNNZVzTuQ92PKsaQ</t>
        </is>
      </c>
      <c r="O2196" s="48" t="n">
        <v>43193.60416666666</v>
      </c>
      <c r="P2196" s="49" t="n">
        <v>43193</v>
      </c>
      <c r="Q2196" s="47" t="n">
        <v>1072</v>
      </c>
      <c r="R2196" s="47" t="inlineStr">
        <is>
          <t>No Video ID yet</t>
        </is>
      </c>
      <c r="S2196" s="49" t="n"/>
      <c r="T2196" s="49" t="n"/>
      <c r="U2196" s="47" t="inlineStr">
        <is>
          <t>J and Ben continue to try to 3 star every cup with randomly chosen karts and characters while they answer your questions and give you advice!!</t>
        </is>
      </c>
      <c r="V2196" s="47">
        <f>IF(AND(P2196&gt;=Calendar!$K$2,P2196&lt;EDATE(Calendar!$K$2,1),OR(Calendar!$K$4="*",N2196=Calendar!$K$4)),P2196*100+COUNTIFS($P$6:$P$3267,P2196,$Q$6:$Q$3267,"&lt;="&amp;Q2196,$N$6:$N$3267,Calendar!$K$4),"")</f>
        <v/>
      </c>
      <c r="W2196" s="47">
        <f>IF(AND(B2196=Queue!$C$4,OR(Queue!$K$4="*",N2196=Queue!$K$4)),Q2196,"")</f>
        <v/>
      </c>
    </row>
    <row r="2197">
      <c r="A2197" s="38">
        <f>IF(M2197="","",HYPERLINK("https://www.youtube.com/watch?v="&amp;M2197,"▶"))</f>
        <v/>
      </c>
      <c r="B2197" s="39">
        <f>IF(C2197&lt;&gt;"",C2197,IF(P2197&lt;=IFERROR(INDEX(tblChannels[Watched Through],MATCH(N2197,tblChannels[Channel ID],0)),0),"Watched","Unwatched"))</f>
        <v/>
      </c>
      <c r="C2197" s="40" t="n"/>
      <c r="D2197" s="41" t="n"/>
      <c r="E2197" s="42" t="n">
        <v>43192.49305555555</v>
      </c>
      <c r="F2197" s="53" t="inlineStr">
        <is>
          <t>Jonathan Carlin</t>
        </is>
      </c>
      <c r="G2197" t="inlineStr">
        <is>
          <t>DISNEY WORLD ADVENTURE!</t>
        </is>
      </c>
      <c r="H2197" s="44" t="n">
        <v>0.00787037037037037</v>
      </c>
      <c r="I2197" s="45" t="n">
        <v>76059</v>
      </c>
      <c r="J2197" s="45" t="n">
        <v>2885</v>
      </c>
      <c r="K2197" s="45" t="n">
        <v>312</v>
      </c>
      <c r="L2197" s="46" t="n"/>
      <c r="M2197" s="47" t="n"/>
      <c r="N2197" s="47" t="inlineStr">
        <is>
          <t>UCYPKFe86e6nm4TVUYKLsFUQ</t>
        </is>
      </c>
      <c r="O2197" s="48" t="n">
        <v>43192.65972222222</v>
      </c>
      <c r="P2197" s="49" t="n">
        <v>43192</v>
      </c>
      <c r="Q2197" s="47" t="n">
        <v>1071</v>
      </c>
      <c r="R2197" s="47" t="inlineStr">
        <is>
          <t>No Video ID yet</t>
        </is>
      </c>
      <c r="S2197" s="49" t="n"/>
      <c r="T2197" s="49" t="n"/>
      <c r="U2197" s="47" t="inlineStr">
        <is>
          <t>THE NEW CAMERA Canon G7X Mark II :: This week J, Beth, Ben and Alyce head down to Disney World and have all sorts of fun in Magic Kingdom and EPCOT</t>
        </is>
      </c>
      <c r="V2197" s="47">
        <f>IF(AND(P2197&gt;=Calendar!$K$2,P2197&lt;EDATE(Calendar!$K$2,1),OR(Calendar!$K$4="*",N2197=Calendar!$K$4)),P2197*100+COUNTIFS($P$6:$P$3267,P2197,$Q$6:$Q$3267,"&lt;="&amp;Q2197,$N$6:$N$3267,Calendar!$K$4),"")</f>
        <v/>
      </c>
      <c r="W2197" s="47">
        <f>IF(AND(B2197=Queue!$C$4,OR(Queue!$K$4="*",N2197=Queue!$K$4)),Q2197,"")</f>
        <v/>
      </c>
    </row>
    <row r="2198">
      <c r="A2198" s="38">
        <f>IF(M2198="","",HYPERLINK("https://www.youtube.com/watch?v="&amp;M2198,"▶"))</f>
        <v/>
      </c>
      <c r="B2198" s="39">
        <f>IF(C2198&lt;&gt;"",C2198,IF(P2198&lt;=IFERROR(INDEX(tblChannels[Watched Through],MATCH(N2198,tblChannels[Channel ID],0)),0),"Watched","Unwatched"))</f>
        <v/>
      </c>
      <c r="C2198" s="40" t="n"/>
      <c r="D2198" s="41" t="n"/>
      <c r="E2198" s="42" t="n">
        <v>43188.66111111111</v>
      </c>
      <c r="F2198" s="50" t="inlineStr">
        <is>
          <t>Super Carlin Brothers</t>
        </is>
      </c>
      <c r="G2198" t="inlineStr">
        <is>
          <t>The Most Underrated Disney Movie EVER!</t>
        </is>
      </c>
      <c r="H2198" s="44" t="n">
        <v>0.006956018518518518</v>
      </c>
      <c r="I2198" s="45" t="n">
        <v>1342579</v>
      </c>
      <c r="J2198" s="45" t="n">
        <v>39786</v>
      </c>
      <c r="K2198" s="45" t="n">
        <v>8048</v>
      </c>
      <c r="L2198" s="46" t="n"/>
      <c r="M2198" s="47" t="n"/>
      <c r="N2198" s="47" t="inlineStr">
        <is>
          <t>UCKZo4N0lVPccBkSiuyVh4yg</t>
        </is>
      </c>
      <c r="O2198" s="48" t="n">
        <v>43188.82777777778</v>
      </c>
      <c r="P2198" s="49" t="n">
        <v>43188</v>
      </c>
      <c r="Q2198" s="47" t="n">
        <v>1070</v>
      </c>
      <c r="R2198" s="47" t="inlineStr">
        <is>
          <t>No Video ID yet</t>
        </is>
      </c>
      <c r="S2198" s="49" t="n"/>
      <c r="T2198" s="49" t="n"/>
      <c r="U2198" s="47" t="inlineStr">
        <is>
          <t>SCB Meet Up Tix :: Today Ben dives into the magical world of Disney History to uncover the reason The Emperors New Groove is not a Disney classic and how it ended up as the most underrated Disney movie of all time!</t>
        </is>
      </c>
      <c r="V2198" s="47">
        <f>IF(AND(P2198&gt;=Calendar!$K$2,P2198&lt;EDATE(Calendar!$K$2,1),OR(Calendar!$K$4="*",N2198=Calendar!$K$4)),P2198*100+COUNTIFS($P$6:$P$3267,P2198,$Q$6:$Q$3267,"&lt;="&amp;Q2198,$N$6:$N$3267,Calendar!$K$4),"")</f>
        <v/>
      </c>
      <c r="W2198" s="47">
        <f>IF(AND(B2198=Queue!$C$4,OR(Queue!$K$4="*",N2198=Queue!$K$4)),Q2198,"")</f>
        <v/>
      </c>
    </row>
    <row r="2199">
      <c r="A2199" s="38">
        <f>IF(M2199="","",HYPERLINK("https://www.youtube.com/watch?v="&amp;M2199,"▶"))</f>
        <v/>
      </c>
      <c r="B2199" s="39">
        <f>IF(C2199&lt;&gt;"",C2199,IF(P2199&lt;=IFERROR(INDEX(tblChannels[Watched Through],MATCH(N2199,tblChannels[Channel ID],0)),0),"Watched","Unwatched"))</f>
        <v/>
      </c>
      <c r="C2199" s="40" t="n"/>
      <c r="D2199" s="41" t="n"/>
      <c r="E2199" s="42" t="n">
        <v>43188.41666666666</v>
      </c>
      <c r="F2199" s="52" t="inlineStr">
        <is>
          <t>Super Carlin Gaming</t>
        </is>
      </c>
      <c r="G2199" t="inlineStr">
        <is>
          <t>Living with the Ex | Mario Kart Roulette #84</t>
        </is>
      </c>
      <c r="H2199" s="44" t="n">
        <v>0.01390046296296296</v>
      </c>
      <c r="I2199" s="45" t="n">
        <v>8577</v>
      </c>
      <c r="J2199" s="45" t="n">
        <v>370</v>
      </c>
      <c r="K2199" s="45" t="n">
        <v>141</v>
      </c>
      <c r="L2199" s="46" t="n"/>
      <c r="M2199" s="47" t="n"/>
      <c r="N2199" s="47" t="inlineStr">
        <is>
          <t>UCor_9jRnNNZVzTuQ92PKsaQ</t>
        </is>
      </c>
      <c r="O2199" s="48" t="n">
        <v>43188.58333333334</v>
      </c>
      <c r="P2199" s="49" t="n">
        <v>43188</v>
      </c>
      <c r="Q2199" s="47" t="n">
        <v>1069</v>
      </c>
      <c r="R2199" s="47" t="inlineStr">
        <is>
          <t>No Video ID yet</t>
        </is>
      </c>
      <c r="S2199" s="49" t="n"/>
      <c r="T2199" s="49" t="n"/>
      <c r="U2199" s="47" t="inlineStr">
        <is>
          <t>J and Ben continue to try to 3 star every cup with randomly chosen karts and characters while they answer your questions and give you advice!!</t>
        </is>
      </c>
      <c r="V2199" s="47">
        <f>IF(AND(P2199&gt;=Calendar!$K$2,P2199&lt;EDATE(Calendar!$K$2,1),OR(Calendar!$K$4="*",N2199=Calendar!$K$4)),P2199*100+COUNTIFS($P$6:$P$3267,P2199,$Q$6:$Q$3267,"&lt;="&amp;Q2199,$N$6:$N$3267,Calendar!$K$4),"")</f>
        <v/>
      </c>
      <c r="W2199" s="47">
        <f>IF(AND(B2199=Queue!$C$4,OR(Queue!$K$4="*",N2199=Queue!$K$4)),Q2199,"")</f>
        <v/>
      </c>
    </row>
    <row r="2200">
      <c r="A2200" s="38">
        <f>IF(M2200="","",HYPERLINK("https://www.youtube.com/watch?v="&amp;M2200,"▶"))</f>
        <v/>
      </c>
      <c r="B2200" s="39">
        <f>IF(C2200&lt;&gt;"",C2200,IF(P2200&lt;=IFERROR(INDEX(tblChannels[Watched Through],MATCH(N2200,tblChannels[Channel ID],0)),0),"Watched","Unwatched"))</f>
        <v/>
      </c>
      <c r="C2200" s="40" t="n"/>
      <c r="D2200" s="41" t="n"/>
      <c r="E2200" s="42" t="n">
        <v>43186.61666666667</v>
      </c>
      <c r="F2200" s="50" t="inlineStr">
        <is>
          <t>Super Carlin Brothers</t>
        </is>
      </c>
      <c r="G2200" t="inlineStr">
        <is>
          <t>Figment: The Most Popular Disney Character You've Never Heard Of</t>
        </is>
      </c>
      <c r="H2200" s="44" t="n">
        <v>0.006678240740740741</v>
      </c>
      <c r="I2200" s="45" t="n">
        <v>687754</v>
      </c>
      <c r="J2200" s="45" t="n">
        <v>22127</v>
      </c>
      <c r="K2200" s="45" t="n">
        <v>5136</v>
      </c>
      <c r="L2200" s="46" t="n"/>
      <c r="M2200" s="47" t="n"/>
      <c r="N2200" s="47" t="inlineStr">
        <is>
          <t>UCKZo4N0lVPccBkSiuyVh4yg</t>
        </is>
      </c>
      <c r="O2200" s="48" t="n">
        <v>43186.78333333333</v>
      </c>
      <c r="P2200" s="49" t="n">
        <v>43186</v>
      </c>
      <c r="Q2200" s="47" t="n">
        <v>1068</v>
      </c>
      <c r="R2200" s="47" t="inlineStr">
        <is>
          <t>No Video ID yet</t>
        </is>
      </c>
      <c r="S2200" s="49" t="n"/>
      <c r="T2200" s="49" t="n"/>
      <c r="U2200" s="47" t="inlineStr">
        <is>
          <t>Today J dives into the land of Disney World's EPCOT to uncover the origins of one of their most prevalent and yet somehow also unknown characters: Figment the Imagination dragon.</t>
        </is>
      </c>
      <c r="V2200" s="47">
        <f>IF(AND(P2200&gt;=Calendar!$K$2,P2200&lt;EDATE(Calendar!$K$2,1),OR(Calendar!$K$4="*",N2200=Calendar!$K$4)),P2200*100+COUNTIFS($P$6:$P$3267,P2200,$Q$6:$Q$3267,"&lt;="&amp;Q2200,$N$6:$N$3267,Calendar!$K$4),"")</f>
        <v/>
      </c>
      <c r="W2200" s="47">
        <f>IF(AND(B2200=Queue!$C$4,OR(Queue!$K$4="*",N2200=Queue!$K$4)),Q2200,"")</f>
        <v/>
      </c>
    </row>
    <row r="2201">
      <c r="A2201" s="38">
        <f>IF(M2201="","",HYPERLINK("https://www.youtube.com/watch?v="&amp;M2201,"▶"))</f>
        <v/>
      </c>
      <c r="B2201" s="39">
        <f>IF(C2201&lt;&gt;"",C2201,IF(P2201&lt;=IFERROR(INDEX(tblChannels[Watched Through],MATCH(N2201,tblChannels[Channel ID],0)),0),"Watched","Unwatched"))</f>
        <v/>
      </c>
      <c r="C2201" s="40" t="n"/>
      <c r="D2201" s="41" t="n"/>
      <c r="E2201" s="42" t="n">
        <v>43186.57847222222</v>
      </c>
      <c r="F2201" s="53" t="inlineStr">
        <is>
          <t>Jonathan Carlin</t>
        </is>
      </c>
      <c r="G2201" t="inlineStr">
        <is>
          <t>Luke Is Three Months Old!</t>
        </is>
      </c>
      <c r="H2201" s="44" t="n">
        <v>0.007025462962962963</v>
      </c>
      <c r="I2201" s="45" t="n">
        <v>57194</v>
      </c>
      <c r="J2201" s="45" t="n">
        <v>2254</v>
      </c>
      <c r="K2201" s="45" t="n">
        <v>263</v>
      </c>
      <c r="L2201" s="46" t="n"/>
      <c r="M2201" s="47" t="n"/>
      <c r="N2201" s="47" t="inlineStr">
        <is>
          <t>UCYPKFe86e6nm4TVUYKLsFUQ</t>
        </is>
      </c>
      <c r="O2201" s="48" t="n">
        <v>43186.74513888889</v>
      </c>
      <c r="P2201" s="49" t="n">
        <v>43186</v>
      </c>
      <c r="Q2201" s="47" t="n">
        <v>1067</v>
      </c>
      <c r="R2201" s="47" t="inlineStr">
        <is>
          <t>No Video ID yet</t>
        </is>
      </c>
      <c r="S2201" s="49" t="n"/>
      <c r="T2201" s="49" t="n"/>
      <c r="U2201" s="47" t="inlineStr">
        <is>
          <t>This week Luke turns 3 months old and learns a new skill and J and Beth celebrate their 3 year house-a-versary! Also some lights go out..</t>
        </is>
      </c>
      <c r="V2201" s="47">
        <f>IF(AND(P2201&gt;=Calendar!$K$2,P2201&lt;EDATE(Calendar!$K$2,1),OR(Calendar!$K$4="*",N2201=Calendar!$K$4)),P2201*100+COUNTIFS($P$6:$P$3267,P2201,$Q$6:$Q$3267,"&lt;="&amp;Q2201,$N$6:$N$3267,Calendar!$K$4),"")</f>
        <v/>
      </c>
      <c r="W2201" s="47">
        <f>IF(AND(B2201=Queue!$C$4,OR(Queue!$K$4="*",N2201=Queue!$K$4)),Q2201,"")</f>
        <v/>
      </c>
    </row>
    <row r="2202">
      <c r="A2202" s="38">
        <f>IF(M2202="","",HYPERLINK("https://www.youtube.com/watch?v="&amp;M2202,"▶"))</f>
        <v/>
      </c>
      <c r="B2202" s="39">
        <f>IF(C2202&lt;&gt;"",C2202,IF(P2202&lt;=IFERROR(INDEX(tblChannels[Watched Through],MATCH(N2202,tblChannels[Channel ID],0)),0),"Watched","Unwatched"))</f>
        <v/>
      </c>
      <c r="C2202" s="40" t="n"/>
      <c r="D2202" s="41" t="n"/>
      <c r="E2202" s="42" t="n">
        <v>43186.46597222222</v>
      </c>
      <c r="F2202" s="52" t="inlineStr">
        <is>
          <t>Super Carlin Gaming</t>
        </is>
      </c>
      <c r="G2202" t="inlineStr">
        <is>
          <t>Elephant in a Dress | Mario Kart Roulette #83</t>
        </is>
      </c>
      <c r="H2202" s="44" t="n">
        <v>0.01141203703703704</v>
      </c>
      <c r="I2202" s="45" t="n">
        <v>8306</v>
      </c>
      <c r="J2202" s="45" t="n">
        <v>356</v>
      </c>
      <c r="K2202" s="45" t="n">
        <v>177</v>
      </c>
      <c r="L2202" s="46" t="n"/>
      <c r="M2202" s="47" t="n"/>
      <c r="N2202" s="47" t="inlineStr">
        <is>
          <t>UCor_9jRnNNZVzTuQ92PKsaQ</t>
        </is>
      </c>
      <c r="O2202" s="48" t="n">
        <v>43186.63263888889</v>
      </c>
      <c r="P2202" s="49" t="n">
        <v>43186</v>
      </c>
      <c r="Q2202" s="47" t="n">
        <v>1066</v>
      </c>
      <c r="R2202" s="47" t="inlineStr">
        <is>
          <t>No Video ID yet</t>
        </is>
      </c>
      <c r="S2202" s="49" t="n"/>
      <c r="T2202" s="49" t="n"/>
      <c r="U2202" s="47" t="inlineStr">
        <is>
          <t>J and Ben continue to try to 3 star every cup with randomly chosen karts and characters while they answer your questions and give you advice!!</t>
        </is>
      </c>
      <c r="V2202" s="47">
        <f>IF(AND(P2202&gt;=Calendar!$K$2,P2202&lt;EDATE(Calendar!$K$2,1),OR(Calendar!$K$4="*",N2202=Calendar!$K$4)),P2202*100+COUNTIFS($P$6:$P$3267,P2202,$Q$6:$Q$3267,"&lt;="&amp;Q2202,$N$6:$N$3267,Calendar!$K$4),"")</f>
        <v/>
      </c>
      <c r="W2202" s="47">
        <f>IF(AND(B2202=Queue!$C$4,OR(Queue!$K$4="*",N2202=Queue!$K$4)),Q2202,"")</f>
        <v/>
      </c>
    </row>
    <row r="2203">
      <c r="A2203" s="38">
        <f>IF(M2203="","",HYPERLINK("https://www.youtube.com/watch?v="&amp;M2203,"▶"))</f>
        <v/>
      </c>
      <c r="B2203" s="39">
        <f>IF(C2203&lt;&gt;"",C2203,IF(P2203&lt;=IFERROR(INDEX(tblChannels[Watched Through],MATCH(N2203,tblChannels[Channel ID],0)),0),"Watched","Unwatched"))</f>
        <v/>
      </c>
      <c r="C2203" s="40" t="n"/>
      <c r="D2203" s="41" t="n"/>
      <c r="E2203" s="42" t="n">
        <v>43182.74375</v>
      </c>
      <c r="F2203" s="52" t="inlineStr">
        <is>
          <t>Super Carlin Gaming</t>
        </is>
      </c>
      <c r="G2203" t="inlineStr">
        <is>
          <t>Friday Mario Kart Live Stream - J vs. The World!</t>
        </is>
      </c>
      <c r="H2203" s="44" t="n">
        <v>0.06498842592592592</v>
      </c>
      <c r="I2203" s="45" t="n">
        <v>6024</v>
      </c>
      <c r="J2203" s="45" t="n">
        <v>200</v>
      </c>
      <c r="K2203" s="45" t="n">
        <v>22</v>
      </c>
      <c r="L2203" s="46" t="n"/>
      <c r="M2203" s="47" t="n"/>
      <c r="N2203" s="47" t="inlineStr">
        <is>
          <t>UCor_9jRnNNZVzTuQ92PKsaQ</t>
        </is>
      </c>
      <c r="O2203" s="48" t="n">
        <v>43182.91041666667</v>
      </c>
      <c r="P2203" s="49" t="n">
        <v>43182</v>
      </c>
      <c r="Q2203" s="47" t="n">
        <v>1065</v>
      </c>
      <c r="R2203" s="47" t="inlineStr">
        <is>
          <t>No Video ID yet</t>
        </is>
      </c>
      <c r="S2203" s="49" t="n"/>
      <c r="T2203" s="49" t="n"/>
      <c r="U2203" s="47" t="inlineStr">
        <is>
          <t>Join The Discord! J on twitter: DK STREAMS ON TWITCH:</t>
        </is>
      </c>
      <c r="V2203" s="47">
        <f>IF(AND(P2203&gt;=Calendar!$K$2,P2203&lt;EDATE(Calendar!$K$2,1),OR(Calendar!$K$4="*",N2203=Calendar!$K$4)),P2203*100+COUNTIFS($P$6:$P$3267,P2203,$Q$6:$Q$3267,"&lt;="&amp;Q2203,$N$6:$N$3267,Calendar!$K$4),"")</f>
        <v/>
      </c>
      <c r="W2203" s="47">
        <f>IF(AND(B2203=Queue!$C$4,OR(Queue!$K$4="*",N2203=Queue!$K$4)),Q2203,"")</f>
        <v/>
      </c>
    </row>
    <row r="2204">
      <c r="A2204" s="38">
        <f>IF(M2204="","",HYPERLINK("https://www.youtube.com/watch?v="&amp;M2204,"▶"))</f>
        <v/>
      </c>
      <c r="B2204" s="39">
        <f>IF(C2204&lt;&gt;"",C2204,IF(P2204&lt;=IFERROR(INDEX(tblChannels[Watched Through],MATCH(N2204,tblChannels[Channel ID],0)),0),"Watched","Unwatched"))</f>
        <v/>
      </c>
      <c r="C2204" s="40" t="n"/>
      <c r="D2204" s="41" t="n"/>
      <c r="E2204" s="42" t="n">
        <v>43181.62222222222</v>
      </c>
      <c r="F2204" s="50" t="inlineStr">
        <is>
          <t>Super Carlin Brothers</t>
        </is>
      </c>
      <c r="G2204" t="inlineStr">
        <is>
          <t>J vs Ben: ULTIMATE Frozen Trivia Quiz</t>
        </is>
      </c>
      <c r="H2204" s="44" t="n">
        <v>0.02082175925925926</v>
      </c>
      <c r="I2204" s="45" t="n">
        <v>546192</v>
      </c>
      <c r="J2204" s="45" t="n">
        <v>12207</v>
      </c>
      <c r="K2204" s="45" t="n">
        <v>2754</v>
      </c>
      <c r="L2204" s="46" t="n"/>
      <c r="M2204" s="47" t="n"/>
      <c r="N2204" s="47" t="inlineStr">
        <is>
          <t>UCKZo4N0lVPccBkSiuyVh4yg</t>
        </is>
      </c>
      <c r="O2204" s="48" t="n">
        <v>43181.78888888889</v>
      </c>
      <c r="P2204" s="49" t="n">
        <v>43181</v>
      </c>
      <c r="Q2204" s="47" t="n">
        <v>1064</v>
      </c>
      <c r="R2204" s="47" t="inlineStr">
        <is>
          <t>No Video ID yet</t>
        </is>
      </c>
      <c r="S2204" s="49" t="n"/>
      <c r="T2204" s="49" t="n"/>
      <c r="U2204" s="47" t="inlineStr">
        <is>
          <t>Today J and Ben take on the Ultimate Frozen Quiz to find out who knows the Anna, Elsa, Olaf and the Kingdom of Arendelle the best! Play along with us! ::</t>
        </is>
      </c>
      <c r="V2204" s="47">
        <f>IF(AND(P2204&gt;=Calendar!$K$2,P2204&lt;EDATE(Calendar!$K$2,1),OR(Calendar!$K$4="*",N2204=Calendar!$K$4)),P2204*100+COUNTIFS($P$6:$P$3267,P2204,$Q$6:$Q$3267,"&lt;="&amp;Q2204,$N$6:$N$3267,Calendar!$K$4),"")</f>
        <v/>
      </c>
      <c r="W2204" s="47">
        <f>IF(AND(B2204=Queue!$C$4,OR(Queue!$K$4="*",N2204=Queue!$K$4)),Q2204,"")</f>
        <v/>
      </c>
    </row>
    <row r="2205">
      <c r="A2205" s="38">
        <f>IF(M2205="","",HYPERLINK("https://www.youtube.com/watch?v="&amp;M2205,"▶"))</f>
        <v/>
      </c>
      <c r="B2205" s="39">
        <f>IF(C2205&lt;&gt;"",C2205,IF(P2205&lt;=IFERROR(INDEX(tblChannels[Watched Through],MATCH(N2205,tblChannels[Channel ID],0)),0),"Watched","Unwatched"))</f>
        <v/>
      </c>
      <c r="C2205" s="40" t="n"/>
      <c r="D2205" s="41" t="n"/>
      <c r="E2205" s="42" t="n">
        <v>43181.4375</v>
      </c>
      <c r="F2205" s="52" t="inlineStr">
        <is>
          <t>Super Carlin Gaming</t>
        </is>
      </c>
      <c r="G2205" t="inlineStr">
        <is>
          <t>Something Got Messed Up | Mario Kart Roulette #82</t>
        </is>
      </c>
      <c r="H2205" s="44" t="n">
        <v>0.01315972222222222</v>
      </c>
      <c r="I2205" s="45" t="n">
        <v>8622</v>
      </c>
      <c r="J2205" s="45" t="n">
        <v>376</v>
      </c>
      <c r="K2205" s="45" t="n">
        <v>163</v>
      </c>
      <c r="L2205" s="46" t="n"/>
      <c r="M2205" s="47" t="n"/>
      <c r="N2205" s="47" t="inlineStr">
        <is>
          <t>UCor_9jRnNNZVzTuQ92PKsaQ</t>
        </is>
      </c>
      <c r="O2205" s="48" t="n">
        <v>43181.60416666666</v>
      </c>
      <c r="P2205" s="49" t="n">
        <v>43181</v>
      </c>
      <c r="Q2205" s="47" t="n">
        <v>1063</v>
      </c>
      <c r="R2205" s="47" t="inlineStr">
        <is>
          <t>No Video ID yet</t>
        </is>
      </c>
      <c r="S2205" s="49" t="n"/>
      <c r="T2205" s="49" t="n"/>
      <c r="U2205" s="47" t="inlineStr">
        <is>
          <t>J and Ben continue to try to 3 star every cup with randomly chosen karts and characters while they answer your questions and give you advice!!</t>
        </is>
      </c>
      <c r="V2205" s="47">
        <f>IF(AND(P2205&gt;=Calendar!$K$2,P2205&lt;EDATE(Calendar!$K$2,1),OR(Calendar!$K$4="*",N2205=Calendar!$K$4)),P2205*100+COUNTIFS($P$6:$P$3267,P2205,$Q$6:$Q$3267,"&lt;="&amp;Q2205,$N$6:$N$3267,Calendar!$K$4),"")</f>
        <v/>
      </c>
      <c r="W2205" s="47">
        <f>IF(AND(B2205=Queue!$C$4,OR(Queue!$K$4="*",N2205=Queue!$K$4)),Q2205,"")</f>
        <v/>
      </c>
    </row>
    <row r="2206">
      <c r="A2206" s="38">
        <f>IF(M2206="","",HYPERLINK("https://www.youtube.com/watch?v="&amp;M2206,"▶"))</f>
        <v/>
      </c>
      <c r="B2206" s="39">
        <f>IF(C2206&lt;&gt;"",C2206,IF(P2206&lt;=IFERROR(INDEX(tblChannels[Watched Through],MATCH(N2206,tblChannels[Channel ID],0)),0),"Watched","Unwatched"))</f>
        <v/>
      </c>
      <c r="C2206" s="40" t="n"/>
      <c r="D2206" s="41" t="n"/>
      <c r="E2206" s="42" t="n">
        <v>43179.69930555556</v>
      </c>
      <c r="F2206" s="50" t="inlineStr">
        <is>
          <t>Super Carlin Brothers</t>
        </is>
      </c>
      <c r="G2206" t="inlineStr">
        <is>
          <t>Is "Harry Potter and the Cursed Child" Canon?</t>
        </is>
      </c>
      <c r="H2206" s="44" t="n">
        <v>0.009328703703703704</v>
      </c>
      <c r="I2206" s="45" t="n">
        <v>1081134</v>
      </c>
      <c r="J2206" s="45" t="n">
        <v>34190</v>
      </c>
      <c r="K2206" s="45" t="n">
        <v>7470</v>
      </c>
      <c r="L2206" s="46" t="n"/>
      <c r="M2206" s="47" t="n"/>
      <c r="N2206" s="47" t="inlineStr">
        <is>
          <t>UCKZo4N0lVPccBkSiuyVh4yg</t>
        </is>
      </c>
      <c r="O2206" s="48" t="n">
        <v>43179.86597222222</v>
      </c>
      <c r="P2206" s="49" t="n">
        <v>43179</v>
      </c>
      <c r="Q2206" s="47" t="n">
        <v>1062</v>
      </c>
      <c r="R2206" s="47" t="inlineStr">
        <is>
          <t>No Video ID yet</t>
        </is>
      </c>
      <c r="S2206" s="49" t="n"/>
      <c r="T2206" s="49" t="n"/>
      <c r="U2206" s="47" t="inlineStr">
        <is>
          <t>Today J dives into the wizarding world of Harry Potter to discuss what counts as Canon and if Harry Potter and the Cursed Child should count as official or just a fun theatrical story?</t>
        </is>
      </c>
      <c r="V2206" s="47">
        <f>IF(AND(P2206&gt;=Calendar!$K$2,P2206&lt;EDATE(Calendar!$K$2,1),OR(Calendar!$K$4="*",N2206=Calendar!$K$4)),P2206*100+COUNTIFS($P$6:$P$3267,P2206,$Q$6:$Q$3267,"&lt;="&amp;Q2206,$N$6:$N$3267,Calendar!$K$4),"")</f>
        <v/>
      </c>
      <c r="W2206" s="47">
        <f>IF(AND(B2206=Queue!$C$4,OR(Queue!$K$4="*",N2206=Queue!$K$4)),Q2206,"")</f>
        <v/>
      </c>
    </row>
    <row r="2207">
      <c r="A2207" s="38">
        <f>IF(M2207="","",HYPERLINK("https://www.youtube.com/watch?v="&amp;M2207,"▶"))</f>
        <v/>
      </c>
      <c r="B2207" s="39">
        <f>IF(C2207&lt;&gt;"",C2207,IF(P2207&lt;=IFERROR(INDEX(tblChannels[Watched Through],MATCH(N2207,tblChannels[Channel ID],0)),0),"Watched","Unwatched"))</f>
        <v/>
      </c>
      <c r="C2207" s="40" t="n"/>
      <c r="D2207" s="41" t="n"/>
      <c r="E2207" s="42" t="n">
        <v>43179.44722222222</v>
      </c>
      <c r="F2207" s="52" t="inlineStr">
        <is>
          <t>Super Carlin Gaming</t>
        </is>
      </c>
      <c r="G2207" t="inlineStr">
        <is>
          <t>Dealing With Anxiety | Mario Kart Roulette #81</t>
        </is>
      </c>
      <c r="H2207" s="44" t="n">
        <v>0.01168981481481481</v>
      </c>
      <c r="I2207" s="45" t="n">
        <v>8669</v>
      </c>
      <c r="J2207" s="45" t="n">
        <v>414</v>
      </c>
      <c r="K2207" s="45" t="n">
        <v>128</v>
      </c>
      <c r="L2207" s="46" t="n"/>
      <c r="M2207" s="47" t="n"/>
      <c r="N2207" s="47" t="inlineStr">
        <is>
          <t>UCor_9jRnNNZVzTuQ92PKsaQ</t>
        </is>
      </c>
      <c r="O2207" s="48" t="n">
        <v>43179.61388888889</v>
      </c>
      <c r="P2207" s="49" t="n">
        <v>43179</v>
      </c>
      <c r="Q2207" s="47" t="n">
        <v>1061</v>
      </c>
      <c r="R2207" s="47" t="inlineStr">
        <is>
          <t>No Video ID yet</t>
        </is>
      </c>
      <c r="S2207" s="49" t="n"/>
      <c r="T2207" s="49" t="n"/>
      <c r="U2207" s="47" t="inlineStr">
        <is>
          <t>J and Ben continue to try to 3 star every cup with randomly chosen karts and characters while they answer your questions and give you advice!!</t>
        </is>
      </c>
      <c r="V2207" s="47">
        <f>IF(AND(P2207&gt;=Calendar!$K$2,P2207&lt;EDATE(Calendar!$K$2,1),OR(Calendar!$K$4="*",N2207=Calendar!$K$4)),P2207*100+COUNTIFS($P$6:$P$3267,P2207,$Q$6:$Q$3267,"&lt;="&amp;Q2207,$N$6:$N$3267,Calendar!$K$4),"")</f>
        <v/>
      </c>
      <c r="W2207" s="47">
        <f>IF(AND(B2207=Queue!$C$4,OR(Queue!$K$4="*",N2207=Queue!$K$4)),Q2207,"")</f>
        <v/>
      </c>
    </row>
    <row r="2208">
      <c r="A2208" s="38">
        <f>IF(M2208="","",HYPERLINK("https://www.youtube.com/watch?v="&amp;M2208,"▶"))</f>
        <v/>
      </c>
      <c r="B2208" s="39">
        <f>IF(C2208&lt;&gt;"",C2208,IF(P2208&lt;=IFERROR(INDEX(tblChannels[Watched Through],MATCH(N2208,tblChannels[Channel ID],0)),0),"Watched","Unwatched"))</f>
        <v/>
      </c>
      <c r="C2208" s="40" t="n"/>
      <c r="D2208" s="41" t="n"/>
      <c r="E2208" s="42" t="n">
        <v>43178.69444444445</v>
      </c>
      <c r="F2208" s="53" t="inlineStr">
        <is>
          <t>Jonathan Carlin</t>
        </is>
      </c>
      <c r="G2208" t="inlineStr">
        <is>
          <t>The Difference A Year Makes</t>
        </is>
      </c>
      <c r="H2208" s="44" t="n">
        <v>0.005486111111111111</v>
      </c>
      <c r="I2208" s="45" t="n">
        <v>46714</v>
      </c>
      <c r="J2208" s="45" t="n">
        <v>2259</v>
      </c>
      <c r="K2208" s="45" t="n">
        <v>211</v>
      </c>
      <c r="L2208" s="46" t="n"/>
      <c r="M2208" s="47" t="n"/>
      <c r="N2208" s="47" t="inlineStr">
        <is>
          <t>UCYPKFe86e6nm4TVUYKLsFUQ</t>
        </is>
      </c>
      <c r="O2208" s="48" t="n">
        <v>43178.86111111111</v>
      </c>
      <c r="P2208" s="49" t="n">
        <v>43178</v>
      </c>
      <c r="Q2208" s="47" t="n">
        <v>1060</v>
      </c>
      <c r="R2208" s="47" t="inlineStr">
        <is>
          <t>No Video ID yet</t>
        </is>
      </c>
      <c r="S2208" s="49" t="n"/>
      <c r="T2208" s="49" t="n"/>
      <c r="U2208" s="47" t="inlineStr">
        <is>
          <t>Today J reflects on the difference a year makes and freaks out about being featured on Pottermore!!!! Follow @scbfan ::</t>
        </is>
      </c>
      <c r="V2208" s="47">
        <f>IF(AND(P2208&gt;=Calendar!$K$2,P2208&lt;EDATE(Calendar!$K$2,1),OR(Calendar!$K$4="*",N2208=Calendar!$K$4)),P2208*100+COUNTIFS($P$6:$P$3267,P2208,$Q$6:$Q$3267,"&lt;="&amp;Q2208,$N$6:$N$3267,Calendar!$K$4),"")</f>
        <v/>
      </c>
      <c r="W2208" s="47">
        <f>IF(AND(B2208=Queue!$C$4,OR(Queue!$K$4="*",N2208=Queue!$K$4)),Q2208,"")</f>
        <v/>
      </c>
    </row>
    <row r="2209">
      <c r="A2209" s="38">
        <f>IF(M2209="","",HYPERLINK("https://www.youtube.com/watch?v="&amp;M2209,"▶"))</f>
        <v/>
      </c>
      <c r="B2209" s="39">
        <f>IF(C2209&lt;&gt;"",C2209,IF(P2209&lt;=IFERROR(INDEX(tblChannels[Watched Through],MATCH(N2209,tblChannels[Channel ID],0)),0),"Watched","Unwatched"))</f>
        <v/>
      </c>
      <c r="C2209" s="40" t="n"/>
      <c r="D2209" s="41" t="n"/>
      <c r="E2209" s="42" t="n">
        <v>43174.70138888889</v>
      </c>
      <c r="F2209" s="50" t="inlineStr">
        <is>
          <t>Super Carlin Brothers</t>
        </is>
      </c>
      <c r="G2209" t="inlineStr">
        <is>
          <t>Harry Potter Is An Imposter?</t>
        </is>
      </c>
      <c r="H2209" s="44" t="n">
        <v>0.006631944444444445</v>
      </c>
      <c r="I2209" s="45" t="n">
        <v>863525</v>
      </c>
      <c r="J2209" s="45" t="n">
        <v>25739</v>
      </c>
      <c r="K2209" s="45" t="n">
        <v>2905</v>
      </c>
      <c r="L2209" s="46" t="n"/>
      <c r="M2209" s="47" t="n"/>
      <c r="N2209" s="47" t="inlineStr">
        <is>
          <t>UCKZo4N0lVPccBkSiuyVh4yg</t>
        </is>
      </c>
      <c r="O2209" s="48" t="n">
        <v>43174.86805555555</v>
      </c>
      <c r="P2209" s="49" t="n">
        <v>43174</v>
      </c>
      <c r="Q2209" s="47" t="n">
        <v>1059</v>
      </c>
      <c r="R2209" s="47" t="inlineStr">
        <is>
          <t>No Video ID yet</t>
        </is>
      </c>
      <c r="S2209" s="49" t="n"/>
      <c r="T2209" s="49" t="n"/>
      <c r="U2209" s="47" t="inlineStr">
        <is>
          <t>Thanks to Epic Games for sponsoring this video! #ad Download Fortnite Battle Royale :: Imposter Syndrom Quiz :: Today Ben dives into the wizarding world of to discuss a psycho analyze Harry himself and discuss his suffering of "Imposter Syndrome"</t>
        </is>
      </c>
      <c r="V2209" s="47">
        <f>IF(AND(P2209&gt;=Calendar!$K$2,P2209&lt;EDATE(Calendar!$K$2,1),OR(Calendar!$K$4="*",N2209=Calendar!$K$4)),P2209*100+COUNTIFS($P$6:$P$3267,P2209,$Q$6:$Q$3267,"&lt;="&amp;Q2209,$N$6:$N$3267,Calendar!$K$4),"")</f>
        <v/>
      </c>
      <c r="W2209" s="47">
        <f>IF(AND(B2209=Queue!$C$4,OR(Queue!$K$4="*",N2209=Queue!$K$4)),Q2209,"")</f>
        <v/>
      </c>
    </row>
    <row r="2210">
      <c r="A2210" s="38">
        <f>IF(M2210="","",HYPERLINK("https://www.youtube.com/watch?v="&amp;M2210,"▶"))</f>
        <v/>
      </c>
      <c r="B2210" s="39">
        <f>IF(C2210&lt;&gt;"",C2210,IF(P2210&lt;=IFERROR(INDEX(tblChannels[Watched Through],MATCH(N2210,tblChannels[Channel ID],0)),0),"Watched","Unwatched"))</f>
        <v/>
      </c>
      <c r="C2210" s="40" t="n"/>
      <c r="D2210" s="41" t="n"/>
      <c r="E2210" s="42" t="n">
        <v>43174.54722222222</v>
      </c>
      <c r="F2210" s="52" t="inlineStr">
        <is>
          <t>Super Carlin Gaming</t>
        </is>
      </c>
      <c r="G2210" t="inlineStr">
        <is>
          <t>The Double W | Mario Kart Roulette #80</t>
        </is>
      </c>
      <c r="H2210" s="44" t="n">
        <v>0.01260416666666667</v>
      </c>
      <c r="I2210" s="45" t="n">
        <v>9347</v>
      </c>
      <c r="J2210" s="45" t="n">
        <v>370</v>
      </c>
      <c r="K2210" s="45" t="n">
        <v>180</v>
      </c>
      <c r="L2210" s="46" t="n"/>
      <c r="M2210" s="47" t="n"/>
      <c r="N2210" s="47" t="inlineStr">
        <is>
          <t>UCor_9jRnNNZVzTuQ92PKsaQ</t>
        </is>
      </c>
      <c r="O2210" s="48" t="n">
        <v>43174.71388888889</v>
      </c>
      <c r="P2210" s="49" t="n">
        <v>43174</v>
      </c>
      <c r="Q2210" s="47" t="n">
        <v>1058</v>
      </c>
      <c r="R2210" s="47" t="inlineStr">
        <is>
          <t>No Video ID yet</t>
        </is>
      </c>
      <c r="S2210" s="49" t="n"/>
      <c r="T2210" s="49" t="n"/>
      <c r="U2210" s="47" t="inlineStr">
        <is>
          <t>J and Ben continue to try to 3 star every cup with randomly chosen karts and characters while they answer your questions and give you advice!!</t>
        </is>
      </c>
      <c r="V2210" s="47">
        <f>IF(AND(P2210&gt;=Calendar!$K$2,P2210&lt;EDATE(Calendar!$K$2,1),OR(Calendar!$K$4="*",N2210=Calendar!$K$4)),P2210*100+COUNTIFS($P$6:$P$3267,P2210,$Q$6:$Q$3267,"&lt;="&amp;Q2210,$N$6:$N$3267,Calendar!$K$4),"")</f>
        <v/>
      </c>
      <c r="W2210" s="47">
        <f>IF(AND(B2210=Queue!$C$4,OR(Queue!$K$4="*",N2210=Queue!$K$4)),Q2210,"")</f>
        <v/>
      </c>
    </row>
    <row r="2211">
      <c r="A2211" s="38">
        <f>IF(M2211="","",HYPERLINK("https://www.youtube.com/watch?v="&amp;M2211,"▶"))</f>
        <v/>
      </c>
      <c r="B2211" s="39">
        <f>IF(C2211&lt;&gt;"",C2211,IF(P2211&lt;=IFERROR(INDEX(tblChannels[Watched Through],MATCH(N2211,tblChannels[Channel ID],0)),0),"Watched","Unwatched"))</f>
        <v/>
      </c>
      <c r="C2211" s="40" t="n"/>
      <c r="D2211" s="41" t="n"/>
      <c r="E2211" s="42" t="n">
        <v>43172.87777777778</v>
      </c>
      <c r="F2211" s="50" t="inlineStr">
        <is>
          <t>Super Carlin Brothers</t>
        </is>
      </c>
      <c r="G2211" t="inlineStr">
        <is>
          <t>Bellatrix &amp; Credence Are Related?! | Fantastic Beasts Theory</t>
        </is>
      </c>
      <c r="H2211" s="44" t="n">
        <v>0.007476851851851852</v>
      </c>
      <c r="I2211" s="45" t="n">
        <v>763812</v>
      </c>
      <c r="J2211" s="45" t="n">
        <v>23191</v>
      </c>
      <c r="K2211" s="45" t="n">
        <v>2449</v>
      </c>
      <c r="L2211" s="46" t="n"/>
      <c r="M2211" s="47" t="n"/>
      <c r="N2211" s="47" t="inlineStr">
        <is>
          <t>UCKZo4N0lVPccBkSiuyVh4yg</t>
        </is>
      </c>
      <c r="O2211" s="48" t="n">
        <v>43173.04444444444</v>
      </c>
      <c r="P2211" s="49" t="n">
        <v>43172</v>
      </c>
      <c r="Q2211" s="47" t="n">
        <v>1057</v>
      </c>
      <c r="R2211" s="47" t="inlineStr">
        <is>
          <t>No Video ID yet</t>
        </is>
      </c>
      <c r="S2211" s="49" t="n"/>
      <c r="T2211" s="49" t="n"/>
      <c r="U2211" s="47" t="inlineStr">
        <is>
          <t>Full trailer here :: Today J dives into the Wizarding World of Harry Potter to review and over analyze the first teaser for Fantastic Beast: The Crimes of Grindelwald - There are a lot of things to unpack including a surprising family connection between Bellatrix Lestrange and Credence Barebone!</t>
        </is>
      </c>
      <c r="V2211" s="47">
        <f>IF(AND(P2211&gt;=Calendar!$K$2,P2211&lt;EDATE(Calendar!$K$2,1),OR(Calendar!$K$4="*",N2211=Calendar!$K$4)),P2211*100+COUNTIFS($P$6:$P$3267,P2211,$Q$6:$Q$3267,"&lt;="&amp;Q2211,$N$6:$N$3267,Calendar!$K$4),"")</f>
        <v/>
      </c>
      <c r="W2211" s="47">
        <f>IF(AND(B2211=Queue!$C$4,OR(Queue!$K$4="*",N2211=Queue!$K$4)),Q2211,"")</f>
        <v/>
      </c>
    </row>
    <row r="2212">
      <c r="A2212" s="38">
        <f>IF(M2212="","",HYPERLINK("https://www.youtube.com/watch?v="&amp;M2212,"▶"))</f>
        <v/>
      </c>
      <c r="B2212" s="39">
        <f>IF(C2212&lt;&gt;"",C2212,IF(P2212&lt;=IFERROR(INDEX(tblChannels[Watched Through],MATCH(N2212,tblChannels[Channel ID],0)),0),"Watched","Unwatched"))</f>
        <v/>
      </c>
      <c r="C2212" s="40" t="n"/>
      <c r="D2212" s="41" t="n"/>
      <c r="E2212" s="42" t="n">
        <v>43172.55694444444</v>
      </c>
      <c r="F2212" s="52" t="inlineStr">
        <is>
          <t>Super Carlin Gaming</t>
        </is>
      </c>
      <c r="G2212" t="inlineStr">
        <is>
          <t>Tough as Cushions | Mario Kart Roulette #79</t>
        </is>
      </c>
      <c r="H2212" s="44" t="n">
        <v>0.01042824074074074</v>
      </c>
      <c r="I2212" s="45" t="n">
        <v>9238</v>
      </c>
      <c r="J2212" s="45" t="n">
        <v>428</v>
      </c>
      <c r="K2212" s="45" t="n">
        <v>117</v>
      </c>
      <c r="L2212" s="46" t="n"/>
      <c r="M2212" s="47" t="n"/>
      <c r="N2212" s="47" t="inlineStr">
        <is>
          <t>UCor_9jRnNNZVzTuQ92PKsaQ</t>
        </is>
      </c>
      <c r="O2212" s="48" t="n">
        <v>43172.72361111111</v>
      </c>
      <c r="P2212" s="49" t="n">
        <v>43172</v>
      </c>
      <c r="Q2212" s="47" t="n">
        <v>1056</v>
      </c>
      <c r="R2212" s="47" t="inlineStr">
        <is>
          <t>No Video ID yet</t>
        </is>
      </c>
      <c r="S2212" s="49" t="n"/>
      <c r="T2212" s="49" t="n"/>
      <c r="U2212" s="47" t="inlineStr">
        <is>
          <t>J and Ben continue to try to 3 star every cup with randomly chosen karts and characters while they answer your questions and give you advice!!</t>
        </is>
      </c>
      <c r="V2212" s="47">
        <f>IF(AND(P2212&gt;=Calendar!$K$2,P2212&lt;EDATE(Calendar!$K$2,1),OR(Calendar!$K$4="*",N2212=Calendar!$K$4)),P2212*100+COUNTIFS($P$6:$P$3267,P2212,$Q$6:$Q$3267,"&lt;="&amp;Q2212,$N$6:$N$3267,Calendar!$K$4),"")</f>
        <v/>
      </c>
      <c r="W2212" s="47">
        <f>IF(AND(B2212=Queue!$C$4,OR(Queue!$K$4="*",N2212=Queue!$K$4)),Q2212,"")</f>
        <v/>
      </c>
    </row>
    <row r="2213">
      <c r="A2213" s="38">
        <f>IF(M2213="","",HYPERLINK("https://www.youtube.com/watch?v="&amp;M2213,"▶"))</f>
        <v/>
      </c>
      <c r="B2213" s="39">
        <f>IF(C2213&lt;&gt;"",C2213,IF(P2213&lt;=IFERROR(INDEX(tblChannels[Watched Through],MATCH(N2213,tblChannels[Channel ID],0)),0),"Watched","Unwatched"))</f>
        <v/>
      </c>
      <c r="C2213" s="40" t="n"/>
      <c r="D2213" s="41" t="n"/>
      <c r="E2213" s="42" t="n">
        <v>43171.52708333333</v>
      </c>
      <c r="F2213" s="53" t="inlineStr">
        <is>
          <t>Jonathan Carlin</t>
        </is>
      </c>
      <c r="G2213" t="inlineStr">
        <is>
          <t>WORST HARRY POTTER TRIVIA NIGHT EVER</t>
        </is>
      </c>
      <c r="H2213" s="44" t="n">
        <v>0.004652777777777777</v>
      </c>
      <c r="I2213" s="45" t="n">
        <v>57389</v>
      </c>
      <c r="J2213" s="45" t="n">
        <v>2057</v>
      </c>
      <c r="K2213" s="45" t="n">
        <v>145</v>
      </c>
      <c r="L2213" s="46" t="n"/>
      <c r="M2213" s="47" t="n"/>
      <c r="N2213" s="47" t="inlineStr">
        <is>
          <t>UCYPKFe86e6nm4TVUYKLsFUQ</t>
        </is>
      </c>
      <c r="O2213" s="48" t="n">
        <v>43171.69375</v>
      </c>
      <c r="P2213" s="49" t="n">
        <v>43171</v>
      </c>
      <c r="Q2213" s="47" t="n">
        <v>1055</v>
      </c>
      <c r="R2213" s="47" t="inlineStr">
        <is>
          <t>No Video ID yet</t>
        </is>
      </c>
      <c r="S2213" s="49" t="n"/>
      <c r="T2213" s="49" t="n"/>
      <c r="U2213" s="47" t="inlineStr">
        <is>
          <t>You guys know we love us some good Harry Potter trivia.. so you can imagine how bummed we were when we encountered the worst version of it imaginable... I really wanted that $20 gift card too ;-)</t>
        </is>
      </c>
      <c r="V2213" s="47">
        <f>IF(AND(P2213&gt;=Calendar!$K$2,P2213&lt;EDATE(Calendar!$K$2,1),OR(Calendar!$K$4="*",N2213=Calendar!$K$4)),P2213*100+COUNTIFS($P$6:$P$3267,P2213,$Q$6:$Q$3267,"&lt;="&amp;Q2213,$N$6:$N$3267,Calendar!$K$4),"")</f>
        <v/>
      </c>
      <c r="W2213" s="47">
        <f>IF(AND(B2213=Queue!$C$4,OR(Queue!$K$4="*",N2213=Queue!$K$4)),Q2213,"")</f>
        <v/>
      </c>
    </row>
    <row r="2214">
      <c r="A2214" s="38">
        <f>IF(M2214="","",HYPERLINK("https://www.youtube.com/watch?v="&amp;M2214,"▶"))</f>
        <v/>
      </c>
      <c r="B2214" s="39">
        <f>IF(C2214&lt;&gt;"",C2214,IF(P2214&lt;=IFERROR(INDEX(tblChannels[Watched Through],MATCH(N2214,tblChannels[Channel ID],0)),0),"Watched","Unwatched"))</f>
        <v/>
      </c>
      <c r="C2214" s="40" t="n"/>
      <c r="D2214" s="41" t="n"/>
      <c r="E2214" s="42" t="n">
        <v>43168.74652777778</v>
      </c>
      <c r="F2214" s="52" t="inlineStr">
        <is>
          <t>Super Carlin Gaming</t>
        </is>
      </c>
      <c r="G2214" t="inlineStr">
        <is>
          <t>Friday Mario Kart Live Stream!</t>
        </is>
      </c>
      <c r="H2214" s="44" t="n">
        <v>0.06143518518518518</v>
      </c>
      <c r="I2214" s="45" t="n">
        <v>7237</v>
      </c>
      <c r="J2214" s="45" t="n">
        <v>262</v>
      </c>
      <c r="K2214" s="45" t="n">
        <v>48</v>
      </c>
      <c r="L2214" s="46" t="n"/>
      <c r="M2214" s="47" t="n"/>
      <c r="N2214" s="47" t="inlineStr">
        <is>
          <t>UCor_9jRnNNZVzTuQ92PKsaQ</t>
        </is>
      </c>
      <c r="O2214" s="48" t="n">
        <v>43168.95486111111</v>
      </c>
      <c r="P2214" s="49" t="n">
        <v>43168</v>
      </c>
      <c r="Q2214" s="47" t="n">
        <v>1054</v>
      </c>
      <c r="R2214" s="47" t="inlineStr">
        <is>
          <t>No Video ID yet</t>
        </is>
      </c>
      <c r="S2214" s="49" t="n"/>
      <c r="T2214" s="49" t="n"/>
      <c r="U2214" s="47" t="inlineStr">
        <is>
          <t>Surprise!</t>
        </is>
      </c>
      <c r="V2214" s="47">
        <f>IF(AND(P2214&gt;=Calendar!$K$2,P2214&lt;EDATE(Calendar!$K$2,1),OR(Calendar!$K$4="*",N2214=Calendar!$K$4)),P2214*100+COUNTIFS($P$6:$P$3267,P2214,$Q$6:$Q$3267,"&lt;="&amp;Q2214,$N$6:$N$3267,Calendar!$K$4),"")</f>
        <v/>
      </c>
      <c r="W2214" s="47">
        <f>IF(AND(B2214=Queue!$C$4,OR(Queue!$K$4="*",N2214=Queue!$K$4)),Q2214,"")</f>
        <v/>
      </c>
    </row>
    <row r="2215">
      <c r="A2215" s="38">
        <f>IF(M2215="","",HYPERLINK("https://www.youtube.com/watch?v="&amp;M2215,"▶"))</f>
        <v/>
      </c>
      <c r="B2215" s="39">
        <f>IF(C2215&lt;&gt;"",C2215,IF(P2215&lt;=IFERROR(INDEX(tblChannels[Watched Through],MATCH(N2215,tblChannels[Channel ID],0)),0),"Watched","Unwatched"))</f>
        <v/>
      </c>
      <c r="C2215" s="40" t="n"/>
      <c r="D2215" s="41" t="n"/>
      <c r="E2215" s="42" t="n">
        <v>43167.78819444445</v>
      </c>
      <c r="F2215" s="50" t="inlineStr">
        <is>
          <t>Super Carlin Brothers</t>
        </is>
      </c>
      <c r="G2215" t="inlineStr">
        <is>
          <t>Why Are They Called Death Eaters | Harry Potter Theory</t>
        </is>
      </c>
      <c r="H2215" s="44" t="n">
        <v>0.007905092592592592</v>
      </c>
      <c r="I2215" s="45" t="n">
        <v>1329575</v>
      </c>
      <c r="J2215" s="45" t="n">
        <v>34844</v>
      </c>
      <c r="K2215" s="45" t="n">
        <v>3576</v>
      </c>
      <c r="L2215" s="46" t="n"/>
      <c r="M2215" s="47" t="n"/>
      <c r="N2215" s="47" t="inlineStr">
        <is>
          <t>UCKZo4N0lVPccBkSiuyVh4yg</t>
        </is>
      </c>
      <c r="O2215" s="48" t="n">
        <v>43167.99652777778</v>
      </c>
      <c r="P2215" s="49" t="n">
        <v>43167</v>
      </c>
      <c r="Q2215" s="47" t="n">
        <v>1053</v>
      </c>
      <c r="R2215" s="47" t="inlineStr">
        <is>
          <t>No Video ID yet</t>
        </is>
      </c>
      <c r="S2215" s="49" t="n"/>
      <c r="T2215" s="49" t="n"/>
      <c r="U2215" s="47" t="inlineStr">
        <is>
          <t>Today Ben dives into the wizarding world of Harry Potter to answer one of everyone’s oldest questions: Why are they called Death Eaters? And Why were they ever called The Knights of Walpugis?</t>
        </is>
      </c>
      <c r="V2215" s="47">
        <f>IF(AND(P2215&gt;=Calendar!$K$2,P2215&lt;EDATE(Calendar!$K$2,1),OR(Calendar!$K$4="*",N2215=Calendar!$K$4)),P2215*100+COUNTIFS($P$6:$P$3267,P2215,$Q$6:$Q$3267,"&lt;="&amp;Q2215,$N$6:$N$3267,Calendar!$K$4),"")</f>
        <v/>
      </c>
      <c r="W2215" s="47">
        <f>IF(AND(B2215=Queue!$C$4,OR(Queue!$K$4="*",N2215=Queue!$K$4)),Q2215,"")</f>
        <v/>
      </c>
    </row>
    <row r="2216">
      <c r="A2216" s="38">
        <f>IF(M2216="","",HYPERLINK("https://www.youtube.com/watch?v="&amp;M2216,"▶"))</f>
        <v/>
      </c>
      <c r="B2216" s="39">
        <f>IF(C2216&lt;&gt;"",C2216,IF(P2216&lt;=IFERROR(INDEX(tblChannels[Watched Through],MATCH(N2216,tblChannels[Channel ID],0)),0),"Watched","Unwatched"))</f>
        <v/>
      </c>
      <c r="C2216" s="40" t="n"/>
      <c r="D2216" s="41" t="n"/>
      <c r="E2216" s="42" t="n">
        <v>43167.5</v>
      </c>
      <c r="F2216" s="52" t="inlineStr">
        <is>
          <t>Super Carlin Gaming</t>
        </is>
      </c>
      <c r="G2216" t="inlineStr">
        <is>
          <t>Aggressive Cracker Language | Mario Kart Roulette #78</t>
        </is>
      </c>
      <c r="H2216" s="44" t="n">
        <v>0.01099537037037037</v>
      </c>
      <c r="I2216" s="45" t="n">
        <v>14840</v>
      </c>
      <c r="J2216" s="45" t="n">
        <v>561</v>
      </c>
      <c r="K2216" s="45" t="n">
        <v>185</v>
      </c>
      <c r="L2216" s="46" t="n"/>
      <c r="M2216" s="47" t="n"/>
      <c r="N2216" s="47" t="inlineStr">
        <is>
          <t>UCor_9jRnNNZVzTuQ92PKsaQ</t>
        </is>
      </c>
      <c r="O2216" s="48" t="n">
        <v>43167.70833333334</v>
      </c>
      <c r="P2216" s="49" t="n">
        <v>43167</v>
      </c>
      <c r="Q2216" s="47" t="n">
        <v>1052</v>
      </c>
      <c r="R2216" s="47" t="inlineStr">
        <is>
          <t>No Video ID yet</t>
        </is>
      </c>
      <c r="S2216" s="49" t="n"/>
      <c r="T2216" s="49" t="n"/>
      <c r="U2216" s="47" t="inlineStr">
        <is>
          <t>J and Ben continue to try to 3 star every cup with randomly chosen karts and characters while they answer your questions and give you advice!!</t>
        </is>
      </c>
      <c r="V2216" s="47">
        <f>IF(AND(P2216&gt;=Calendar!$K$2,P2216&lt;EDATE(Calendar!$K$2,1),OR(Calendar!$K$4="*",N2216=Calendar!$K$4)),P2216*100+COUNTIFS($P$6:$P$3267,P2216,$Q$6:$Q$3267,"&lt;="&amp;Q2216,$N$6:$N$3267,Calendar!$K$4),"")</f>
        <v/>
      </c>
      <c r="W2216" s="47">
        <f>IF(AND(B2216=Queue!$C$4,OR(Queue!$K$4="*",N2216=Queue!$K$4)),Q2216,"")</f>
        <v/>
      </c>
    </row>
    <row r="2217">
      <c r="A2217" s="38">
        <f>IF(M2217="","",HYPERLINK("https://www.youtube.com/watch?v="&amp;M2217,"▶"))</f>
        <v/>
      </c>
      <c r="B2217" s="39">
        <f>IF(C2217&lt;&gt;"",C2217,IF(P2217&lt;=IFERROR(INDEX(tblChannels[Watched Through],MATCH(N2217,tblChannels[Channel ID],0)),0),"Watched","Unwatched"))</f>
        <v/>
      </c>
      <c r="C2217" s="40" t="n"/>
      <c r="D2217" s="41" t="n"/>
      <c r="E2217" s="42" t="n">
        <v>43165.825</v>
      </c>
      <c r="F2217" s="50" t="inlineStr">
        <is>
          <t>Super Carlin Brothers</t>
        </is>
      </c>
      <c r="G2217" t="inlineStr">
        <is>
          <t>Hagrid's Patronus | Harry Potter Theory</t>
        </is>
      </c>
      <c r="H2217" s="44" t="n">
        <v>0.007060185185185185</v>
      </c>
      <c r="I2217" s="45" t="n">
        <v>1042916</v>
      </c>
      <c r="J2217" s="45" t="n">
        <v>29440</v>
      </c>
      <c r="K2217" s="45" t="n">
        <v>5571</v>
      </c>
      <c r="L2217" s="46" t="n"/>
      <c r="M2217" s="47" t="n"/>
      <c r="N2217" s="47" t="inlineStr">
        <is>
          <t>UCKZo4N0lVPccBkSiuyVh4yg</t>
        </is>
      </c>
      <c r="O2217" s="48" t="n">
        <v>43166.03333333333</v>
      </c>
      <c r="P2217" s="49" t="n">
        <v>43165</v>
      </c>
      <c r="Q2217" s="47" t="n">
        <v>1051</v>
      </c>
      <c r="R2217" s="47" t="inlineStr">
        <is>
          <t>No Video ID yet</t>
        </is>
      </c>
      <c r="S2217" s="49" t="n"/>
      <c r="T2217" s="49" t="n"/>
      <c r="U2217" s="47" t="inlineStr">
        <is>
          <t>Today J dives into the Wizarding World of Harry Potter to discuss what Hagrid’s Patronus would be. Special thanks to these Patrons who support Super Carlin Brothers on Patreon! Joy Spears, Dianna Holley, Jimmy McGowan, Jennifer, Sandra, Andrew, Hillary Reist, Natarandall, Faihle Grayson, Vinnie Nicotra, Brychan John, Chris Morones, James Lord, Miranda Vasquez, Natalie Masucci, Mats Muruli, Qui Le, Alex Soltis, Big Meme Boi, I Is Wolfee, Sarah E McCartney, Lasse Buan, Charles C. Seymour, Kristhell Lopez, Amy Beerbower, Isabella</t>
        </is>
      </c>
      <c r="V2217" s="47">
        <f>IF(AND(P2217&gt;=Calendar!$K$2,P2217&lt;EDATE(Calendar!$K$2,1),OR(Calendar!$K$4="*",N2217=Calendar!$K$4)),P2217*100+COUNTIFS($P$6:$P$3267,P2217,$Q$6:$Q$3267,"&lt;="&amp;Q2217,$N$6:$N$3267,Calendar!$K$4),"")</f>
        <v/>
      </c>
      <c r="W2217" s="47">
        <f>IF(AND(B2217=Queue!$C$4,OR(Queue!$K$4="*",N2217=Queue!$K$4)),Q2217,"")</f>
        <v/>
      </c>
    </row>
    <row r="2218">
      <c r="A2218" s="38">
        <f>IF(M2218="","",HYPERLINK("https://www.youtube.com/watch?v="&amp;M2218,"▶"))</f>
        <v/>
      </c>
      <c r="B2218" s="39">
        <f>IF(C2218&lt;&gt;"",C2218,IF(P2218&lt;=IFERROR(INDEX(tblChannels[Watched Through],MATCH(N2218,tblChannels[Channel ID],0)),0),"Watched","Unwatched"))</f>
        <v/>
      </c>
      <c r="C2218" s="40" t="n"/>
      <c r="D2218" s="41" t="n"/>
      <c r="E2218" s="42" t="n">
        <v>43165.49444444444</v>
      </c>
      <c r="F2218" s="52" t="inlineStr">
        <is>
          <t>Super Carlin Gaming</t>
        </is>
      </c>
      <c r="G2218" t="inlineStr">
        <is>
          <t>Definition of Flirting | Mario Kart Roulette #77</t>
        </is>
      </c>
      <c r="H2218" s="44" t="n">
        <v>0.01265046296296296</v>
      </c>
      <c r="I2218" s="45" t="n">
        <v>9447</v>
      </c>
      <c r="J2218" s="45" t="n">
        <v>400</v>
      </c>
      <c r="K2218" s="45" t="n">
        <v>136</v>
      </c>
      <c r="L2218" s="46" t="n"/>
      <c r="M2218" s="47" t="n"/>
      <c r="N2218" s="47" t="inlineStr">
        <is>
          <t>UCor_9jRnNNZVzTuQ92PKsaQ</t>
        </is>
      </c>
      <c r="O2218" s="48" t="n">
        <v>43165.70277777778</v>
      </c>
      <c r="P2218" s="49" t="n">
        <v>43165</v>
      </c>
      <c r="Q2218" s="47" t="n">
        <v>1050</v>
      </c>
      <c r="R2218" s="47" t="inlineStr">
        <is>
          <t>No Video ID yet</t>
        </is>
      </c>
      <c r="S2218" s="49" t="n"/>
      <c r="T2218" s="49" t="n"/>
      <c r="U2218" s="47" t="inlineStr">
        <is>
          <t>J and Ben continue to try to 3 star every cup with randomly chosen karts and characters while they answer your questions and give you advice!!</t>
        </is>
      </c>
      <c r="V2218" s="47">
        <f>IF(AND(P2218&gt;=Calendar!$K$2,P2218&lt;EDATE(Calendar!$K$2,1),OR(Calendar!$K$4="*",N2218=Calendar!$K$4)),P2218*100+COUNTIFS($P$6:$P$3267,P2218,$Q$6:$Q$3267,"&lt;="&amp;Q2218,$N$6:$N$3267,Calendar!$K$4),"")</f>
        <v/>
      </c>
      <c r="W2218" s="47">
        <f>IF(AND(B2218=Queue!$C$4,OR(Queue!$K$4="*",N2218=Queue!$K$4)),Q2218,"")</f>
        <v/>
      </c>
    </row>
    <row r="2219">
      <c r="A2219" s="38">
        <f>IF(M2219="","",HYPERLINK("https://www.youtube.com/watch?v="&amp;M2219,"▶"))</f>
        <v/>
      </c>
      <c r="B2219" s="39">
        <f>IF(C2219&lt;&gt;"",C2219,IF(P2219&lt;=IFERROR(INDEX(tblChannels[Watched Through],MATCH(N2219,tblChannels[Channel ID],0)),0),"Watched","Unwatched"))</f>
        <v/>
      </c>
      <c r="C2219" s="40" t="n"/>
      <c r="D2219" s="41" t="n"/>
      <c r="E2219" s="42" t="n">
        <v>43163.86180555556</v>
      </c>
      <c r="F2219" s="52" t="inlineStr">
        <is>
          <t>Super Carlin Gaming</t>
        </is>
      </c>
      <c r="G2219" t="inlineStr">
        <is>
          <t>Luke and J Play Pokemon Leaf Green | Mono Type FIRE Run #5</t>
        </is>
      </c>
      <c r="H2219" s="44" t="n">
        <v>0.06515046296296297</v>
      </c>
      <c r="I2219" s="45" t="n">
        <v>11529</v>
      </c>
      <c r="J2219" s="45" t="n">
        <v>323</v>
      </c>
      <c r="K2219" s="45" t="n">
        <v>31</v>
      </c>
      <c r="L2219" s="46" t="n"/>
      <c r="M2219" s="47" t="n"/>
      <c r="N2219" s="47" t="inlineStr">
        <is>
          <t>UCor_9jRnNNZVzTuQ92PKsaQ</t>
        </is>
      </c>
      <c r="O2219" s="48" t="n">
        <v>43164.07013888889</v>
      </c>
      <c r="P2219" s="49" t="n">
        <v>43163</v>
      </c>
      <c r="Q2219" s="47" t="n">
        <v>1049</v>
      </c>
      <c r="R2219" s="47" t="inlineStr">
        <is>
          <t>No Video ID yet</t>
        </is>
      </c>
      <c r="S2219" s="49" t="n"/>
      <c r="T2219" s="49" t="n"/>
      <c r="U2219" s="47" t="inlineStr">
        <is>
          <t>Surprise!</t>
        </is>
      </c>
      <c r="V2219" s="47">
        <f>IF(AND(P2219&gt;=Calendar!$K$2,P2219&lt;EDATE(Calendar!$K$2,1),OR(Calendar!$K$4="*",N2219=Calendar!$K$4)),P2219*100+COUNTIFS($P$6:$P$3267,P2219,$Q$6:$Q$3267,"&lt;="&amp;Q2219,$N$6:$N$3267,Calendar!$K$4),"")</f>
        <v/>
      </c>
      <c r="W2219" s="47">
        <f>IF(AND(B2219=Queue!$C$4,OR(Queue!$K$4="*",N2219=Queue!$K$4)),Q2219,"")</f>
        <v/>
      </c>
    </row>
    <row r="2220">
      <c r="A2220" s="38">
        <f>IF(M2220="","",HYPERLINK("https://www.youtube.com/watch?v="&amp;M2220,"▶"))</f>
        <v/>
      </c>
      <c r="B2220" s="39">
        <f>IF(C2220&lt;&gt;"",C2220,IF(P2220&lt;=IFERROR(INDEX(tblChannels[Watched Through],MATCH(N2220,tblChannels[Channel ID],0)),0),"Watched","Unwatched"))</f>
        <v/>
      </c>
      <c r="C2220" s="40" t="n"/>
      <c r="D2220" s="41" t="n"/>
      <c r="E2220" s="42" t="n">
        <v>43160.74236111111</v>
      </c>
      <c r="F2220" s="50" t="inlineStr">
        <is>
          <t>Super Carlin Brothers</t>
        </is>
      </c>
      <c r="G2220" t="inlineStr">
        <is>
          <t>Fawkes' Original Owner | Harry Potter Theory</t>
        </is>
      </c>
      <c r="H2220" s="44" t="n">
        <v>0.006481481481481481</v>
      </c>
      <c r="I2220" s="45" t="n">
        <v>906286</v>
      </c>
      <c r="J2220" s="45" t="n">
        <v>26687</v>
      </c>
      <c r="K2220" s="45" t="n">
        <v>2855</v>
      </c>
      <c r="L2220" s="46" t="n"/>
      <c r="M2220" s="47" t="n"/>
      <c r="N2220" s="47" t="inlineStr">
        <is>
          <t>UCKZo4N0lVPccBkSiuyVh4yg</t>
        </is>
      </c>
      <c r="O2220" s="48" t="n">
        <v>43160.95069444444</v>
      </c>
      <c r="P2220" s="49" t="n">
        <v>43160</v>
      </c>
      <c r="Q2220" s="47" t="n">
        <v>1048</v>
      </c>
      <c r="R2220" s="47" t="inlineStr">
        <is>
          <t>No Video ID yet</t>
        </is>
      </c>
      <c r="S2220" s="49" t="n"/>
      <c r="T2220" s="49" t="n"/>
      <c r="U2220" s="47" t="inlineStr">
        <is>
          <t>Download BuzzVideo :: Beat The Q :: www.btqofficial.com Use our Promo Code "SCB" for an extra life to help you stay alive in the game! #ad Today Ben dives into the Wizarding World of Harry Potter to discuss a new theory about Fawkes the Phoenix and who his original owner may have been!</t>
        </is>
      </c>
      <c r="V2220" s="47">
        <f>IF(AND(P2220&gt;=Calendar!$K$2,P2220&lt;EDATE(Calendar!$K$2,1),OR(Calendar!$K$4="*",N2220=Calendar!$K$4)),P2220*100+COUNTIFS($P$6:$P$3267,P2220,$Q$6:$Q$3267,"&lt;="&amp;Q2220,$N$6:$N$3267,Calendar!$K$4),"")</f>
        <v/>
      </c>
      <c r="W2220" s="47">
        <f>IF(AND(B2220=Queue!$C$4,OR(Queue!$K$4="*",N2220=Queue!$K$4)),Q2220,"")</f>
        <v/>
      </c>
    </row>
    <row r="2221">
      <c r="A2221" s="38">
        <f>IF(M2221="","",HYPERLINK("https://www.youtube.com/watch?v="&amp;M2221,"▶"))</f>
        <v/>
      </c>
      <c r="B2221" s="39">
        <f>IF(C2221&lt;&gt;"",C2221,IF(P2221&lt;=IFERROR(INDEX(tblChannels[Watched Through],MATCH(N2221,tblChannels[Channel ID],0)),0),"Watched","Unwatched"))</f>
        <v/>
      </c>
      <c r="C2221" s="40" t="n"/>
      <c r="D2221" s="41" t="n"/>
      <c r="E2221" s="42" t="n">
        <v>43160.45347222222</v>
      </c>
      <c r="F2221" s="52" t="inlineStr">
        <is>
          <t>Super Carlin Gaming</t>
        </is>
      </c>
      <c r="G2221" t="inlineStr">
        <is>
          <t>Getting Closer to Mom | Mario Kart Roulette #76</t>
        </is>
      </c>
      <c r="H2221" s="44" t="n">
        <v>0.01141203703703704</v>
      </c>
      <c r="I2221" s="45" t="n">
        <v>8454</v>
      </c>
      <c r="J2221" s="45" t="n">
        <v>373</v>
      </c>
      <c r="K2221" s="45" t="n">
        <v>102</v>
      </c>
      <c r="L2221" s="46" t="n"/>
      <c r="M2221" s="47" t="n"/>
      <c r="N2221" s="47" t="inlineStr">
        <is>
          <t>UCor_9jRnNNZVzTuQ92PKsaQ</t>
        </is>
      </c>
      <c r="O2221" s="48" t="n">
        <v>43160.66180555556</v>
      </c>
      <c r="P2221" s="49" t="n">
        <v>43160</v>
      </c>
      <c r="Q2221" s="47" t="n">
        <v>1047</v>
      </c>
      <c r="R2221" s="47" t="inlineStr">
        <is>
          <t>No Video ID yet</t>
        </is>
      </c>
      <c r="S2221" s="49" t="n"/>
      <c r="T2221" s="49" t="n"/>
      <c r="U2221" s="47" t="inlineStr">
        <is>
          <t>J and Ben continue to try to 3 star every cup with randomly chosen karts and characters while they answer your questions and give you advice!!</t>
        </is>
      </c>
      <c r="V2221" s="47">
        <f>IF(AND(P2221&gt;=Calendar!$K$2,P2221&lt;EDATE(Calendar!$K$2,1),OR(Calendar!$K$4="*",N2221=Calendar!$K$4)),P2221*100+COUNTIFS($P$6:$P$3267,P2221,$Q$6:$Q$3267,"&lt;="&amp;Q2221,$N$6:$N$3267,Calendar!$K$4),"")</f>
        <v/>
      </c>
      <c r="W2221" s="47">
        <f>IF(AND(B2221=Queue!$C$4,OR(Queue!$K$4="*",N2221=Queue!$K$4)),Q2221,"")</f>
        <v/>
      </c>
    </row>
    <row r="2222">
      <c r="A2222" s="38">
        <f>IF(M2222="","",HYPERLINK("https://www.youtube.com/watch?v="&amp;M2222,"▶"))</f>
        <v/>
      </c>
      <c r="B2222" s="39">
        <f>IF(C2222&lt;&gt;"",C2222,IF(P2222&lt;=IFERROR(INDEX(tblChannels[Watched Through],MATCH(N2222,tblChannels[Channel ID],0)),0),"Watched","Unwatched"))</f>
        <v/>
      </c>
      <c r="C2222" s="40" t="n"/>
      <c r="D2222" s="41" t="n"/>
      <c r="E2222" s="42" t="n">
        <v>43159.89236111111</v>
      </c>
      <c r="F2222" s="53" t="inlineStr">
        <is>
          <t>Jonathan Carlin</t>
        </is>
      </c>
      <c r="G2222" t="inlineStr">
        <is>
          <t>Q&amp;A w/ Beth and J!</t>
        </is>
      </c>
      <c r="H2222" s="44" t="n">
        <v>0.05457175925925926</v>
      </c>
      <c r="I2222" s="45" t="n">
        <v>14330</v>
      </c>
      <c r="J2222" s="45" t="n">
        <v>630</v>
      </c>
      <c r="K2222" s="45" t="n">
        <v>0</v>
      </c>
      <c r="L2222" s="46" t="n"/>
      <c r="M2222" s="47" t="n"/>
      <c r="N2222" s="47" t="inlineStr">
        <is>
          <t>UCYPKFe86e6nm4TVUYKLsFUQ</t>
        </is>
      </c>
      <c r="O2222" s="48" t="n">
        <v>43160.10069444445</v>
      </c>
      <c r="P2222" s="49" t="n">
        <v>43159</v>
      </c>
      <c r="Q2222" s="47" t="n">
        <v>1046</v>
      </c>
      <c r="R2222" s="47" t="inlineStr">
        <is>
          <t>No Video ID yet</t>
        </is>
      </c>
      <c r="S2222" s="49" t="n"/>
      <c r="T2222" s="49" t="n"/>
      <c r="U2222" s="47" t="inlineStr">
        <is>
          <t>Beth and J (and Luke!) answer your questions about whatever! Come hang out with us!</t>
        </is>
      </c>
      <c r="V2222" s="47">
        <f>IF(AND(P2222&gt;=Calendar!$K$2,P2222&lt;EDATE(Calendar!$K$2,1),OR(Calendar!$K$4="*",N2222=Calendar!$K$4)),P2222*100+COUNTIFS($P$6:$P$3267,P2222,$Q$6:$Q$3267,"&lt;="&amp;Q2222,$N$6:$N$3267,Calendar!$K$4),"")</f>
        <v/>
      </c>
      <c r="W2222" s="47">
        <f>IF(AND(B2222=Queue!$C$4,OR(Queue!$K$4="*",N2222=Queue!$K$4)),Q2222,"")</f>
        <v/>
      </c>
    </row>
    <row r="2223">
      <c r="A2223" s="38">
        <f>IF(M2223="","",HYPERLINK("https://www.youtube.com/watch?v="&amp;M2223,"▶"))</f>
        <v/>
      </c>
      <c r="B2223" s="39">
        <f>IF(C2223&lt;&gt;"",C2223,IF(P2223&lt;=IFERROR(INDEX(tblChannels[Watched Through],MATCH(N2223,tblChannels[Channel ID],0)),0),"Watched","Unwatched"))</f>
        <v/>
      </c>
      <c r="C2223" s="40" t="n"/>
      <c r="D2223" s="41" t="n"/>
      <c r="E2223" s="42" t="n">
        <v>43159.74722222222</v>
      </c>
      <c r="F2223" s="52" t="inlineStr">
        <is>
          <t>Super Carlin Gaming</t>
        </is>
      </c>
      <c r="G2223" t="inlineStr">
        <is>
          <t>Mario Kart Roulette LIVE!</t>
        </is>
      </c>
      <c r="H2223" s="44" t="n">
        <v>0.0609375</v>
      </c>
      <c r="I2223" s="45" t="n">
        <v>13049</v>
      </c>
      <c r="J2223" s="45" t="n">
        <v>367</v>
      </c>
      <c r="K2223" s="45" t="n">
        <v>39</v>
      </c>
      <c r="L2223" s="46" t="n"/>
      <c r="M2223" s="47" t="n"/>
      <c r="N2223" s="47" t="inlineStr">
        <is>
          <t>UCor_9jRnNNZVzTuQ92PKsaQ</t>
        </is>
      </c>
      <c r="O2223" s="48" t="n">
        <v>43159.95555555556</v>
      </c>
      <c r="P2223" s="49" t="n">
        <v>43159</v>
      </c>
      <c r="Q2223" s="47" t="n">
        <v>1045</v>
      </c>
      <c r="R2223" s="47" t="inlineStr">
        <is>
          <t>No Video ID yet</t>
        </is>
      </c>
      <c r="S2223" s="49" t="n"/>
      <c r="T2223" s="49" t="n"/>
      <c r="U2223" s="47" t="inlineStr">
        <is>
          <t>Surprise!</t>
        </is>
      </c>
      <c r="V2223" s="47">
        <f>IF(AND(P2223&gt;=Calendar!$K$2,P2223&lt;EDATE(Calendar!$K$2,1),OR(Calendar!$K$4="*",N2223=Calendar!$K$4)),P2223*100+COUNTIFS($P$6:$P$3267,P2223,$Q$6:$Q$3267,"&lt;="&amp;Q2223,$N$6:$N$3267,Calendar!$K$4),"")</f>
        <v/>
      </c>
      <c r="W2223" s="47">
        <f>IF(AND(B2223=Queue!$C$4,OR(Queue!$K$4="*",N2223=Queue!$K$4)),Q2223,"")</f>
        <v/>
      </c>
    </row>
    <row r="2224">
      <c r="A2224" s="38">
        <f>IF(M2224="","",HYPERLINK("https://www.youtube.com/watch?v="&amp;M2224,"▶"))</f>
        <v/>
      </c>
      <c r="B2224" s="39">
        <f>IF(C2224&lt;&gt;"",C2224,IF(P2224&lt;=IFERROR(INDEX(tblChannels[Watched Through],MATCH(N2224,tblChannels[Channel ID],0)),0),"Watched","Unwatched"))</f>
        <v/>
      </c>
      <c r="C2224" s="40" t="n"/>
      <c r="D2224" s="41" t="n"/>
      <c r="E2224" s="42" t="n">
        <v>43158.75069444445</v>
      </c>
      <c r="F2224" s="50" t="inlineStr">
        <is>
          <t>Super Carlin Brothers</t>
        </is>
      </c>
      <c r="G2224" t="inlineStr">
        <is>
          <t>J vs Ben: ULTIMATE Incredibles Trivia Quiz</t>
        </is>
      </c>
      <c r="H2224" s="44" t="n">
        <v>0.01523148148148148</v>
      </c>
      <c r="I2224" s="45" t="n">
        <v>754042</v>
      </c>
      <c r="J2224" s="45" t="n">
        <v>16204</v>
      </c>
      <c r="K2224" s="45" t="n">
        <v>1883</v>
      </c>
      <c r="L2224" s="46" t="n"/>
      <c r="M2224" s="47" t="n"/>
      <c r="N2224" s="47" t="inlineStr">
        <is>
          <t>UCKZo4N0lVPccBkSiuyVh4yg</t>
        </is>
      </c>
      <c r="O2224" s="48" t="n">
        <v>43158.95902777778</v>
      </c>
      <c r="P2224" s="49" t="n">
        <v>43158</v>
      </c>
      <c r="Q2224" s="47" t="n">
        <v>1044</v>
      </c>
      <c r="R2224" s="47" t="inlineStr">
        <is>
          <t>No Video ID yet</t>
        </is>
      </c>
      <c r="S2224" s="49" t="n"/>
      <c r="T2224" s="49" t="n"/>
      <c r="U2224" s="47" t="inlineStr">
        <is>
          <t>Download BuzzVideo :: Beat The Q :: www.btqofficial.com Use our Promo Code "SCB" for an extra life to help you stay alive in the game! #ad Today J and Ben take on the Ultimate Incredibles Quiz to find out who knows the boys favorite Pixar movie the best! Play along with us! ::</t>
        </is>
      </c>
      <c r="V2224" s="47">
        <f>IF(AND(P2224&gt;=Calendar!$K$2,P2224&lt;EDATE(Calendar!$K$2,1),OR(Calendar!$K$4="*",N2224=Calendar!$K$4)),P2224*100+COUNTIFS($P$6:$P$3267,P2224,$Q$6:$Q$3267,"&lt;="&amp;Q2224,$N$6:$N$3267,Calendar!$K$4),"")</f>
        <v/>
      </c>
      <c r="W2224" s="47">
        <f>IF(AND(B2224=Queue!$C$4,OR(Queue!$K$4="*",N2224=Queue!$K$4)),Q2224,"")</f>
        <v/>
      </c>
    </row>
    <row r="2225">
      <c r="A2225" s="38">
        <f>IF(M2225="","",HYPERLINK("https://www.youtube.com/watch?v="&amp;M2225,"▶"))</f>
        <v/>
      </c>
      <c r="B2225" s="39">
        <f>IF(C2225&lt;&gt;"",C2225,IF(P2225&lt;=IFERROR(INDEX(tblChannels[Watched Through],MATCH(N2225,tblChannels[Channel ID],0)),0),"Watched","Unwatched"))</f>
        <v/>
      </c>
      <c r="C2225" s="40" t="n"/>
      <c r="D2225" s="41" t="n"/>
      <c r="E2225" s="42" t="n">
        <v>43158.56041666667</v>
      </c>
      <c r="F2225" s="52" t="inlineStr">
        <is>
          <t>Super Carlin Gaming</t>
        </is>
      </c>
      <c r="G2225" t="inlineStr">
        <is>
          <t>Getting Social Confidence | Mario Kart Roulette #75</t>
        </is>
      </c>
      <c r="H2225" s="44" t="n">
        <v>0.009733796296296296</v>
      </c>
      <c r="I2225" s="45" t="n">
        <v>8591</v>
      </c>
      <c r="J2225" s="45" t="n">
        <v>389</v>
      </c>
      <c r="K2225" s="45" t="n">
        <v>102</v>
      </c>
      <c r="L2225" s="46" t="n"/>
      <c r="M2225" s="47" t="n"/>
      <c r="N2225" s="47" t="inlineStr">
        <is>
          <t>UCor_9jRnNNZVzTuQ92PKsaQ</t>
        </is>
      </c>
      <c r="O2225" s="48" t="n">
        <v>43158.76875</v>
      </c>
      <c r="P2225" s="49" t="n">
        <v>43158</v>
      </c>
      <c r="Q2225" s="47" t="n">
        <v>1043</v>
      </c>
      <c r="R2225" s="47" t="inlineStr">
        <is>
          <t>No Video ID yet</t>
        </is>
      </c>
      <c r="S2225" s="49" t="n"/>
      <c r="T2225" s="49" t="n"/>
      <c r="U2225" s="47" t="inlineStr">
        <is>
          <t>J and Ben continue to try to 3 star every cup with randomly chosen karts and characters while they answer your questions and give you advice!!</t>
        </is>
      </c>
      <c r="V2225" s="47">
        <f>IF(AND(P2225&gt;=Calendar!$K$2,P2225&lt;EDATE(Calendar!$K$2,1),OR(Calendar!$K$4="*",N2225=Calendar!$K$4)),P2225*100+COUNTIFS($P$6:$P$3267,P2225,$Q$6:$Q$3267,"&lt;="&amp;Q2225,$N$6:$N$3267,Calendar!$K$4),"")</f>
        <v/>
      </c>
      <c r="W2225" s="47">
        <f>IF(AND(B2225=Queue!$C$4,OR(Queue!$K$4="*",N2225=Queue!$K$4)),Q2225,"")</f>
        <v/>
      </c>
    </row>
    <row r="2226">
      <c r="A2226" s="38">
        <f>IF(M2226="","",HYPERLINK("https://www.youtube.com/watch?v="&amp;M2226,"▶"))</f>
        <v/>
      </c>
      <c r="B2226" s="39">
        <f>IF(C2226&lt;&gt;"",C2226,IF(P2226&lt;=IFERROR(INDEX(tblChannels[Watched Through],MATCH(N2226,tblChannels[Channel ID],0)),0),"Watched","Unwatched"))</f>
        <v/>
      </c>
      <c r="C2226" s="40" t="n"/>
      <c r="D2226" s="41" t="n"/>
      <c r="E2226" s="42" t="n">
        <v>43157.5</v>
      </c>
      <c r="F2226" s="53" t="inlineStr">
        <is>
          <t>Jonathan Carlin</t>
        </is>
      </c>
      <c r="G2226" t="inlineStr">
        <is>
          <t>WE CRASH A DRONE</t>
        </is>
      </c>
      <c r="H2226" s="44" t="n">
        <v>0.004791666666666666</v>
      </c>
      <c r="I2226" s="45" t="n">
        <v>29921</v>
      </c>
      <c r="J2226" s="45" t="n">
        <v>1540</v>
      </c>
      <c r="K2226" s="45" t="n">
        <v>172</v>
      </c>
      <c r="L2226" s="46" t="n"/>
      <c r="M2226" s="47" t="n"/>
      <c r="N2226" s="47" t="inlineStr">
        <is>
          <t>UCYPKFe86e6nm4TVUYKLsFUQ</t>
        </is>
      </c>
      <c r="O2226" s="48" t="n">
        <v>43157.70833333334</v>
      </c>
      <c r="P2226" s="49" t="n">
        <v>43157</v>
      </c>
      <c r="Q2226" s="47" t="n">
        <v>1042</v>
      </c>
      <c r="R2226" s="47" t="inlineStr">
        <is>
          <t>No Video ID yet</t>
        </is>
      </c>
      <c r="S2226" s="49" t="n"/>
      <c r="T2226" s="49" t="n"/>
      <c r="U2226" s="47" t="inlineStr">
        <is>
          <t>This week we have some trouble flying our new DJI Mavic Air Drone, and Luke displays a possible super power.</t>
        </is>
      </c>
      <c r="V2226" s="47">
        <f>IF(AND(P2226&gt;=Calendar!$K$2,P2226&lt;EDATE(Calendar!$K$2,1),OR(Calendar!$K$4="*",N2226=Calendar!$K$4)),P2226*100+COUNTIFS($P$6:$P$3267,P2226,$Q$6:$Q$3267,"&lt;="&amp;Q2226,$N$6:$N$3267,Calendar!$K$4),"")</f>
        <v/>
      </c>
      <c r="W2226" s="47">
        <f>IF(AND(B2226=Queue!$C$4,OR(Queue!$K$4="*",N2226=Queue!$K$4)),Q2226,"")</f>
        <v/>
      </c>
    </row>
    <row r="2227">
      <c r="A2227" s="38">
        <f>IF(M2227="","",HYPERLINK("https://www.youtube.com/watch?v="&amp;M2227,"▶"))</f>
        <v/>
      </c>
      <c r="B2227" s="39">
        <f>IF(C2227&lt;&gt;"",C2227,IF(P2227&lt;=IFERROR(INDEX(tblChannels[Watched Through],MATCH(N2227,tblChannels[Channel ID],0)),0),"Watched","Unwatched"))</f>
        <v/>
      </c>
      <c r="C2227" s="40" t="n"/>
      <c r="D2227" s="41" t="n"/>
      <c r="E2227" s="42" t="n">
        <v>43153.79513888889</v>
      </c>
      <c r="F2227" s="50" t="inlineStr">
        <is>
          <t>Super Carlin Brothers</t>
        </is>
      </c>
      <c r="G2227" t="inlineStr">
        <is>
          <t>Incredibles 2 Villain Predictions</t>
        </is>
      </c>
      <c r="H2227" s="44" t="n">
        <v>0.006273148148148148</v>
      </c>
      <c r="I2227" s="45" t="n">
        <v>596173</v>
      </c>
      <c r="J2227" s="45" t="n">
        <v>19612</v>
      </c>
      <c r="K2227" s="45" t="n">
        <v>2514</v>
      </c>
      <c r="L2227" s="46" t="n"/>
      <c r="M2227" s="47" t="n"/>
      <c r="N2227" s="47" t="inlineStr">
        <is>
          <t>UCKZo4N0lVPccBkSiuyVh4yg</t>
        </is>
      </c>
      <c r="O2227" s="48" t="n">
        <v>43154.00347222222</v>
      </c>
      <c r="P2227" s="49" t="n">
        <v>43153</v>
      </c>
      <c r="Q2227" s="47" t="n">
        <v>1041</v>
      </c>
      <c r="R2227" s="47" t="inlineStr">
        <is>
          <t>No Video ID yet</t>
        </is>
      </c>
      <c r="S2227" s="49" t="n"/>
      <c r="T2227" s="49" t="n"/>
      <c r="U2227" s="47" t="inlineStr">
        <is>
          <t>Today Ben takes a closer look at Disney Pixar’s recently released trailer for The Incredibles 2 and wonders if Syndrome could be alive and what the plot might entail.</t>
        </is>
      </c>
      <c r="V2227" s="47">
        <f>IF(AND(P2227&gt;=Calendar!$K$2,P2227&lt;EDATE(Calendar!$K$2,1),OR(Calendar!$K$4="*",N2227=Calendar!$K$4)),P2227*100+COUNTIFS($P$6:$P$3267,P2227,$Q$6:$Q$3267,"&lt;="&amp;Q2227,$N$6:$N$3267,Calendar!$K$4),"")</f>
        <v/>
      </c>
      <c r="W2227" s="47">
        <f>IF(AND(B2227=Queue!$C$4,OR(Queue!$K$4="*",N2227=Queue!$K$4)),Q2227,"")</f>
        <v/>
      </c>
    </row>
    <row r="2228">
      <c r="A2228" s="38">
        <f>IF(M2228="","",HYPERLINK("https://www.youtube.com/watch?v="&amp;M2228,"▶"))</f>
        <v/>
      </c>
      <c r="B2228" s="39">
        <f>IF(C2228&lt;&gt;"",C2228,IF(P2228&lt;=IFERROR(INDEX(tblChannels[Watched Through],MATCH(N2228,tblChannels[Channel ID],0)),0),"Watched","Unwatched"))</f>
        <v/>
      </c>
      <c r="C2228" s="40" t="n"/>
      <c r="D2228" s="41" t="n"/>
      <c r="E2228" s="42" t="n">
        <v>43153.45694444444</v>
      </c>
      <c r="F2228" s="52" t="inlineStr">
        <is>
          <t>Super Carlin Gaming</t>
        </is>
      </c>
      <c r="G2228" t="inlineStr">
        <is>
          <t>When You're Underappreciated | Mario Kart Roulette #74</t>
        </is>
      </c>
      <c r="H2228" s="44" t="n">
        <v>0.01167824074074074</v>
      </c>
      <c r="I2228" s="45" t="n">
        <v>9254</v>
      </c>
      <c r="J2228" s="45" t="n">
        <v>434</v>
      </c>
      <c r="K2228" s="45" t="n">
        <v>177</v>
      </c>
      <c r="L2228" s="46" t="n"/>
      <c r="M2228" s="47" t="n"/>
      <c r="N2228" s="47" t="inlineStr">
        <is>
          <t>UCor_9jRnNNZVzTuQ92PKsaQ</t>
        </is>
      </c>
      <c r="O2228" s="48" t="n">
        <v>43153.66527777778</v>
      </c>
      <c r="P2228" s="49" t="n">
        <v>43153</v>
      </c>
      <c r="Q2228" s="47" t="n">
        <v>1040</v>
      </c>
      <c r="R2228" s="47" t="inlineStr">
        <is>
          <t>No Video ID yet</t>
        </is>
      </c>
      <c r="S2228" s="49" t="n"/>
      <c r="T2228" s="49" t="n"/>
      <c r="U2228" s="47" t="inlineStr">
        <is>
          <t>J and Ben continue to try to 3 star every cup with randomly chosen karts and characters while they answer your questions and give you advice!!</t>
        </is>
      </c>
      <c r="V2228" s="47">
        <f>IF(AND(P2228&gt;=Calendar!$K$2,P2228&lt;EDATE(Calendar!$K$2,1),OR(Calendar!$K$4="*",N2228=Calendar!$K$4)),P2228*100+COUNTIFS($P$6:$P$3267,P2228,$Q$6:$Q$3267,"&lt;="&amp;Q2228,$N$6:$N$3267,Calendar!$K$4),"")</f>
        <v/>
      </c>
      <c r="W2228" s="47">
        <f>IF(AND(B2228=Queue!$C$4,OR(Queue!$K$4="*",N2228=Queue!$K$4)),Q2228,"")</f>
        <v/>
      </c>
    </row>
    <row r="2229">
      <c r="A2229" s="38">
        <f>IF(M2229="","",HYPERLINK("https://www.youtube.com/watch?v="&amp;M2229,"▶"))</f>
        <v/>
      </c>
      <c r="B2229" s="39">
        <f>IF(C2229&lt;&gt;"",C2229,IF(P2229&lt;=IFERROR(INDEX(tblChannels[Watched Through],MATCH(N2229,tblChannels[Channel ID],0)),0),"Watched","Unwatched"))</f>
        <v/>
      </c>
      <c r="C2229" s="40" t="n"/>
      <c r="D2229" s="41" t="n"/>
      <c r="E2229" s="42" t="n">
        <v>43151.75347222222</v>
      </c>
      <c r="F2229" s="50" t="inlineStr">
        <is>
          <t>Super Carlin Brothers</t>
        </is>
      </c>
      <c r="G2229" t="inlineStr">
        <is>
          <t>Is Black Panther the BEST Super Hero Movie Ever? | SPOILER REVIEW</t>
        </is>
      </c>
      <c r="H2229" s="44" t="n">
        <v>0.02563657407407408</v>
      </c>
      <c r="I2229" s="45" t="n">
        <v>315191</v>
      </c>
      <c r="J2229" s="45" t="n">
        <v>10450</v>
      </c>
      <c r="K2229" s="45" t="n">
        <v>2769</v>
      </c>
      <c r="L2229" s="46" t="n"/>
      <c r="M2229" s="47" t="n"/>
      <c r="N2229" s="47" t="inlineStr">
        <is>
          <t>UCKZo4N0lVPccBkSiuyVh4yg</t>
        </is>
      </c>
      <c r="O2229" s="48" t="n">
        <v>43151.96180555555</v>
      </c>
      <c r="P2229" s="49" t="n">
        <v>43151</v>
      </c>
      <c r="Q2229" s="47" t="n">
        <v>1039</v>
      </c>
      <c r="R2229" s="47" t="inlineStr">
        <is>
          <t>No Video ID yet</t>
        </is>
      </c>
      <c r="S2229" s="49" t="n"/>
      <c r="T2229" s="49" t="n"/>
      <c r="U2229" s="47" t="inlineStr">
        <is>
          <t>Today J and Ben give their full SPOILER Review of Marvel's newest addition to the MCU: Black Panther</t>
        </is>
      </c>
      <c r="V2229" s="47">
        <f>IF(AND(P2229&gt;=Calendar!$K$2,P2229&lt;EDATE(Calendar!$K$2,1),OR(Calendar!$K$4="*",N2229=Calendar!$K$4)),P2229*100+COUNTIFS($P$6:$P$3267,P2229,$Q$6:$Q$3267,"&lt;="&amp;Q2229,$N$6:$N$3267,Calendar!$K$4),"")</f>
        <v/>
      </c>
      <c r="W2229" s="47">
        <f>IF(AND(B2229=Queue!$C$4,OR(Queue!$K$4="*",N2229=Queue!$K$4)),Q2229,"")</f>
        <v/>
      </c>
    </row>
    <row r="2230">
      <c r="A2230" s="38">
        <f>IF(M2230="","",HYPERLINK("https://www.youtube.com/watch?v="&amp;M2230,"▶"))</f>
        <v/>
      </c>
      <c r="B2230" s="39">
        <f>IF(C2230&lt;&gt;"",C2230,IF(P2230&lt;=IFERROR(INDEX(tblChannels[Watched Through],MATCH(N2230,tblChannels[Channel ID],0)),0),"Watched","Unwatched"))</f>
        <v/>
      </c>
      <c r="C2230" s="40" t="n"/>
      <c r="D2230" s="41" t="n"/>
      <c r="E2230" s="42" t="n">
        <v>43151.47361111111</v>
      </c>
      <c r="F2230" s="52" t="inlineStr">
        <is>
          <t>Super Carlin Gaming</t>
        </is>
      </c>
      <c r="G2230" t="inlineStr">
        <is>
          <t>Slightly More Extreme | Mario Kart Roulette #73</t>
        </is>
      </c>
      <c r="H2230" s="44" t="n">
        <v>0.01210648148148148</v>
      </c>
      <c r="I2230" s="45" t="n">
        <v>9705</v>
      </c>
      <c r="J2230" s="45" t="n">
        <v>395</v>
      </c>
      <c r="K2230" s="45" t="n">
        <v>176</v>
      </c>
      <c r="L2230" s="46" t="n"/>
      <c r="M2230" s="47" t="n"/>
      <c r="N2230" s="47" t="inlineStr">
        <is>
          <t>UCor_9jRnNNZVzTuQ92PKsaQ</t>
        </is>
      </c>
      <c r="O2230" s="48" t="n">
        <v>43151.68194444444</v>
      </c>
      <c r="P2230" s="49" t="n">
        <v>43151</v>
      </c>
      <c r="Q2230" s="47" t="n">
        <v>1038</v>
      </c>
      <c r="R2230" s="47" t="inlineStr">
        <is>
          <t>No Video ID yet</t>
        </is>
      </c>
      <c r="S2230" s="49" t="n"/>
      <c r="T2230" s="49" t="n"/>
      <c r="U2230" s="47" t="inlineStr">
        <is>
          <t>J and Ben continue to try to 3 star every cup with randomly chosen karts and characters while they answer your questions and give you advice!!</t>
        </is>
      </c>
      <c r="V2230" s="47">
        <f>IF(AND(P2230&gt;=Calendar!$K$2,P2230&lt;EDATE(Calendar!$K$2,1),OR(Calendar!$K$4="*",N2230=Calendar!$K$4)),P2230*100+COUNTIFS($P$6:$P$3267,P2230,$Q$6:$Q$3267,"&lt;="&amp;Q2230,$N$6:$N$3267,Calendar!$K$4),"")</f>
        <v/>
      </c>
      <c r="W2230" s="47">
        <f>IF(AND(B2230=Queue!$C$4,OR(Queue!$K$4="*",N2230=Queue!$K$4)),Q2230,"")</f>
        <v/>
      </c>
    </row>
    <row r="2231">
      <c r="A2231" s="38">
        <f>IF(M2231="","",HYPERLINK("https://www.youtube.com/watch?v="&amp;M2231,"▶"))</f>
        <v/>
      </c>
      <c r="B2231" s="39">
        <f>IF(C2231&lt;&gt;"",C2231,IF(P2231&lt;=IFERROR(INDEX(tblChannels[Watched Through],MATCH(N2231,tblChannels[Channel ID],0)),0),"Watched","Unwatched"))</f>
        <v/>
      </c>
      <c r="C2231" s="40" t="n"/>
      <c r="D2231" s="41" t="n"/>
      <c r="E2231" s="42" t="n">
        <v>43150.85833333333</v>
      </c>
      <c r="F2231" s="52" t="inlineStr">
        <is>
          <t>Super Carlin Gaming</t>
        </is>
      </c>
      <c r="G2231" t="inlineStr">
        <is>
          <t>Luke and J Play Pokemon Leaf Green | Mono Type FIRE Run #4</t>
        </is>
      </c>
      <c r="H2231" s="44" t="n">
        <v>0.0419212962962963</v>
      </c>
      <c r="I2231" s="45" t="n">
        <v>11614</v>
      </c>
      <c r="J2231" s="45" t="n">
        <v>325</v>
      </c>
      <c r="K2231" s="45" t="n">
        <v>59</v>
      </c>
      <c r="L2231" s="46" t="n"/>
      <c r="M2231" s="47" t="n"/>
      <c r="N2231" s="47" t="inlineStr">
        <is>
          <t>UCor_9jRnNNZVzTuQ92PKsaQ</t>
        </is>
      </c>
      <c r="O2231" s="48" t="n">
        <v>43151.06666666667</v>
      </c>
      <c r="P2231" s="49" t="n">
        <v>43150</v>
      </c>
      <c r="Q2231" s="47" t="n">
        <v>1037</v>
      </c>
      <c r="R2231" s="47" t="inlineStr">
        <is>
          <t>No Video ID yet</t>
        </is>
      </c>
      <c r="S2231" s="49" t="n"/>
      <c r="T2231" s="49" t="n"/>
      <c r="U2231" s="47" t="inlineStr">
        <is>
          <t>Luke and J's Pokemon Leaf Green Monotype Fire Run continues! Today they take on another gym, attempt to save Mr. Fuji, and journey into the Safari Zone!</t>
        </is>
      </c>
      <c r="V2231" s="47">
        <f>IF(AND(P2231&gt;=Calendar!$K$2,P2231&lt;EDATE(Calendar!$K$2,1),OR(Calendar!$K$4="*",N2231=Calendar!$K$4)),P2231*100+COUNTIFS($P$6:$P$3267,P2231,$Q$6:$Q$3267,"&lt;="&amp;Q2231,$N$6:$N$3267,Calendar!$K$4),"")</f>
        <v/>
      </c>
      <c r="W2231" s="47">
        <f>IF(AND(B2231=Queue!$C$4,OR(Queue!$K$4="*",N2231=Queue!$K$4)),Q2231,"")</f>
        <v/>
      </c>
    </row>
    <row r="2232">
      <c r="A2232" s="38">
        <f>IF(M2232="","",HYPERLINK("https://www.youtube.com/watch?v="&amp;M2232,"▶"))</f>
        <v/>
      </c>
      <c r="B2232" s="39">
        <f>IF(C2232&lt;&gt;"",C2232,IF(P2232&lt;=IFERROR(INDEX(tblChannels[Watched Through],MATCH(N2232,tblChannels[Channel ID],0)),0),"Watched","Unwatched"))</f>
        <v/>
      </c>
      <c r="C2232" s="40" t="n"/>
      <c r="D2232" s="41" t="n"/>
      <c r="E2232" s="42" t="n">
        <v>43150.67916666667</v>
      </c>
      <c r="F2232" s="53" t="inlineStr">
        <is>
          <t>Jonathan Carlin</t>
        </is>
      </c>
      <c r="G2232" t="inlineStr">
        <is>
          <t>ON TURNING 30</t>
        </is>
      </c>
      <c r="H2232" s="44" t="n">
        <v>0.005115740740740741</v>
      </c>
      <c r="I2232" s="45" t="n">
        <v>42354</v>
      </c>
      <c r="J2232" s="45" t="n">
        <v>2095</v>
      </c>
      <c r="K2232" s="45" t="n">
        <v>374</v>
      </c>
      <c r="L2232" s="46" t="n"/>
      <c r="M2232" s="47" t="n"/>
      <c r="N2232" s="47" t="inlineStr">
        <is>
          <t>UCYPKFe86e6nm4TVUYKLsFUQ</t>
        </is>
      </c>
      <c r="O2232" s="48" t="n">
        <v>43150.8875</v>
      </c>
      <c r="P2232" s="49" t="n">
        <v>43150</v>
      </c>
      <c r="Q2232" s="47" t="n">
        <v>1036</v>
      </c>
      <c r="R2232" s="47" t="inlineStr">
        <is>
          <t>No Video ID yet</t>
        </is>
      </c>
      <c r="S2232" s="49" t="n"/>
      <c r="T2232" s="49" t="n"/>
      <c r="U2232" s="47" t="inlineStr">
        <is>
          <t>This week I turn 30 and have an amazing Harry Potter party, also Luke gets some serious pampering.. anyone know a good butt paste??</t>
        </is>
      </c>
      <c r="V2232" s="47">
        <f>IF(AND(P2232&gt;=Calendar!$K$2,P2232&lt;EDATE(Calendar!$K$2,1),OR(Calendar!$K$4="*",N2232=Calendar!$K$4)),P2232*100+COUNTIFS($P$6:$P$3267,P2232,$Q$6:$Q$3267,"&lt;="&amp;Q2232,$N$6:$N$3267,Calendar!$K$4),"")</f>
        <v/>
      </c>
      <c r="W2232" s="47">
        <f>IF(AND(B2232=Queue!$C$4,OR(Queue!$K$4="*",N2232=Queue!$K$4)),Q2232,"")</f>
        <v/>
      </c>
    </row>
    <row r="2233">
      <c r="A2233" s="38">
        <f>IF(M2233="","",HYPERLINK("https://www.youtube.com/watch?v="&amp;M2233,"▶"))</f>
        <v/>
      </c>
      <c r="B2233" s="39">
        <f>IF(C2233&lt;&gt;"",C2233,IF(P2233&lt;=IFERROR(INDEX(tblChannels[Watched Through],MATCH(N2233,tblChannels[Channel ID],0)),0),"Watched","Unwatched"))</f>
        <v/>
      </c>
      <c r="C2233" s="40" t="n"/>
      <c r="D2233" s="41" t="n"/>
      <c r="E2233" s="42" t="n">
        <v>43146.70625</v>
      </c>
      <c r="F2233" s="50" t="inlineStr">
        <is>
          <t>Super Carlin Brothers</t>
        </is>
      </c>
      <c r="G2233" t="inlineStr">
        <is>
          <t>Top 10 Awfully Convenient Things In Harry Potter</t>
        </is>
      </c>
      <c r="H2233" s="44" t="n">
        <v>0.008460648148148148</v>
      </c>
      <c r="I2233" s="45" t="n">
        <v>1438969</v>
      </c>
      <c r="J2233" s="45" t="n">
        <v>32245</v>
      </c>
      <c r="K2233" s="45" t="n">
        <v>5005</v>
      </c>
      <c r="L2233" s="46" t="n"/>
      <c r="M2233" s="47" t="n"/>
      <c r="N2233" s="47" t="inlineStr">
        <is>
          <t>UCKZo4N0lVPccBkSiuyVh4yg</t>
        </is>
      </c>
      <c r="O2233" s="48" t="n">
        <v>43146.91458333333</v>
      </c>
      <c r="P2233" s="49" t="n">
        <v>43146</v>
      </c>
      <c r="Q2233" s="47" t="n">
        <v>1035</v>
      </c>
      <c r="R2233" s="47" t="inlineStr">
        <is>
          <t>No Video ID yet</t>
        </is>
      </c>
      <c r="S2233" s="49" t="n"/>
      <c r="T2233" s="49" t="n"/>
      <c r="U2233" s="47" t="inlineStr">
        <is>
          <t>Get 2 months of Skill Share Premium for $0.99 :: Today Ben dives into the wizarding world of Harry Potter to examine everything from time turners to basilisk venom and all of the other more convenient things that ever happen to Harry, Ron and Hermione.</t>
        </is>
      </c>
      <c r="V2233" s="47">
        <f>IF(AND(P2233&gt;=Calendar!$K$2,P2233&lt;EDATE(Calendar!$K$2,1),OR(Calendar!$K$4="*",N2233=Calendar!$K$4)),P2233*100+COUNTIFS($P$6:$P$3267,P2233,$Q$6:$Q$3267,"&lt;="&amp;Q2233,$N$6:$N$3267,Calendar!$K$4),"")</f>
        <v/>
      </c>
      <c r="W2233" s="47">
        <f>IF(AND(B2233=Queue!$C$4,OR(Queue!$K$4="*",N2233=Queue!$K$4)),Q2233,"")</f>
        <v/>
      </c>
    </row>
    <row r="2234">
      <c r="A2234" s="38">
        <f>IF(M2234="","",HYPERLINK("https://www.youtube.com/watch?v="&amp;M2234,"▶"))</f>
        <v/>
      </c>
      <c r="B2234" s="39">
        <f>IF(C2234&lt;&gt;"",C2234,IF(P2234&lt;=IFERROR(INDEX(tblChannels[Watched Through],MATCH(N2234,tblChannels[Channel ID],0)),0),"Watched","Unwatched"))</f>
        <v/>
      </c>
      <c r="C2234" s="40" t="n"/>
      <c r="D2234" s="41" t="n"/>
      <c r="E2234" s="42" t="n">
        <v>43146.49861111111</v>
      </c>
      <c r="F2234" s="52" t="inlineStr">
        <is>
          <t>Super Carlin Gaming</t>
        </is>
      </c>
      <c r="G2234" t="inlineStr">
        <is>
          <t>I Don't Want To Date Him | Mario Kart Roulette #72</t>
        </is>
      </c>
      <c r="H2234" s="44" t="n">
        <v>0.01241898148148148</v>
      </c>
      <c r="I2234" s="45" t="n">
        <v>10196</v>
      </c>
      <c r="J2234" s="45" t="n">
        <v>414</v>
      </c>
      <c r="K2234" s="45" t="n">
        <v>154</v>
      </c>
      <c r="L2234" s="46" t="n"/>
      <c r="M2234" s="47" t="n"/>
      <c r="N2234" s="47" t="inlineStr">
        <is>
          <t>UCor_9jRnNNZVzTuQ92PKsaQ</t>
        </is>
      </c>
      <c r="O2234" s="48" t="n">
        <v>43146.70694444444</v>
      </c>
      <c r="P2234" s="49" t="n">
        <v>43146</v>
      </c>
      <c r="Q2234" s="47" t="n">
        <v>1034</v>
      </c>
      <c r="R2234" s="47" t="inlineStr">
        <is>
          <t>No Video ID yet</t>
        </is>
      </c>
      <c r="S2234" s="49" t="n"/>
      <c r="T2234" s="49" t="n"/>
      <c r="U2234" s="47" t="inlineStr">
        <is>
          <t>J and Ben continue to try to 3 star every cup with randomly chosen karts and characters while they answer your questions and give you advice!!</t>
        </is>
      </c>
      <c r="V2234" s="47">
        <f>IF(AND(P2234&gt;=Calendar!$K$2,P2234&lt;EDATE(Calendar!$K$2,1),OR(Calendar!$K$4="*",N2234=Calendar!$K$4)),P2234*100+COUNTIFS($P$6:$P$3267,P2234,$Q$6:$Q$3267,"&lt;="&amp;Q2234,$N$6:$N$3267,Calendar!$K$4),"")</f>
        <v/>
      </c>
      <c r="W2234" s="47">
        <f>IF(AND(B2234=Queue!$C$4,OR(Queue!$K$4="*",N2234=Queue!$K$4)),Q2234,"")</f>
        <v/>
      </c>
    </row>
    <row r="2235">
      <c r="A2235" s="38">
        <f>IF(M2235="","",HYPERLINK("https://www.youtube.com/watch?v="&amp;M2235,"▶"))</f>
        <v/>
      </c>
      <c r="B2235" s="39">
        <f>IF(C2235&lt;&gt;"",C2235,IF(P2235&lt;=IFERROR(INDEX(tblChannels[Watched Through],MATCH(N2235,tblChannels[Channel ID],0)),0),"Watched","Unwatched"))</f>
        <v/>
      </c>
      <c r="C2235" s="40" t="n"/>
      <c r="D2235" s="41" t="n"/>
      <c r="E2235" s="42" t="n">
        <v>43144.79722222222</v>
      </c>
      <c r="F2235" s="50" t="inlineStr">
        <is>
          <t>Super Carlin Brothers</t>
        </is>
      </c>
      <c r="G2235" t="inlineStr">
        <is>
          <t>Voldemort's Failed Horcrux | Harry Potter Theory</t>
        </is>
      </c>
      <c r="H2235" s="44" t="n">
        <v>0.009814814814814814</v>
      </c>
      <c r="I2235" s="45" t="n">
        <v>2725726</v>
      </c>
      <c r="J2235" s="45" t="n">
        <v>52435</v>
      </c>
      <c r="K2235" s="45" t="n">
        <v>6640</v>
      </c>
      <c r="L2235" s="46" t="n"/>
      <c r="M2235" s="47" t="n"/>
      <c r="N2235" s="47" t="inlineStr">
        <is>
          <t>UCKZo4N0lVPccBkSiuyVh4yg</t>
        </is>
      </c>
      <c r="O2235" s="48" t="n">
        <v>43145.00555555556</v>
      </c>
      <c r="P2235" s="49" t="n">
        <v>43144</v>
      </c>
      <c r="Q2235" s="47" t="n">
        <v>1033</v>
      </c>
      <c r="R2235" s="47" t="inlineStr">
        <is>
          <t>No Video ID yet</t>
        </is>
      </c>
      <c r="S2235" s="49" t="n"/>
      <c r="T2235" s="49" t="n"/>
      <c r="U2235" s="47" t="inlineStr">
        <is>
          <t>Today J dives into the Wizarding World of Harry Potter to discuss the missing object Voldemort was going to use to make his final Horcrux when he killed Harry and its ties to Godric Gryffindor!</t>
        </is>
      </c>
      <c r="V2235" s="47">
        <f>IF(AND(P2235&gt;=Calendar!$K$2,P2235&lt;EDATE(Calendar!$K$2,1),OR(Calendar!$K$4="*",N2235=Calendar!$K$4)),P2235*100+COUNTIFS($P$6:$P$3267,P2235,$Q$6:$Q$3267,"&lt;="&amp;Q2235,$N$6:$N$3267,Calendar!$K$4),"")</f>
        <v/>
      </c>
      <c r="W2235" s="47">
        <f>IF(AND(B2235=Queue!$C$4,OR(Queue!$K$4="*",N2235=Queue!$K$4)),Q2235,"")</f>
        <v/>
      </c>
    </row>
    <row r="2236">
      <c r="A2236" s="38">
        <f>IF(M2236="","",HYPERLINK("https://www.youtube.com/watch?v="&amp;M2236,"▶"))</f>
        <v/>
      </c>
      <c r="B2236" s="39">
        <f>IF(C2236&lt;&gt;"",C2236,IF(P2236&lt;=IFERROR(INDEX(tblChannels[Watched Through],MATCH(N2236,tblChannels[Channel ID],0)),0),"Watched","Unwatched"))</f>
        <v/>
      </c>
      <c r="C2236" s="40" t="n"/>
      <c r="D2236" s="41" t="n"/>
      <c r="E2236" s="42" t="n">
        <v>43144.42152777778</v>
      </c>
      <c r="F2236" s="52" t="inlineStr">
        <is>
          <t>Super Carlin Gaming</t>
        </is>
      </c>
      <c r="G2236" t="inlineStr">
        <is>
          <t>Valentine's Budget Ideas | Mario Kart Roulette #71</t>
        </is>
      </c>
      <c r="H2236" s="44" t="n">
        <v>0.0109837962962963</v>
      </c>
      <c r="I2236" s="45" t="n">
        <v>9754</v>
      </c>
      <c r="J2236" s="45" t="n">
        <v>409</v>
      </c>
      <c r="K2236" s="45" t="n">
        <v>82</v>
      </c>
      <c r="L2236" s="46" t="n"/>
      <c r="M2236" s="47" t="n"/>
      <c r="N2236" s="47" t="inlineStr">
        <is>
          <t>UCor_9jRnNNZVzTuQ92PKsaQ</t>
        </is>
      </c>
      <c r="O2236" s="48" t="n">
        <v>43144.62986111111</v>
      </c>
      <c r="P2236" s="49" t="n">
        <v>43144</v>
      </c>
      <c r="Q2236" s="47" t="n">
        <v>1032</v>
      </c>
      <c r="R2236" s="47" t="inlineStr">
        <is>
          <t>No Video ID yet</t>
        </is>
      </c>
      <c r="S2236" s="49" t="n"/>
      <c r="T2236" s="49" t="n"/>
      <c r="U2236" s="47" t="inlineStr">
        <is>
          <t>J and Ben continue to try to 3 star every cup with randomly chosen karts and characters while they answer your questions and give you advice!!</t>
        </is>
      </c>
      <c r="V2236" s="47">
        <f>IF(AND(P2236&gt;=Calendar!$K$2,P2236&lt;EDATE(Calendar!$K$2,1),OR(Calendar!$K$4="*",N2236=Calendar!$K$4)),P2236*100+COUNTIFS($P$6:$P$3267,P2236,$Q$6:$Q$3267,"&lt;="&amp;Q2236,$N$6:$N$3267,Calendar!$K$4),"")</f>
        <v/>
      </c>
      <c r="W2236" s="47">
        <f>IF(AND(B2236=Queue!$C$4,OR(Queue!$K$4="*",N2236=Queue!$K$4)),Q2236,"")</f>
        <v/>
      </c>
    </row>
    <row r="2237">
      <c r="A2237" s="38">
        <f>IF(M2237="","",HYPERLINK("https://www.youtube.com/watch?v="&amp;M2237,"▶"))</f>
        <v/>
      </c>
      <c r="B2237" s="39">
        <f>IF(C2237&lt;&gt;"",C2237,IF(P2237&lt;=IFERROR(INDEX(tblChannels[Watched Through],MATCH(N2237,tblChannels[Channel ID],0)),0),"Watched","Unwatched"))</f>
        <v/>
      </c>
      <c r="C2237" s="40" t="n"/>
      <c r="D2237" s="41" t="n"/>
      <c r="E2237" s="42" t="n">
        <v>43143.58472222222</v>
      </c>
      <c r="F2237" s="53" t="inlineStr">
        <is>
          <t>Jonathan Carlin</t>
        </is>
      </c>
      <c r="G2237" t="inlineStr">
        <is>
          <t>GETTING FIRED UP</t>
        </is>
      </c>
      <c r="H2237" s="44" t="n">
        <v>0.006030092592592593</v>
      </c>
      <c r="I2237" s="45" t="n">
        <v>38487</v>
      </c>
      <c r="J2237" s="45" t="n">
        <v>1980</v>
      </c>
      <c r="K2237" s="45" t="n">
        <v>231</v>
      </c>
      <c r="L2237" s="46" t="n"/>
      <c r="M2237" s="47" t="n"/>
      <c r="N2237" s="47" t="inlineStr">
        <is>
          <t>UCYPKFe86e6nm4TVUYKLsFUQ</t>
        </is>
      </c>
      <c r="O2237" s="48" t="n">
        <v>43143.79305555556</v>
      </c>
      <c r="P2237" s="49" t="n">
        <v>43143</v>
      </c>
      <c r="Q2237" s="47" t="n">
        <v>1031</v>
      </c>
      <c r="R2237" s="47" t="inlineStr">
        <is>
          <t>No Video ID yet</t>
        </is>
      </c>
      <c r="S2237" s="49" t="n"/>
      <c r="T2237" s="49" t="n"/>
      <c r="U2237" s="47" t="inlineStr">
        <is>
          <t>This week I teach Luke about the Golden Rule and how to deal with being angry. Also Ben's house and the office catch on fire.</t>
        </is>
      </c>
      <c r="V2237" s="47">
        <f>IF(AND(P2237&gt;=Calendar!$K$2,P2237&lt;EDATE(Calendar!$K$2,1),OR(Calendar!$K$4="*",N2237=Calendar!$K$4)),P2237*100+COUNTIFS($P$6:$P$3267,P2237,$Q$6:$Q$3267,"&lt;="&amp;Q2237,$N$6:$N$3267,Calendar!$K$4),"")</f>
        <v/>
      </c>
      <c r="W2237" s="47">
        <f>IF(AND(B2237=Queue!$C$4,OR(Queue!$K$4="*",N2237=Queue!$K$4)),Q2237,"")</f>
        <v/>
      </c>
    </row>
    <row r="2238">
      <c r="A2238" s="38">
        <f>IF(M2238="","",HYPERLINK("https://www.youtube.com/watch?v="&amp;M2238,"▶"))</f>
        <v/>
      </c>
      <c r="B2238" s="39">
        <f>IF(C2238&lt;&gt;"",C2238,IF(P2238&lt;=IFERROR(INDEX(tblChannels[Watched Through],MATCH(N2238,tblChannels[Channel ID],0)),0),"Watched","Unwatched"))</f>
        <v/>
      </c>
      <c r="C2238" s="40" t="n"/>
      <c r="D2238" s="41" t="n"/>
      <c r="E2238" s="42" t="n">
        <v>43139.81597222222</v>
      </c>
      <c r="F2238" s="52" t="inlineStr">
        <is>
          <t>Super Carlin Gaming</t>
        </is>
      </c>
      <c r="G2238" t="inlineStr">
        <is>
          <t>Luke and J Play Pokemon Leaf Green | Mono Type FIRE Run #3</t>
        </is>
      </c>
      <c r="H2238" s="44" t="n">
        <v>0.02778935185185185</v>
      </c>
      <c r="I2238" s="45" t="n">
        <v>12537</v>
      </c>
      <c r="J2238" s="45" t="n">
        <v>497</v>
      </c>
      <c r="K2238" s="45" t="n">
        <v>59</v>
      </c>
      <c r="L2238" s="46" t="n"/>
      <c r="M2238" s="47" t="n"/>
      <c r="N2238" s="47" t="inlineStr">
        <is>
          <t>UCor_9jRnNNZVzTuQ92PKsaQ</t>
        </is>
      </c>
      <c r="O2238" s="48" t="n">
        <v>43140.02430555555</v>
      </c>
      <c r="P2238" s="49" t="n">
        <v>43139</v>
      </c>
      <c r="Q2238" s="47" t="n">
        <v>1030</v>
      </c>
      <c r="R2238" s="47" t="inlineStr">
        <is>
          <t>No Video ID yet</t>
        </is>
      </c>
      <c r="S2238" s="49" t="n"/>
      <c r="T2238" s="49" t="n"/>
      <c r="U2238" s="47" t="inlineStr">
        <is>
          <t>J and Luke's LIVE Pokemon Leaf Green Mono-Type Fire Run Adventure continues with another new pokemon and gym badge!</t>
        </is>
      </c>
      <c r="V2238" s="47">
        <f>IF(AND(P2238&gt;=Calendar!$K$2,P2238&lt;EDATE(Calendar!$K$2,1),OR(Calendar!$K$4="*",N2238=Calendar!$K$4)),P2238*100+COUNTIFS($P$6:$P$3267,P2238,$Q$6:$Q$3267,"&lt;="&amp;Q2238,$N$6:$N$3267,Calendar!$K$4),"")</f>
        <v/>
      </c>
      <c r="W2238" s="47">
        <f>IF(AND(B2238=Queue!$C$4,OR(Queue!$K$4="*",N2238=Queue!$K$4)),Q2238,"")</f>
        <v/>
      </c>
    </row>
    <row r="2239">
      <c r="A2239" s="38">
        <f>IF(M2239="","",HYPERLINK("https://www.youtube.com/watch?v="&amp;M2239,"▶"))</f>
        <v/>
      </c>
      <c r="B2239" s="39">
        <f>IF(C2239&lt;&gt;"",C2239,IF(P2239&lt;=IFERROR(INDEX(tblChannels[Watched Through],MATCH(N2239,tblChannels[Channel ID],0)),0),"Watched","Unwatched"))</f>
        <v/>
      </c>
      <c r="C2239" s="40" t="n"/>
      <c r="D2239" s="41" t="n"/>
      <c r="E2239" s="42" t="n">
        <v>43139.72291666667</v>
      </c>
      <c r="F2239" s="50" t="inlineStr">
        <is>
          <t>Super Carlin Brothers</t>
        </is>
      </c>
      <c r="G2239" t="inlineStr">
        <is>
          <t>Why's It Called The Knight Bus? | Harry Potter Explained</t>
        </is>
      </c>
      <c r="H2239" s="44" t="n">
        <v>0.006006944444444444</v>
      </c>
      <c r="I2239" s="45" t="n">
        <v>1260192</v>
      </c>
      <c r="J2239" s="45" t="n">
        <v>29534</v>
      </c>
      <c r="K2239" s="45" t="n">
        <v>3282</v>
      </c>
      <c r="L2239" s="46" t="n"/>
      <c r="M2239" s="47" t="n"/>
      <c r="N2239" s="47" t="inlineStr">
        <is>
          <t>UCKZo4N0lVPccBkSiuyVh4yg</t>
        </is>
      </c>
      <c r="O2239" s="48" t="n">
        <v>43139.93125</v>
      </c>
      <c r="P2239" s="49" t="n">
        <v>43139</v>
      </c>
      <c r="Q2239" s="47" t="n">
        <v>1029</v>
      </c>
      <c r="R2239" s="47" t="inlineStr">
        <is>
          <t>No Video ID yet</t>
        </is>
      </c>
      <c r="S2239" s="49" t="n"/>
      <c r="T2239" s="49" t="n"/>
      <c r="U2239" s="47" t="inlineStr">
        <is>
          <t>Today Ben divess into the Wizarding World of Harry Potter to discuss why the Triple Decker purple Knight Bus exists and how it got its name.. And also why Harry is so obsessed with Stan Shunpike.</t>
        </is>
      </c>
      <c r="V2239" s="47">
        <f>IF(AND(P2239&gt;=Calendar!$K$2,P2239&lt;EDATE(Calendar!$K$2,1),OR(Calendar!$K$4="*",N2239=Calendar!$K$4)),P2239*100+COUNTIFS($P$6:$P$3267,P2239,$Q$6:$Q$3267,"&lt;="&amp;Q2239,$N$6:$N$3267,Calendar!$K$4),"")</f>
        <v/>
      </c>
      <c r="W2239" s="47">
        <f>IF(AND(B2239=Queue!$C$4,OR(Queue!$K$4="*",N2239=Queue!$K$4)),Q2239,"")</f>
        <v/>
      </c>
    </row>
    <row r="2240">
      <c r="A2240" s="38">
        <f>IF(M2240="","",HYPERLINK("https://www.youtube.com/watch?v="&amp;M2240,"▶"))</f>
        <v/>
      </c>
      <c r="B2240" s="39">
        <f>IF(C2240&lt;&gt;"",C2240,IF(P2240&lt;=IFERROR(INDEX(tblChannels[Watched Through],MATCH(N2240,tblChannels[Channel ID],0)),0),"Watched","Unwatched"))</f>
        <v/>
      </c>
      <c r="C2240" s="40" t="n"/>
      <c r="D2240" s="41" t="n"/>
      <c r="E2240" s="42" t="n">
        <v>43139.43472222222</v>
      </c>
      <c r="F2240" s="52" t="inlineStr">
        <is>
          <t>Super Carlin Gaming</t>
        </is>
      </c>
      <c r="G2240" t="inlineStr">
        <is>
          <t>Text me! | Mario Kart Roulette #70</t>
        </is>
      </c>
      <c r="H2240" s="44" t="n">
        <v>0.01168981481481481</v>
      </c>
      <c r="I2240" s="45" t="n">
        <v>10620</v>
      </c>
      <c r="J2240" s="45" t="n">
        <v>427</v>
      </c>
      <c r="K2240" s="45" t="n">
        <v>155</v>
      </c>
      <c r="L2240" s="46" t="n"/>
      <c r="M2240" s="47" t="n"/>
      <c r="N2240" s="47" t="inlineStr">
        <is>
          <t>UCor_9jRnNNZVzTuQ92PKsaQ</t>
        </is>
      </c>
      <c r="O2240" s="48" t="n">
        <v>43139.64305555556</v>
      </c>
      <c r="P2240" s="49" t="n">
        <v>43139</v>
      </c>
      <c r="Q2240" s="47" t="n">
        <v>1028</v>
      </c>
      <c r="R2240" s="47" t="inlineStr">
        <is>
          <t>No Video ID yet</t>
        </is>
      </c>
      <c r="S2240" s="49" t="n"/>
      <c r="T2240" s="49" t="n"/>
      <c r="U2240" s="47" t="inlineStr">
        <is>
          <t>J and Ben continue to try to 3 star every cup with randomly chosen karts and characters while they answer your questions and give you advice!!</t>
        </is>
      </c>
      <c r="V2240" s="47">
        <f>IF(AND(P2240&gt;=Calendar!$K$2,P2240&lt;EDATE(Calendar!$K$2,1),OR(Calendar!$K$4="*",N2240=Calendar!$K$4)),P2240*100+COUNTIFS($P$6:$P$3267,P2240,$Q$6:$Q$3267,"&lt;="&amp;Q2240,$N$6:$N$3267,Calendar!$K$4),"")</f>
        <v/>
      </c>
      <c r="W2240" s="47">
        <f>IF(AND(B2240=Queue!$C$4,OR(Queue!$K$4="*",N2240=Queue!$K$4)),Q2240,"")</f>
        <v/>
      </c>
    </row>
    <row r="2241">
      <c r="A2241" s="38">
        <f>IF(M2241="","",HYPERLINK("https://www.youtube.com/watch?v="&amp;M2241,"▶"))</f>
        <v/>
      </c>
      <c r="B2241" s="39">
        <f>IF(C2241&lt;&gt;"",C2241,IF(P2241&lt;=IFERROR(INDEX(tblChannels[Watched Through],MATCH(N2241,tblChannels[Channel ID],0)),0),"Watched","Unwatched"))</f>
        <v/>
      </c>
      <c r="C2241" s="40" t="n"/>
      <c r="D2241" s="41" t="n"/>
      <c r="E2241" s="42" t="n">
        <v>43138.76388888889</v>
      </c>
      <c r="F2241" s="52" t="inlineStr">
        <is>
          <t>Super Carlin Gaming</t>
        </is>
      </c>
      <c r="G2241" t="inlineStr">
        <is>
          <t>Rocket League!?</t>
        </is>
      </c>
      <c r="H2241" s="44" t="n">
        <v>0.0440162037037037</v>
      </c>
      <c r="I2241" s="45" t="n">
        <v>6080</v>
      </c>
      <c r="J2241" s="45" t="n">
        <v>243</v>
      </c>
      <c r="K2241" s="45" t="n">
        <v>29</v>
      </c>
      <c r="L2241" s="46" t="n"/>
      <c r="M2241" s="47" t="n"/>
      <c r="N2241" s="47" t="inlineStr">
        <is>
          <t>UCor_9jRnNNZVzTuQ92PKsaQ</t>
        </is>
      </c>
      <c r="O2241" s="48" t="n">
        <v>43138.97222222222</v>
      </c>
      <c r="P2241" s="49" t="n">
        <v>43138</v>
      </c>
      <c r="Q2241" s="47" t="n">
        <v>1027</v>
      </c>
      <c r="R2241" s="47" t="inlineStr">
        <is>
          <t>No Video ID yet</t>
        </is>
      </c>
      <c r="S2241" s="49" t="n"/>
      <c r="T2241" s="49" t="n"/>
      <c r="U2241" s="47" t="inlineStr">
        <is>
          <t>Surprise!</t>
        </is>
      </c>
      <c r="V2241" s="47">
        <f>IF(AND(P2241&gt;=Calendar!$K$2,P2241&lt;EDATE(Calendar!$K$2,1),OR(Calendar!$K$4="*",N2241=Calendar!$K$4)),P2241*100+COUNTIFS($P$6:$P$3267,P2241,$Q$6:$Q$3267,"&lt;="&amp;Q2241,$N$6:$N$3267,Calendar!$K$4),"")</f>
        <v/>
      </c>
      <c r="W2241" s="47">
        <f>IF(AND(B2241=Queue!$C$4,OR(Queue!$K$4="*",N2241=Queue!$K$4)),Q2241,"")</f>
        <v/>
      </c>
    </row>
    <row r="2242">
      <c r="A2242" s="38">
        <f>IF(M2242="","",HYPERLINK("https://www.youtube.com/watch?v="&amp;M2242,"▶"))</f>
        <v/>
      </c>
      <c r="B2242" s="39">
        <f>IF(C2242&lt;&gt;"",C2242,IF(P2242&lt;=IFERROR(INDEX(tblChannels[Watched Through],MATCH(N2242,tblChannels[Channel ID],0)),0),"Watched","Unwatched"))</f>
        <v/>
      </c>
      <c r="C2242" s="40" t="n"/>
      <c r="D2242" s="41" t="n"/>
      <c r="E2242" s="42" t="n">
        <v>43137.65208333333</v>
      </c>
      <c r="F2242" s="50" t="inlineStr">
        <is>
          <t>Super Carlin Brothers</t>
        </is>
      </c>
      <c r="G2242" t="inlineStr">
        <is>
          <t>What is Arithmancy? | Harry Potter Explained</t>
        </is>
      </c>
      <c r="H2242" s="44" t="n">
        <v>0.00818287037037037</v>
      </c>
      <c r="I2242" s="45" t="n">
        <v>1566201</v>
      </c>
      <c r="J2242" s="45" t="n">
        <v>39416</v>
      </c>
      <c r="K2242" s="45" t="n">
        <v>5988</v>
      </c>
      <c r="L2242" s="46" t="n"/>
      <c r="M2242" s="47" t="n"/>
      <c r="N2242" s="47" t="inlineStr">
        <is>
          <t>UCKZo4N0lVPccBkSiuyVh4yg</t>
        </is>
      </c>
      <c r="O2242" s="48" t="n">
        <v>43137.86041666667</v>
      </c>
      <c r="P2242" s="49" t="n">
        <v>43137</v>
      </c>
      <c r="Q2242" s="47" t="n">
        <v>1026</v>
      </c>
      <c r="R2242" s="47" t="inlineStr">
        <is>
          <t>No Video ID yet</t>
        </is>
      </c>
      <c r="S2242" s="49" t="n"/>
      <c r="T2242" s="49" t="n"/>
      <c r="U2242" s="47" t="inlineStr">
        <is>
          <t>Today J dives into the Wizarding World of Harry Potter to discuss one Hermione’s favorite subjects and yet one of the few classes we get no very little information about at Hogwarts: Arithmancy! Spreadsheet of our other discoveries :: The Article :: The Calculator :: The Chart of Meaning :: Special thanks to these patrons who support SCB on Patreon: Hillary Reist, Natarandall, Faihle Grayson, Vinnie Nicotra, Brychan John, Chris Morones, James Lord, Miranda Vasquez, Natalie Masucci, Allison Hyslop, Mats Furuli, Qui Le, Alex Soltis, Big Meme Boi, Jennifer, I Is Wolfee, Sarah E McCartney, Zara caldwell, Lasse Buan, Charles C. Seymour, Kristhell Lopez, Amy Beerbower, Isabella</t>
        </is>
      </c>
      <c r="V2242" s="47">
        <f>IF(AND(P2242&gt;=Calendar!$K$2,P2242&lt;EDATE(Calendar!$K$2,1),OR(Calendar!$K$4="*",N2242=Calendar!$K$4)),P2242*100+COUNTIFS($P$6:$P$3267,P2242,$Q$6:$Q$3267,"&lt;="&amp;Q2242,$N$6:$N$3267,Calendar!$K$4),"")</f>
        <v/>
      </c>
      <c r="W2242" s="47">
        <f>IF(AND(B2242=Queue!$C$4,OR(Queue!$K$4="*",N2242=Queue!$K$4)),Q2242,"")</f>
        <v/>
      </c>
    </row>
    <row r="2243">
      <c r="A2243" s="38">
        <f>IF(M2243="","",HYPERLINK("https://www.youtube.com/watch?v="&amp;M2243,"▶"))</f>
        <v/>
      </c>
      <c r="B2243" s="39">
        <f>IF(C2243&lt;&gt;"",C2243,IF(P2243&lt;=IFERROR(INDEX(tblChannels[Watched Through],MATCH(N2243,tblChannels[Channel ID],0)),0),"Watched","Unwatched"))</f>
        <v/>
      </c>
      <c r="C2243" s="40" t="n"/>
      <c r="D2243" s="41" t="n"/>
      <c r="E2243" s="42" t="n">
        <v>43137.42638888889</v>
      </c>
      <c r="F2243" s="52" t="inlineStr">
        <is>
          <t>Super Carlin Gaming</t>
        </is>
      </c>
      <c r="G2243" t="inlineStr">
        <is>
          <t>Kids Stuff!? | Mario Kart Roulette #69</t>
        </is>
      </c>
      <c r="H2243" s="44" t="n">
        <v>0.01263888888888889</v>
      </c>
      <c r="I2243" s="45" t="n">
        <v>10699</v>
      </c>
      <c r="J2243" s="45" t="n">
        <v>410</v>
      </c>
      <c r="K2243" s="45" t="n">
        <v>180</v>
      </c>
      <c r="L2243" s="46" t="n"/>
      <c r="M2243" s="47" t="n"/>
      <c r="N2243" s="47" t="inlineStr">
        <is>
          <t>UCor_9jRnNNZVzTuQ92PKsaQ</t>
        </is>
      </c>
      <c r="O2243" s="48" t="n">
        <v>43137.63472222222</v>
      </c>
      <c r="P2243" s="49" t="n">
        <v>43137</v>
      </c>
      <c r="Q2243" s="47" t="n">
        <v>1025</v>
      </c>
      <c r="R2243" s="47" t="inlineStr">
        <is>
          <t>No Video ID yet</t>
        </is>
      </c>
      <c r="S2243" s="49" t="n"/>
      <c r="T2243" s="49" t="n"/>
      <c r="U2243" s="47" t="inlineStr">
        <is>
          <t>J and Ben continue to try to 3 star every cup with randomly chosen karts and characters while they answer your questions and give you advice!! Here is the old video J mentioned:</t>
        </is>
      </c>
      <c r="V2243" s="47">
        <f>IF(AND(P2243&gt;=Calendar!$K$2,P2243&lt;EDATE(Calendar!$K$2,1),OR(Calendar!$K$4="*",N2243=Calendar!$K$4)),P2243*100+COUNTIFS($P$6:$P$3267,P2243,$Q$6:$Q$3267,"&lt;="&amp;Q2243,$N$6:$N$3267,Calendar!$K$4),"")</f>
        <v/>
      </c>
      <c r="W2243" s="47">
        <f>IF(AND(B2243=Queue!$C$4,OR(Queue!$K$4="*",N2243=Queue!$K$4)),Q2243,"")</f>
        <v/>
      </c>
    </row>
    <row r="2244">
      <c r="A2244" s="38">
        <f>IF(M2244="","",HYPERLINK("https://www.youtube.com/watch?v="&amp;M2244,"▶"))</f>
        <v/>
      </c>
      <c r="B2244" s="39">
        <f>IF(C2244&lt;&gt;"",C2244,IF(P2244&lt;=IFERROR(INDEX(tblChannels[Watched Through],MATCH(N2244,tblChannels[Channel ID],0)),0),"Watched","Unwatched"))</f>
        <v/>
      </c>
      <c r="C2244" s="40" t="n"/>
      <c r="D2244" s="41" t="n"/>
      <c r="E2244" s="42" t="n">
        <v>43136.49305555555</v>
      </c>
      <c r="F2244" s="53" t="inlineStr">
        <is>
          <t>Jonathan Carlin</t>
        </is>
      </c>
      <c r="G2244" t="inlineStr">
        <is>
          <t>BETH MADE BAGELS!</t>
        </is>
      </c>
      <c r="H2244" s="44" t="n">
        <v>0.005613425925925926</v>
      </c>
      <c r="I2244" s="45" t="n">
        <v>42878</v>
      </c>
      <c r="J2244" s="45" t="n">
        <v>1851</v>
      </c>
      <c r="K2244" s="45" t="n">
        <v>240</v>
      </c>
      <c r="L2244" s="46" t="n"/>
      <c r="M2244" s="47" t="n"/>
      <c r="N2244" s="47" t="inlineStr">
        <is>
          <t>UCYPKFe86e6nm4TVUYKLsFUQ</t>
        </is>
      </c>
      <c r="O2244" s="48" t="n">
        <v>43136.70138888889</v>
      </c>
      <c r="P2244" s="49" t="n">
        <v>43136</v>
      </c>
      <c r="Q2244" s="47" t="n">
        <v>1024</v>
      </c>
      <c r="R2244" s="47" t="inlineStr">
        <is>
          <t>No Video ID yet</t>
        </is>
      </c>
      <c r="S2244" s="49" t="n"/>
      <c r="T2244" s="49" t="n"/>
      <c r="U2244" s="47" t="inlineStr">
        <is>
          <t>The Bagel Recipe :: After London we adjust back to a regular week at SCB! We host our monthly Patreon Google Hangout - Kallie gets moody and Beth makes Bagels!</t>
        </is>
      </c>
      <c r="V2244" s="47">
        <f>IF(AND(P2244&gt;=Calendar!$K$2,P2244&lt;EDATE(Calendar!$K$2,1),OR(Calendar!$K$4="*",N2244=Calendar!$K$4)),P2244*100+COUNTIFS($P$6:$P$3267,P2244,$Q$6:$Q$3267,"&lt;="&amp;Q2244,$N$6:$N$3267,Calendar!$K$4),"")</f>
        <v/>
      </c>
      <c r="W2244" s="47">
        <f>IF(AND(B2244=Queue!$C$4,OR(Queue!$K$4="*",N2244=Queue!$K$4)),Q2244,"")</f>
        <v/>
      </c>
    </row>
    <row r="2245">
      <c r="A2245" s="38">
        <f>IF(M2245="","",HYPERLINK("https://www.youtube.com/watch?v="&amp;M2245,"▶"))</f>
        <v/>
      </c>
      <c r="B2245" s="39">
        <f>IF(C2245&lt;&gt;"",C2245,IF(P2245&lt;=IFERROR(INDEX(tblChannels[Watched Through],MATCH(N2245,tblChannels[Channel ID],0)),0),"Watched","Unwatched"))</f>
        <v/>
      </c>
      <c r="C2245" s="40" t="n"/>
      <c r="D2245" s="41" t="n"/>
      <c r="E2245" s="42" t="n">
        <v>43132.62847222222</v>
      </c>
      <c r="F2245" s="50" t="inlineStr">
        <is>
          <t>Super Carlin Brothers</t>
        </is>
      </c>
      <c r="G2245" t="inlineStr">
        <is>
          <t>Sid's Creepy Toys Explained (Feat. NerdSync)</t>
        </is>
      </c>
      <c r="H2245" s="44" t="n">
        <v>0.005405092592592592</v>
      </c>
      <c r="I2245" s="45" t="n">
        <v>442990</v>
      </c>
      <c r="J2245" s="45" t="n">
        <v>15849</v>
      </c>
      <c r="K2245" s="45" t="n">
        <v>1091</v>
      </c>
      <c r="L2245" s="46" t="n"/>
      <c r="M2245" s="47" t="n"/>
      <c r="N2245" s="47" t="inlineStr">
        <is>
          <t>UCKZo4N0lVPccBkSiuyVh4yg</t>
        </is>
      </c>
      <c r="O2245" s="48" t="n">
        <v>43132.83680555555</v>
      </c>
      <c r="P2245" s="49" t="n">
        <v>43132</v>
      </c>
      <c r="Q2245" s="47" t="n">
        <v>1023</v>
      </c>
      <c r="R2245" s="47" t="inlineStr">
        <is>
          <t>No Video ID yet</t>
        </is>
      </c>
      <c r="S2245" s="49" t="n"/>
      <c r="T2245" s="49" t="n"/>
      <c r="U2245" s="47" t="inlineStr">
        <is>
          <t>Check out NerdSync :: Today Super Carlin Brothers welcomes back Scott Niswander from NerdSync who graciously created a paternity leave video for J - Scott dives into the horrifying world of Sid Phillips room in Pixar's Toy Story to discover just why his toys are so scary.</t>
        </is>
      </c>
      <c r="V2245" s="47">
        <f>IF(AND(P2245&gt;=Calendar!$K$2,P2245&lt;EDATE(Calendar!$K$2,1),OR(Calendar!$K$4="*",N2245=Calendar!$K$4)),P2245*100+COUNTIFS($P$6:$P$3267,P2245,$Q$6:$Q$3267,"&lt;="&amp;Q2245,$N$6:$N$3267,Calendar!$K$4),"")</f>
        <v/>
      </c>
      <c r="W2245" s="47">
        <f>IF(AND(B2245=Queue!$C$4,OR(Queue!$K$4="*",N2245=Queue!$K$4)),Q2245,"")</f>
        <v/>
      </c>
    </row>
    <row r="2246">
      <c r="A2246" s="38">
        <f>IF(M2246="","",HYPERLINK("https://www.youtube.com/watch?v="&amp;M2246,"▶"))</f>
        <v/>
      </c>
      <c r="B2246" s="39">
        <f>IF(C2246&lt;&gt;"",C2246,IF(P2246&lt;=IFERROR(INDEX(tblChannels[Watched Through],MATCH(N2246,tblChannels[Channel ID],0)),0),"Watched","Unwatched"))</f>
        <v/>
      </c>
      <c r="C2246" s="40" t="n"/>
      <c r="D2246" s="41" t="n"/>
      <c r="E2246" s="42" t="n">
        <v>43132.42430555556</v>
      </c>
      <c r="F2246" s="52" t="inlineStr">
        <is>
          <t>Super Carlin Gaming</t>
        </is>
      </c>
      <c r="G2246" t="inlineStr">
        <is>
          <t>Firealarm | Mario Kart Roulette #68</t>
        </is>
      </c>
      <c r="H2246" s="44" t="n">
        <v>0.01126157407407407</v>
      </c>
      <c r="I2246" s="45" t="n">
        <v>11100</v>
      </c>
      <c r="J2246" s="45" t="n">
        <v>489</v>
      </c>
      <c r="K2246" s="45" t="n">
        <v>159</v>
      </c>
      <c r="L2246" s="46" t="n"/>
      <c r="M2246" s="47" t="n"/>
      <c r="N2246" s="47" t="inlineStr">
        <is>
          <t>UCor_9jRnNNZVzTuQ92PKsaQ</t>
        </is>
      </c>
      <c r="O2246" s="48" t="n">
        <v>43132.63263888889</v>
      </c>
      <c r="P2246" s="49" t="n">
        <v>43132</v>
      </c>
      <c r="Q2246" s="47" t="n">
        <v>1022</v>
      </c>
      <c r="R2246" s="47" t="inlineStr">
        <is>
          <t>No Video ID yet</t>
        </is>
      </c>
      <c r="S2246" s="49" t="n"/>
      <c r="T2246" s="49" t="n"/>
      <c r="U2246" s="47" t="inlineStr">
        <is>
          <t>J and Ben head back to the Egg cup as Boo &amp; Donkey Kong while they answer your questions and give you advice!!</t>
        </is>
      </c>
      <c r="V2246" s="47">
        <f>IF(AND(P2246&gt;=Calendar!$K$2,P2246&lt;EDATE(Calendar!$K$2,1),OR(Calendar!$K$4="*",N2246=Calendar!$K$4)),P2246*100+COUNTIFS($P$6:$P$3267,P2246,$Q$6:$Q$3267,"&lt;="&amp;Q2246,$N$6:$N$3267,Calendar!$K$4),"")</f>
        <v/>
      </c>
      <c r="W2246" s="47">
        <f>IF(AND(B2246=Queue!$C$4,OR(Queue!$K$4="*",N2246=Queue!$K$4)),Q2246,"")</f>
        <v/>
      </c>
    </row>
    <row r="2247">
      <c r="A2247" s="38">
        <f>IF(M2247="","",HYPERLINK("https://www.youtube.com/watch?v="&amp;M2247,"▶"))</f>
        <v/>
      </c>
      <c r="B2247" s="39">
        <f>IF(C2247&lt;&gt;"",C2247,IF(P2247&lt;=IFERROR(INDEX(tblChannels[Watched Through],MATCH(N2247,tblChannels[Channel ID],0)),0),"Watched","Unwatched"))</f>
        <v/>
      </c>
      <c r="C2247" s="40" t="n"/>
      <c r="D2247" s="41" t="n"/>
      <c r="E2247" s="42" t="n">
        <v>43130.72083333333</v>
      </c>
      <c r="F2247" s="50" t="inlineStr">
        <is>
          <t>Super Carlin Brothers</t>
        </is>
      </c>
      <c r="G2247" t="inlineStr">
        <is>
          <t>Pua and Hei Hei Explained</t>
        </is>
      </c>
      <c r="H2247" s="44" t="n">
        <v>0.005671296296296297</v>
      </c>
      <c r="I2247" s="45" t="n">
        <v>724806</v>
      </c>
      <c r="J2247" s="45" t="n">
        <v>21875</v>
      </c>
      <c r="K2247" s="45" t="n">
        <v>2764</v>
      </c>
      <c r="L2247" s="46" t="n"/>
      <c r="M2247" s="47" t="n"/>
      <c r="N2247" s="47" t="inlineStr">
        <is>
          <t>UCKZo4N0lVPccBkSiuyVh4yg</t>
        </is>
      </c>
      <c r="O2247" s="48" t="n">
        <v>43130.92916666667</v>
      </c>
      <c r="P2247" s="49" t="n">
        <v>43130</v>
      </c>
      <c r="Q2247" s="47" t="n">
        <v>1021</v>
      </c>
      <c r="R2247" s="47" t="inlineStr">
        <is>
          <t>No Video ID yet</t>
        </is>
      </c>
      <c r="S2247" s="49" t="n"/>
      <c r="T2247" s="49" t="n"/>
      <c r="U2247" s="47" t="inlineStr">
        <is>
          <t>Should we come to your city?? Let us know here :: Today J dives into Moana and the Village of Motunui to discuss the meaning behind Moana’s two animal sidekicks: Pua and Hei Hei. Wanna know more about the history and meaning of different Tattoos? Try these ::</t>
        </is>
      </c>
      <c r="V2247" s="47">
        <f>IF(AND(P2247&gt;=Calendar!$K$2,P2247&lt;EDATE(Calendar!$K$2,1),OR(Calendar!$K$4="*",N2247=Calendar!$K$4)),P2247*100+COUNTIFS($P$6:$P$3267,P2247,$Q$6:$Q$3267,"&lt;="&amp;Q2247,$N$6:$N$3267,Calendar!$K$4),"")</f>
        <v/>
      </c>
      <c r="W2247" s="47">
        <f>IF(AND(B2247=Queue!$C$4,OR(Queue!$K$4="*",N2247=Queue!$K$4)),Q2247,"")</f>
        <v/>
      </c>
    </row>
    <row r="2248">
      <c r="A2248" s="38">
        <f>IF(M2248="","",HYPERLINK("https://www.youtube.com/watch?v="&amp;M2248,"▶"))</f>
        <v/>
      </c>
      <c r="B2248" s="39">
        <f>IF(C2248&lt;&gt;"",C2248,IF(P2248&lt;=IFERROR(INDEX(tblChannels[Watched Through],MATCH(N2248,tblChannels[Channel ID],0)),0),"Watched","Unwatched"))</f>
        <v/>
      </c>
      <c r="C2248" s="40" t="n"/>
      <c r="D2248" s="41" t="n"/>
      <c r="E2248" s="42" t="n">
        <v>43130.42152777778</v>
      </c>
      <c r="F2248" s="52" t="inlineStr">
        <is>
          <t>Super Carlin Gaming</t>
        </is>
      </c>
      <c r="G2248" t="inlineStr">
        <is>
          <t>Accidental Friendzone | Mario Kart Roulette #67</t>
        </is>
      </c>
      <c r="H2248" s="44" t="n">
        <v>0.01122685185185185</v>
      </c>
      <c r="I2248" s="45" t="n">
        <v>11189</v>
      </c>
      <c r="J2248" s="45" t="n">
        <v>456</v>
      </c>
      <c r="K2248" s="45" t="n">
        <v>135</v>
      </c>
      <c r="L2248" s="46" t="n"/>
      <c r="M2248" s="47" t="n"/>
      <c r="N2248" s="47" t="inlineStr">
        <is>
          <t>UCor_9jRnNNZVzTuQ92PKsaQ</t>
        </is>
      </c>
      <c r="O2248" s="48" t="n">
        <v>43130.62986111111</v>
      </c>
      <c r="P2248" s="49" t="n">
        <v>43130</v>
      </c>
      <c r="Q2248" s="47" t="n">
        <v>1020</v>
      </c>
      <c r="R2248" s="47" t="inlineStr">
        <is>
          <t>No Video ID yet</t>
        </is>
      </c>
      <c r="S2248" s="49" t="n"/>
      <c r="T2248" s="49" t="n"/>
      <c r="U2248" s="47" t="inlineStr">
        <is>
          <t>J and Ben take on the next cup as Dry Bones &amp; Toad as they answer your questions and give you advice!!</t>
        </is>
      </c>
      <c r="V2248" s="47">
        <f>IF(AND(P2248&gt;=Calendar!$K$2,P2248&lt;EDATE(Calendar!$K$2,1),OR(Calendar!$K$4="*",N2248=Calendar!$K$4)),P2248*100+COUNTIFS($P$6:$P$3267,P2248,$Q$6:$Q$3267,"&lt;="&amp;Q2248,$N$6:$N$3267,Calendar!$K$4),"")</f>
        <v/>
      </c>
      <c r="W2248" s="47">
        <f>IF(AND(B2248=Queue!$C$4,OR(Queue!$K$4="*",N2248=Queue!$K$4)),Q2248,"")</f>
        <v/>
      </c>
    </row>
    <row r="2249">
      <c r="A2249" s="38">
        <f>IF(M2249="","",HYPERLINK("https://www.youtube.com/watch?v="&amp;M2249,"▶"))</f>
        <v/>
      </c>
      <c r="B2249" s="39">
        <f>IF(C2249&lt;&gt;"",C2249,IF(P2249&lt;=IFERROR(INDEX(tblChannels[Watched Through],MATCH(N2249,tblChannels[Channel ID],0)),0),"Watched","Unwatched"))</f>
        <v/>
      </c>
      <c r="C2249" s="40" t="n"/>
      <c r="D2249" s="41" t="n"/>
      <c r="E2249" s="42" t="n">
        <v>43129.49027777778</v>
      </c>
      <c r="F2249" s="53" t="inlineStr">
        <is>
          <t>Jonathan Carlin</t>
        </is>
      </c>
      <c r="G2249" t="inlineStr">
        <is>
          <t>HARRY POTTER LONDON ADVENTURE</t>
        </is>
      </c>
      <c r="H2249" s="44" t="n">
        <v>0.01016203703703704</v>
      </c>
      <c r="I2249" s="45" t="n">
        <v>183450</v>
      </c>
      <c r="J2249" s="45" t="n">
        <v>9403</v>
      </c>
      <c r="K2249" s="45" t="n">
        <v>1068</v>
      </c>
      <c r="L2249" s="46" t="n"/>
      <c r="M2249" s="47" t="n"/>
      <c r="N2249" s="47" t="inlineStr">
        <is>
          <t>UCYPKFe86e6nm4TVUYKLsFUQ</t>
        </is>
      </c>
      <c r="O2249" s="48" t="n">
        <v>43129.69861111111</v>
      </c>
      <c r="P2249" s="49" t="n">
        <v>43129</v>
      </c>
      <c r="Q2249" s="47" t="n">
        <v>1019</v>
      </c>
      <c r="R2249" s="47" t="inlineStr">
        <is>
          <t>No Video ID yet</t>
        </is>
      </c>
      <c r="S2249" s="49" t="n"/>
      <c r="T2249" s="49" t="n"/>
      <c r="U2249" s="47" t="inlineStr">
        <is>
          <t>Check out the Video we made with Google Arts &amp; Culture :: This week Ben and I take off to London to work on an awesome Harry Potter project with Google Arts and Culture and the British Library. Also I deal with being away from Luke for the first time.</t>
        </is>
      </c>
      <c r="V2249" s="47">
        <f>IF(AND(P2249&gt;=Calendar!$K$2,P2249&lt;EDATE(Calendar!$K$2,1),OR(Calendar!$K$4="*",N2249=Calendar!$K$4)),P2249*100+COUNTIFS($P$6:$P$3267,P2249,$Q$6:$Q$3267,"&lt;="&amp;Q2249,$N$6:$N$3267,Calendar!$K$4),"")</f>
        <v/>
      </c>
      <c r="W2249" s="47">
        <f>IF(AND(B2249=Queue!$C$4,OR(Queue!$K$4="*",N2249=Queue!$K$4)),Q2249,"")</f>
        <v/>
      </c>
    </row>
    <row r="2250">
      <c r="A2250" s="38">
        <f>IF(M2250="","",HYPERLINK("https://www.youtube.com/watch?v="&amp;M2250,"▶"))</f>
        <v/>
      </c>
      <c r="B2250" s="39">
        <f>IF(C2250&lt;&gt;"",C2250,IF(P2250&lt;=IFERROR(INDEX(tblChannels[Watched Through],MATCH(N2250,tblChannels[Channel ID],0)),0),"Watched","Unwatched"))</f>
        <v/>
      </c>
      <c r="C2250" s="40" t="n"/>
      <c r="D2250" s="41" t="n"/>
      <c r="E2250" s="42" t="n">
        <v>43127.68194444444</v>
      </c>
      <c r="F2250" s="52" t="inlineStr">
        <is>
          <t>Super Carlin Gaming</t>
        </is>
      </c>
      <c r="G2250" t="inlineStr">
        <is>
          <t>Luke and J Play Pokemon Leaf Green | Mono Type FIRE Run #2</t>
        </is>
      </c>
      <c r="H2250" s="44" t="n">
        <v>0.04592592592592593</v>
      </c>
      <c r="I2250" s="45" t="n">
        <v>15683</v>
      </c>
      <c r="J2250" s="45" t="n">
        <v>479</v>
      </c>
      <c r="K2250" s="45" t="n">
        <v>75</v>
      </c>
      <c r="L2250" s="46" t="n"/>
      <c r="M2250" s="47" t="n"/>
      <c r="N2250" s="47" t="inlineStr">
        <is>
          <t>UCor_9jRnNNZVzTuQ92PKsaQ</t>
        </is>
      </c>
      <c r="O2250" s="48" t="n">
        <v>43127.89027777778</v>
      </c>
      <c r="P2250" s="49" t="n">
        <v>43127</v>
      </c>
      <c r="Q2250" s="47" t="n">
        <v>1018</v>
      </c>
      <c r="R2250" s="47" t="inlineStr">
        <is>
          <t>No Video ID yet</t>
        </is>
      </c>
      <c r="S2250" s="49" t="n"/>
      <c r="T2250" s="49" t="n"/>
      <c r="U2250" s="47" t="inlineStr">
        <is>
          <t>J and Luke's LIVE Pokemon Leaf Green Mono-Type Fire Run Adventure continues! Today we add the first new member of our team!</t>
        </is>
      </c>
      <c r="V2250" s="47">
        <f>IF(AND(P2250&gt;=Calendar!$K$2,P2250&lt;EDATE(Calendar!$K$2,1),OR(Calendar!$K$4="*",N2250=Calendar!$K$4)),P2250*100+COUNTIFS($P$6:$P$3267,P2250,$Q$6:$Q$3267,"&lt;="&amp;Q2250,$N$6:$N$3267,Calendar!$K$4),"")</f>
        <v/>
      </c>
      <c r="W2250" s="47">
        <f>IF(AND(B2250=Queue!$C$4,OR(Queue!$K$4="*",N2250=Queue!$K$4)),Q2250,"")</f>
        <v/>
      </c>
    </row>
    <row r="2251">
      <c r="A2251" s="38">
        <f>IF(M2251="","",HYPERLINK("https://www.youtube.com/watch?v="&amp;M2251,"▶"))</f>
        <v/>
      </c>
      <c r="B2251" s="39">
        <f>IF(C2251&lt;&gt;"",C2251,IF(P2251&lt;=IFERROR(INDEX(tblChannels[Watched Through],MATCH(N2251,tblChannels[Channel ID],0)),0),"Watched","Unwatched"))</f>
        <v/>
      </c>
      <c r="C2251" s="40" t="n"/>
      <c r="D2251" s="41" t="n"/>
      <c r="E2251" s="42" t="n">
        <v>43125.69305555556</v>
      </c>
      <c r="F2251" s="50" t="inlineStr">
        <is>
          <t>Super Carlin Brothers</t>
        </is>
      </c>
      <c r="G2251" t="inlineStr">
        <is>
          <t>Harry IS The Philosopher’s Stone | Harry Potter Theory</t>
        </is>
      </c>
      <c r="H2251" s="44" t="n">
        <v>0.006574074074074074</v>
      </c>
      <c r="I2251" s="45" t="n">
        <v>987741</v>
      </c>
      <c r="J2251" s="45" t="n">
        <v>30152</v>
      </c>
      <c r="K2251" s="45" t="n">
        <v>2279</v>
      </c>
      <c r="L2251" s="46" t="n"/>
      <c r="M2251" s="47" t="n"/>
      <c r="N2251" s="47" t="inlineStr">
        <is>
          <t>UCKZo4N0lVPccBkSiuyVh4yg</t>
        </is>
      </c>
      <c r="O2251" s="48" t="n">
        <v>43125.90138888889</v>
      </c>
      <c r="P2251" s="49" t="n">
        <v>43125</v>
      </c>
      <c r="Q2251" s="47" t="n">
        <v>1017</v>
      </c>
      <c r="R2251" s="47" t="inlineStr">
        <is>
          <t>No Video ID yet</t>
        </is>
      </c>
      <c r="S2251" s="49" t="n"/>
      <c r="T2251" s="49" t="n"/>
      <c r="U2251" s="47" t="inlineStr">
        <is>
          <t>Join the Dollar Shave Club :: Thanks to our sponsor Dollar Shave Club, new members get their 1st month of the 'Shower, Shave’Starter Set including the Executive Razor and trial-sized versions of their Shave Butter, Body Cleanser and One Wipe Charlies’ Butt Wipes for ONLY $5 with FREE shipping. After that razors are just a few bucks a month. Today Ben dives into the Wizarding World of Harry Potter to explore the muggle history of the Philosopher’s Stone and how Harry himself may in fact be one!</t>
        </is>
      </c>
      <c r="V2251" s="47">
        <f>IF(AND(P2251&gt;=Calendar!$K$2,P2251&lt;EDATE(Calendar!$K$2,1),OR(Calendar!$K$4="*",N2251=Calendar!$K$4)),P2251*100+COUNTIFS($P$6:$P$3267,P2251,$Q$6:$Q$3267,"&lt;="&amp;Q2251,$N$6:$N$3267,Calendar!$K$4),"")</f>
        <v/>
      </c>
      <c r="W2251" s="47">
        <f>IF(AND(B2251=Queue!$C$4,OR(Queue!$K$4="*",N2251=Queue!$K$4)),Q2251,"")</f>
        <v/>
      </c>
    </row>
    <row r="2252">
      <c r="A2252" s="38">
        <f>IF(M2252="","",HYPERLINK("https://www.youtube.com/watch?v="&amp;M2252,"▶"))</f>
        <v/>
      </c>
      <c r="B2252" s="39">
        <f>IF(C2252&lt;&gt;"",C2252,IF(P2252&lt;=IFERROR(INDEX(tblChannels[Watched Through],MATCH(N2252,tblChannels[Channel ID],0)),0),"Watched","Unwatched"))</f>
        <v/>
      </c>
      <c r="C2252" s="40" t="n"/>
      <c r="D2252" s="41" t="n"/>
      <c r="E2252" s="42" t="n">
        <v>43125.64583333334</v>
      </c>
      <c r="F2252" s="52" t="inlineStr">
        <is>
          <t>Super Carlin Gaming</t>
        </is>
      </c>
      <c r="G2252" t="inlineStr">
        <is>
          <t>Monkey in a Bucket | Mario Kart Roulette #66</t>
        </is>
      </c>
      <c r="H2252" s="44" t="n">
        <v>0.01304398148148148</v>
      </c>
      <c r="I2252" s="45" t="n">
        <v>11275</v>
      </c>
      <c r="J2252" s="45" t="n">
        <v>436</v>
      </c>
      <c r="K2252" s="45" t="n">
        <v>172</v>
      </c>
      <c r="L2252" s="46" t="n"/>
      <c r="M2252" s="47" t="n"/>
      <c r="N2252" s="47" t="inlineStr">
        <is>
          <t>UCor_9jRnNNZVzTuQ92PKsaQ</t>
        </is>
      </c>
      <c r="O2252" s="48" t="n">
        <v>43125.85416666666</v>
      </c>
      <c r="P2252" s="49" t="n">
        <v>43125</v>
      </c>
      <c r="Q2252" s="47" t="n">
        <v>1016</v>
      </c>
      <c r="R2252" s="47" t="inlineStr">
        <is>
          <t>No Video ID yet</t>
        </is>
      </c>
      <c r="S2252" s="49" t="n"/>
      <c r="T2252" s="49" t="n"/>
      <c r="U2252" s="47" t="inlineStr">
        <is>
          <t>J and Ben take on the Triforce Cup and answer your questions!</t>
        </is>
      </c>
      <c r="V2252" s="47">
        <f>IF(AND(P2252&gt;=Calendar!$K$2,P2252&lt;EDATE(Calendar!$K$2,1),OR(Calendar!$K$4="*",N2252=Calendar!$K$4)),P2252*100+COUNTIFS($P$6:$P$3267,P2252,$Q$6:$Q$3267,"&lt;="&amp;Q2252,$N$6:$N$3267,Calendar!$K$4),"")</f>
        <v/>
      </c>
      <c r="W2252" s="47">
        <f>IF(AND(B2252=Queue!$C$4,OR(Queue!$K$4="*",N2252=Queue!$K$4)),Q2252,"")</f>
        <v/>
      </c>
    </row>
    <row r="2253">
      <c r="A2253" s="38">
        <f>IF(M2253="","",HYPERLINK("https://www.youtube.com/watch?v="&amp;M2253,"▶"))</f>
        <v/>
      </c>
      <c r="B2253" s="39">
        <f>IF(C2253&lt;&gt;"",C2253,IF(P2253&lt;=IFERROR(INDEX(tblChannels[Watched Through],MATCH(N2253,tblChannels[Channel ID],0)),0),"Watched","Unwatched"))</f>
        <v/>
      </c>
      <c r="C2253" s="40" t="n"/>
      <c r="D2253" s="41" t="n"/>
      <c r="E2253" s="42" t="n">
        <v>43124.89930555555</v>
      </c>
      <c r="F2253" s="53" t="inlineStr">
        <is>
          <t>Jonathan Carlin</t>
        </is>
      </c>
      <c r="G2253" t="inlineStr">
        <is>
          <t>Q&amp;A w/ Beth and J.. and Luke!</t>
        </is>
      </c>
      <c r="H2253" s="44" t="n">
        <v>0.06125</v>
      </c>
      <c r="I2253" s="45" t="n">
        <v>38043</v>
      </c>
      <c r="J2253" s="45" t="n">
        <v>1368</v>
      </c>
      <c r="K2253" s="45" t="n">
        <v>194</v>
      </c>
      <c r="L2253" s="46" t="n"/>
      <c r="M2253" s="47" t="n"/>
      <c r="N2253" s="47" t="inlineStr">
        <is>
          <t>UCYPKFe86e6nm4TVUYKLsFUQ</t>
        </is>
      </c>
      <c r="O2253" s="48" t="n">
        <v>43125.10763888889</v>
      </c>
      <c r="P2253" s="49" t="n">
        <v>43124</v>
      </c>
      <c r="Q2253" s="47" t="n">
        <v>1015</v>
      </c>
      <c r="R2253" s="47" t="inlineStr">
        <is>
          <t>No Video ID yet</t>
        </is>
      </c>
      <c r="S2253" s="49" t="n"/>
      <c r="T2253" s="49" t="n"/>
      <c r="U2253" s="47" t="inlineStr">
        <is>
          <t>Beth and J are back with Luke to hang out and answer more of your questions!</t>
        </is>
      </c>
      <c r="V2253" s="47">
        <f>IF(AND(P2253&gt;=Calendar!$K$2,P2253&lt;EDATE(Calendar!$K$2,1),OR(Calendar!$K$4="*",N2253=Calendar!$K$4)),P2253*100+COUNTIFS($P$6:$P$3267,P2253,$Q$6:$Q$3267,"&lt;="&amp;Q2253,$N$6:$N$3267,Calendar!$K$4),"")</f>
        <v/>
      </c>
      <c r="W2253" s="47">
        <f>IF(AND(B2253=Queue!$C$4,OR(Queue!$K$4="*",N2253=Queue!$K$4)),Q2253,"")</f>
        <v/>
      </c>
    </row>
    <row r="2254">
      <c r="A2254" s="38">
        <f>IF(M2254="","",HYPERLINK("https://www.youtube.com/watch?v="&amp;M2254,"▶"))</f>
        <v/>
      </c>
      <c r="B2254" s="39">
        <f>IF(C2254&lt;&gt;"",C2254,IF(P2254&lt;=IFERROR(INDEX(tblChannels[Watched Through],MATCH(N2254,tblChannels[Channel ID],0)),0),"Watched","Unwatched"))</f>
        <v/>
      </c>
      <c r="C2254" s="40" t="n"/>
      <c r="D2254" s="41" t="n"/>
      <c r="E2254" s="42" t="n">
        <v>43124.81388888889</v>
      </c>
      <c r="F2254" s="52" t="inlineStr">
        <is>
          <t>Super Carlin Gaming</t>
        </is>
      </c>
      <c r="G2254" t="inlineStr">
        <is>
          <t>Pokemon Black Nuzlocke #28: THE FINAL BATTLE</t>
        </is>
      </c>
      <c r="H2254" s="44" t="n">
        <v>0.02778935185185185</v>
      </c>
      <c r="I2254" s="45" t="n">
        <v>37208</v>
      </c>
      <c r="J2254" s="45" t="n">
        <v>1396</v>
      </c>
      <c r="K2254" s="45" t="n">
        <v>594</v>
      </c>
      <c r="L2254" s="46" t="n"/>
      <c r="M2254" s="47" t="n"/>
      <c r="N2254" s="47" t="inlineStr">
        <is>
          <t>UCor_9jRnNNZVzTuQ92PKsaQ</t>
        </is>
      </c>
      <c r="O2254" s="48" t="n">
        <v>43125.02222222222</v>
      </c>
      <c r="P2254" s="49" t="n">
        <v>43124</v>
      </c>
      <c r="Q2254" s="47" t="n">
        <v>1014</v>
      </c>
      <c r="R2254" s="47" t="inlineStr">
        <is>
          <t>No Video ID yet</t>
        </is>
      </c>
      <c r="S2254" s="49" t="n"/>
      <c r="T2254" s="49" t="n"/>
      <c r="U2254" s="47" t="inlineStr">
        <is>
          <t>J and the team take on their final opponent... Can they survive one more encounter together or will this be the end?</t>
        </is>
      </c>
      <c r="V2254" s="47">
        <f>IF(AND(P2254&gt;=Calendar!$K$2,P2254&lt;EDATE(Calendar!$K$2,1),OR(Calendar!$K$4="*",N2254=Calendar!$K$4)),P2254*100+COUNTIFS($P$6:$P$3267,P2254,$Q$6:$Q$3267,"&lt;="&amp;Q2254,$N$6:$N$3267,Calendar!$K$4),"")</f>
        <v/>
      </c>
      <c r="W2254" s="47">
        <f>IF(AND(B2254=Queue!$C$4,OR(Queue!$K$4="*",N2254=Queue!$K$4)),Q2254,"")</f>
        <v/>
      </c>
    </row>
    <row r="2255">
      <c r="A2255" s="38">
        <f>IF(M2255="","",HYPERLINK("https://www.youtube.com/watch?v="&amp;M2255,"▶"))</f>
        <v/>
      </c>
      <c r="B2255" s="39">
        <f>IF(C2255&lt;&gt;"",C2255,IF(P2255&lt;=IFERROR(INDEX(tblChannels[Watched Through],MATCH(N2255,tblChannels[Channel ID],0)),0),"Watched","Unwatched"))</f>
        <v/>
      </c>
      <c r="C2255" s="40" t="n"/>
      <c r="D2255" s="41" t="n"/>
      <c r="E2255" s="42" t="n">
        <v>43123.76041666666</v>
      </c>
      <c r="F2255" s="50" t="inlineStr">
        <is>
          <t>Super Carlin Brothers</t>
        </is>
      </c>
      <c r="G2255" t="inlineStr">
        <is>
          <t>J vs Ben: Sorting Pixar Characters into Hogwarts Houses</t>
        </is>
      </c>
      <c r="H2255" s="44" t="n">
        <v>0.01783564814814815</v>
      </c>
      <c r="I2255" s="45" t="n">
        <v>1404692</v>
      </c>
      <c r="J2255" s="45" t="n">
        <v>29831</v>
      </c>
      <c r="K2255" s="45" t="n">
        <v>5564</v>
      </c>
      <c r="L2255" s="46" t="n"/>
      <c r="M2255" s="47" t="n"/>
      <c r="N2255" s="47" t="inlineStr">
        <is>
          <t>UCKZo4N0lVPccBkSiuyVh4yg</t>
        </is>
      </c>
      <c r="O2255" s="48" t="n">
        <v>43123.96875</v>
      </c>
      <c r="P2255" s="49" t="n">
        <v>43123</v>
      </c>
      <c r="Q2255" s="47" t="n">
        <v>1013</v>
      </c>
      <c r="R2255" s="47" t="inlineStr">
        <is>
          <t>No Video ID yet</t>
        </is>
      </c>
      <c r="S2255" s="49" t="n"/>
      <c r="T2255" s="49" t="n"/>
      <c r="U2255" s="47" t="inlineStr">
        <is>
          <t>VOTING FOR THIS GAME HAS ENDED! To enter to win the $1,000 Scholarship start building your project at SquareSpace.com/SCB Today J and Ben face off to determine which Hogwarts houses various Pixar characters belong to! Is Buzz Lightyear a Gryffindor? Is Edna Mode a Ravenclaw? Find out!</t>
        </is>
      </c>
      <c r="V2255" s="47">
        <f>IF(AND(P2255&gt;=Calendar!$K$2,P2255&lt;EDATE(Calendar!$K$2,1),OR(Calendar!$K$4="*",N2255=Calendar!$K$4)),P2255*100+COUNTIFS($P$6:$P$3267,P2255,$Q$6:$Q$3267,"&lt;="&amp;Q2255,$N$6:$N$3267,Calendar!$K$4),"")</f>
        <v/>
      </c>
      <c r="W2255" s="47">
        <f>IF(AND(B2255=Queue!$C$4,OR(Queue!$K$4="*",N2255=Queue!$K$4)),Q2255,"")</f>
        <v/>
      </c>
    </row>
    <row r="2256">
      <c r="A2256" s="38">
        <f>IF(M2256="","",HYPERLINK("https://www.youtube.com/watch?v="&amp;M2256,"▶"))</f>
        <v/>
      </c>
      <c r="B2256" s="39">
        <f>IF(C2256&lt;&gt;"",C2256,IF(P2256&lt;=IFERROR(INDEX(tblChannels[Watched Through],MATCH(N2256,tblChannels[Channel ID],0)),0),"Watched","Unwatched"))</f>
        <v/>
      </c>
      <c r="C2256" s="40" t="n"/>
      <c r="D2256" s="41" t="n"/>
      <c r="E2256" s="42" t="n">
        <v>43123.57777777778</v>
      </c>
      <c r="F2256" s="52" t="inlineStr">
        <is>
          <t>Super Carlin Gaming</t>
        </is>
      </c>
      <c r="G2256" t="inlineStr">
        <is>
          <t>Motivation is Success | Mario Kart Roulette #65</t>
        </is>
      </c>
      <c r="H2256" s="44" t="n">
        <v>0.01130787037037037</v>
      </c>
      <c r="I2256" s="45" t="n">
        <v>10348</v>
      </c>
      <c r="J2256" s="45" t="n">
        <v>419</v>
      </c>
      <c r="K2256" s="45" t="n">
        <v>76</v>
      </c>
      <c r="L2256" s="46" t="n"/>
      <c r="M2256" s="47" t="n"/>
      <c r="N2256" s="47" t="inlineStr">
        <is>
          <t>UCor_9jRnNNZVzTuQ92PKsaQ</t>
        </is>
      </c>
      <c r="O2256" s="48" t="n">
        <v>43123.78611111111</v>
      </c>
      <c r="P2256" s="49" t="n">
        <v>43123</v>
      </c>
      <c r="Q2256" s="47" t="n">
        <v>1012</v>
      </c>
      <c r="R2256" s="47" t="inlineStr">
        <is>
          <t>No Video ID yet</t>
        </is>
      </c>
      <c r="S2256" s="49" t="n"/>
      <c r="T2256" s="49" t="n"/>
      <c r="U2256" s="47" t="inlineStr">
        <is>
          <t>J and Ben take on the Egg Cup and answer your questions!</t>
        </is>
      </c>
      <c r="V2256" s="47">
        <f>IF(AND(P2256&gt;=Calendar!$K$2,P2256&lt;EDATE(Calendar!$K$2,1),OR(Calendar!$K$4="*",N2256=Calendar!$K$4)),P2256*100+COUNTIFS($P$6:$P$3267,P2256,$Q$6:$Q$3267,"&lt;="&amp;Q2256,$N$6:$N$3267,Calendar!$K$4),"")</f>
        <v/>
      </c>
      <c r="W2256" s="47">
        <f>IF(AND(B2256=Queue!$C$4,OR(Queue!$K$4="*",N2256=Queue!$K$4)),Q2256,"")</f>
        <v/>
      </c>
    </row>
    <row r="2257">
      <c r="A2257" s="38">
        <f>IF(M2257="","",HYPERLINK("https://www.youtube.com/watch?v="&amp;M2257,"▶"))</f>
        <v/>
      </c>
      <c r="B2257" s="39">
        <f>IF(C2257&lt;&gt;"",C2257,IF(P2257&lt;=IFERROR(INDEX(tblChannels[Watched Through],MATCH(N2257,tblChannels[Channel ID],0)),0),"Watched","Unwatched"))</f>
        <v/>
      </c>
      <c r="C2257" s="40" t="n"/>
      <c r="D2257" s="41" t="n"/>
      <c r="E2257" s="42" t="n">
        <v>43122.59583333333</v>
      </c>
      <c r="F2257" s="52" t="inlineStr">
        <is>
          <t>Super Carlin Gaming</t>
        </is>
      </c>
      <c r="G2257" t="inlineStr">
        <is>
          <t>Pokemon Black Nuzlocke #27: The Second Half...</t>
        </is>
      </c>
      <c r="H2257" s="44" t="n">
        <v>0.01650462962962963</v>
      </c>
      <c r="I2257" s="45" t="n">
        <v>22172</v>
      </c>
      <c r="J2257" s="45" t="n">
        <v>697</v>
      </c>
      <c r="K2257" s="45" t="n">
        <v>176</v>
      </c>
      <c r="L2257" s="46" t="n"/>
      <c r="M2257" s="47" t="n"/>
      <c r="N2257" s="47" t="inlineStr">
        <is>
          <t>UCor_9jRnNNZVzTuQ92PKsaQ</t>
        </is>
      </c>
      <c r="O2257" s="48" t="n">
        <v>43122.80416666667</v>
      </c>
      <c r="P2257" s="49" t="n">
        <v>43122</v>
      </c>
      <c r="Q2257" s="47" t="n">
        <v>1011</v>
      </c>
      <c r="R2257" s="47" t="inlineStr">
        <is>
          <t>No Video ID yet</t>
        </is>
      </c>
      <c r="S2257" s="49" t="n"/>
      <c r="T2257" s="49" t="n"/>
      <c r="U2257" s="47" t="inlineStr">
        <is>
          <t>J &amp; The Team take on the second half of the Elite Four! Is the team ready? Will we get through the Elite Four safely?</t>
        </is>
      </c>
      <c r="V2257" s="47">
        <f>IF(AND(P2257&gt;=Calendar!$K$2,P2257&lt;EDATE(Calendar!$K$2,1),OR(Calendar!$K$4="*",N2257=Calendar!$K$4)),P2257*100+COUNTIFS($P$6:$P$3267,P2257,$Q$6:$Q$3267,"&lt;="&amp;Q2257,$N$6:$N$3267,Calendar!$K$4),"")</f>
        <v/>
      </c>
      <c r="W2257" s="47">
        <f>IF(AND(B2257=Queue!$C$4,OR(Queue!$K$4="*",N2257=Queue!$K$4)),Q2257,"")</f>
        <v/>
      </c>
    </row>
    <row r="2258">
      <c r="A2258" s="38">
        <f>IF(M2258="","",HYPERLINK("https://www.youtube.com/watch?v="&amp;M2258,"▶"))</f>
        <v/>
      </c>
      <c r="B2258" s="39">
        <f>IF(C2258&lt;&gt;"",C2258,IF(P2258&lt;=IFERROR(INDEX(tblChannels[Watched Through],MATCH(N2258,tblChannels[Channel ID],0)),0),"Watched","Unwatched"))</f>
        <v/>
      </c>
      <c r="C2258" s="40" t="n"/>
      <c r="D2258" s="41" t="n"/>
      <c r="E2258" s="42" t="n">
        <v>43122.52847222222</v>
      </c>
      <c r="F2258" s="53" t="inlineStr">
        <is>
          <t>Jonathan Carlin</t>
        </is>
      </c>
      <c r="G2258" t="inlineStr">
        <is>
          <t>QUEST FOR THE PERFECT BURGER</t>
        </is>
      </c>
      <c r="H2258" s="44" t="n">
        <v>0.005891203703703704</v>
      </c>
      <c r="I2258" s="45" t="n">
        <v>49830</v>
      </c>
      <c r="J2258" s="45" t="n">
        <v>2012</v>
      </c>
      <c r="K2258" s="45" t="n">
        <v>249</v>
      </c>
      <c r="L2258" s="46" t="n"/>
      <c r="M2258" s="47" t="n"/>
      <c r="N2258" s="47" t="inlineStr">
        <is>
          <t>UCYPKFe86e6nm4TVUYKLsFUQ</t>
        </is>
      </c>
      <c r="O2258" s="48" t="n">
        <v>43122.73680555556</v>
      </c>
      <c r="P2258" s="49" t="n">
        <v>43122</v>
      </c>
      <c r="Q2258" s="47" t="n">
        <v>1010</v>
      </c>
      <c r="R2258" s="47" t="inlineStr">
        <is>
          <t>No Video ID yet</t>
        </is>
      </c>
      <c r="S2258" s="49" t="n"/>
      <c r="T2258" s="49" t="n"/>
      <c r="U2258" s="47" t="inlineStr">
        <is>
          <t>Welcome to 2018! Kallie is back and the hunt for the Best Burger in Roanoke is ON! My friends Burger Blog ::</t>
        </is>
      </c>
      <c r="V2258" s="47">
        <f>IF(AND(P2258&gt;=Calendar!$K$2,P2258&lt;EDATE(Calendar!$K$2,1),OR(Calendar!$K$4="*",N2258=Calendar!$K$4)),P2258*100+COUNTIFS($P$6:$P$3267,P2258,$Q$6:$Q$3267,"&lt;="&amp;Q2258,$N$6:$N$3267,Calendar!$K$4),"")</f>
        <v/>
      </c>
      <c r="W2258" s="47">
        <f>IF(AND(B2258=Queue!$C$4,OR(Queue!$K$4="*",N2258=Queue!$K$4)),Q2258,"")</f>
        <v/>
      </c>
    </row>
    <row r="2259">
      <c r="A2259" s="38">
        <f>IF(M2259="","",HYPERLINK("https://www.youtube.com/watch?v="&amp;M2259,"▶"))</f>
        <v/>
      </c>
      <c r="B2259" s="39">
        <f>IF(C2259&lt;&gt;"",C2259,IF(P2259&lt;=IFERROR(INDEX(tblChannels[Watched Through],MATCH(N2259,tblChannels[Channel ID],0)),0),"Watched","Unwatched"))</f>
        <v/>
      </c>
      <c r="C2259" s="40" t="n"/>
      <c r="D2259" s="41" t="n"/>
      <c r="E2259" s="42" t="n">
        <v>43119.72361111111</v>
      </c>
      <c r="F2259" s="52" t="inlineStr">
        <is>
          <t>Super Carlin Gaming</t>
        </is>
      </c>
      <c r="G2259" t="inlineStr">
        <is>
          <t>Pokemon Black Nuzlocke #26: The First Half...</t>
        </is>
      </c>
      <c r="H2259" s="44" t="n">
        <v>0.01847222222222222</v>
      </c>
      <c r="I2259" s="45" t="n">
        <v>23670</v>
      </c>
      <c r="J2259" s="45" t="n">
        <v>659</v>
      </c>
      <c r="K2259" s="45" t="n">
        <v>155</v>
      </c>
      <c r="L2259" s="46" t="n"/>
      <c r="M2259" s="47" t="n"/>
      <c r="N2259" s="47" t="inlineStr">
        <is>
          <t>UCor_9jRnNNZVzTuQ92PKsaQ</t>
        </is>
      </c>
      <c r="O2259" s="48" t="n">
        <v>43119.93194444444</v>
      </c>
      <c r="P2259" s="49" t="n">
        <v>43119</v>
      </c>
      <c r="Q2259" s="47" t="n">
        <v>1009</v>
      </c>
      <c r="R2259" s="47" t="inlineStr">
        <is>
          <t>No Video ID yet</t>
        </is>
      </c>
      <c r="S2259" s="49" t="n"/>
      <c r="T2259" s="49" t="n"/>
      <c r="U2259" s="47" t="inlineStr">
        <is>
          <t>J and the team move to take on the first half of the Elite Four! Will everyone make it through?</t>
        </is>
      </c>
      <c r="V2259" s="47">
        <f>IF(AND(P2259&gt;=Calendar!$K$2,P2259&lt;EDATE(Calendar!$K$2,1),OR(Calendar!$K$4="*",N2259=Calendar!$K$4)),P2259*100+COUNTIFS($P$6:$P$3267,P2259,$Q$6:$Q$3267,"&lt;="&amp;Q2259,$N$6:$N$3267,Calendar!$K$4),"")</f>
        <v/>
      </c>
      <c r="W2259" s="47">
        <f>IF(AND(B2259=Queue!$C$4,OR(Queue!$K$4="*",N2259=Queue!$K$4)),Q2259,"")</f>
        <v/>
      </c>
    </row>
    <row r="2260">
      <c r="A2260" s="38">
        <f>IF(M2260="","",HYPERLINK("https://www.youtube.com/watch?v="&amp;M2260,"▶"))</f>
        <v/>
      </c>
      <c r="B2260" s="39">
        <f>IF(C2260&lt;&gt;"",C2260,IF(P2260&lt;=IFERROR(INDEX(tblChannels[Watched Through],MATCH(N2260,tblChannels[Channel ID],0)),0),"Watched","Unwatched"))</f>
        <v/>
      </c>
      <c r="C2260" s="40" t="n"/>
      <c r="D2260" s="41" t="n"/>
      <c r="E2260" s="42" t="n">
        <v>43119.68611111111</v>
      </c>
      <c r="F2260" s="52" t="inlineStr">
        <is>
          <t>Super Carlin Gaming</t>
        </is>
      </c>
      <c r="G2260" t="inlineStr">
        <is>
          <t>Luke and J Play Pokemon Leaf Green | Mono Type FIRE Run #1</t>
        </is>
      </c>
      <c r="H2260" s="44" t="n">
        <v>0.02163194444444444</v>
      </c>
      <c r="I2260" s="45" t="n">
        <v>26600</v>
      </c>
      <c r="J2260" s="45" t="n">
        <v>690</v>
      </c>
      <c r="K2260" s="45" t="n">
        <v>119</v>
      </c>
      <c r="L2260" s="46" t="n"/>
      <c r="M2260" s="47" t="n"/>
      <c r="N2260" s="47" t="inlineStr">
        <is>
          <t>UCor_9jRnNNZVzTuQ92PKsaQ</t>
        </is>
      </c>
      <c r="O2260" s="48" t="n">
        <v>43119.89444444444</v>
      </c>
      <c r="P2260" s="49" t="n">
        <v>43119</v>
      </c>
      <c r="Q2260" s="47" t="n">
        <v>1008</v>
      </c>
      <c r="R2260" s="47" t="inlineStr">
        <is>
          <t>No Video ID yet</t>
        </is>
      </c>
      <c r="S2260" s="49" t="n"/>
      <c r="T2260" s="49" t="n"/>
      <c r="U2260" s="47" t="inlineStr">
        <is>
          <t>J and Luke's LIVE Pokemon Leaf Green Mono-Type Fire Run Adventure!</t>
        </is>
      </c>
      <c r="V2260" s="47">
        <f>IF(AND(P2260&gt;=Calendar!$K$2,P2260&lt;EDATE(Calendar!$K$2,1),OR(Calendar!$K$4="*",N2260=Calendar!$K$4)),P2260*100+COUNTIFS($P$6:$P$3267,P2260,$Q$6:$Q$3267,"&lt;="&amp;Q2260,$N$6:$N$3267,Calendar!$K$4),"")</f>
        <v/>
      </c>
      <c r="W2260" s="47">
        <f>IF(AND(B2260=Queue!$C$4,OR(Queue!$K$4="*",N2260=Queue!$K$4)),Q2260,"")</f>
        <v/>
      </c>
    </row>
    <row r="2261">
      <c r="A2261" s="38">
        <f>IF(M2261="","",HYPERLINK("https://www.youtube.com/watch?v="&amp;M2261,"▶"))</f>
        <v/>
      </c>
      <c r="B2261" s="39">
        <f>IF(C2261&lt;&gt;"",C2261,IF(P2261&lt;=IFERROR(INDEX(tblChannels[Watched Through],MATCH(N2261,tblChannels[Channel ID],0)),0),"Watched","Unwatched"))</f>
        <v/>
      </c>
      <c r="C2261" s="40" t="n"/>
      <c r="D2261" s="41" t="n"/>
      <c r="E2261" s="42" t="n">
        <v>43118.69791666666</v>
      </c>
      <c r="F2261" s="50" t="inlineStr">
        <is>
          <t>Super Carlin Brothers</t>
        </is>
      </c>
      <c r="G2261" t="inlineStr">
        <is>
          <t>Why Harry's Scar Is A Lightning Bolt | Harry Potter Theory</t>
        </is>
      </c>
      <c r="H2261" s="44" t="n">
        <v>0.00636574074074074</v>
      </c>
      <c r="I2261" s="45" t="n">
        <v>1493835</v>
      </c>
      <c r="J2261" s="45" t="n">
        <v>35597</v>
      </c>
      <c r="K2261" s="45" t="n">
        <v>4684</v>
      </c>
      <c r="L2261" s="46" t="n"/>
      <c r="M2261" s="47" t="n"/>
      <c r="N2261" s="47" t="inlineStr">
        <is>
          <t>UCKZo4N0lVPccBkSiuyVh4yg</t>
        </is>
      </c>
      <c r="O2261" s="48" t="n">
        <v>43118.90625</v>
      </c>
      <c r="P2261" s="49" t="n">
        <v>43118</v>
      </c>
      <c r="Q2261" s="47" t="n">
        <v>1007</v>
      </c>
      <c r="R2261" s="47" t="inlineStr">
        <is>
          <t>No Video ID yet</t>
        </is>
      </c>
      <c r="S2261" s="49" t="n"/>
      <c r="T2261" s="49" t="n"/>
      <c r="U2261" s="47" t="inlineStr">
        <is>
          <t>Today J dives into the Wizarding World of Harry Potter to discuss why his iconic lightning bolt scar is shaped the way it is!</t>
        </is>
      </c>
      <c r="V2261" s="47">
        <f>IF(AND(P2261&gt;=Calendar!$K$2,P2261&lt;EDATE(Calendar!$K$2,1),OR(Calendar!$K$4="*",N2261=Calendar!$K$4)),P2261*100+COUNTIFS($P$6:$P$3267,P2261,$Q$6:$Q$3267,"&lt;="&amp;Q2261,$N$6:$N$3267,Calendar!$K$4),"")</f>
        <v/>
      </c>
      <c r="W2261" s="47">
        <f>IF(AND(B2261=Queue!$C$4,OR(Queue!$K$4="*",N2261=Queue!$K$4)),Q2261,"")</f>
        <v/>
      </c>
    </row>
    <row r="2262">
      <c r="A2262" s="38">
        <f>IF(M2262="","",HYPERLINK("https://www.youtube.com/watch?v="&amp;M2262,"▶"))</f>
        <v/>
      </c>
      <c r="B2262" s="39">
        <f>IF(C2262&lt;&gt;"",C2262,IF(P2262&lt;=IFERROR(INDEX(tblChannels[Watched Through],MATCH(N2262,tblChannels[Channel ID],0)),0),"Watched","Unwatched"))</f>
        <v/>
      </c>
      <c r="C2262" s="40" t="n"/>
      <c r="D2262" s="41" t="n"/>
      <c r="E2262" s="42" t="n">
        <v>43118.55347222222</v>
      </c>
      <c r="F2262" s="52" t="inlineStr">
        <is>
          <t>Super Carlin Gaming</t>
        </is>
      </c>
      <c r="G2262" t="inlineStr">
        <is>
          <t>Mario Kart Roulette #64: Cross Country Solves Problems</t>
        </is>
      </c>
      <c r="H2262" s="44" t="n">
        <v>0.01244212962962963</v>
      </c>
      <c r="I2262" s="45" t="n">
        <v>11363</v>
      </c>
      <c r="J2262" s="45" t="n">
        <v>589</v>
      </c>
      <c r="K2262" s="45" t="n">
        <v>129</v>
      </c>
      <c r="L2262" s="46" t="n"/>
      <c r="M2262" s="47" t="n"/>
      <c r="N2262" s="47" t="inlineStr">
        <is>
          <t>UCor_9jRnNNZVzTuQ92PKsaQ</t>
        </is>
      </c>
      <c r="O2262" s="48" t="n">
        <v>43118.76180555556</v>
      </c>
      <c r="P2262" s="49" t="n">
        <v>43118</v>
      </c>
      <c r="Q2262" s="47" t="n">
        <v>1006</v>
      </c>
      <c r="R2262" s="47" t="inlineStr">
        <is>
          <t>No Video ID yet</t>
        </is>
      </c>
      <c r="S2262" s="49" t="n"/>
      <c r="T2262" s="49" t="n"/>
      <c r="U2262" s="47" t="inlineStr">
        <is>
          <t>J and Ben take on the Special Cup and answer your questions!</t>
        </is>
      </c>
      <c r="V2262" s="47">
        <f>IF(AND(P2262&gt;=Calendar!$K$2,P2262&lt;EDATE(Calendar!$K$2,1),OR(Calendar!$K$4="*",N2262=Calendar!$K$4)),P2262*100+COUNTIFS($P$6:$P$3267,P2262,$Q$6:$Q$3267,"&lt;="&amp;Q2262,$N$6:$N$3267,Calendar!$K$4),"")</f>
        <v/>
      </c>
      <c r="W2262" s="47">
        <f>IF(AND(B2262=Queue!$C$4,OR(Queue!$K$4="*",N2262=Queue!$K$4)),Q2262,"")</f>
        <v/>
      </c>
    </row>
    <row r="2263">
      <c r="A2263" s="38">
        <f>IF(M2263="","",HYPERLINK("https://www.youtube.com/watch?v="&amp;M2263,"▶"))</f>
        <v/>
      </c>
      <c r="B2263" s="39">
        <f>IF(C2263&lt;&gt;"",C2263,IF(P2263&lt;=IFERROR(INDEX(tblChannels[Watched Through],MATCH(N2263,tblChannels[Channel ID],0)),0),"Watched","Unwatched"))</f>
        <v/>
      </c>
      <c r="C2263" s="40" t="n"/>
      <c r="D2263" s="41" t="n"/>
      <c r="E2263" s="42" t="n">
        <v>43117.91527777778</v>
      </c>
      <c r="F2263" s="53" t="inlineStr">
        <is>
          <t>Jonathan Carlin</t>
        </is>
      </c>
      <c r="G2263" t="inlineStr">
        <is>
          <t>LIVE STREAM: Q&amp;A w/ Beth and J!</t>
        </is>
      </c>
      <c r="H2263" s="44" t="n">
        <v>0.05501157407407407</v>
      </c>
      <c r="I2263" s="45" t="n">
        <v>29997</v>
      </c>
      <c r="J2263" s="45" t="n">
        <v>1498</v>
      </c>
      <c r="K2263" s="45" t="n">
        <v>175</v>
      </c>
      <c r="L2263" s="46" t="n"/>
      <c r="M2263" s="47" t="n"/>
      <c r="N2263" s="47" t="inlineStr">
        <is>
          <t>UCYPKFe86e6nm4TVUYKLsFUQ</t>
        </is>
      </c>
      <c r="O2263" s="48" t="n">
        <v>43118.12361111111</v>
      </c>
      <c r="P2263" s="49" t="n">
        <v>43117</v>
      </c>
      <c r="Q2263" s="47" t="n">
        <v>1005</v>
      </c>
      <c r="R2263" s="47" t="inlineStr">
        <is>
          <t>No Video ID yet</t>
        </is>
      </c>
      <c r="S2263" s="49" t="n"/>
      <c r="T2263" s="49" t="n"/>
      <c r="U2263" s="47" t="inlineStr">
        <is>
          <t>J and Beth answer your questions about life, Luke and whatever else!</t>
        </is>
      </c>
      <c r="V2263" s="47">
        <f>IF(AND(P2263&gt;=Calendar!$K$2,P2263&lt;EDATE(Calendar!$K$2,1),OR(Calendar!$K$4="*",N2263=Calendar!$K$4)),P2263*100+COUNTIFS($P$6:$P$3267,P2263,$Q$6:$Q$3267,"&lt;="&amp;Q2263,$N$6:$N$3267,Calendar!$K$4),"")</f>
        <v/>
      </c>
      <c r="W2263" s="47">
        <f>IF(AND(B2263=Queue!$C$4,OR(Queue!$K$4="*",N2263=Queue!$K$4)),Q2263,"")</f>
        <v/>
      </c>
    </row>
    <row r="2264">
      <c r="A2264" s="38">
        <f>IF(M2264="","",HYPERLINK("https://www.youtube.com/watch?v="&amp;M2264,"▶"))</f>
        <v/>
      </c>
      <c r="B2264" s="39">
        <f>IF(C2264&lt;&gt;"",C2264,IF(P2264&lt;=IFERROR(INDEX(tblChannels[Watched Through],MATCH(N2264,tblChannels[Channel ID],0)),0),"Watched","Unwatched"))</f>
        <v/>
      </c>
      <c r="C2264" s="40" t="n"/>
      <c r="D2264" s="41" t="n"/>
      <c r="E2264" s="42" t="n">
        <v>43117.70277777778</v>
      </c>
      <c r="F2264" s="52" t="inlineStr">
        <is>
          <t>Super Carlin Gaming</t>
        </is>
      </c>
      <c r="G2264" t="inlineStr">
        <is>
          <t>Pokemon Black Nuzlocke #25: Que the Victory Road Music!</t>
        </is>
      </c>
      <c r="H2264" s="44" t="n">
        <v>0.01328703703703704</v>
      </c>
      <c r="I2264" s="45" t="n">
        <v>21546</v>
      </c>
      <c r="J2264" s="45" t="n">
        <v>611</v>
      </c>
      <c r="K2264" s="45" t="n">
        <v>159</v>
      </c>
      <c r="L2264" s="46" t="n"/>
      <c r="M2264" s="47" t="n"/>
      <c r="N2264" s="47" t="inlineStr">
        <is>
          <t>UCor_9jRnNNZVzTuQ92PKsaQ</t>
        </is>
      </c>
      <c r="O2264" s="48" t="n">
        <v>43117.91111111111</v>
      </c>
      <c r="P2264" s="49" t="n">
        <v>43117</v>
      </c>
      <c r="Q2264" s="47" t="n">
        <v>1004</v>
      </c>
      <c r="R2264" s="47" t="inlineStr">
        <is>
          <t>No Video ID yet</t>
        </is>
      </c>
      <c r="S2264" s="49" t="n"/>
      <c r="T2264" s="49" t="n"/>
      <c r="U2264" s="47" t="inlineStr">
        <is>
          <t>J and the team train up some new members and return to challenge Victory Road and make their way to the Pokémon League! Will everyone survive another treacherous journey through the most challenging cave??</t>
        </is>
      </c>
      <c r="V2264" s="47">
        <f>IF(AND(P2264&gt;=Calendar!$K$2,P2264&lt;EDATE(Calendar!$K$2,1),OR(Calendar!$K$4="*",N2264=Calendar!$K$4)),P2264*100+COUNTIFS($P$6:$P$3267,P2264,$Q$6:$Q$3267,"&lt;="&amp;Q2264,$N$6:$N$3267,Calendar!$K$4),"")</f>
        <v/>
      </c>
      <c r="W2264" s="47">
        <f>IF(AND(B2264=Queue!$C$4,OR(Queue!$K$4="*",N2264=Queue!$K$4)),Q2264,"")</f>
        <v/>
      </c>
    </row>
    <row r="2265">
      <c r="A2265" s="38">
        <f>IF(M2265="","",HYPERLINK("https://www.youtube.com/watch?v="&amp;M2265,"▶"))</f>
        <v/>
      </c>
      <c r="B2265" s="39">
        <f>IF(C2265&lt;&gt;"",C2265,IF(P2265&lt;=IFERROR(INDEX(tblChannels[Watched Through],MATCH(N2265,tblChannels[Channel ID],0)),0),"Watched","Unwatched"))</f>
        <v/>
      </c>
      <c r="C2265" s="40" t="n"/>
      <c r="D2265" s="41" t="n"/>
      <c r="E2265" s="42" t="n">
        <v>43116.87708333333</v>
      </c>
      <c r="F2265" s="50" t="inlineStr">
        <is>
          <t>Super Carlin Brothers</t>
        </is>
      </c>
      <c r="G2265" t="inlineStr">
        <is>
          <t>J vs Ben: The HARDEST Snape Trivia Quiz EVER</t>
        </is>
      </c>
      <c r="H2265" s="44" t="n">
        <v>0.02918981481481481</v>
      </c>
      <c r="I2265" s="45" t="n">
        <v>1979854</v>
      </c>
      <c r="J2265" s="45" t="n">
        <v>26437</v>
      </c>
      <c r="K2265" s="45" t="n">
        <v>3712</v>
      </c>
      <c r="L2265" s="46" t="n"/>
      <c r="M2265" s="47" t="n"/>
      <c r="N2265" s="47" t="inlineStr">
        <is>
          <t>UCKZo4N0lVPccBkSiuyVh4yg</t>
        </is>
      </c>
      <c r="O2265" s="48" t="n">
        <v>43117.08541666667</v>
      </c>
      <c r="P2265" s="49" t="n">
        <v>43116</v>
      </c>
      <c r="Q2265" s="47" t="n">
        <v>1003</v>
      </c>
      <c r="R2265" s="47" t="inlineStr">
        <is>
          <t>No Video ID yet</t>
        </is>
      </c>
      <c r="S2265" s="49" t="n"/>
      <c r="T2265" s="49" t="n"/>
      <c r="U2265" s="47" t="inlineStr">
        <is>
          <t>Play along with us! :: Today J and Ben face off in the Ultimate Severus Snape quiz to find out who knows Harry Potter’s infamous potions master best! Turn to page 394 and lets begin! Special Thanks to these Patrons who Support Super Carlin Brothers on Patreon :: Miranda Vasquez, Natalie Masucci, Allison Hyslop, Marts Furuli, Qui Le, Elizabeth Pellegrine, Alex Soltis, Viola James, Beg Meme Boi, Christina McCullough, Jennifer, Alan Wolfe, Sarah E McCartney, Zara Caldwell, Lasse Buan, Charles C Seymour, Kristhell Lopez, Amy Beerbower, Isabella</t>
        </is>
      </c>
      <c r="V2265" s="47">
        <f>IF(AND(P2265&gt;=Calendar!$K$2,P2265&lt;EDATE(Calendar!$K$2,1),OR(Calendar!$K$4="*",N2265=Calendar!$K$4)),P2265*100+COUNTIFS($P$6:$P$3267,P2265,$Q$6:$Q$3267,"&lt;="&amp;Q2265,$N$6:$N$3267,Calendar!$K$4),"")</f>
        <v/>
      </c>
      <c r="W2265" s="47">
        <f>IF(AND(B2265=Queue!$C$4,OR(Queue!$K$4="*",N2265=Queue!$K$4)),Q2265,"")</f>
        <v/>
      </c>
    </row>
    <row r="2266">
      <c r="A2266" s="38">
        <f>IF(M2266="","",HYPERLINK("https://www.youtube.com/watch?v="&amp;M2266,"▶"))</f>
        <v/>
      </c>
      <c r="B2266" s="39">
        <f>IF(C2266&lt;&gt;"",C2266,IF(P2266&lt;=IFERROR(INDEX(tblChannels[Watched Through],MATCH(N2266,tblChannels[Channel ID],0)),0),"Watched","Unwatched"))</f>
        <v/>
      </c>
      <c r="C2266" s="40" t="n"/>
      <c r="D2266" s="41" t="n"/>
      <c r="E2266" s="42" t="n">
        <v>43116.63819444444</v>
      </c>
      <c r="F2266" s="52" t="inlineStr">
        <is>
          <t>Super Carlin Gaming</t>
        </is>
      </c>
      <c r="G2266" t="inlineStr">
        <is>
          <t>Mario Kart Roulette #63: Public Speaking</t>
        </is>
      </c>
      <c r="H2266" s="44" t="n">
        <v>0.01319444444444444</v>
      </c>
      <c r="I2266" s="45" t="n">
        <v>11323</v>
      </c>
      <c r="J2266" s="45" t="n">
        <v>514</v>
      </c>
      <c r="K2266" s="45" t="n">
        <v>91</v>
      </c>
      <c r="L2266" s="46" t="n"/>
      <c r="M2266" s="47" t="n"/>
      <c r="N2266" s="47" t="inlineStr">
        <is>
          <t>UCor_9jRnNNZVzTuQ92PKsaQ</t>
        </is>
      </c>
      <c r="O2266" s="48" t="n">
        <v>43116.84652777778</v>
      </c>
      <c r="P2266" s="49" t="n">
        <v>43116</v>
      </c>
      <c r="Q2266" s="47" t="n">
        <v>1002</v>
      </c>
      <c r="R2266" s="47" t="inlineStr">
        <is>
          <t>No Video ID yet</t>
        </is>
      </c>
      <c r="S2266" s="49" t="n"/>
      <c r="T2266" s="49" t="n"/>
      <c r="U2266" s="47" t="inlineStr">
        <is>
          <t>In this episode, J and Ben take on the Leaf Cup and answer your questions!</t>
        </is>
      </c>
      <c r="V2266" s="47">
        <f>IF(AND(P2266&gt;=Calendar!$K$2,P2266&lt;EDATE(Calendar!$K$2,1),OR(Calendar!$K$4="*",N2266=Calendar!$K$4)),P2266*100+COUNTIFS($P$6:$P$3267,P2266,$Q$6:$Q$3267,"&lt;="&amp;Q2266,$N$6:$N$3267,Calendar!$K$4),"")</f>
        <v/>
      </c>
      <c r="W2266" s="47">
        <f>IF(AND(B2266=Queue!$C$4,OR(Queue!$K$4="*",N2266=Queue!$K$4)),Q2266,"")</f>
        <v/>
      </c>
    </row>
    <row r="2267">
      <c r="A2267" s="38">
        <f>IF(M2267="","",HYPERLINK("https://www.youtube.com/watch?v="&amp;M2267,"▶"))</f>
        <v/>
      </c>
      <c r="B2267" s="39">
        <f>IF(C2267&lt;&gt;"",C2267,IF(P2267&lt;=IFERROR(INDEX(tblChannels[Watched Through],MATCH(N2267,tblChannels[Channel ID],0)),0),"Watched","Unwatched"))</f>
        <v/>
      </c>
      <c r="C2267" s="40" t="n"/>
      <c r="D2267" s="41" t="n"/>
      <c r="E2267" s="42" t="n">
        <v>43115.74583333333</v>
      </c>
      <c r="F2267" s="53" t="inlineStr">
        <is>
          <t>Jonathan Carlin</t>
        </is>
      </c>
      <c r="G2267" t="inlineStr">
        <is>
          <t>FINDING OUT BETH WAS PREGNANT | 2017 REWIND</t>
        </is>
      </c>
      <c r="H2267" s="44" t="n">
        <v>0.006030092592592593</v>
      </c>
      <c r="I2267" s="45" t="n">
        <v>74111</v>
      </c>
      <c r="J2267" s="45" t="n">
        <v>3044</v>
      </c>
      <c r="K2267" s="45" t="n">
        <v>246</v>
      </c>
      <c r="L2267" s="46" t="n"/>
      <c r="M2267" s="47" t="n"/>
      <c r="N2267" s="47" t="inlineStr">
        <is>
          <t>UCYPKFe86e6nm4TVUYKLsFUQ</t>
        </is>
      </c>
      <c r="O2267" s="48" t="n">
        <v>43115.95416666667</v>
      </c>
      <c r="P2267" s="49" t="n">
        <v>43115</v>
      </c>
      <c r="Q2267" s="47" t="n">
        <v>1001</v>
      </c>
      <c r="R2267" s="47" t="inlineStr">
        <is>
          <t>No Video ID yet</t>
        </is>
      </c>
      <c r="S2267" s="49" t="n"/>
      <c r="T2267" s="49" t="n"/>
      <c r="U2267" s="47" t="inlineStr">
        <is>
          <t>To be clear - Beth is NOT pregnant again! Happy New Years! Today J takes a look back at all of the highlights from 2017 in the Carlin family - and fails to finish the changing table... again!</t>
        </is>
      </c>
      <c r="V2267" s="47">
        <f>IF(AND(P2267&gt;=Calendar!$K$2,P2267&lt;EDATE(Calendar!$K$2,1),OR(Calendar!$K$4="*",N2267=Calendar!$K$4)),P2267*100+COUNTIFS($P$6:$P$3267,P2267,$Q$6:$Q$3267,"&lt;="&amp;Q2267,$N$6:$N$3267,Calendar!$K$4),"")</f>
        <v/>
      </c>
      <c r="W2267" s="47">
        <f>IF(AND(B2267=Queue!$C$4,OR(Queue!$K$4="*",N2267=Queue!$K$4)),Q2267,"")</f>
        <v/>
      </c>
    </row>
    <row r="2268">
      <c r="A2268" s="38">
        <f>IF(M2268="","",HYPERLINK("https://www.youtube.com/watch?v="&amp;M2268,"▶"))</f>
        <v/>
      </c>
      <c r="B2268" s="39">
        <f>IF(C2268&lt;&gt;"",C2268,IF(P2268&lt;=IFERROR(INDEX(tblChannels[Watched Through],MATCH(N2268,tblChannels[Channel ID],0)),0),"Watched","Unwatched"))</f>
        <v/>
      </c>
      <c r="C2268" s="40" t="n"/>
      <c r="D2268" s="41" t="n"/>
      <c r="E2268" s="42" t="n">
        <v>43111.67430555556</v>
      </c>
      <c r="F2268" s="50" t="inlineStr">
        <is>
          <t>Super Carlin Brothers</t>
        </is>
      </c>
      <c r="G2268" t="inlineStr">
        <is>
          <t>Snow White is the Queen! (feat. NerdyAndQuirky)</t>
        </is>
      </c>
      <c r="H2268" s="44" t="n">
        <v>0.003819444444444444</v>
      </c>
      <c r="I2268" s="45" t="n">
        <v>208883</v>
      </c>
      <c r="J2268" s="45" t="n">
        <v>12432</v>
      </c>
      <c r="K2268" s="45" t="n">
        <v>757</v>
      </c>
      <c r="L2268" s="46" t="n"/>
      <c r="M2268" s="47" t="n"/>
      <c r="N2268" s="47" t="inlineStr">
        <is>
          <t>UCKZo4N0lVPccBkSiuyVh4yg</t>
        </is>
      </c>
      <c r="O2268" s="48" t="n">
        <v>43111.88263888889</v>
      </c>
      <c r="P2268" s="49" t="n">
        <v>43111</v>
      </c>
      <c r="Q2268" s="47" t="n">
        <v>1000</v>
      </c>
      <c r="R2268" s="47" t="inlineStr">
        <is>
          <t>No Video ID yet</t>
        </is>
      </c>
      <c r="S2268" s="49" t="n"/>
      <c r="T2268" s="49" t="n"/>
      <c r="U2268" s="47" t="inlineStr">
        <is>
          <t>Today special guest Sabrina Cruz (aka NerdyAndQuirky) dives into the Cool History of Disney to reveal how Snow White is the True Queen of Disney! Sabrina's Channel:</t>
        </is>
      </c>
      <c r="V2268" s="47">
        <f>IF(AND(P2268&gt;=Calendar!$K$2,P2268&lt;EDATE(Calendar!$K$2,1),OR(Calendar!$K$4="*",N2268=Calendar!$K$4)),P2268*100+COUNTIFS($P$6:$P$3267,P2268,$Q$6:$Q$3267,"&lt;="&amp;Q2268,$N$6:$N$3267,Calendar!$K$4),"")</f>
        <v/>
      </c>
      <c r="W2268" s="47">
        <f>IF(AND(B2268=Queue!$C$4,OR(Queue!$K$4="*",N2268=Queue!$K$4)),Q2268,"")</f>
        <v/>
      </c>
    </row>
    <row r="2269">
      <c r="A2269" s="38">
        <f>IF(M2269="","",HYPERLINK("https://www.youtube.com/watch?v="&amp;M2269,"▶"))</f>
        <v/>
      </c>
      <c r="B2269" s="39">
        <f>IF(C2269&lt;&gt;"",C2269,IF(P2269&lt;=IFERROR(INDEX(tblChannels[Watched Through],MATCH(N2269,tblChannels[Channel ID],0)),0),"Watched","Unwatched"))</f>
        <v/>
      </c>
      <c r="C2269" s="40" t="n"/>
      <c r="D2269" s="41" t="n"/>
      <c r="E2269" s="42" t="n">
        <v>43111.41666666666</v>
      </c>
      <c r="F2269" s="52" t="inlineStr">
        <is>
          <t>Super Carlin Gaming</t>
        </is>
      </c>
      <c r="G2269" t="inlineStr">
        <is>
          <t>Mario Kart Roulette #62: I Exclusively Creatively Solve Problems</t>
        </is>
      </c>
      <c r="H2269" s="44" t="n">
        <v>0.01278935185185185</v>
      </c>
      <c r="I2269" s="45" t="n">
        <v>11396</v>
      </c>
      <c r="J2269" s="45" t="n">
        <v>462</v>
      </c>
      <c r="K2269" s="45" t="n">
        <v>303</v>
      </c>
      <c r="L2269" s="46" t="n"/>
      <c r="M2269" s="47" t="n"/>
      <c r="N2269" s="47" t="inlineStr">
        <is>
          <t>UCor_9jRnNNZVzTuQ92PKsaQ</t>
        </is>
      </c>
      <c r="O2269" s="48" t="n">
        <v>43111.625</v>
      </c>
      <c r="P2269" s="49" t="n">
        <v>43111</v>
      </c>
      <c r="Q2269" s="47" t="n">
        <v>999</v>
      </c>
      <c r="R2269" s="47" t="inlineStr">
        <is>
          <t>No Video ID yet</t>
        </is>
      </c>
      <c r="S2269" s="49" t="n"/>
      <c r="T2269" s="49" t="n"/>
      <c r="U2269" s="47" t="inlineStr">
        <is>
          <t>In this episode, J and Ben take on the Star Cup and answer your questions!</t>
        </is>
      </c>
      <c r="V2269" s="47">
        <f>IF(AND(P2269&gt;=Calendar!$K$2,P2269&lt;EDATE(Calendar!$K$2,1),OR(Calendar!$K$4="*",N2269=Calendar!$K$4)),P2269*100+COUNTIFS($P$6:$P$3267,P2269,$Q$6:$Q$3267,"&lt;="&amp;Q2269,$N$6:$N$3267,Calendar!$K$4),"")</f>
        <v/>
      </c>
      <c r="W2269" s="47">
        <f>IF(AND(B2269=Queue!$C$4,OR(Queue!$K$4="*",N2269=Queue!$K$4)),Q2269,"")</f>
        <v/>
      </c>
    </row>
    <row r="2270">
      <c r="A2270" s="38">
        <f>IF(M2270="","",HYPERLINK("https://www.youtube.com/watch?v="&amp;M2270,"▶"))</f>
        <v/>
      </c>
      <c r="B2270" s="39">
        <f>IF(C2270&lt;&gt;"",C2270,IF(P2270&lt;=IFERROR(INDEX(tblChannels[Watched Through],MATCH(N2270,tblChannels[Channel ID],0)),0),"Watched","Unwatched"))</f>
        <v/>
      </c>
      <c r="C2270" s="40" t="n"/>
      <c r="D2270" s="41" t="n"/>
      <c r="E2270" s="42" t="n">
        <v>43110.58125</v>
      </c>
      <c r="F2270" s="52" t="inlineStr">
        <is>
          <t>Super Carlin Gaming</t>
        </is>
      </c>
      <c r="G2270" t="inlineStr">
        <is>
          <t>Pokemon Black Nuzlocke #24: Sneaky Cave</t>
        </is>
      </c>
      <c r="H2270" s="44" t="n">
        <v>0.01467592592592593</v>
      </c>
      <c r="I2270" s="45" t="n">
        <v>21463</v>
      </c>
      <c r="J2270" s="45" t="n">
        <v>590</v>
      </c>
      <c r="K2270" s="45" t="n">
        <v>274</v>
      </c>
      <c r="L2270" s="46" t="n"/>
      <c r="M2270" s="47" t="n"/>
      <c r="N2270" s="47" t="inlineStr">
        <is>
          <t>UCor_9jRnNNZVzTuQ92PKsaQ</t>
        </is>
      </c>
      <c r="O2270" s="48" t="n">
        <v>43110.78958333333</v>
      </c>
      <c r="P2270" s="49" t="n">
        <v>43110</v>
      </c>
      <c r="Q2270" s="47" t="n">
        <v>998</v>
      </c>
      <c r="R2270" s="47" t="inlineStr">
        <is>
          <t>No Video ID yet</t>
        </is>
      </c>
      <c r="S2270" s="49" t="n"/>
      <c r="T2270" s="49" t="n"/>
      <c r="U2270" s="47" t="n"/>
      <c r="V2270" s="47">
        <f>IF(AND(P2270&gt;=Calendar!$K$2,P2270&lt;EDATE(Calendar!$K$2,1),OR(Calendar!$K$4="*",N2270=Calendar!$K$4)),P2270*100+COUNTIFS($P$6:$P$3267,P2270,$Q$6:$Q$3267,"&lt;="&amp;Q2270,$N$6:$N$3267,Calendar!$K$4),"")</f>
        <v/>
      </c>
      <c r="W2270" s="47">
        <f>IF(AND(B2270=Queue!$C$4,OR(Queue!$K$4="*",N2270=Queue!$K$4)),Q2270,"")</f>
        <v/>
      </c>
    </row>
    <row r="2271">
      <c r="A2271" s="38">
        <f>IF(M2271="","",HYPERLINK("https://www.youtube.com/watch?v="&amp;M2271,"▶"))</f>
        <v/>
      </c>
      <c r="B2271" s="39">
        <f>IF(C2271&lt;&gt;"",C2271,IF(P2271&lt;=IFERROR(INDEX(tblChannels[Watched Through],MATCH(N2271,tblChannels[Channel ID],0)),0),"Watched","Unwatched"))</f>
        <v/>
      </c>
      <c r="C2271" s="40" t="n"/>
      <c r="D2271" s="41" t="n"/>
      <c r="E2271" s="42" t="n">
        <v>43109.56319444445</v>
      </c>
      <c r="F2271" s="50" t="inlineStr">
        <is>
          <t>Super Carlin Brothers</t>
        </is>
      </c>
      <c r="G2271" t="inlineStr">
        <is>
          <t>Why Ron's So Bad At Magic | Harry Potter Theory</t>
        </is>
      </c>
      <c r="H2271" s="44" t="n">
        <v>0.005949074074074075</v>
      </c>
      <c r="I2271" s="45" t="n">
        <v>1847833</v>
      </c>
      <c r="J2271" s="45" t="n">
        <v>45105</v>
      </c>
      <c r="K2271" s="45" t="n">
        <v>8525</v>
      </c>
      <c r="L2271" s="46" t="n"/>
      <c r="M2271" s="47" t="n"/>
      <c r="N2271" s="47" t="inlineStr">
        <is>
          <t>UCKZo4N0lVPccBkSiuyVh4yg</t>
        </is>
      </c>
      <c r="O2271" s="48" t="n">
        <v>43109.77152777778</v>
      </c>
      <c r="P2271" s="49" t="n">
        <v>43109</v>
      </c>
      <c r="Q2271" s="47" t="n">
        <v>997</v>
      </c>
      <c r="R2271" s="47" t="inlineStr">
        <is>
          <t>No Video ID yet</t>
        </is>
      </c>
      <c r="S2271" s="49" t="n"/>
      <c r="T2271" s="49" t="n"/>
      <c r="U2271" s="47" t="inlineStr">
        <is>
          <t>Today J dives into the Wizarding World of Harry Potter to discuss why Ron Weasley doesn't appear to be as talented as Harry and Hermione when it comes to magic.</t>
        </is>
      </c>
      <c r="V2271" s="47">
        <f>IF(AND(P2271&gt;=Calendar!$K$2,P2271&lt;EDATE(Calendar!$K$2,1),OR(Calendar!$K$4="*",N2271=Calendar!$K$4)),P2271*100+COUNTIFS($P$6:$P$3267,P2271,$Q$6:$Q$3267,"&lt;="&amp;Q2271,$N$6:$N$3267,Calendar!$K$4),"")</f>
        <v/>
      </c>
      <c r="W2271" s="47">
        <f>IF(AND(B2271=Queue!$C$4,OR(Queue!$K$4="*",N2271=Queue!$K$4)),Q2271,"")</f>
        <v/>
      </c>
    </row>
    <row r="2272">
      <c r="A2272" s="38">
        <f>IF(M2272="","",HYPERLINK("https://www.youtube.com/watch?v="&amp;M2272,"▶"))</f>
        <v/>
      </c>
      <c r="B2272" s="39">
        <f>IF(C2272&lt;&gt;"",C2272,IF(P2272&lt;=IFERROR(INDEX(tblChannels[Watched Through],MATCH(N2272,tblChannels[Channel ID],0)),0),"Watched","Unwatched"))</f>
        <v/>
      </c>
      <c r="C2272" s="40" t="n"/>
      <c r="D2272" s="41" t="n"/>
      <c r="E2272" s="42" t="n">
        <v>43109.49444444444</v>
      </c>
      <c r="F2272" s="52" t="inlineStr">
        <is>
          <t>Super Carlin Gaming</t>
        </is>
      </c>
      <c r="G2272" t="inlineStr">
        <is>
          <t>Mario Kart Roulette #61: There's Nothing Like Cheese on Sponge</t>
        </is>
      </c>
      <c r="H2272" s="44" t="n">
        <v>0.01064814814814815</v>
      </c>
      <c r="I2272" s="45" t="n">
        <v>10269</v>
      </c>
      <c r="J2272" s="45" t="n">
        <v>405</v>
      </c>
      <c r="K2272" s="45" t="n">
        <v>107</v>
      </c>
      <c r="L2272" s="46" t="n"/>
      <c r="M2272" s="47" t="n"/>
      <c r="N2272" s="47" t="inlineStr">
        <is>
          <t>UCor_9jRnNNZVzTuQ92PKsaQ</t>
        </is>
      </c>
      <c r="O2272" s="48" t="n">
        <v>43109.70277777778</v>
      </c>
      <c r="P2272" s="49" t="n">
        <v>43109</v>
      </c>
      <c r="Q2272" s="47" t="n">
        <v>996</v>
      </c>
      <c r="R2272" s="47" t="inlineStr">
        <is>
          <t>No Video ID yet</t>
        </is>
      </c>
      <c r="S2272" s="49" t="n"/>
      <c r="T2272" s="49" t="n"/>
      <c r="U2272" s="47" t="inlineStr">
        <is>
          <t>What's better ... sponge-like cheese or cheese-like sponge? In this episode, J and Ben take on the Crossing Cup (aka the Frogger Cup) and answer your questions!</t>
        </is>
      </c>
      <c r="V2272" s="47">
        <f>IF(AND(P2272&gt;=Calendar!$K$2,P2272&lt;EDATE(Calendar!$K$2,1),OR(Calendar!$K$4="*",N2272=Calendar!$K$4)),P2272*100+COUNTIFS($P$6:$P$3267,P2272,$Q$6:$Q$3267,"&lt;="&amp;Q2272,$N$6:$N$3267,Calendar!$K$4),"")</f>
        <v/>
      </c>
      <c r="W2272" s="47">
        <f>IF(AND(B2272=Queue!$C$4,OR(Queue!$K$4="*",N2272=Queue!$K$4)),Q2272,"")</f>
        <v/>
      </c>
    </row>
    <row r="2273">
      <c r="A2273" s="38">
        <f>IF(M2273="","",HYPERLINK("https://www.youtube.com/watch?v="&amp;M2273,"▶"))</f>
        <v/>
      </c>
      <c r="B2273" s="39">
        <f>IF(C2273&lt;&gt;"",C2273,IF(P2273&lt;=IFERROR(INDEX(tblChannels[Watched Through],MATCH(N2273,tblChannels[Channel ID],0)),0),"Watched","Unwatched"))</f>
        <v/>
      </c>
      <c r="C2273" s="40" t="n"/>
      <c r="D2273" s="41" t="n"/>
      <c r="E2273" s="42" t="n">
        <v>43108.71388888889</v>
      </c>
      <c r="F2273" s="52" t="inlineStr">
        <is>
          <t>Super Carlin Gaming</t>
        </is>
      </c>
      <c r="G2273" t="inlineStr">
        <is>
          <t>Pokemon Black Nuzlocke #23: Enter Victory Road</t>
        </is>
      </c>
      <c r="H2273" s="44" t="n">
        <v>0.03019675925925926</v>
      </c>
      <c r="I2273" s="45" t="n">
        <v>26534</v>
      </c>
      <c r="J2273" s="45" t="n">
        <v>661</v>
      </c>
      <c r="K2273" s="45" t="n">
        <v>308</v>
      </c>
      <c r="L2273" s="46" t="n"/>
      <c r="M2273" s="47" t="n"/>
      <c r="N2273" s="47" t="inlineStr">
        <is>
          <t>UCor_9jRnNNZVzTuQ92PKsaQ</t>
        </is>
      </c>
      <c r="O2273" s="48" t="n">
        <v>43108.92222222222</v>
      </c>
      <c r="P2273" s="49" t="n">
        <v>43108</v>
      </c>
      <c r="Q2273" s="47" t="n">
        <v>995</v>
      </c>
      <c r="R2273" s="47" t="inlineStr">
        <is>
          <t>No Video ID yet</t>
        </is>
      </c>
      <c r="S2273" s="49" t="n"/>
      <c r="T2273" s="49" t="n"/>
      <c r="U2273" s="47" t="n"/>
      <c r="V2273" s="47">
        <f>IF(AND(P2273&gt;=Calendar!$K$2,P2273&lt;EDATE(Calendar!$K$2,1),OR(Calendar!$K$4="*",N2273=Calendar!$K$4)),P2273*100+COUNTIFS($P$6:$P$3267,P2273,$Q$6:$Q$3267,"&lt;="&amp;Q2273,$N$6:$N$3267,Calendar!$K$4),"")</f>
        <v/>
      </c>
      <c r="W2273" s="47">
        <f>IF(AND(B2273=Queue!$C$4,OR(Queue!$K$4="*",N2273=Queue!$K$4)),Q2273,"")</f>
        <v/>
      </c>
    </row>
    <row r="2274">
      <c r="A2274" s="38">
        <f>IF(M2274="","",HYPERLINK("https://www.youtube.com/watch?v="&amp;M2274,"▶"))</f>
        <v/>
      </c>
      <c r="B2274" s="39">
        <f>IF(C2274&lt;&gt;"",C2274,IF(P2274&lt;=IFERROR(INDEX(tblChannels[Watched Through],MATCH(N2274,tblChannels[Channel ID],0)),0),"Watched","Unwatched"))</f>
        <v/>
      </c>
      <c r="C2274" s="40" t="n"/>
      <c r="D2274" s="41" t="n"/>
      <c r="E2274" s="42" t="n">
        <v>43108.45069444444</v>
      </c>
      <c r="F2274" s="53" t="inlineStr">
        <is>
          <t>Jonathan Carlin</t>
        </is>
      </c>
      <c r="G2274" t="inlineStr">
        <is>
          <t>LUKE'S FIRST CHRISTMAS!</t>
        </is>
      </c>
      <c r="H2274" s="44" t="n">
        <v>0.008819444444444444</v>
      </c>
      <c r="I2274" s="45" t="n">
        <v>81013</v>
      </c>
      <c r="J2274" s="45" t="n">
        <v>3463</v>
      </c>
      <c r="K2274" s="45" t="n">
        <v>628</v>
      </c>
      <c r="L2274" s="46" t="n"/>
      <c r="M2274" s="47" t="n"/>
      <c r="N2274" s="47" t="inlineStr">
        <is>
          <t>UCYPKFe86e6nm4TVUYKLsFUQ</t>
        </is>
      </c>
      <c r="O2274" s="48" t="n">
        <v>43108.65902777778</v>
      </c>
      <c r="P2274" s="49" t="n">
        <v>43108</v>
      </c>
      <c r="Q2274" s="47" t="n">
        <v>994</v>
      </c>
      <c r="R2274" s="47" t="inlineStr">
        <is>
          <t>No Video ID yet</t>
        </is>
      </c>
      <c r="S2274" s="49" t="n"/>
      <c r="T2274" s="49" t="n"/>
      <c r="U2274" s="47" t="inlineStr">
        <is>
          <t>Beth, Luke and I celebrate our first Christmas as a family! What did you get for Christmas?!</t>
        </is>
      </c>
      <c r="V2274" s="47">
        <f>IF(AND(P2274&gt;=Calendar!$K$2,P2274&lt;EDATE(Calendar!$K$2,1),OR(Calendar!$K$4="*",N2274=Calendar!$K$4)),P2274*100+COUNTIFS($P$6:$P$3267,P2274,$Q$6:$Q$3267,"&lt;="&amp;Q2274,$N$6:$N$3267,Calendar!$K$4),"")</f>
        <v/>
      </c>
      <c r="W2274" s="47">
        <f>IF(AND(B2274=Queue!$C$4,OR(Queue!$K$4="*",N2274=Queue!$K$4)),Q2274,"")</f>
        <v/>
      </c>
    </row>
    <row r="2275">
      <c r="A2275" s="38">
        <f>IF(M2275="","",HYPERLINK("https://www.youtube.com/watch?v="&amp;M2275,"▶"))</f>
        <v/>
      </c>
      <c r="B2275" s="39">
        <f>IF(C2275&lt;&gt;"",C2275,IF(P2275&lt;=IFERROR(INDEX(tblChannels[Watched Through],MATCH(N2275,tblChannels[Channel ID],0)),0),"Watched","Unwatched"))</f>
        <v/>
      </c>
      <c r="C2275" s="40" t="n"/>
      <c r="D2275" s="41" t="n"/>
      <c r="E2275" s="42" t="n">
        <v>43105.75069444445</v>
      </c>
      <c r="F2275" s="52" t="inlineStr">
        <is>
          <t>Super Carlin Gaming</t>
        </is>
      </c>
      <c r="G2275" t="inlineStr">
        <is>
          <t>Pokemon Black Nuzlocke #22: When It Rains...</t>
        </is>
      </c>
      <c r="H2275" s="44" t="n">
        <v>0.02454861111111111</v>
      </c>
      <c r="I2275" s="45" t="n">
        <v>25324</v>
      </c>
      <c r="J2275" s="45" t="n">
        <v>783</v>
      </c>
      <c r="K2275" s="45" t="n">
        <v>477</v>
      </c>
      <c r="L2275" s="46" t="n"/>
      <c r="M2275" s="47" t="n"/>
      <c r="N2275" s="47" t="inlineStr">
        <is>
          <t>UCor_9jRnNNZVzTuQ92PKsaQ</t>
        </is>
      </c>
      <c r="O2275" s="48" t="n">
        <v>43105.95902777778</v>
      </c>
      <c r="P2275" s="49" t="n">
        <v>43105</v>
      </c>
      <c r="Q2275" s="47" t="n">
        <v>993</v>
      </c>
      <c r="R2275" s="47" t="inlineStr">
        <is>
          <t>No Video ID yet</t>
        </is>
      </c>
      <c r="S2275" s="49" t="n"/>
      <c r="T2275" s="49" t="n"/>
      <c r="U2275" s="47" t="n"/>
      <c r="V2275" s="47">
        <f>IF(AND(P2275&gt;=Calendar!$K$2,P2275&lt;EDATE(Calendar!$K$2,1),OR(Calendar!$K$4="*",N2275=Calendar!$K$4)),P2275*100+COUNTIFS($P$6:$P$3267,P2275,$Q$6:$Q$3267,"&lt;="&amp;Q2275,$N$6:$N$3267,Calendar!$K$4),"")</f>
        <v/>
      </c>
      <c r="W2275" s="47">
        <f>IF(AND(B2275=Queue!$C$4,OR(Queue!$K$4="*",N2275=Queue!$K$4)),Q2275,"")</f>
        <v/>
      </c>
    </row>
    <row r="2276">
      <c r="A2276" s="38">
        <f>IF(M2276="","",HYPERLINK("https://www.youtube.com/watch?v="&amp;M2276,"▶"))</f>
        <v/>
      </c>
      <c r="B2276" s="39">
        <f>IF(C2276&lt;&gt;"",C2276,IF(P2276&lt;=IFERROR(INDEX(tblChannels[Watched Through],MATCH(N2276,tblChannels[Channel ID],0)),0),"Watched","Unwatched"))</f>
        <v/>
      </c>
      <c r="C2276" s="40" t="n"/>
      <c r="D2276" s="41" t="n"/>
      <c r="E2276" s="42" t="n">
        <v>43104.79166666666</v>
      </c>
      <c r="F2276" s="50" t="inlineStr">
        <is>
          <t>Super Carlin Brothers</t>
        </is>
      </c>
      <c r="G2276" t="inlineStr">
        <is>
          <t>Disney's Purchase of FOX Explained</t>
        </is>
      </c>
      <c r="H2276" s="44" t="n">
        <v>0.005046296296296296</v>
      </c>
      <c r="I2276" s="45" t="n">
        <v>855085</v>
      </c>
      <c r="J2276" s="45" t="n">
        <v>24040</v>
      </c>
      <c r="K2276" s="45" t="n">
        <v>7704</v>
      </c>
      <c r="L2276" s="46" t="n"/>
      <c r="M2276" s="47" t="n"/>
      <c r="N2276" s="47" t="inlineStr">
        <is>
          <t>UCKZo4N0lVPccBkSiuyVh4yg</t>
        </is>
      </c>
      <c r="O2276" s="48" t="n">
        <v>43105</v>
      </c>
      <c r="P2276" s="49" t="n">
        <v>43104</v>
      </c>
      <c r="Q2276" s="47" t="n">
        <v>992</v>
      </c>
      <c r="R2276" s="47" t="inlineStr">
        <is>
          <t>No Video ID yet</t>
        </is>
      </c>
      <c r="S2276" s="49" t="n"/>
      <c r="T2276" s="49" t="n"/>
      <c r="U2276" s="47" t="inlineStr">
        <is>
          <t>Today Ben discusses the reasons and repercussions of Disney’s recent purchase of Fox Entertainment and how it will change the world of streaming services like Netflix and Hulu. Special Thanks to these SCB Patreon Patrons :: Mats Furuli, Qui Le, Elizabeth Pellegrine, Alex Soltis, Viola James, Big Meme Boi, Christina McCullough, Jennifer, Alan Wolfe, Sarah E McCartney, Zara Caldwell, Lasse Buan, Charles C. Seymour, Kristhell Lopez, Amy Beerbower, Isabella</t>
        </is>
      </c>
      <c r="V2276" s="47">
        <f>IF(AND(P2276&gt;=Calendar!$K$2,P2276&lt;EDATE(Calendar!$K$2,1),OR(Calendar!$K$4="*",N2276=Calendar!$K$4)),P2276*100+COUNTIFS($P$6:$P$3267,P2276,$Q$6:$Q$3267,"&lt;="&amp;Q2276,$N$6:$N$3267,Calendar!$K$4),"")</f>
        <v/>
      </c>
      <c r="W2276" s="47">
        <f>IF(AND(B2276=Queue!$C$4,OR(Queue!$K$4="*",N2276=Queue!$K$4)),Q2276,"")</f>
        <v/>
      </c>
    </row>
    <row r="2277">
      <c r="A2277" s="38">
        <f>IF(M2277="","",HYPERLINK("https://www.youtube.com/watch?v="&amp;M2277,"▶"))</f>
        <v/>
      </c>
      <c r="B2277" s="39">
        <f>IF(C2277&lt;&gt;"",C2277,IF(P2277&lt;=IFERROR(INDEX(tblChannels[Watched Through],MATCH(N2277,tblChannels[Channel ID],0)),0),"Watched","Unwatched"))</f>
        <v/>
      </c>
      <c r="C2277" s="40" t="n"/>
      <c r="D2277" s="41" t="n"/>
      <c r="E2277" s="42" t="n">
        <v>43104.57430555556</v>
      </c>
      <c r="F2277" s="52" t="inlineStr">
        <is>
          <t>Super Carlin Gaming</t>
        </is>
      </c>
      <c r="G2277" t="inlineStr">
        <is>
          <t>Mario Kart Roulette #60: Word Vomit is How You Make Friends</t>
        </is>
      </c>
      <c r="H2277" s="44" t="n">
        <v>0.0115162037037037</v>
      </c>
      <c r="I2277" s="45" t="n">
        <v>10386</v>
      </c>
      <c r="J2277" s="45" t="n">
        <v>494</v>
      </c>
      <c r="K2277" s="45" t="n">
        <v>190</v>
      </c>
      <c r="L2277" s="46" t="n"/>
      <c r="M2277" s="47" t="n"/>
      <c r="N2277" s="47" t="inlineStr">
        <is>
          <t>UCor_9jRnNNZVzTuQ92PKsaQ</t>
        </is>
      </c>
      <c r="O2277" s="48" t="n">
        <v>43104.78263888889</v>
      </c>
      <c r="P2277" s="49" t="n">
        <v>43104</v>
      </c>
      <c r="Q2277" s="47" t="n">
        <v>991</v>
      </c>
      <c r="R2277" s="47" t="inlineStr">
        <is>
          <t>No Video ID yet</t>
        </is>
      </c>
      <c r="S2277" s="49" t="n"/>
      <c r="T2277" s="49" t="n"/>
      <c r="U2277" s="47" t="inlineStr">
        <is>
          <t>J and Ben take on the Triforce Cup and answer your questions!</t>
        </is>
      </c>
      <c r="V2277" s="47">
        <f>IF(AND(P2277&gt;=Calendar!$K$2,P2277&lt;EDATE(Calendar!$K$2,1),OR(Calendar!$K$4="*",N2277=Calendar!$K$4)),P2277*100+COUNTIFS($P$6:$P$3267,P2277,$Q$6:$Q$3267,"&lt;="&amp;Q2277,$N$6:$N$3267,Calendar!$K$4),"")</f>
        <v/>
      </c>
      <c r="W2277" s="47">
        <f>IF(AND(B2277=Queue!$C$4,OR(Queue!$K$4="*",N2277=Queue!$K$4)),Q2277,"")</f>
        <v/>
      </c>
    </row>
    <row r="2278">
      <c r="A2278" s="38">
        <f>IF(M2278="","",HYPERLINK("https://www.youtube.com/watch?v="&amp;M2278,"▶"))</f>
        <v/>
      </c>
      <c r="B2278" s="39">
        <f>IF(C2278&lt;&gt;"",C2278,IF(P2278&lt;=IFERROR(INDEX(tblChannels[Watched Through],MATCH(N2278,tblChannels[Channel ID],0)),0),"Watched","Unwatched"))</f>
        <v/>
      </c>
      <c r="C2278" s="40" t="n"/>
      <c r="D2278" s="41" t="n"/>
      <c r="E2278" s="42" t="n">
        <v>43103.44513888889</v>
      </c>
      <c r="F2278" s="52" t="inlineStr">
        <is>
          <t>Super Carlin Gaming</t>
        </is>
      </c>
      <c r="G2278" t="inlineStr">
        <is>
          <t>Pokemon Black Nuzlocke #21: The Final Gym</t>
        </is>
      </c>
      <c r="H2278" s="44" t="n">
        <v>0.01412037037037037</v>
      </c>
      <c r="I2278" s="45" t="n">
        <v>22519</v>
      </c>
      <c r="J2278" s="45" t="n">
        <v>797</v>
      </c>
      <c r="K2278" s="45" t="n">
        <v>135</v>
      </c>
      <c r="L2278" s="46" t="n"/>
      <c r="M2278" s="47" t="n"/>
      <c r="N2278" s="47" t="inlineStr">
        <is>
          <t>UCor_9jRnNNZVzTuQ92PKsaQ</t>
        </is>
      </c>
      <c r="O2278" s="48" t="n">
        <v>43103.65347222222</v>
      </c>
      <c r="P2278" s="49" t="n">
        <v>43103</v>
      </c>
      <c r="Q2278" s="47" t="n">
        <v>990</v>
      </c>
      <c r="R2278" s="47" t="inlineStr">
        <is>
          <t>No Video ID yet</t>
        </is>
      </c>
      <c r="S2278" s="49" t="n"/>
      <c r="T2278" s="49" t="n"/>
      <c r="U2278" s="47" t="inlineStr">
        <is>
          <t>J and the team move to take on Drayden &amp; his Dragons! Will J's only Ice-type Pokémon be enough?</t>
        </is>
      </c>
      <c r="V2278" s="47">
        <f>IF(AND(P2278&gt;=Calendar!$K$2,P2278&lt;EDATE(Calendar!$K$2,1),OR(Calendar!$K$4="*",N2278=Calendar!$K$4)),P2278*100+COUNTIFS($P$6:$P$3267,P2278,$Q$6:$Q$3267,"&lt;="&amp;Q2278,$N$6:$N$3267,Calendar!$K$4),"")</f>
        <v/>
      </c>
      <c r="W2278" s="47">
        <f>IF(AND(B2278=Queue!$C$4,OR(Queue!$K$4="*",N2278=Queue!$K$4)),Q2278,"")</f>
        <v/>
      </c>
    </row>
    <row r="2279">
      <c r="A2279" s="38">
        <f>IF(M2279="","",HYPERLINK("https://www.youtube.com/watch?v="&amp;M2279,"▶"))</f>
        <v/>
      </c>
      <c r="B2279" s="39">
        <f>IF(C2279&lt;&gt;"",C2279,IF(P2279&lt;=IFERROR(INDEX(tblChannels[Watched Through],MATCH(N2279,tblChannels[Channel ID],0)),0),"Watched","Unwatched"))</f>
        <v/>
      </c>
      <c r="C2279" s="40" t="n"/>
      <c r="D2279" s="41" t="n"/>
      <c r="E2279" s="42" t="n">
        <v>43102.77986111111</v>
      </c>
      <c r="F2279" s="50" t="inlineStr">
        <is>
          <t>Super Carlin Brothers</t>
        </is>
      </c>
      <c r="G2279" t="inlineStr">
        <is>
          <t>How Dumbledore Created The Deluminator | Harry Potter Theory</t>
        </is>
      </c>
      <c r="H2279" s="44" t="n">
        <v>0.00625</v>
      </c>
      <c r="I2279" s="45" t="n">
        <v>1495776</v>
      </c>
      <c r="J2279" s="45" t="n">
        <v>33193</v>
      </c>
      <c r="K2279" s="45" t="n">
        <v>2226</v>
      </c>
      <c r="L2279" s="46" t="n"/>
      <c r="M2279" s="47" t="n"/>
      <c r="N2279" s="47" t="inlineStr">
        <is>
          <t>UCKZo4N0lVPccBkSiuyVh4yg</t>
        </is>
      </c>
      <c r="O2279" s="48" t="n">
        <v>43102.98819444444</v>
      </c>
      <c r="P2279" s="49" t="n">
        <v>43102</v>
      </c>
      <c r="Q2279" s="47" t="n">
        <v>989</v>
      </c>
      <c r="R2279" s="47" t="inlineStr">
        <is>
          <t>No Video ID yet</t>
        </is>
      </c>
      <c r="S2279" s="49" t="n"/>
      <c r="T2279" s="49" t="n"/>
      <c r="U2279" s="47" t="inlineStr">
        <is>
          <t>Today J dives into the wizarding world of Harry Potter to discuss how one of the most peculiar devices in the we come across was created and how it may show up in Fantastic Beasts &amp; Where To Find Them.</t>
        </is>
      </c>
      <c r="V2279" s="47">
        <f>IF(AND(P2279&gt;=Calendar!$K$2,P2279&lt;EDATE(Calendar!$K$2,1),OR(Calendar!$K$4="*",N2279=Calendar!$K$4)),P2279*100+COUNTIFS($P$6:$P$3267,P2279,$Q$6:$Q$3267,"&lt;="&amp;Q2279,$N$6:$N$3267,Calendar!$K$4),"")</f>
        <v/>
      </c>
      <c r="W2279" s="47">
        <f>IF(AND(B2279=Queue!$C$4,OR(Queue!$K$4="*",N2279=Queue!$K$4)),Q2279,"")</f>
        <v/>
      </c>
    </row>
    <row r="2280">
      <c r="A2280" s="38">
        <f>IF(M2280="","",HYPERLINK("https://www.youtube.com/watch?v="&amp;M2280,"▶"))</f>
        <v/>
      </c>
      <c r="B2280" s="39">
        <f>IF(C2280&lt;&gt;"",C2280,IF(P2280&lt;=IFERROR(INDEX(tblChannels[Watched Through],MATCH(N2280,tblChannels[Channel ID],0)),0),"Watched","Unwatched"))</f>
        <v/>
      </c>
      <c r="C2280" s="40" t="n"/>
      <c r="D2280" s="41" t="n"/>
      <c r="E2280" s="42" t="n">
        <v>43102.72152777778</v>
      </c>
      <c r="F2280" s="52" t="inlineStr">
        <is>
          <t>Super Carlin Gaming</t>
        </is>
      </c>
      <c r="G2280" t="inlineStr">
        <is>
          <t>Mario Kart Roulette #59: New Years Resolutions</t>
        </is>
      </c>
      <c r="H2280" s="44" t="n">
        <v>0.01203703703703704</v>
      </c>
      <c r="I2280" s="45" t="n">
        <v>10983</v>
      </c>
      <c r="J2280" s="45" t="n">
        <v>521</v>
      </c>
      <c r="K2280" s="45" t="n">
        <v>141</v>
      </c>
      <c r="L2280" s="46" t="n"/>
      <c r="M2280" s="47" t="n"/>
      <c r="N2280" s="47" t="inlineStr">
        <is>
          <t>UCor_9jRnNNZVzTuQ92PKsaQ</t>
        </is>
      </c>
      <c r="O2280" s="48" t="n">
        <v>43102.92986111111</v>
      </c>
      <c r="P2280" s="49" t="n">
        <v>43102</v>
      </c>
      <c r="Q2280" s="47" t="n">
        <v>988</v>
      </c>
      <c r="R2280" s="47" t="inlineStr">
        <is>
          <t>No Video ID yet</t>
        </is>
      </c>
      <c r="S2280" s="49" t="n"/>
      <c r="T2280" s="49" t="n"/>
      <c r="U2280" s="47" t="inlineStr">
        <is>
          <t>J and Ben take on the Egg Cup and answer your questions!</t>
        </is>
      </c>
      <c r="V2280" s="47">
        <f>IF(AND(P2280&gt;=Calendar!$K$2,P2280&lt;EDATE(Calendar!$K$2,1),OR(Calendar!$K$4="*",N2280=Calendar!$K$4)),P2280*100+COUNTIFS($P$6:$P$3267,P2280,$Q$6:$Q$3267,"&lt;="&amp;Q2280,$N$6:$N$3267,Calendar!$K$4),"")</f>
        <v/>
      </c>
      <c r="W2280" s="47">
        <f>IF(AND(B2280=Queue!$C$4,OR(Queue!$K$4="*",N2280=Queue!$K$4)),Q2280,"")</f>
        <v/>
      </c>
    </row>
    <row r="2281">
      <c r="A2281" s="38">
        <f>IF(M2281="","",HYPERLINK("https://www.youtube.com/watch?v="&amp;M2281,"▶"))</f>
        <v/>
      </c>
      <c r="B2281" s="39">
        <f>IF(C2281&lt;&gt;"",C2281,IF(P2281&lt;=IFERROR(INDEX(tblChannels[Watched Through],MATCH(N2281,tblChannels[Channel ID],0)),0),"Watched","Unwatched"))</f>
        <v/>
      </c>
      <c r="C2281" s="40" t="n"/>
      <c r="D2281" s="41" t="n"/>
      <c r="E2281" s="42" t="n">
        <v>43101.54583333333</v>
      </c>
      <c r="F2281" s="53" t="inlineStr">
        <is>
          <t>Jonathan Carlin</t>
        </is>
      </c>
      <c r="G2281" t="inlineStr">
        <is>
          <t>TYLER GETS MARRIED</t>
        </is>
      </c>
      <c r="H2281" s="44" t="n">
        <v>0.00738425925925926</v>
      </c>
      <c r="I2281" s="45" t="n">
        <v>76993</v>
      </c>
      <c r="J2281" s="45" t="n">
        <v>3268</v>
      </c>
      <c r="K2281" s="45" t="n">
        <v>383</v>
      </c>
      <c r="L2281" s="46" t="n"/>
      <c r="M2281" s="47" t="n"/>
      <c r="N2281" s="47" t="inlineStr">
        <is>
          <t>UCYPKFe86e6nm4TVUYKLsFUQ</t>
        </is>
      </c>
      <c r="O2281" s="48" t="n">
        <v>43101.75416666667</v>
      </c>
      <c r="P2281" s="49" t="n">
        <v>43101</v>
      </c>
      <c r="Q2281" s="47" t="n">
        <v>987</v>
      </c>
      <c r="R2281" s="47" t="inlineStr">
        <is>
          <t>No Video ID yet</t>
        </is>
      </c>
      <c r="S2281" s="49" t="n"/>
      <c r="T2281" s="49" t="n"/>
      <c r="U2281" s="47" t="inlineStr">
        <is>
          <t>Beth and I continue to adjust to having a kid and Tyler gets married! Did you know Tyler has a Podcast where he reviews movies? Check it out here :: Full Wedding Highlight Reel ::</t>
        </is>
      </c>
      <c r="V2281" s="47">
        <f>IF(AND(P2281&gt;=Calendar!$K$2,P2281&lt;EDATE(Calendar!$K$2,1),OR(Calendar!$K$4="*",N2281=Calendar!$K$4)),P2281*100+COUNTIFS($P$6:$P$3267,P2281,$Q$6:$Q$3267,"&lt;="&amp;Q2281,$N$6:$N$3267,Calendar!$K$4),"")</f>
        <v/>
      </c>
      <c r="W2281" s="47">
        <f>IF(AND(B2281=Queue!$C$4,OR(Queue!$K$4="*",N2281=Queue!$K$4)),Q2281,"")</f>
        <v/>
      </c>
    </row>
    <row r="2282">
      <c r="A2282" s="38">
        <f>IF(M2282="","",HYPERLINK("https://www.youtube.com/watch?v="&amp;M2282,"▶"))</f>
        <v/>
      </c>
      <c r="B2282" s="39">
        <f>IF(C2282&lt;&gt;"",C2282,IF(P2282&lt;=IFERROR(INDEX(tblChannels[Watched Through],MATCH(N2282,tblChannels[Channel ID],0)),0),"Watched","Unwatched"))</f>
        <v/>
      </c>
      <c r="C2282" s="40" t="n"/>
      <c r="D2282" s="41" t="n"/>
      <c r="E2282" s="42" t="n">
        <v>43097.7125</v>
      </c>
      <c r="F2282" s="50" t="inlineStr">
        <is>
          <t>Super Carlin Brothers</t>
        </is>
      </c>
      <c r="G2282" t="inlineStr">
        <is>
          <t>How The Last Jedi Explains The Power of the Dark Side of the Force</t>
        </is>
      </c>
      <c r="H2282" s="44" t="n">
        <v>0.007199074074074074</v>
      </c>
      <c r="I2282" s="45" t="n">
        <v>271258</v>
      </c>
      <c r="J2282" s="45" t="n">
        <v>12009</v>
      </c>
      <c r="K2282" s="45" t="n">
        <v>1518</v>
      </c>
      <c r="L2282" s="46" t="n"/>
      <c r="M2282" s="47" t="n"/>
      <c r="N2282" s="47" t="inlineStr">
        <is>
          <t>UCKZo4N0lVPccBkSiuyVh4yg</t>
        </is>
      </c>
      <c r="O2282" s="48" t="n">
        <v>43097.92083333333</v>
      </c>
      <c r="P2282" s="49" t="n">
        <v>43097</v>
      </c>
      <c r="Q2282" s="47" t="n">
        <v>986</v>
      </c>
      <c r="R2282" s="47" t="inlineStr">
        <is>
          <t>No Video ID yet</t>
        </is>
      </c>
      <c r="S2282" s="49" t="n"/>
      <c r="T2282" s="49" t="n"/>
      <c r="U2282" s="47" t="inlineStr">
        <is>
          <t>Use our Link OR text promo code SCB to 500-500 to get a FREE audiobook and 30-day free trial. Today Ben Explains how the Last Jedi Reveals how the Dark Side of the Force is just so powerful and what "balance of the force" really means.</t>
        </is>
      </c>
      <c r="V2282" s="47">
        <f>IF(AND(P2282&gt;=Calendar!$K$2,P2282&lt;EDATE(Calendar!$K$2,1),OR(Calendar!$K$4="*",N2282=Calendar!$K$4)),P2282*100+COUNTIFS($P$6:$P$3267,P2282,$Q$6:$Q$3267,"&lt;="&amp;Q2282,$N$6:$N$3267,Calendar!$K$4),"")</f>
        <v/>
      </c>
      <c r="W2282" s="47">
        <f>IF(AND(B2282=Queue!$C$4,OR(Queue!$K$4="*",N2282=Queue!$K$4)),Q2282,"")</f>
        <v/>
      </c>
    </row>
    <row r="2283">
      <c r="A2283" s="38">
        <f>IF(M2283="","",HYPERLINK("https://www.youtube.com/watch?v="&amp;M2283,"▶"))</f>
        <v/>
      </c>
      <c r="B2283" s="39">
        <f>IF(C2283&lt;&gt;"",C2283,IF(P2283&lt;=IFERROR(INDEX(tblChannels[Watched Through],MATCH(N2283,tblChannels[Channel ID],0)),0),"Watched","Unwatched"))</f>
        <v/>
      </c>
      <c r="C2283" s="40" t="n"/>
      <c r="D2283" s="41" t="n"/>
      <c r="E2283" s="42" t="n">
        <v>43097.64583333334</v>
      </c>
      <c r="F2283" s="52" t="inlineStr">
        <is>
          <t>Super Carlin Gaming</t>
        </is>
      </c>
      <c r="G2283" t="inlineStr">
        <is>
          <t>Mario Kart Roulette #58: Failing a Class?</t>
        </is>
      </c>
      <c r="H2283" s="44" t="n">
        <v>0.0133912037037037</v>
      </c>
      <c r="I2283" s="45" t="n">
        <v>11914</v>
      </c>
      <c r="J2283" s="45" t="n">
        <v>470</v>
      </c>
      <c r="K2283" s="45" t="n">
        <v>168</v>
      </c>
      <c r="L2283" s="46" t="n"/>
      <c r="M2283" s="47" t="n"/>
      <c r="N2283" s="47" t="inlineStr">
        <is>
          <t>UCor_9jRnNNZVzTuQ92PKsaQ</t>
        </is>
      </c>
      <c r="O2283" s="48" t="n">
        <v>43097.85416666666</v>
      </c>
      <c r="P2283" s="49" t="n">
        <v>43097</v>
      </c>
      <c r="Q2283" s="47" t="n">
        <v>985</v>
      </c>
      <c r="R2283" s="47" t="inlineStr">
        <is>
          <t>No Video ID yet</t>
        </is>
      </c>
      <c r="S2283" s="49" t="n"/>
      <c r="T2283" s="49" t="n"/>
      <c r="U2283" s="47" t="inlineStr">
        <is>
          <t>J and Ben take on the Egg Cup and answer your questions!</t>
        </is>
      </c>
      <c r="V2283" s="47">
        <f>IF(AND(P2283&gt;=Calendar!$K$2,P2283&lt;EDATE(Calendar!$K$2,1),OR(Calendar!$K$4="*",N2283=Calendar!$K$4)),P2283*100+COUNTIFS($P$6:$P$3267,P2283,$Q$6:$Q$3267,"&lt;="&amp;Q2283,$N$6:$N$3267,Calendar!$K$4),"")</f>
        <v/>
      </c>
      <c r="W2283" s="47">
        <f>IF(AND(B2283=Queue!$C$4,OR(Queue!$K$4="*",N2283=Queue!$K$4)),Q2283,"")</f>
        <v/>
      </c>
    </row>
    <row r="2284">
      <c r="A2284" s="38">
        <f>IF(M2284="","",HYPERLINK("https://www.youtube.com/watch?v="&amp;M2284,"▶"))</f>
        <v/>
      </c>
      <c r="B2284" s="39">
        <f>IF(C2284&lt;&gt;"",C2284,IF(P2284&lt;=IFERROR(INDEX(tblChannels[Watched Through],MATCH(N2284,tblChannels[Channel ID],0)),0),"Watched","Unwatched"))</f>
        <v/>
      </c>
      <c r="C2284" s="40" t="n"/>
      <c r="D2284" s="41" t="n"/>
      <c r="E2284" s="42" t="n">
        <v>43095.64583333334</v>
      </c>
      <c r="F2284" s="52" t="inlineStr">
        <is>
          <t>Super Carlin Gaming</t>
        </is>
      </c>
      <c r="G2284" t="inlineStr">
        <is>
          <t>Mario Kart Roulette #57: Smallest Poops</t>
        </is>
      </c>
      <c r="H2284" s="44" t="n">
        <v>0.01141203703703704</v>
      </c>
      <c r="I2284" s="45" t="n">
        <v>8791</v>
      </c>
      <c r="J2284" s="45" t="n">
        <v>354</v>
      </c>
      <c r="K2284" s="45" t="n">
        <v>98</v>
      </c>
      <c r="L2284" s="46" t="n"/>
      <c r="M2284" s="47" t="n"/>
      <c r="N2284" s="47" t="inlineStr">
        <is>
          <t>UCor_9jRnNNZVzTuQ92PKsaQ</t>
        </is>
      </c>
      <c r="O2284" s="48" t="n">
        <v>43095.85416666666</v>
      </c>
      <c r="P2284" s="49" t="n">
        <v>43095</v>
      </c>
      <c r="Q2284" s="47" t="n">
        <v>984</v>
      </c>
      <c r="R2284" s="47" t="inlineStr">
        <is>
          <t>No Video ID yet</t>
        </is>
      </c>
      <c r="S2284" s="49" t="n"/>
      <c r="T2284" s="49" t="n"/>
      <c r="U2284" s="47" t="inlineStr">
        <is>
          <t>J &amp; Ben answer your questions and take on the Special Cup, where they've never gotten any stars...</t>
        </is>
      </c>
      <c r="V2284" s="47">
        <f>IF(AND(P2284&gt;=Calendar!$K$2,P2284&lt;EDATE(Calendar!$K$2,1),OR(Calendar!$K$4="*",N2284=Calendar!$K$4)),P2284*100+COUNTIFS($P$6:$P$3267,P2284,$Q$6:$Q$3267,"&lt;="&amp;Q2284,$N$6:$N$3267,Calendar!$K$4),"")</f>
        <v/>
      </c>
      <c r="W2284" s="47">
        <f>IF(AND(B2284=Queue!$C$4,OR(Queue!$K$4="*",N2284=Queue!$K$4)),Q2284,"")</f>
        <v/>
      </c>
    </row>
    <row r="2285">
      <c r="A2285" s="38">
        <f>IF(M2285="","",HYPERLINK("https://www.youtube.com/watch?v="&amp;M2285,"▶"))</f>
        <v/>
      </c>
      <c r="B2285" s="39">
        <f>IF(C2285&lt;&gt;"",C2285,IF(P2285&lt;=IFERROR(INDEX(tblChannels[Watched Through],MATCH(N2285,tblChannels[Channel ID],0)),0),"Watched","Unwatched"))</f>
        <v/>
      </c>
      <c r="C2285" s="40" t="n"/>
      <c r="D2285" s="41" t="n"/>
      <c r="E2285" s="42" t="n">
        <v>43095.54652777778</v>
      </c>
      <c r="F2285" s="50" t="inlineStr">
        <is>
          <t>Super Carlin Brothers</t>
        </is>
      </c>
      <c r="G2285" t="inlineStr">
        <is>
          <t>J vs Ben: ULTIMATE Harry Potter Christmas Quiz</t>
        </is>
      </c>
      <c r="H2285" s="44" t="n">
        <v>0.02414351851851852</v>
      </c>
      <c r="I2285" s="45" t="n">
        <v>1253922</v>
      </c>
      <c r="J2285" s="45" t="n">
        <v>21154</v>
      </c>
      <c r="K2285" s="45" t="n">
        <v>2902</v>
      </c>
      <c r="L2285" s="46" t="n"/>
      <c r="M2285" s="47" t="n"/>
      <c r="N2285" s="47" t="inlineStr">
        <is>
          <t>UCKZo4N0lVPccBkSiuyVh4yg</t>
        </is>
      </c>
      <c r="O2285" s="48" t="n">
        <v>43095.75486111111</v>
      </c>
      <c r="P2285" s="49" t="n">
        <v>43095</v>
      </c>
      <c r="Q2285" s="47" t="n">
        <v>983</v>
      </c>
      <c r="R2285" s="47" t="inlineStr">
        <is>
          <t>No Video ID yet</t>
        </is>
      </c>
      <c r="S2285" s="49" t="n"/>
      <c r="T2285" s="49" t="n"/>
      <c r="U2285" s="47" t="inlineStr">
        <is>
          <t>Play along with us! Today J and Ben face off in a Harry Potter Christmas showdown to find out who knows who gave Harry what and when and various other Hogwarts traditions! Who will win!?</t>
        </is>
      </c>
      <c r="V2285" s="47">
        <f>IF(AND(P2285&gt;=Calendar!$K$2,P2285&lt;EDATE(Calendar!$K$2,1),OR(Calendar!$K$4="*",N2285=Calendar!$K$4)),P2285*100+COUNTIFS($P$6:$P$3267,P2285,$Q$6:$Q$3267,"&lt;="&amp;Q2285,$N$6:$N$3267,Calendar!$K$4),"")</f>
        <v/>
      </c>
      <c r="W2285" s="47">
        <f>IF(AND(B2285=Queue!$C$4,OR(Queue!$K$4="*",N2285=Queue!$K$4)),Q2285,"")</f>
        <v/>
      </c>
    </row>
    <row r="2286">
      <c r="A2286" s="38">
        <f>IF(M2286="","",HYPERLINK("https://www.youtube.com/watch?v="&amp;M2286,"▶"))</f>
        <v/>
      </c>
      <c r="B2286" s="39">
        <f>IF(C2286&lt;&gt;"",C2286,IF(P2286&lt;=IFERROR(INDEX(tblChannels[Watched Through],MATCH(N2286,tblChannels[Channel ID],0)),0),"Watched","Unwatched"))</f>
        <v/>
      </c>
      <c r="C2286" s="40" t="n"/>
      <c r="D2286" s="41" t="n"/>
      <c r="E2286" s="42" t="n">
        <v>43094.41666666666</v>
      </c>
      <c r="F2286" s="53" t="inlineStr">
        <is>
          <t>Jonathan Carlin</t>
        </is>
      </c>
      <c r="G2286" t="inlineStr">
        <is>
          <t>MARE CHRISTMAS!</t>
        </is>
      </c>
      <c r="H2286" s="44" t="n">
        <v>0.008229166666666666</v>
      </c>
      <c r="I2286" s="45" t="n">
        <v>49945</v>
      </c>
      <c r="J2286" s="45" t="n">
        <v>2406</v>
      </c>
      <c r="K2286" s="45" t="n">
        <v>244</v>
      </c>
      <c r="L2286" s="46" t="n"/>
      <c r="M2286" s="47" t="n"/>
      <c r="N2286" s="47" t="inlineStr">
        <is>
          <t>UCYPKFe86e6nm4TVUYKLsFUQ</t>
        </is>
      </c>
      <c r="O2286" s="48" t="n">
        <v>43094.625</v>
      </c>
      <c r="P2286" s="49" t="n">
        <v>43094</v>
      </c>
      <c r="Q2286" s="47" t="n">
        <v>982</v>
      </c>
      <c r="R2286" s="47" t="inlineStr">
        <is>
          <t>No Video ID yet</t>
        </is>
      </c>
      <c r="S2286" s="49" t="n"/>
      <c r="T2286" s="49" t="n"/>
      <c r="U2286" s="47" t="inlineStr">
        <is>
          <t>This week we celebrate Twelve-O-Five day, the day Beth and I got engaged, open a lot of packages and go behind the scenes for the Super Carlin Brothers Giveathon! Info about Cascades :: Lightsabers :: Golden Egg :: Triwizard Cup :: X-Wing Helmet ::</t>
        </is>
      </c>
      <c r="V2286" s="47">
        <f>IF(AND(P2286&gt;=Calendar!$K$2,P2286&lt;EDATE(Calendar!$K$2,1),OR(Calendar!$K$4="*",N2286=Calendar!$K$4)),P2286*100+COUNTIFS($P$6:$P$3267,P2286,$Q$6:$Q$3267,"&lt;="&amp;Q2286,$N$6:$N$3267,Calendar!$K$4),"")</f>
        <v/>
      </c>
      <c r="W2286" s="47">
        <f>IF(AND(B2286=Queue!$C$4,OR(Queue!$K$4="*",N2286=Queue!$K$4)),Q2286,"")</f>
        <v/>
      </c>
    </row>
    <row r="2287">
      <c r="A2287" s="38">
        <f>IF(M2287="","",HYPERLINK("https://www.youtube.com/watch?v="&amp;M2287,"▶"))</f>
        <v/>
      </c>
      <c r="B2287" s="39">
        <f>IF(C2287&lt;&gt;"",C2287,IF(P2287&lt;=IFERROR(INDEX(tblChannels[Watched Through],MATCH(N2287,tblChannels[Channel ID],0)),0),"Watched","Unwatched"))</f>
        <v/>
      </c>
      <c r="C2287" s="40" t="n"/>
      <c r="D2287" s="41" t="n"/>
      <c r="E2287" s="42" t="n">
        <v>43091.61805555555</v>
      </c>
      <c r="F2287" s="52" t="inlineStr">
        <is>
          <t>Super Carlin Gaming</t>
        </is>
      </c>
      <c r="G2287" t="inlineStr">
        <is>
          <t>Pokemon Black Nuzlocke #20: Too Many Status Effects</t>
        </is>
      </c>
      <c r="H2287" s="44" t="n">
        <v>0.01966435185185185</v>
      </c>
      <c r="I2287" s="45" t="n">
        <v>25820</v>
      </c>
      <c r="J2287" s="45" t="n">
        <v>720</v>
      </c>
      <c r="K2287" s="45" t="n">
        <v>160</v>
      </c>
      <c r="L2287" s="46" t="n"/>
      <c r="M2287" s="47" t="n"/>
      <c r="N2287" s="47" t="inlineStr">
        <is>
          <t>UCor_9jRnNNZVzTuQ92PKsaQ</t>
        </is>
      </c>
      <c r="O2287" s="48" t="n">
        <v>43091.82638888889</v>
      </c>
      <c r="P2287" s="49" t="n">
        <v>43091</v>
      </c>
      <c r="Q2287" s="47" t="n">
        <v>981</v>
      </c>
      <c r="R2287" s="47" t="inlineStr">
        <is>
          <t>No Video ID yet</t>
        </is>
      </c>
      <c r="S2287" s="49" t="n"/>
      <c r="T2287" s="49" t="n"/>
      <c r="U2287" s="47" t="inlineStr">
        <is>
          <t>Just way way too many status effects... P.S. WE ARE TAKING NEXT WEEK OFF! SEE YOU IN 2018!</t>
        </is>
      </c>
      <c r="V2287" s="47">
        <f>IF(AND(P2287&gt;=Calendar!$K$2,P2287&lt;EDATE(Calendar!$K$2,1),OR(Calendar!$K$4="*",N2287=Calendar!$K$4)),P2287*100+COUNTIFS($P$6:$P$3267,P2287,$Q$6:$Q$3267,"&lt;="&amp;Q2287,$N$6:$N$3267,Calendar!$K$4),"")</f>
        <v/>
      </c>
      <c r="W2287" s="47">
        <f>IF(AND(B2287=Queue!$C$4,OR(Queue!$K$4="*",N2287=Queue!$K$4)),Q2287,"")</f>
        <v/>
      </c>
    </row>
    <row r="2288">
      <c r="A2288" s="38">
        <f>IF(M2288="","",HYPERLINK("https://www.youtube.com/watch?v="&amp;M2288,"▶"))</f>
        <v/>
      </c>
      <c r="B2288" s="39">
        <f>IF(C2288&lt;&gt;"",C2288,IF(P2288&lt;=IFERROR(INDEX(tblChannels[Watched Through],MATCH(N2288,tblChannels[Channel ID],0)),0),"Watched","Unwatched"))</f>
        <v/>
      </c>
      <c r="C2288" s="40" t="n"/>
      <c r="D2288" s="41" t="n"/>
      <c r="E2288" s="42" t="n">
        <v>43090.73611111111</v>
      </c>
      <c r="F2288" s="52" t="inlineStr">
        <is>
          <t>Super Carlin Gaming</t>
        </is>
      </c>
      <c r="G2288" t="inlineStr">
        <is>
          <t>Mario Kart Roulette #56: Successful First Date?</t>
        </is>
      </c>
      <c r="H2288" s="44" t="n">
        <v>0.01079861111111111</v>
      </c>
      <c r="I2288" s="45" t="n">
        <v>10772</v>
      </c>
      <c r="J2288" s="45" t="n">
        <v>456</v>
      </c>
      <c r="K2288" s="45" t="n">
        <v>100</v>
      </c>
      <c r="L2288" s="46" t="n"/>
      <c r="M2288" s="47" t="n"/>
      <c r="N2288" s="47" t="inlineStr">
        <is>
          <t>UCor_9jRnNNZVzTuQ92PKsaQ</t>
        </is>
      </c>
      <c r="O2288" s="48" t="n">
        <v>43090.94444444445</v>
      </c>
      <c r="P2288" s="49" t="n">
        <v>43090</v>
      </c>
      <c r="Q2288" s="47" t="n">
        <v>980</v>
      </c>
      <c r="R2288" s="47" t="inlineStr">
        <is>
          <t>No Video ID yet</t>
        </is>
      </c>
      <c r="S2288" s="49" t="n"/>
      <c r="T2288" s="49" t="n"/>
      <c r="U2288" s="47" t="n"/>
      <c r="V2288" s="47">
        <f>IF(AND(P2288&gt;=Calendar!$K$2,P2288&lt;EDATE(Calendar!$K$2,1),OR(Calendar!$K$4="*",N2288=Calendar!$K$4)),P2288*100+COUNTIFS($P$6:$P$3267,P2288,$Q$6:$Q$3267,"&lt;="&amp;Q2288,$N$6:$N$3267,Calendar!$K$4),"")</f>
        <v/>
      </c>
      <c r="W2288" s="47">
        <f>IF(AND(B2288=Queue!$C$4,OR(Queue!$K$4="*",N2288=Queue!$K$4)),Q2288,"")</f>
        <v/>
      </c>
    </row>
    <row r="2289">
      <c r="A2289" s="38">
        <f>IF(M2289="","",HYPERLINK("https://www.youtube.com/watch?v="&amp;M2289,"▶"))</f>
        <v/>
      </c>
      <c r="B2289" s="39">
        <f>IF(C2289&lt;&gt;"",C2289,IF(P2289&lt;=IFERROR(INDEX(tblChannels[Watched Through],MATCH(N2289,tblChannels[Channel ID],0)),0),"Watched","Unwatched"))</f>
        <v/>
      </c>
      <c r="C2289" s="40" t="n"/>
      <c r="D2289" s="41" t="n"/>
      <c r="E2289" s="42" t="n">
        <v>43090.625</v>
      </c>
      <c r="F2289" s="50" t="inlineStr">
        <is>
          <t>Super Carlin Brothers</t>
        </is>
      </c>
      <c r="G2289" t="inlineStr">
        <is>
          <t>Top 7 Unanswered Questions from Star Wars The Last Jedi</t>
        </is>
      </c>
      <c r="H2289" s="44" t="n">
        <v>0.008032407407407408</v>
      </c>
      <c r="I2289" s="45" t="n">
        <v>474060</v>
      </c>
      <c r="J2289" s="45" t="n">
        <v>14177</v>
      </c>
      <c r="K2289" s="45" t="n">
        <v>2280</v>
      </c>
      <c r="L2289" s="46" t="n"/>
      <c r="M2289" s="47" t="n"/>
      <c r="N2289" s="47" t="inlineStr">
        <is>
          <t>UCKZo4N0lVPccBkSiuyVh4yg</t>
        </is>
      </c>
      <c r="O2289" s="48" t="n">
        <v>43090.83333333334</v>
      </c>
      <c r="P2289" s="49" t="n">
        <v>43090</v>
      </c>
      <c r="Q2289" s="47" t="n">
        <v>979</v>
      </c>
      <c r="R2289" s="47" t="inlineStr">
        <is>
          <t>No Video ID yet</t>
        </is>
      </c>
      <c r="S2289" s="49" t="n"/>
      <c r="T2289" s="49" t="n"/>
      <c r="U2289" s="47" t="inlineStr">
        <is>
          <t>To enter to win the $1,000 Scholarship Star building your project at SquareSpace.com/SCB Today Ben Goes through the Top 7 Unanswered Questions from Star Wars The Last Jedi!</t>
        </is>
      </c>
      <c r="V2289" s="47">
        <f>IF(AND(P2289&gt;=Calendar!$K$2,P2289&lt;EDATE(Calendar!$K$2,1),OR(Calendar!$K$4="*",N2289=Calendar!$K$4)),P2289*100+COUNTIFS($P$6:$P$3267,P2289,$Q$6:$Q$3267,"&lt;="&amp;Q2289,$N$6:$N$3267,Calendar!$K$4),"")</f>
        <v/>
      </c>
      <c r="W2289" s="47">
        <f>IF(AND(B2289=Queue!$C$4,OR(Queue!$K$4="*",N2289=Queue!$K$4)),Q2289,"")</f>
        <v/>
      </c>
    </row>
    <row r="2290">
      <c r="A2290" s="38">
        <f>IF(M2290="","",HYPERLINK("https://www.youtube.com/watch?v="&amp;M2290,"▶"))</f>
        <v/>
      </c>
      <c r="B2290" s="39">
        <f>IF(C2290&lt;&gt;"",C2290,IF(P2290&lt;=IFERROR(INDEX(tblChannels[Watched Through],MATCH(N2290,tblChannels[Channel ID],0)),0),"Watched","Unwatched"))</f>
        <v/>
      </c>
      <c r="C2290" s="40" t="n"/>
      <c r="D2290" s="41" t="n"/>
      <c r="E2290" s="42" t="n">
        <v>43089.65069444444</v>
      </c>
      <c r="F2290" s="52" t="inlineStr">
        <is>
          <t>Super Carlin Gaming</t>
        </is>
      </c>
      <c r="G2290" t="inlineStr">
        <is>
          <t>Pokemon Black Nuzlocke #19: The Power of Evolution</t>
        </is>
      </c>
      <c r="H2290" s="44" t="n">
        <v>0.02560185185185185</v>
      </c>
      <c r="I2290" s="45" t="n">
        <v>27369</v>
      </c>
      <c r="J2290" s="45" t="n">
        <v>742</v>
      </c>
      <c r="K2290" s="45" t="n">
        <v>180</v>
      </c>
      <c r="L2290" s="46" t="n"/>
      <c r="M2290" s="47" t="n"/>
      <c r="N2290" s="47" t="inlineStr">
        <is>
          <t>UCor_9jRnNNZVzTuQ92PKsaQ</t>
        </is>
      </c>
      <c r="O2290" s="48" t="n">
        <v>43089.85902777778</v>
      </c>
      <c r="P2290" s="49" t="n">
        <v>43089</v>
      </c>
      <c r="Q2290" s="47" t="n">
        <v>978</v>
      </c>
      <c r="R2290" s="47" t="inlineStr">
        <is>
          <t>No Video ID yet</t>
        </is>
      </c>
      <c r="S2290" s="49" t="n"/>
      <c r="T2290" s="49" t="n"/>
      <c r="U2290" s="47" t="inlineStr">
        <is>
          <t>So many evolutions! So much power...</t>
        </is>
      </c>
      <c r="V2290" s="47">
        <f>IF(AND(P2290&gt;=Calendar!$K$2,P2290&lt;EDATE(Calendar!$K$2,1),OR(Calendar!$K$4="*",N2290=Calendar!$K$4)),P2290*100+COUNTIFS($P$6:$P$3267,P2290,$Q$6:$Q$3267,"&lt;="&amp;Q2290,$N$6:$N$3267,Calendar!$K$4),"")</f>
        <v/>
      </c>
      <c r="W2290" s="47">
        <f>IF(AND(B2290=Queue!$C$4,OR(Queue!$K$4="*",N2290=Queue!$K$4)),Q2290,"")</f>
        <v/>
      </c>
    </row>
    <row r="2291">
      <c r="A2291" s="38">
        <f>IF(M2291="","",HYPERLINK("https://www.youtube.com/watch?v="&amp;M2291,"▶"))</f>
        <v/>
      </c>
      <c r="B2291" s="39">
        <f>IF(C2291&lt;&gt;"",C2291,IF(P2291&lt;=IFERROR(INDEX(tblChannels[Watched Through],MATCH(N2291,tblChannels[Channel ID],0)),0),"Watched","Unwatched"))</f>
        <v/>
      </c>
      <c r="C2291" s="40" t="n"/>
      <c r="D2291" s="41" t="n"/>
      <c r="E2291" s="42" t="n">
        <v>43088.75902777778</v>
      </c>
      <c r="F2291" s="50" t="inlineStr">
        <is>
          <t>Super Carlin Brothers</t>
        </is>
      </c>
      <c r="G2291" t="inlineStr">
        <is>
          <t>Star Wars The Last Jedi SPOILER Review</t>
        </is>
      </c>
      <c r="H2291" s="44" t="n">
        <v>0.04396990740740741</v>
      </c>
      <c r="I2291" s="45" t="n">
        <v>397313</v>
      </c>
      <c r="J2291" s="45" t="n">
        <v>11560</v>
      </c>
      <c r="K2291" s="45" t="n">
        <v>4626</v>
      </c>
      <c r="L2291" s="46" t="n"/>
      <c r="M2291" s="47" t="n"/>
      <c r="N2291" s="47" t="inlineStr">
        <is>
          <t>UCKZo4N0lVPccBkSiuyVh4yg</t>
        </is>
      </c>
      <c r="O2291" s="48" t="n">
        <v>43088.96736111111</v>
      </c>
      <c r="P2291" s="49" t="n">
        <v>43088</v>
      </c>
      <c r="Q2291" s="47" t="n">
        <v>977</v>
      </c>
      <c r="R2291" s="47" t="inlineStr">
        <is>
          <t>No Video ID yet</t>
        </is>
      </c>
      <c r="S2291" s="49" t="n"/>
      <c r="T2291" s="49" t="n"/>
      <c r="U2291" s="47" t="inlineStr">
        <is>
          <t>This movie has proven to be incredibly polarizing amongst fans... Where do you rank The Last Jedi amongst the Star Wars Films?</t>
        </is>
      </c>
      <c r="V2291" s="47">
        <f>IF(AND(P2291&gt;=Calendar!$K$2,P2291&lt;EDATE(Calendar!$K$2,1),OR(Calendar!$K$4="*",N2291=Calendar!$K$4)),P2291*100+COUNTIFS($P$6:$P$3267,P2291,$Q$6:$Q$3267,"&lt;="&amp;Q2291,$N$6:$N$3267,Calendar!$K$4),"")</f>
        <v/>
      </c>
      <c r="W2291" s="47">
        <f>IF(AND(B2291=Queue!$C$4,OR(Queue!$K$4="*",N2291=Queue!$K$4)),Q2291,"")</f>
        <v/>
      </c>
    </row>
    <row r="2292">
      <c r="A2292" s="38">
        <f>IF(M2292="","",HYPERLINK("https://www.youtube.com/watch?v="&amp;M2292,"▶"))</f>
        <v/>
      </c>
      <c r="B2292" s="39">
        <f>IF(C2292&lt;&gt;"",C2292,IF(P2292&lt;=IFERROR(INDEX(tblChannels[Watched Through],MATCH(N2292,tblChannels[Channel ID],0)),0),"Watched","Unwatched"))</f>
        <v/>
      </c>
      <c r="C2292" s="40" t="n"/>
      <c r="D2292" s="41" t="n"/>
      <c r="E2292" s="42" t="n">
        <v>43088.44930555556</v>
      </c>
      <c r="F2292" s="52" t="inlineStr">
        <is>
          <t>Super Carlin Gaming</t>
        </is>
      </c>
      <c r="G2292" t="inlineStr">
        <is>
          <t>Mario Kart Roulette #55: Poorly Timed Lightning</t>
        </is>
      </c>
      <c r="H2292" s="44" t="n">
        <v>0.01241898148148148</v>
      </c>
      <c r="I2292" s="45" t="n">
        <v>12269</v>
      </c>
      <c r="J2292" s="45" t="n">
        <v>658</v>
      </c>
      <c r="K2292" s="45" t="n">
        <v>108</v>
      </c>
      <c r="L2292" s="46" t="n"/>
      <c r="M2292" s="47" t="n"/>
      <c r="N2292" s="47" t="inlineStr">
        <is>
          <t>UCor_9jRnNNZVzTuQ92PKsaQ</t>
        </is>
      </c>
      <c r="O2292" s="48" t="n">
        <v>43088.65763888889</v>
      </c>
      <c r="P2292" s="49" t="n">
        <v>43088</v>
      </c>
      <c r="Q2292" s="47" t="n">
        <v>976</v>
      </c>
      <c r="R2292" s="47" t="inlineStr">
        <is>
          <t>No Video ID yet</t>
        </is>
      </c>
      <c r="S2292" s="49" t="n"/>
      <c r="T2292" s="49" t="n"/>
      <c r="U2292" s="47" t="n"/>
      <c r="V2292" s="47">
        <f>IF(AND(P2292&gt;=Calendar!$K$2,P2292&lt;EDATE(Calendar!$K$2,1),OR(Calendar!$K$4="*",N2292=Calendar!$K$4)),P2292*100+COUNTIFS($P$6:$P$3267,P2292,$Q$6:$Q$3267,"&lt;="&amp;Q2292,$N$6:$N$3267,Calendar!$K$4),"")</f>
        <v/>
      </c>
      <c r="W2292" s="47">
        <f>IF(AND(B2292=Queue!$C$4,OR(Queue!$K$4="*",N2292=Queue!$K$4)),Q2292,"")</f>
        <v/>
      </c>
    </row>
    <row r="2293">
      <c r="A2293" s="38">
        <f>IF(M2293="","",HYPERLINK("https://www.youtube.com/watch?v="&amp;M2293,"▶"))</f>
        <v/>
      </c>
      <c r="B2293" s="39">
        <f>IF(C2293&lt;&gt;"",C2293,IF(P2293&lt;=IFERROR(INDEX(tblChannels[Watched Through],MATCH(N2293,tblChannels[Channel ID],0)),0),"Watched","Unwatched"))</f>
        <v/>
      </c>
      <c r="C2293" s="40" t="n"/>
      <c r="D2293" s="41" t="n"/>
      <c r="E2293" s="42" t="n">
        <v>43087.73402777778</v>
      </c>
      <c r="F2293" s="52" t="inlineStr">
        <is>
          <t>Super Carlin Gaming</t>
        </is>
      </c>
      <c r="G2293" t="inlineStr">
        <is>
          <t>Pokemon Black Nuzlocke #18: Icirrus</t>
        </is>
      </c>
      <c r="H2293" s="44" t="n">
        <v>0.02078703703703704</v>
      </c>
      <c r="I2293" s="45" t="n">
        <v>26312</v>
      </c>
      <c r="J2293" s="45" t="n">
        <v>726</v>
      </c>
      <c r="K2293" s="45" t="n">
        <v>177</v>
      </c>
      <c r="L2293" s="46" t="n"/>
      <c r="M2293" s="47" t="n"/>
      <c r="N2293" s="47" t="inlineStr">
        <is>
          <t>UCor_9jRnNNZVzTuQ92PKsaQ</t>
        </is>
      </c>
      <c r="O2293" s="48" t="n">
        <v>43087.94236111111</v>
      </c>
      <c r="P2293" s="49" t="n">
        <v>43087</v>
      </c>
      <c r="Q2293" s="47" t="n">
        <v>975</v>
      </c>
      <c r="R2293" s="47" t="inlineStr">
        <is>
          <t>No Video ID yet</t>
        </is>
      </c>
      <c r="S2293" s="49" t="n"/>
      <c r="T2293" s="49" t="n"/>
      <c r="U2293" s="47" t="n"/>
      <c r="V2293" s="47">
        <f>IF(AND(P2293&gt;=Calendar!$K$2,P2293&lt;EDATE(Calendar!$K$2,1),OR(Calendar!$K$4="*",N2293=Calendar!$K$4)),P2293*100+COUNTIFS($P$6:$P$3267,P2293,$Q$6:$Q$3267,"&lt;="&amp;Q2293,$N$6:$N$3267,Calendar!$K$4),"")</f>
        <v/>
      </c>
      <c r="W2293" s="47">
        <f>IF(AND(B2293=Queue!$C$4,OR(Queue!$K$4="*",N2293=Queue!$K$4)),Q2293,"")</f>
        <v/>
      </c>
    </row>
    <row r="2294">
      <c r="A2294" s="38">
        <f>IF(M2294="","",HYPERLINK("https://www.youtube.com/watch?v="&amp;M2294,"▶"))</f>
        <v/>
      </c>
      <c r="B2294" s="39">
        <f>IF(C2294&lt;&gt;"",C2294,IF(P2294&lt;=IFERROR(INDEX(tblChannels[Watched Through],MATCH(N2294,tblChannels[Channel ID],0)),0),"Watched","Unwatched"))</f>
        <v/>
      </c>
      <c r="C2294" s="40" t="n"/>
      <c r="D2294" s="41" t="n"/>
      <c r="E2294" s="42" t="n">
        <v>43087.47638888889</v>
      </c>
      <c r="F2294" s="53" t="inlineStr">
        <is>
          <t>Jonathan Carlin</t>
        </is>
      </c>
      <c r="G2294" t="inlineStr">
        <is>
          <t>MY SON IS BORN</t>
        </is>
      </c>
      <c r="H2294" s="44" t="n">
        <v>0.005289351851851852</v>
      </c>
      <c r="I2294" s="45" t="n">
        <v>154541</v>
      </c>
      <c r="J2294" s="45" t="n">
        <v>6657</v>
      </c>
      <c r="K2294" s="45" t="n">
        <v>886</v>
      </c>
      <c r="L2294" s="46" t="n"/>
      <c r="M2294" s="47" t="n"/>
      <c r="N2294" s="47" t="inlineStr">
        <is>
          <t>UCYPKFe86e6nm4TVUYKLsFUQ</t>
        </is>
      </c>
      <c r="O2294" s="48" t="n">
        <v>43087.68472222222</v>
      </c>
      <c r="P2294" s="49" t="n">
        <v>43087</v>
      </c>
      <c r="Q2294" s="47" t="n">
        <v>974</v>
      </c>
      <c r="R2294" s="47" t="inlineStr">
        <is>
          <t>No Video ID yet</t>
        </is>
      </c>
      <c r="S2294" s="49" t="n"/>
      <c r="T2294" s="49" t="n"/>
      <c r="U2294" s="47" t="inlineStr">
        <is>
          <t>The new best day of my life: November 29, 2017, the day my son Luke was born. If it puts your mind at ease at all, he stayed in the NICU for awhile but has safely made it home and is happy and healthy!</t>
        </is>
      </c>
      <c r="V2294" s="47">
        <f>IF(AND(P2294&gt;=Calendar!$K$2,P2294&lt;EDATE(Calendar!$K$2,1),OR(Calendar!$K$4="*",N2294=Calendar!$K$4)),P2294*100+COUNTIFS($P$6:$P$3267,P2294,$Q$6:$Q$3267,"&lt;="&amp;Q2294,$N$6:$N$3267,Calendar!$K$4),"")</f>
        <v/>
      </c>
      <c r="W2294" s="47">
        <f>IF(AND(B2294=Queue!$C$4,OR(Queue!$K$4="*",N2294=Queue!$K$4)),Q2294,"")</f>
        <v/>
      </c>
    </row>
    <row r="2295">
      <c r="A2295" s="38">
        <f>IF(M2295="","",HYPERLINK("https://www.youtube.com/watch?v="&amp;M2295,"▶"))</f>
        <v/>
      </c>
      <c r="B2295" s="39">
        <f>IF(C2295&lt;&gt;"",C2295,IF(P2295&lt;=IFERROR(INDEX(tblChannels[Watched Through],MATCH(N2295,tblChannels[Channel ID],0)),0),"Watched","Unwatched"))</f>
        <v/>
      </c>
      <c r="C2295" s="40" t="n"/>
      <c r="D2295" s="41" t="n"/>
      <c r="E2295" s="42" t="n">
        <v>43084.64583333334</v>
      </c>
      <c r="F2295" s="50" t="inlineStr">
        <is>
          <t>Super Carlin Brothers</t>
        </is>
      </c>
      <c r="G2295" t="inlineStr">
        <is>
          <t>Luke, I am Your Father - J Becomes a Dad!</t>
        </is>
      </c>
      <c r="H2295" s="44" t="n">
        <v>0.008750000000000001</v>
      </c>
      <c r="I2295" s="45" t="n">
        <v>298375</v>
      </c>
      <c r="J2295" s="45" t="n">
        <v>14224</v>
      </c>
      <c r="K2295" s="45" t="n">
        <v>1402</v>
      </c>
      <c r="L2295" s="46" t="n"/>
      <c r="M2295" s="47" t="n"/>
      <c r="N2295" s="47" t="inlineStr">
        <is>
          <t>UCKZo4N0lVPccBkSiuyVh4yg</t>
        </is>
      </c>
      <c r="O2295" s="48" t="n">
        <v>43084.85416666666</v>
      </c>
      <c r="P2295" s="49" t="n">
        <v>43084</v>
      </c>
      <c r="Q2295" s="47" t="n">
        <v>973</v>
      </c>
      <c r="R2295" s="47" t="inlineStr">
        <is>
          <t>No Video ID yet</t>
        </is>
      </c>
      <c r="S2295" s="49" t="n"/>
      <c r="T2295" s="49" t="n"/>
      <c r="U2295" s="47" t="inlineStr">
        <is>
          <t>J's Vlog Channel:</t>
        </is>
      </c>
      <c r="V2295" s="47">
        <f>IF(AND(P2295&gt;=Calendar!$K$2,P2295&lt;EDATE(Calendar!$K$2,1),OR(Calendar!$K$4="*",N2295=Calendar!$K$4)),P2295*100+COUNTIFS($P$6:$P$3267,P2295,$Q$6:$Q$3267,"&lt;="&amp;Q2295,$N$6:$N$3267,Calendar!$K$4),"")</f>
        <v/>
      </c>
      <c r="W2295" s="47">
        <f>IF(AND(B2295=Queue!$C$4,OR(Queue!$K$4="*",N2295=Queue!$K$4)),Q2295,"")</f>
        <v/>
      </c>
    </row>
    <row r="2296">
      <c r="A2296" s="38">
        <f>IF(M2296="","",HYPERLINK("https://www.youtube.com/watch?v="&amp;M2296,"▶"))</f>
        <v/>
      </c>
      <c r="B2296" s="39">
        <f>IF(C2296&lt;&gt;"",C2296,IF(P2296&lt;=IFERROR(INDEX(tblChannels[Watched Through],MATCH(N2296,tblChannels[Channel ID],0)),0),"Watched","Unwatched"))</f>
        <v/>
      </c>
      <c r="C2296" s="40" t="n"/>
      <c r="D2296" s="41" t="n"/>
      <c r="E2296" s="42" t="n">
        <v>43084.60069444445</v>
      </c>
      <c r="F2296" s="52" t="inlineStr">
        <is>
          <t>Super Carlin Gaming</t>
        </is>
      </c>
      <c r="G2296" t="inlineStr">
        <is>
          <t>Pokemon Black Nuzlocke #17: Taco's Last Ember</t>
        </is>
      </c>
      <c r="H2296" s="44" t="n">
        <v>0.02247685185185185</v>
      </c>
      <c r="I2296" s="45" t="n">
        <v>29348</v>
      </c>
      <c r="J2296" s="45" t="n">
        <v>770</v>
      </c>
      <c r="K2296" s="45" t="n">
        <v>350</v>
      </c>
      <c r="L2296" s="46" t="n"/>
      <c r="M2296" s="47" t="n"/>
      <c r="N2296" s="47" t="inlineStr">
        <is>
          <t>UCor_9jRnNNZVzTuQ92PKsaQ</t>
        </is>
      </c>
      <c r="O2296" s="48" t="n">
        <v>43084.80902777778</v>
      </c>
      <c r="P2296" s="49" t="n">
        <v>43084</v>
      </c>
      <c r="Q2296" s="47" t="n">
        <v>972</v>
      </c>
      <c r="R2296" s="47" t="inlineStr">
        <is>
          <t>No Video ID yet</t>
        </is>
      </c>
      <c r="S2296" s="49" t="n"/>
      <c r="T2296" s="49" t="n"/>
      <c r="U2296" s="47" t="n"/>
      <c r="V2296" s="47">
        <f>IF(AND(P2296&gt;=Calendar!$K$2,P2296&lt;EDATE(Calendar!$K$2,1),OR(Calendar!$K$4="*",N2296=Calendar!$K$4)),P2296*100+COUNTIFS($P$6:$P$3267,P2296,$Q$6:$Q$3267,"&lt;="&amp;Q2296,$N$6:$N$3267,Calendar!$K$4),"")</f>
        <v/>
      </c>
      <c r="W2296" s="47">
        <f>IF(AND(B2296=Queue!$C$4,OR(Queue!$K$4="*",N2296=Queue!$K$4)),Q2296,"")</f>
        <v/>
      </c>
    </row>
    <row r="2297">
      <c r="A2297" s="38">
        <f>IF(M2297="","",HYPERLINK("https://www.youtube.com/watch?v="&amp;M2297,"▶"))</f>
        <v/>
      </c>
      <c r="B2297" s="39">
        <f>IF(C2297&lt;&gt;"",C2297,IF(P2297&lt;=IFERROR(INDEX(tblChannels[Watched Through],MATCH(N2297,tblChannels[Channel ID],0)),0),"Watched","Unwatched"))</f>
        <v/>
      </c>
      <c r="C2297" s="40" t="n"/>
      <c r="D2297" s="41" t="n"/>
      <c r="E2297" s="42" t="n">
        <v>43083.44861111111</v>
      </c>
      <c r="F2297" s="52" t="inlineStr">
        <is>
          <t>Super Carlin Gaming</t>
        </is>
      </c>
      <c r="G2297" t="inlineStr">
        <is>
          <t>Mario Kart Roulette #54: Is Arguing Bad?</t>
        </is>
      </c>
      <c r="H2297" s="44" t="n">
        <v>0.01137731481481481</v>
      </c>
      <c r="I2297" s="45" t="n">
        <v>11198</v>
      </c>
      <c r="J2297" s="45" t="n">
        <v>554</v>
      </c>
      <c r="K2297" s="45" t="n">
        <v>82</v>
      </c>
      <c r="L2297" s="46" t="n"/>
      <c r="M2297" s="47" t="n"/>
      <c r="N2297" s="47" t="inlineStr">
        <is>
          <t>UCor_9jRnNNZVzTuQ92PKsaQ</t>
        </is>
      </c>
      <c r="O2297" s="48" t="n">
        <v>43083.65694444445</v>
      </c>
      <c r="P2297" s="49" t="n">
        <v>43083</v>
      </c>
      <c r="Q2297" s="47" t="n">
        <v>971</v>
      </c>
      <c r="R2297" s="47" t="inlineStr">
        <is>
          <t>No Video ID yet</t>
        </is>
      </c>
      <c r="S2297" s="49" t="n"/>
      <c r="T2297" s="49" t="n"/>
      <c r="U2297" s="47" t="inlineStr">
        <is>
          <t>Is arguing with your friends bad?</t>
        </is>
      </c>
      <c r="V2297" s="47">
        <f>IF(AND(P2297&gt;=Calendar!$K$2,P2297&lt;EDATE(Calendar!$K$2,1),OR(Calendar!$K$4="*",N2297=Calendar!$K$4)),P2297*100+COUNTIFS($P$6:$P$3267,P2297,$Q$6:$Q$3267,"&lt;="&amp;Q2297,$N$6:$N$3267,Calendar!$K$4),"")</f>
        <v/>
      </c>
      <c r="W2297" s="47">
        <f>IF(AND(B2297=Queue!$C$4,OR(Queue!$K$4="*",N2297=Queue!$K$4)),Q2297,"")</f>
        <v/>
      </c>
    </row>
    <row r="2298">
      <c r="A2298" s="38">
        <f>IF(M2298="","",HYPERLINK("https://www.youtube.com/watch?v="&amp;M2298,"▶"))</f>
        <v/>
      </c>
      <c r="B2298" s="39">
        <f>IF(C2298&lt;&gt;"",C2298,IF(P2298&lt;=IFERROR(INDEX(tblChannels[Watched Through],MATCH(N2298,tblChannels[Channel ID],0)),0),"Watched","Unwatched"))</f>
        <v/>
      </c>
      <c r="C2298" s="40" t="n"/>
      <c r="D2298" s="41" t="n"/>
      <c r="E2298" s="42" t="n">
        <v>43082.60902777778</v>
      </c>
      <c r="F2298" s="52" t="inlineStr">
        <is>
          <t>Super Carlin Gaming</t>
        </is>
      </c>
      <c r="G2298" t="inlineStr">
        <is>
          <t>Pokemon Black Nuzlocke #16: Up To Skyla</t>
        </is>
      </c>
      <c r="H2298" s="44" t="n">
        <v>0.02548611111111111</v>
      </c>
      <c r="I2298" s="45" t="n">
        <v>29689</v>
      </c>
      <c r="J2298" s="45" t="n">
        <v>781</v>
      </c>
      <c r="K2298" s="45" t="n">
        <v>225</v>
      </c>
      <c r="L2298" s="46" t="n"/>
      <c r="M2298" s="47" t="n"/>
      <c r="N2298" s="47" t="inlineStr">
        <is>
          <t>UCor_9jRnNNZVzTuQ92PKsaQ</t>
        </is>
      </c>
      <c r="O2298" s="48" t="n">
        <v>43082.81736111111</v>
      </c>
      <c r="P2298" s="49" t="n">
        <v>43082</v>
      </c>
      <c r="Q2298" s="47" t="n">
        <v>970</v>
      </c>
      <c r="R2298" s="47" t="inlineStr">
        <is>
          <t>No Video ID yet</t>
        </is>
      </c>
      <c r="S2298" s="49" t="n"/>
      <c r="T2298" s="49" t="n"/>
      <c r="U2298" s="47" t="n"/>
      <c r="V2298" s="47">
        <f>IF(AND(P2298&gt;=Calendar!$K$2,P2298&lt;EDATE(Calendar!$K$2,1),OR(Calendar!$K$4="*",N2298=Calendar!$K$4)),P2298*100+COUNTIFS($P$6:$P$3267,P2298,$Q$6:$Q$3267,"&lt;="&amp;Q2298,$N$6:$N$3267,Calendar!$K$4),"")</f>
        <v/>
      </c>
      <c r="W2298" s="47">
        <f>IF(AND(B2298=Queue!$C$4,OR(Queue!$K$4="*",N2298=Queue!$K$4)),Q2298,"")</f>
        <v/>
      </c>
    </row>
    <row r="2299">
      <c r="A2299" s="38">
        <f>IF(M2299="","",HYPERLINK("https://www.youtube.com/watch?v="&amp;M2299,"▶"))</f>
        <v/>
      </c>
      <c r="B2299" s="39">
        <f>IF(C2299&lt;&gt;"",C2299,IF(P2299&lt;=IFERROR(INDEX(tblChannels[Watched Through],MATCH(N2299,tblChannels[Channel ID],0)),0),"Watched","Unwatched"))</f>
        <v/>
      </c>
      <c r="C2299" s="40" t="n"/>
      <c r="D2299" s="41" t="n"/>
      <c r="E2299" s="42" t="n">
        <v>43081.80277777778</v>
      </c>
      <c r="F2299" s="50" t="inlineStr">
        <is>
          <t>Super Carlin Brothers</t>
        </is>
      </c>
      <c r="G2299" t="inlineStr">
        <is>
          <t>How Coco Fits Into The Pixar Theory</t>
        </is>
      </c>
      <c r="H2299" s="44" t="n">
        <v>0.008333333333333333</v>
      </c>
      <c r="I2299" s="45" t="n">
        <v>2218728</v>
      </c>
      <c r="J2299" s="45" t="n">
        <v>50715</v>
      </c>
      <c r="K2299" s="45" t="n">
        <v>6035</v>
      </c>
      <c r="L2299" s="46" t="n"/>
      <c r="M2299" s="47" t="n"/>
      <c r="N2299" s="47" t="inlineStr">
        <is>
          <t>UCKZo4N0lVPccBkSiuyVh4yg</t>
        </is>
      </c>
      <c r="O2299" s="48" t="n">
        <v>43082.01111111111</v>
      </c>
      <c r="P2299" s="49" t="n">
        <v>43081</v>
      </c>
      <c r="Q2299" s="47" t="n">
        <v>969</v>
      </c>
      <c r="R2299" s="47" t="inlineStr">
        <is>
          <t>No Video ID yet</t>
        </is>
      </c>
      <c r="S2299" s="49" t="n"/>
      <c r="T2299" s="49" t="n"/>
      <c r="U2299" s="47" t="inlineStr">
        <is>
          <t>Today we answer the question... Does Coco fit into the Pixar Theory... And if so... How?</t>
        </is>
      </c>
      <c r="V2299" s="47">
        <f>IF(AND(P2299&gt;=Calendar!$K$2,P2299&lt;EDATE(Calendar!$K$2,1),OR(Calendar!$K$4="*",N2299=Calendar!$K$4)),P2299*100+COUNTIFS($P$6:$P$3267,P2299,$Q$6:$Q$3267,"&lt;="&amp;Q2299,$N$6:$N$3267,Calendar!$K$4),"")</f>
        <v/>
      </c>
      <c r="W2299" s="47">
        <f>IF(AND(B2299=Queue!$C$4,OR(Queue!$K$4="*",N2299=Queue!$K$4)),Q2299,"")</f>
        <v/>
      </c>
    </row>
    <row r="2300">
      <c r="A2300" s="38">
        <f>IF(M2300="","",HYPERLINK("https://www.youtube.com/watch?v="&amp;M2300,"▶"))</f>
        <v/>
      </c>
      <c r="B2300" s="39">
        <f>IF(C2300&lt;&gt;"",C2300,IF(P2300&lt;=IFERROR(INDEX(tblChannels[Watched Through],MATCH(N2300,tblChannels[Channel ID],0)),0),"Watched","Unwatched"))</f>
        <v/>
      </c>
      <c r="C2300" s="40" t="n"/>
      <c r="D2300" s="41" t="n"/>
      <c r="E2300" s="42" t="n">
        <v>43081.56736111111</v>
      </c>
      <c r="F2300" s="52" t="inlineStr">
        <is>
          <t>Super Carlin Gaming</t>
        </is>
      </c>
      <c r="G2300" t="inlineStr">
        <is>
          <t>Mario Kart Roulette #53: Being Awkward?</t>
        </is>
      </c>
      <c r="H2300" s="44" t="n">
        <v>0.01075231481481482</v>
      </c>
      <c r="I2300" s="45" t="n">
        <v>11370</v>
      </c>
      <c r="J2300" s="45" t="n">
        <v>428</v>
      </c>
      <c r="K2300" s="45" t="n">
        <v>159</v>
      </c>
      <c r="L2300" s="46" t="n"/>
      <c r="M2300" s="47" t="n"/>
      <c r="N2300" s="47" t="inlineStr">
        <is>
          <t>UCor_9jRnNNZVzTuQ92PKsaQ</t>
        </is>
      </c>
      <c r="O2300" s="48" t="n">
        <v>43081.77569444444</v>
      </c>
      <c r="P2300" s="49" t="n">
        <v>43081</v>
      </c>
      <c r="Q2300" s="47" t="n">
        <v>968</v>
      </c>
      <c r="R2300" s="47" t="inlineStr">
        <is>
          <t>No Video ID yet</t>
        </is>
      </c>
      <c r="S2300" s="49" t="n"/>
      <c r="T2300" s="49" t="n"/>
      <c r="U2300" s="47" t="inlineStr">
        <is>
          <t>The Triforce Cup! and what is the best way to talk to people and not be awkward?</t>
        </is>
      </c>
      <c r="V2300" s="47">
        <f>IF(AND(P2300&gt;=Calendar!$K$2,P2300&lt;EDATE(Calendar!$K$2,1),OR(Calendar!$K$4="*",N2300=Calendar!$K$4)),P2300*100+COUNTIFS($P$6:$P$3267,P2300,$Q$6:$Q$3267,"&lt;="&amp;Q2300,$N$6:$N$3267,Calendar!$K$4),"")</f>
        <v/>
      </c>
      <c r="W2300" s="47">
        <f>IF(AND(B2300=Queue!$C$4,OR(Queue!$K$4="*",N2300=Queue!$K$4)),Q2300,"")</f>
        <v/>
      </c>
    </row>
    <row r="2301">
      <c r="A2301" s="38">
        <f>IF(M2301="","",HYPERLINK("https://www.youtube.com/watch?v="&amp;M2301,"▶"))</f>
        <v/>
      </c>
      <c r="B2301" s="39">
        <f>IF(C2301&lt;&gt;"",C2301,IF(P2301&lt;=IFERROR(INDEX(tblChannels[Watched Through],MATCH(N2301,tblChannels[Channel ID],0)),0),"Watched","Unwatched"))</f>
        <v/>
      </c>
      <c r="C2301" s="40" t="n"/>
      <c r="D2301" s="41" t="n"/>
      <c r="E2301" s="42" t="n">
        <v>43080.66805555556</v>
      </c>
      <c r="F2301" s="52" t="inlineStr">
        <is>
          <t>Super Carlin Gaming</t>
        </is>
      </c>
      <c r="G2301" t="inlineStr">
        <is>
          <t>Pokemon Black Nuzlocke #15: A Grave Tower.</t>
        </is>
      </c>
      <c r="H2301" s="44" t="n">
        <v>0.01956018518518518</v>
      </c>
      <c r="I2301" s="45" t="n">
        <v>29134</v>
      </c>
      <c r="J2301" s="45" t="n">
        <v>810</v>
      </c>
      <c r="K2301" s="45" t="n">
        <v>357</v>
      </c>
      <c r="L2301" s="46" t="n"/>
      <c r="M2301" s="47" t="n"/>
      <c r="N2301" s="47" t="inlineStr">
        <is>
          <t>UCor_9jRnNNZVzTuQ92PKsaQ</t>
        </is>
      </c>
      <c r="O2301" s="48" t="n">
        <v>43080.87638888889</v>
      </c>
      <c r="P2301" s="49" t="n">
        <v>43080</v>
      </c>
      <c r="Q2301" s="47" t="n">
        <v>967</v>
      </c>
      <c r="R2301" s="47" t="inlineStr">
        <is>
          <t>No Video ID yet</t>
        </is>
      </c>
      <c r="S2301" s="49" t="n"/>
      <c r="T2301" s="49" t="n"/>
      <c r="U2301" s="47" t="inlineStr">
        <is>
          <t>We're off to the Celestial Tower! Which is a weird tower of pokemon graves... creepy...</t>
        </is>
      </c>
      <c r="V2301" s="47">
        <f>IF(AND(P2301&gt;=Calendar!$K$2,P2301&lt;EDATE(Calendar!$K$2,1),OR(Calendar!$K$4="*",N2301=Calendar!$K$4)),P2301*100+COUNTIFS($P$6:$P$3267,P2301,$Q$6:$Q$3267,"&lt;="&amp;Q2301,$N$6:$N$3267,Calendar!$K$4),"")</f>
        <v/>
      </c>
      <c r="W2301" s="47">
        <f>IF(AND(B2301=Queue!$C$4,OR(Queue!$K$4="*",N2301=Queue!$K$4)),Q2301,"")</f>
        <v/>
      </c>
    </row>
    <row r="2302">
      <c r="A2302" s="38">
        <f>IF(M2302="","",HYPERLINK("https://www.youtube.com/watch?v="&amp;M2302,"▶"))</f>
        <v/>
      </c>
      <c r="B2302" s="39">
        <f>IF(C2302&lt;&gt;"",C2302,IF(P2302&lt;=IFERROR(INDEX(tblChannels[Watched Through],MATCH(N2302,tblChannels[Channel ID],0)),0),"Watched","Unwatched"))</f>
        <v/>
      </c>
      <c r="C2302" s="40" t="n"/>
      <c r="D2302" s="41" t="n"/>
      <c r="E2302" s="42" t="n">
        <v>43080.41666666666</v>
      </c>
      <c r="F2302" s="53" t="inlineStr">
        <is>
          <t>Jonathan Carlin</t>
        </is>
      </c>
      <c r="G2302" t="inlineStr">
        <is>
          <t>BETH'S WATER BROKE!</t>
        </is>
      </c>
      <c r="H2302" s="44" t="n">
        <v>0.008078703703703704</v>
      </c>
      <c r="I2302" s="45" t="n">
        <v>85936</v>
      </c>
      <c r="J2302" s="45" t="n">
        <v>3752</v>
      </c>
      <c r="K2302" s="45" t="n">
        <v>389</v>
      </c>
      <c r="L2302" s="46" t="n"/>
      <c r="M2302" s="47" t="n"/>
      <c r="N2302" s="47" t="inlineStr">
        <is>
          <t>UCYPKFe86e6nm4TVUYKLsFUQ</t>
        </is>
      </c>
      <c r="O2302" s="48" t="n">
        <v>43080.625</v>
      </c>
      <c r="P2302" s="49" t="n">
        <v>43080</v>
      </c>
      <c r="Q2302" s="47" t="n">
        <v>966</v>
      </c>
      <c r="R2302" s="47" t="inlineStr">
        <is>
          <t>No Video ID yet</t>
        </is>
      </c>
      <c r="S2302" s="49" t="n"/>
      <c r="T2302" s="49" t="n"/>
      <c r="U2302" s="47" t="inlineStr">
        <is>
          <t>Beth's water broke... TO THE HOSPITAL!</t>
        </is>
      </c>
      <c r="V2302" s="47">
        <f>IF(AND(P2302&gt;=Calendar!$K$2,P2302&lt;EDATE(Calendar!$K$2,1),OR(Calendar!$K$4="*",N2302=Calendar!$K$4)),P2302*100+COUNTIFS($P$6:$P$3267,P2302,$Q$6:$Q$3267,"&lt;="&amp;Q2302,$N$6:$N$3267,Calendar!$K$4),"")</f>
        <v/>
      </c>
      <c r="W2302" s="47">
        <f>IF(AND(B2302=Queue!$C$4,OR(Queue!$K$4="*",N2302=Queue!$K$4)),Q2302,"")</f>
        <v/>
      </c>
    </row>
    <row r="2303">
      <c r="A2303" s="38">
        <f>IF(M2303="","",HYPERLINK("https://www.youtube.com/watch?v="&amp;M2303,"▶"))</f>
        <v/>
      </c>
      <c r="B2303" s="39">
        <f>IF(C2303&lt;&gt;"",C2303,IF(P2303&lt;=IFERROR(INDEX(tblChannels[Watched Through],MATCH(N2303,tblChannels[Channel ID],0)),0),"Watched","Unwatched"))</f>
        <v/>
      </c>
      <c r="C2303" s="40" t="n"/>
      <c r="D2303" s="41" t="n"/>
      <c r="E2303" s="42" t="n">
        <v>43077.47430555556</v>
      </c>
      <c r="F2303" s="52" t="inlineStr">
        <is>
          <t>Super Carlin Gaming</t>
        </is>
      </c>
      <c r="G2303" t="inlineStr">
        <is>
          <t>Pokemon Black Nuzlocke #14: the Nth Degree!</t>
        </is>
      </c>
      <c r="H2303" s="44" t="n">
        <v>0.01959490740740741</v>
      </c>
      <c r="I2303" s="45" t="n">
        <v>29882</v>
      </c>
      <c r="J2303" s="45" t="n">
        <v>774</v>
      </c>
      <c r="K2303" s="45" t="n">
        <v>225</v>
      </c>
      <c r="L2303" s="46" t="n"/>
      <c r="M2303" s="47" t="n"/>
      <c r="N2303" s="47" t="inlineStr">
        <is>
          <t>UCor_9jRnNNZVzTuQ92PKsaQ</t>
        </is>
      </c>
      <c r="O2303" s="48" t="n">
        <v>43077.68263888889</v>
      </c>
      <c r="P2303" s="49" t="n">
        <v>43077</v>
      </c>
      <c r="Q2303" s="47" t="n">
        <v>965</v>
      </c>
      <c r="R2303" s="47" t="inlineStr">
        <is>
          <t>No Video ID yet</t>
        </is>
      </c>
      <c r="S2303" s="49" t="n"/>
      <c r="T2303" s="49" t="n"/>
      <c r="U2303" s="47" t="inlineStr">
        <is>
          <t>Continuing on from Wednesday's episode - we explore more of Chargestone Cave!</t>
        </is>
      </c>
      <c r="V2303" s="47">
        <f>IF(AND(P2303&gt;=Calendar!$K$2,P2303&lt;EDATE(Calendar!$K$2,1),OR(Calendar!$K$4="*",N2303=Calendar!$K$4)),P2303*100+COUNTIFS($P$6:$P$3267,P2303,$Q$6:$Q$3267,"&lt;="&amp;Q2303,$N$6:$N$3267,Calendar!$K$4),"")</f>
        <v/>
      </c>
      <c r="W2303" s="47">
        <f>IF(AND(B2303=Queue!$C$4,OR(Queue!$K$4="*",N2303=Queue!$K$4)),Q2303,"")</f>
        <v/>
      </c>
    </row>
    <row r="2304">
      <c r="A2304" s="38">
        <f>IF(M2304="","",HYPERLINK("https://www.youtube.com/watch?v="&amp;M2304,"▶"))</f>
        <v/>
      </c>
      <c r="B2304" s="39">
        <f>IF(C2304&lt;&gt;"",C2304,IF(P2304&lt;=IFERROR(INDEX(tblChannels[Watched Through],MATCH(N2304,tblChannels[Channel ID],0)),0),"Watched","Unwatched"))</f>
        <v/>
      </c>
      <c r="C2304" s="40" t="n"/>
      <c r="D2304" s="41" t="n"/>
      <c r="E2304" s="42" t="n">
        <v>43076.79166666666</v>
      </c>
      <c r="F2304" s="50" t="inlineStr">
        <is>
          <t>Super Carlin Brothers</t>
        </is>
      </c>
      <c r="G2304" t="inlineStr">
        <is>
          <t>J vs Ben: The Last Jedi Theory Predictions</t>
        </is>
      </c>
      <c r="H2304" s="44" t="n">
        <v>0.03006944444444444</v>
      </c>
      <c r="I2304" s="45" t="n">
        <v>302032</v>
      </c>
      <c r="J2304" s="45" t="n">
        <v>7447</v>
      </c>
      <c r="K2304" s="45" t="n">
        <v>2621</v>
      </c>
      <c r="L2304" s="46" t="n"/>
      <c r="M2304" s="47" t="n"/>
      <c r="N2304" s="47" t="inlineStr">
        <is>
          <t>UCKZo4N0lVPccBkSiuyVh4yg</t>
        </is>
      </c>
      <c r="O2304" s="48" t="n">
        <v>43077</v>
      </c>
      <c r="P2304" s="49" t="n">
        <v>43076</v>
      </c>
      <c r="Q2304" s="47" t="n">
        <v>964</v>
      </c>
      <c r="R2304" s="47" t="inlineStr">
        <is>
          <t>No Video ID yet</t>
        </is>
      </c>
      <c r="S2304" s="49" t="n"/>
      <c r="T2304" s="49" t="n"/>
      <c r="U2304" s="47" t="inlineStr">
        <is>
          <t>Guys, I like to call this the "What you talk about while waiting in line to see Star Wars"... Video. We face off with our predictions and best guesses for the most popular Star Wars Theories going into The Last Jedi. What are your predictions??</t>
        </is>
      </c>
      <c r="V2304" s="47">
        <f>IF(AND(P2304&gt;=Calendar!$K$2,P2304&lt;EDATE(Calendar!$K$2,1),OR(Calendar!$K$4="*",N2304=Calendar!$K$4)),P2304*100+COUNTIFS($P$6:$P$3267,P2304,$Q$6:$Q$3267,"&lt;="&amp;Q2304,$N$6:$N$3267,Calendar!$K$4),"")</f>
        <v/>
      </c>
      <c r="W2304" s="47">
        <f>IF(AND(B2304=Queue!$C$4,OR(Queue!$K$4="*",N2304=Queue!$K$4)),Q2304,"")</f>
        <v/>
      </c>
    </row>
    <row r="2305">
      <c r="A2305" s="38">
        <f>IF(M2305="","",HYPERLINK("https://www.youtube.com/watch?v="&amp;M2305,"▶"))</f>
        <v/>
      </c>
      <c r="B2305" s="39">
        <f>IF(C2305&lt;&gt;"",C2305,IF(P2305&lt;=IFERROR(INDEX(tblChannels[Watched Through],MATCH(N2305,tblChannels[Channel ID],0)),0),"Watched","Unwatched"))</f>
        <v/>
      </c>
      <c r="C2305" s="40" t="n"/>
      <c r="D2305" s="41" t="n"/>
      <c r="E2305" s="42" t="n">
        <v>43076.60069444445</v>
      </c>
      <c r="F2305" s="52" t="inlineStr">
        <is>
          <t>Super Carlin Gaming</t>
        </is>
      </c>
      <c r="G2305" t="inlineStr">
        <is>
          <t>Mario Kart Roulette #52: Actually Good Advice!</t>
        </is>
      </c>
      <c r="H2305" s="44" t="n">
        <v>0.01189814814814815</v>
      </c>
      <c r="I2305" s="45" t="n">
        <v>11219</v>
      </c>
      <c r="J2305" s="45" t="n">
        <v>436</v>
      </c>
      <c r="K2305" s="45" t="n">
        <v>197</v>
      </c>
      <c r="L2305" s="46" t="n"/>
      <c r="M2305" s="47" t="n"/>
      <c r="N2305" s="47" t="inlineStr">
        <is>
          <t>UCor_9jRnNNZVzTuQ92PKsaQ</t>
        </is>
      </c>
      <c r="O2305" s="48" t="n">
        <v>43076.80902777778</v>
      </c>
      <c r="P2305" s="49" t="n">
        <v>43076</v>
      </c>
      <c r="Q2305" s="47" t="n">
        <v>963</v>
      </c>
      <c r="R2305" s="47" t="inlineStr">
        <is>
          <t>No Video ID yet</t>
        </is>
      </c>
      <c r="S2305" s="49" t="n"/>
      <c r="T2305" s="49" t="n"/>
      <c r="U2305" s="47" t="inlineStr">
        <is>
          <t>Check it out, this episode has some actual real good advice in it! Also, a little surprise that we're still kind of shaken up about...</t>
        </is>
      </c>
      <c r="V2305" s="47">
        <f>IF(AND(P2305&gt;=Calendar!$K$2,P2305&lt;EDATE(Calendar!$K$2,1),OR(Calendar!$K$4="*",N2305=Calendar!$K$4)),P2305*100+COUNTIFS($P$6:$P$3267,P2305,$Q$6:$Q$3267,"&lt;="&amp;Q2305,$N$6:$N$3267,Calendar!$K$4),"")</f>
        <v/>
      </c>
      <c r="W2305" s="47">
        <f>IF(AND(B2305=Queue!$C$4,OR(Queue!$K$4="*",N2305=Queue!$K$4)),Q2305,"")</f>
        <v/>
      </c>
    </row>
    <row r="2306">
      <c r="A2306" s="38">
        <f>IF(M2306="","",HYPERLINK("https://www.youtube.com/watch?v="&amp;M2306,"▶"))</f>
        <v/>
      </c>
      <c r="B2306" s="39">
        <f>IF(C2306&lt;&gt;"",C2306,IF(P2306&lt;=IFERROR(INDEX(tblChannels[Watched Through],MATCH(N2306,tblChannels[Channel ID],0)),0),"Watched","Unwatched"))</f>
        <v/>
      </c>
      <c r="C2306" s="40" t="n"/>
      <c r="D2306" s="41" t="n"/>
      <c r="E2306" s="42" t="n">
        <v>43075.70763888889</v>
      </c>
      <c r="F2306" s="52" t="inlineStr">
        <is>
          <t>Super Carlin Gaming</t>
        </is>
      </c>
      <c r="G2306" t="inlineStr">
        <is>
          <t>Pokemon Black Nuzlocke #13: Oh God, it's NINJAS!</t>
        </is>
      </c>
      <c r="H2306" s="44" t="n">
        <v>0.01864583333333333</v>
      </c>
      <c r="I2306" s="45" t="n">
        <v>34235</v>
      </c>
      <c r="J2306" s="45" t="n">
        <v>859</v>
      </c>
      <c r="K2306" s="45" t="n">
        <v>344</v>
      </c>
      <c r="L2306" s="46" t="n"/>
      <c r="M2306" s="47" t="n"/>
      <c r="N2306" s="47" t="inlineStr">
        <is>
          <t>UCor_9jRnNNZVzTuQ92PKsaQ</t>
        </is>
      </c>
      <c r="O2306" s="48" t="n">
        <v>43075.91597222222</v>
      </c>
      <c r="P2306" s="49" t="n">
        <v>43075</v>
      </c>
      <c r="Q2306" s="47" t="n">
        <v>962</v>
      </c>
      <c r="R2306" s="47" t="inlineStr">
        <is>
          <t>No Video ID yet</t>
        </is>
      </c>
      <c r="S2306" s="49" t="n"/>
      <c r="T2306" s="49" t="n"/>
      <c r="U2306" s="47" t="inlineStr">
        <is>
          <t>Man oh man what a week! I talk about what caused the hiatus at the beginning of the video - So excited to be back!</t>
        </is>
      </c>
      <c r="V2306" s="47">
        <f>IF(AND(P2306&gt;=Calendar!$K$2,P2306&lt;EDATE(Calendar!$K$2,1),OR(Calendar!$K$4="*",N2306=Calendar!$K$4)),P2306*100+COUNTIFS($P$6:$P$3267,P2306,$Q$6:$Q$3267,"&lt;="&amp;Q2306,$N$6:$N$3267,Calendar!$K$4),"")</f>
        <v/>
      </c>
      <c r="W2306" s="47">
        <f>IF(AND(B2306=Queue!$C$4,OR(Queue!$K$4="*",N2306=Queue!$K$4)),Q2306,"")</f>
        <v/>
      </c>
    </row>
    <row r="2307">
      <c r="A2307" s="38">
        <f>IF(M2307="","",HYPERLINK("https://www.youtube.com/watch?v="&amp;M2307,"▶"))</f>
        <v/>
      </c>
      <c r="B2307" s="39">
        <f>IF(C2307&lt;&gt;"",C2307,IF(P2307&lt;=IFERROR(INDEX(tblChannels[Watched Through],MATCH(N2307,tblChannels[Channel ID],0)),0),"Watched","Unwatched"))</f>
        <v/>
      </c>
      <c r="C2307" s="40" t="n"/>
      <c r="D2307" s="41" t="n"/>
      <c r="E2307" s="42" t="n">
        <v>43074.67847222222</v>
      </c>
      <c r="F2307" s="50" t="inlineStr">
        <is>
          <t>Super Carlin Brothers</t>
        </is>
      </c>
      <c r="G2307" t="inlineStr">
        <is>
          <t>The Hogwarts Express Explained</t>
        </is>
      </c>
      <c r="H2307" s="44" t="n">
        <v>0.006875</v>
      </c>
      <c r="I2307" s="45" t="n">
        <v>1827276</v>
      </c>
      <c r="J2307" s="45" t="n">
        <v>42155</v>
      </c>
      <c r="K2307" s="45" t="n">
        <v>4739</v>
      </c>
      <c r="L2307" s="46" t="n"/>
      <c r="M2307" s="47" t="n"/>
      <c r="N2307" s="47" t="inlineStr">
        <is>
          <t>UCKZo4N0lVPccBkSiuyVh4yg</t>
        </is>
      </c>
      <c r="O2307" s="48" t="n">
        <v>43074.88680555556</v>
      </c>
      <c r="P2307" s="49" t="n">
        <v>43074</v>
      </c>
      <c r="Q2307" s="47" t="n">
        <v>961</v>
      </c>
      <c r="R2307" s="47" t="inlineStr">
        <is>
          <t>No Video ID yet</t>
        </is>
      </c>
      <c r="S2307" s="49" t="n"/>
      <c r="T2307" s="49" t="n"/>
      <c r="U2307" s="47" t="inlineStr">
        <is>
          <t>Have you ever wondered why such a magical world transports their students to school in such a non-magical way? Today J explains why by delving into to origins of the Hogwarts Express.</t>
        </is>
      </c>
      <c r="V2307" s="47">
        <f>IF(AND(P2307&gt;=Calendar!$K$2,P2307&lt;EDATE(Calendar!$K$2,1),OR(Calendar!$K$4="*",N2307=Calendar!$K$4)),P2307*100+COUNTIFS($P$6:$P$3267,P2307,$Q$6:$Q$3267,"&lt;="&amp;Q2307,$N$6:$N$3267,Calendar!$K$4),"")</f>
        <v/>
      </c>
      <c r="W2307" s="47">
        <f>IF(AND(B2307=Queue!$C$4,OR(Queue!$K$4="*",N2307=Queue!$K$4)),Q2307,"")</f>
        <v/>
      </c>
    </row>
    <row r="2308">
      <c r="A2308" s="38">
        <f>IF(M2308="","",HYPERLINK("https://www.youtube.com/watch?v="&amp;M2308,"▶"))</f>
        <v/>
      </c>
      <c r="B2308" s="39">
        <f>IF(C2308&lt;&gt;"",C2308,IF(P2308&lt;=IFERROR(INDEX(tblChannels[Watched Through],MATCH(N2308,tblChannels[Channel ID],0)),0),"Watched","Unwatched"))</f>
        <v/>
      </c>
      <c r="C2308" s="40" t="n"/>
      <c r="D2308" s="41" t="n"/>
      <c r="E2308" s="42" t="n">
        <v>43074.51319444444</v>
      </c>
      <c r="F2308" s="52" t="inlineStr">
        <is>
          <t>Super Carlin Gaming</t>
        </is>
      </c>
      <c r="G2308" t="inlineStr">
        <is>
          <t>Mario Kart Roulette #51: Changing Careers?</t>
        </is>
      </c>
      <c r="H2308" s="44" t="n">
        <v>0.01006944444444445</v>
      </c>
      <c r="I2308" s="45" t="n">
        <v>10970</v>
      </c>
      <c r="J2308" s="45" t="n">
        <v>411</v>
      </c>
      <c r="K2308" s="45" t="n">
        <v>94</v>
      </c>
      <c r="L2308" s="46" t="n"/>
      <c r="M2308" s="47" t="n"/>
      <c r="N2308" s="47" t="inlineStr">
        <is>
          <t>UCor_9jRnNNZVzTuQ92PKsaQ</t>
        </is>
      </c>
      <c r="O2308" s="48" t="n">
        <v>43074.72152777778</v>
      </c>
      <c r="P2308" s="49" t="n">
        <v>43074</v>
      </c>
      <c r="Q2308" s="47" t="n">
        <v>960</v>
      </c>
      <c r="R2308" s="47" t="inlineStr">
        <is>
          <t>No Video ID yet</t>
        </is>
      </c>
      <c r="S2308" s="49" t="n"/>
      <c r="T2308" s="49" t="n"/>
      <c r="U2308" s="47" t="inlineStr">
        <is>
          <t>What do you do when you feel like you want to change careers?! Also, Let's CRUSH this lightning cup!</t>
        </is>
      </c>
      <c r="V2308" s="47">
        <f>IF(AND(P2308&gt;=Calendar!$K$2,P2308&lt;EDATE(Calendar!$K$2,1),OR(Calendar!$K$4="*",N2308=Calendar!$K$4)),P2308*100+COUNTIFS($P$6:$P$3267,P2308,$Q$6:$Q$3267,"&lt;="&amp;Q2308,$N$6:$N$3267,Calendar!$K$4),"")</f>
        <v/>
      </c>
      <c r="W2308" s="47">
        <f>IF(AND(B2308=Queue!$C$4,OR(Queue!$K$4="*",N2308=Queue!$K$4)),Q2308,"")</f>
        <v/>
      </c>
    </row>
    <row r="2309">
      <c r="A2309" s="38">
        <f>IF(M2309="","",HYPERLINK("https://www.youtube.com/watch?v="&amp;M2309,"▶"))</f>
        <v/>
      </c>
      <c r="B2309" s="39">
        <f>IF(C2309&lt;&gt;"",C2309,IF(P2309&lt;=IFERROR(INDEX(tblChannels[Watched Through],MATCH(N2309,tblChannels[Channel ID],0)),0),"Watched","Unwatched"))</f>
        <v/>
      </c>
      <c r="C2309" s="40" t="n"/>
      <c r="D2309" s="41" t="n"/>
      <c r="E2309" s="42" t="n">
        <v>43073.47777777778</v>
      </c>
      <c r="F2309" s="53" t="inlineStr">
        <is>
          <t>Jonathan Carlin</t>
        </is>
      </c>
      <c r="G2309" t="inlineStr">
        <is>
          <t>TATER TOT WAFFLES</t>
        </is>
      </c>
      <c r="H2309" s="44" t="n">
        <v>0.005057870370370371</v>
      </c>
      <c r="I2309" s="45" t="n">
        <v>35399</v>
      </c>
      <c r="J2309" s="45" t="n">
        <v>1534</v>
      </c>
      <c r="K2309" s="45" t="n">
        <v>510</v>
      </c>
      <c r="L2309" s="46" t="n"/>
      <c r="M2309" s="47" t="n"/>
      <c r="N2309" s="47" t="inlineStr">
        <is>
          <t>UCYPKFe86e6nm4TVUYKLsFUQ</t>
        </is>
      </c>
      <c r="O2309" s="48" t="n">
        <v>43073.68611111111</v>
      </c>
      <c r="P2309" s="49" t="n">
        <v>43073</v>
      </c>
      <c r="Q2309" s="47" t="n">
        <v>959</v>
      </c>
      <c r="R2309" s="47" t="inlineStr">
        <is>
          <t>No Video ID yet</t>
        </is>
      </c>
      <c r="S2309" s="49" t="n"/>
      <c r="T2309" s="49" t="n"/>
      <c r="U2309" s="47" t="inlineStr">
        <is>
          <t>Board Game recommendations! GO! Flashpoint ::</t>
        </is>
      </c>
      <c r="V2309" s="47">
        <f>IF(AND(P2309&gt;=Calendar!$K$2,P2309&lt;EDATE(Calendar!$K$2,1),OR(Calendar!$K$4="*",N2309=Calendar!$K$4)),P2309*100+COUNTIFS($P$6:$P$3267,P2309,$Q$6:$Q$3267,"&lt;="&amp;Q2309,$N$6:$N$3267,Calendar!$K$4),"")</f>
        <v/>
      </c>
      <c r="W2309" s="47">
        <f>IF(AND(B2309=Queue!$C$4,OR(Queue!$K$4="*",N2309=Queue!$K$4)),Q2309,"")</f>
        <v/>
      </c>
    </row>
    <row r="2310">
      <c r="A2310" s="38">
        <f>IF(M2310="","",HYPERLINK("https://www.youtube.com/watch?v="&amp;M2310,"▶"))</f>
        <v/>
      </c>
      <c r="B2310" s="39">
        <f>IF(C2310&lt;&gt;"",C2310,IF(P2310&lt;=IFERROR(INDEX(tblChannels[Watched Through],MATCH(N2310,tblChannels[Channel ID],0)),0),"Watched","Unwatched"))</f>
        <v/>
      </c>
      <c r="C2310" s="40" t="n"/>
      <c r="D2310" s="41" t="n"/>
      <c r="E2310" s="42" t="n">
        <v>43069.75972222222</v>
      </c>
      <c r="F2310" s="50" t="inlineStr">
        <is>
          <t>Super Carlin Brothers</t>
        </is>
      </c>
      <c r="G2310" t="inlineStr">
        <is>
          <t>J vs Ben HARDEST Hogwarts Quiz Ever</t>
        </is>
      </c>
      <c r="H2310" s="44" t="n">
        <v>0.02309027777777778</v>
      </c>
      <c r="I2310" s="45" t="n">
        <v>1693465</v>
      </c>
      <c r="J2310" s="45" t="n">
        <v>27363</v>
      </c>
      <c r="K2310" s="45" t="n">
        <v>4191</v>
      </c>
      <c r="L2310" s="46" t="n"/>
      <c r="M2310" s="47" t="n"/>
      <c r="N2310" s="47" t="inlineStr">
        <is>
          <t>UCKZo4N0lVPccBkSiuyVh4yg</t>
        </is>
      </c>
      <c r="O2310" s="48" t="n">
        <v>43069.96805555555</v>
      </c>
      <c r="P2310" s="49" t="n">
        <v>43069</v>
      </c>
      <c r="Q2310" s="47" t="n">
        <v>958</v>
      </c>
      <c r="R2310" s="47" t="inlineStr">
        <is>
          <t>No Video ID yet</t>
        </is>
      </c>
      <c r="S2310" s="49" t="n"/>
      <c r="T2310" s="49" t="n"/>
      <c r="U2310" s="47" t="inlineStr">
        <is>
          <t>This one is a doozy!! J and Ben face off in todays episode tackling some of the most obscure details about Hogwarts. Will Ben's winning streak (1 Win) remain in tact?? Or will J return to glory... Only time will tell. QUIZ LINK:</t>
        </is>
      </c>
      <c r="V2310" s="47">
        <f>IF(AND(P2310&gt;=Calendar!$K$2,P2310&lt;EDATE(Calendar!$K$2,1),OR(Calendar!$K$4="*",N2310=Calendar!$K$4)),P2310*100+COUNTIFS($P$6:$P$3267,P2310,$Q$6:$Q$3267,"&lt;="&amp;Q2310,$N$6:$N$3267,Calendar!$K$4),"")</f>
        <v/>
      </c>
      <c r="W2310" s="47">
        <f>IF(AND(B2310=Queue!$C$4,OR(Queue!$K$4="*",N2310=Queue!$K$4)),Q2310,"")</f>
        <v/>
      </c>
    </row>
    <row r="2311">
      <c r="A2311" s="38">
        <f>IF(M2311="","",HYPERLINK("https://www.youtube.com/watch?v="&amp;M2311,"▶"))</f>
        <v/>
      </c>
      <c r="B2311" s="39">
        <f>IF(C2311&lt;&gt;"",C2311,IF(P2311&lt;=IFERROR(INDEX(tblChannels[Watched Through],MATCH(N2311,tblChannels[Channel ID],0)),0),"Watched","Unwatched"))</f>
        <v/>
      </c>
      <c r="C2311" s="40" t="n"/>
      <c r="D2311" s="41" t="n"/>
      <c r="E2311" s="42" t="n">
        <v>43068.65347222222</v>
      </c>
      <c r="F2311" s="50" t="inlineStr">
        <is>
          <t>Super Carlin Brothers</t>
        </is>
      </c>
      <c r="G2311" t="inlineStr">
        <is>
          <t>Give-A-Thon 2017 Announcement!!</t>
        </is>
      </c>
      <c r="H2311" s="44" t="n">
        <v>0.001724537037037037</v>
      </c>
      <c r="I2311" s="45" t="n">
        <v>56400</v>
      </c>
      <c r="J2311" s="45" t="n">
        <v>4544</v>
      </c>
      <c r="K2311" s="45" t="n">
        <v>1035</v>
      </c>
      <c r="L2311" s="46" t="n"/>
      <c r="M2311" s="47" t="n"/>
      <c r="N2311" s="47" t="inlineStr">
        <is>
          <t>UCKZo4N0lVPccBkSiuyVh4yg</t>
        </is>
      </c>
      <c r="O2311" s="48" t="n">
        <v>43068.86180555556</v>
      </c>
      <c r="P2311" s="49" t="n">
        <v>43068</v>
      </c>
      <c r="Q2311" s="47" t="n">
        <v>957</v>
      </c>
      <c r="R2311" s="47" t="inlineStr">
        <is>
          <t>No Video ID yet</t>
        </is>
      </c>
      <c r="S2311" s="49" t="n"/>
      <c r="T2311" s="49" t="n"/>
      <c r="U2311" s="47" t="inlineStr">
        <is>
          <t>Guys we are SO thankful to each and every one of you that tunes into SuperCarlinBrothers. And as such we would love to give a little back. We are following up last years Give-A-Thon with bigger and better prizes and fun! In order to enter simply follow both J and Ben and like each photo as they come out through the first 25 days of December. Winners will be selected at the end of each day! J INSTAGRAM: BEN INSTAGRAM: And just like last year we will be donating Ten Cents for every new follower on instagram to March of Dimes. Due to excessively high shipping costs last year we are limiting the giveathon to US only. We hope you can still enjoy all of the festive photos!</t>
        </is>
      </c>
      <c r="V2311" s="47">
        <f>IF(AND(P2311&gt;=Calendar!$K$2,P2311&lt;EDATE(Calendar!$K$2,1),OR(Calendar!$K$4="*",N2311=Calendar!$K$4)),P2311*100+COUNTIFS($P$6:$P$3267,P2311,$Q$6:$Q$3267,"&lt;="&amp;Q2311,$N$6:$N$3267,Calendar!$K$4),"")</f>
        <v/>
      </c>
      <c r="W2311" s="47">
        <f>IF(AND(B2311=Queue!$C$4,OR(Queue!$K$4="*",N2311=Queue!$K$4)),Q2311,"")</f>
        <v/>
      </c>
    </row>
    <row r="2312">
      <c r="A2312" s="38">
        <f>IF(M2312="","",HYPERLINK("https://www.youtube.com/watch?v="&amp;M2312,"▶"))</f>
        <v/>
      </c>
      <c r="B2312" s="39">
        <f>IF(C2312&lt;&gt;"",C2312,IF(P2312&lt;=IFERROR(INDEX(tblChannels[Watched Through],MATCH(N2312,tblChannels[Channel ID],0)),0),"Watched","Unwatched"))</f>
        <v/>
      </c>
      <c r="C2312" s="40" t="n"/>
      <c r="D2312" s="41" t="n"/>
      <c r="E2312" s="42" t="n">
        <v>43067.79583333333</v>
      </c>
      <c r="F2312" s="50" t="inlineStr">
        <is>
          <t>Super Carlin Brothers</t>
        </is>
      </c>
      <c r="G2312" t="inlineStr">
        <is>
          <t>Was Nagini A Woman? | Harry Potter Theory</t>
        </is>
      </c>
      <c r="H2312" s="44" t="n">
        <v>0.007962962962962963</v>
      </c>
      <c r="I2312" s="45" t="n">
        <v>2562884</v>
      </c>
      <c r="J2312" s="45" t="n">
        <v>51880</v>
      </c>
      <c r="K2312" s="45" t="n">
        <v>6199</v>
      </c>
      <c r="L2312" s="46" t="n"/>
      <c r="M2312" s="47" t="n"/>
      <c r="N2312" s="47" t="inlineStr">
        <is>
          <t>UCKZo4N0lVPccBkSiuyVh4yg</t>
        </is>
      </c>
      <c r="O2312" s="48" t="n">
        <v>43068.00416666667</v>
      </c>
      <c r="P2312" s="49" t="n">
        <v>43067</v>
      </c>
      <c r="Q2312" s="47" t="n">
        <v>956</v>
      </c>
      <c r="R2312" s="47" t="inlineStr">
        <is>
          <t>No Video ID yet</t>
        </is>
      </c>
      <c r="S2312" s="49" t="n"/>
      <c r="T2312" s="49" t="n"/>
      <c r="U2312" s="47" t="inlineStr">
        <is>
          <t>Fantastic Beasts: The Crimes of Grindelwald just released a new cast photo so J dives into the Wizarding World of Harry Potter to discuss Claudia Kim's new character and if she come become the great snake: Nagini</t>
        </is>
      </c>
      <c r="V2312" s="47">
        <f>IF(AND(P2312&gt;=Calendar!$K$2,P2312&lt;EDATE(Calendar!$K$2,1),OR(Calendar!$K$4="*",N2312=Calendar!$K$4)),P2312*100+COUNTIFS($P$6:$P$3267,P2312,$Q$6:$Q$3267,"&lt;="&amp;Q2312,$N$6:$N$3267,Calendar!$K$4),"")</f>
        <v/>
      </c>
      <c r="W2312" s="47">
        <f>IF(AND(B2312=Queue!$C$4,OR(Queue!$K$4="*",N2312=Queue!$K$4)),Q2312,"")</f>
        <v/>
      </c>
    </row>
    <row r="2313">
      <c r="A2313" s="38">
        <f>IF(M2313="","",HYPERLINK("https://www.youtube.com/watch?v="&amp;M2313,"▶"))</f>
        <v/>
      </c>
      <c r="B2313" s="39">
        <f>IF(C2313&lt;&gt;"",C2313,IF(P2313&lt;=IFERROR(INDEX(tblChannels[Watched Through],MATCH(N2313,tblChannels[Channel ID],0)),0),"Watched","Unwatched"))</f>
        <v/>
      </c>
      <c r="C2313" s="40" t="n"/>
      <c r="D2313" s="41" t="n"/>
      <c r="E2313" s="42" t="n">
        <v>43067.53194444445</v>
      </c>
      <c r="F2313" s="52" t="inlineStr">
        <is>
          <t>Super Carlin Gaming</t>
        </is>
      </c>
      <c r="G2313" t="inlineStr">
        <is>
          <t>Mario Kart Roulette #50: Is It Okay To Be Picky?</t>
        </is>
      </c>
      <c r="H2313" s="44" t="n">
        <v>0.01310185185185185</v>
      </c>
      <c r="I2313" s="45" t="n">
        <v>12443</v>
      </c>
      <c r="J2313" s="45" t="n">
        <v>455</v>
      </c>
      <c r="K2313" s="45" t="n">
        <v>151</v>
      </c>
      <c r="L2313" s="46" t="n"/>
      <c r="M2313" s="47" t="n"/>
      <c r="N2313" s="47" t="inlineStr">
        <is>
          <t>UCor_9jRnNNZVzTuQ92PKsaQ</t>
        </is>
      </c>
      <c r="O2313" s="48" t="n">
        <v>43067.74027777778</v>
      </c>
      <c r="P2313" s="49" t="n">
        <v>43067</v>
      </c>
      <c r="Q2313" s="47" t="n">
        <v>955</v>
      </c>
      <c r="R2313" s="47" t="inlineStr">
        <is>
          <t>No Video ID yet</t>
        </is>
      </c>
      <c r="S2313" s="49" t="n"/>
      <c r="T2313" s="49" t="n"/>
      <c r="U2313" s="47" t="inlineStr">
        <is>
          <t>The leaf cup &amp; Ben gets the most ridiculous kart ever! Also, is it okay to be really picky with a romantic partner?</t>
        </is>
      </c>
      <c r="V2313" s="47">
        <f>IF(AND(P2313&gt;=Calendar!$K$2,P2313&lt;EDATE(Calendar!$K$2,1),OR(Calendar!$K$4="*",N2313=Calendar!$K$4)),P2313*100+COUNTIFS($P$6:$P$3267,P2313,$Q$6:$Q$3267,"&lt;="&amp;Q2313,$N$6:$N$3267,Calendar!$K$4),"")</f>
        <v/>
      </c>
      <c r="W2313" s="47">
        <f>IF(AND(B2313=Queue!$C$4,OR(Queue!$K$4="*",N2313=Queue!$K$4)),Q2313,"")</f>
        <v/>
      </c>
    </row>
    <row r="2314">
      <c r="A2314" s="38">
        <f>IF(M2314="","",HYPERLINK("https://www.youtube.com/watch?v="&amp;M2314,"▶"))</f>
        <v/>
      </c>
      <c r="B2314" s="39">
        <f>IF(C2314&lt;&gt;"",C2314,IF(P2314&lt;=IFERROR(INDEX(tblChannels[Watched Through],MATCH(N2314,tblChannels[Channel ID],0)),0),"Watched","Unwatched"))</f>
        <v/>
      </c>
      <c r="C2314" s="40" t="n"/>
      <c r="D2314" s="41" t="n"/>
      <c r="E2314" s="42" t="n">
        <v>43066.81388888889</v>
      </c>
      <c r="F2314" s="52" t="inlineStr">
        <is>
          <t>Super Carlin Gaming</t>
        </is>
      </c>
      <c r="G2314" t="inlineStr">
        <is>
          <t>Pokemon Black Nuzlocke #12: The Bell Tolls</t>
        </is>
      </c>
      <c r="H2314" s="44" t="n">
        <v>0.02246527777777778</v>
      </c>
      <c r="I2314" s="45" t="n">
        <v>39561</v>
      </c>
      <c r="J2314" s="45" t="n">
        <v>892</v>
      </c>
      <c r="K2314" s="45" t="n">
        <v>580</v>
      </c>
      <c r="L2314" s="46" t="n"/>
      <c r="M2314" s="47" t="n"/>
      <c r="N2314" s="47" t="inlineStr">
        <is>
          <t>UCor_9jRnNNZVzTuQ92PKsaQ</t>
        </is>
      </c>
      <c r="O2314" s="48" t="n">
        <v>43067.02222222222</v>
      </c>
      <c r="P2314" s="49" t="n">
        <v>43066</v>
      </c>
      <c r="Q2314" s="47" t="n">
        <v>954</v>
      </c>
      <c r="R2314" s="47" t="inlineStr">
        <is>
          <t>No Video ID yet</t>
        </is>
      </c>
      <c r="S2314" s="49" t="n"/>
      <c r="T2314" s="49" t="n"/>
      <c r="U2314" s="47" t="inlineStr">
        <is>
          <t>With our 4th gym badge in tow we travel to a new city and run into Chicken Nuggets.. again, will the team survive the encounter??</t>
        </is>
      </c>
      <c r="V2314" s="47">
        <f>IF(AND(P2314&gt;=Calendar!$K$2,P2314&lt;EDATE(Calendar!$K$2,1),OR(Calendar!$K$4="*",N2314=Calendar!$K$4)),P2314*100+COUNTIFS($P$6:$P$3267,P2314,$Q$6:$Q$3267,"&lt;="&amp;Q2314,$N$6:$N$3267,Calendar!$K$4),"")</f>
        <v/>
      </c>
      <c r="W2314" s="47">
        <f>IF(AND(B2314=Queue!$C$4,OR(Queue!$K$4="*",N2314=Queue!$K$4)),Q2314,"")</f>
        <v/>
      </c>
    </row>
    <row r="2315">
      <c r="A2315" s="38">
        <f>IF(M2315="","",HYPERLINK("https://www.youtube.com/watch?v="&amp;M2315,"▶"))</f>
        <v/>
      </c>
      <c r="B2315" s="39">
        <f>IF(C2315&lt;&gt;"",C2315,IF(P2315&lt;=IFERROR(INDEX(tblChannels[Watched Through],MATCH(N2315,tblChannels[Channel ID],0)),0),"Watched","Unwatched"))</f>
        <v/>
      </c>
      <c r="C2315" s="40" t="n"/>
      <c r="D2315" s="41" t="n"/>
      <c r="E2315" s="42" t="n">
        <v>43066.66388888889</v>
      </c>
      <c r="F2315" s="50" t="inlineStr">
        <is>
          <t>Super Carlin Brothers</t>
        </is>
      </c>
      <c r="G2315" t="inlineStr">
        <is>
          <t>Every Easter Egg In Star Wars Battlefront II</t>
        </is>
      </c>
      <c r="H2315" s="44" t="n">
        <v>0.004409722222222222</v>
      </c>
      <c r="I2315" s="45" t="n">
        <v>83675</v>
      </c>
      <c r="J2315" s="45" t="n">
        <v>2847</v>
      </c>
      <c r="K2315" s="45" t="n">
        <v>585</v>
      </c>
      <c r="L2315" s="46" t="n"/>
      <c r="M2315" s="47" t="n"/>
      <c r="N2315" s="47" t="inlineStr">
        <is>
          <t>UCKZo4N0lVPccBkSiuyVh4yg</t>
        </is>
      </c>
      <c r="O2315" s="48" t="n">
        <v>43066.87222222222</v>
      </c>
      <c r="P2315" s="49" t="n">
        <v>43066</v>
      </c>
      <c r="Q2315" s="47" t="n">
        <v>953</v>
      </c>
      <c r="R2315" s="47" t="inlineStr">
        <is>
          <t>No Video ID yet</t>
        </is>
      </c>
      <c r="S2315" s="49" t="n"/>
      <c r="T2315" s="49" t="n"/>
      <c r="U2315" s="47" t="inlineStr">
        <is>
          <t>Sponsored by EA #Sponsored by EA #Ad Order Battlefront II :: Today J dives into the Star Wars Galaxy to uncover all of the hidden Easter Eggs in Star Wars Battlefront 2. Did you spot any that we missed? Make sure to let us know in the towel section down below!</t>
        </is>
      </c>
      <c r="V2315" s="47">
        <f>IF(AND(P2315&gt;=Calendar!$K$2,P2315&lt;EDATE(Calendar!$K$2,1),OR(Calendar!$K$4="*",N2315=Calendar!$K$4)),P2315*100+COUNTIFS($P$6:$P$3267,P2315,$Q$6:$Q$3267,"&lt;="&amp;Q2315,$N$6:$N$3267,Calendar!$K$4),"")</f>
        <v/>
      </c>
      <c r="W2315" s="47">
        <f>IF(AND(B2315=Queue!$C$4,OR(Queue!$K$4="*",N2315=Queue!$K$4)),Q2315,"")</f>
        <v/>
      </c>
    </row>
    <row r="2316">
      <c r="A2316" s="38">
        <f>IF(M2316="","",HYPERLINK("https://www.youtube.com/watch?v="&amp;M2316,"▶"))</f>
        <v/>
      </c>
      <c r="B2316" s="39">
        <f>IF(C2316&lt;&gt;"",C2316,IF(P2316&lt;=IFERROR(INDEX(tblChannels[Watched Through],MATCH(N2316,tblChannels[Channel ID],0)),0),"Watched","Unwatched"))</f>
        <v/>
      </c>
      <c r="C2316" s="40" t="n"/>
      <c r="D2316" s="41" t="n"/>
      <c r="E2316" s="42" t="n">
        <v>43066.47291666667</v>
      </c>
      <c r="F2316" s="53" t="inlineStr">
        <is>
          <t>Jonathan Carlin</t>
        </is>
      </c>
      <c r="G2316" t="inlineStr">
        <is>
          <t>THIS IS THE DROID YOU'RE LOOKING FOR</t>
        </is>
      </c>
      <c r="H2316" s="44" t="n">
        <v>0.005925925925925926</v>
      </c>
      <c r="I2316" s="45" t="n">
        <v>32131</v>
      </c>
      <c r="J2316" s="45" t="n">
        <v>1434</v>
      </c>
      <c r="K2316" s="45" t="n">
        <v>227</v>
      </c>
      <c r="L2316" s="46" t="n"/>
      <c r="M2316" s="47" t="n"/>
      <c r="N2316" s="47" t="inlineStr">
        <is>
          <t>UCYPKFe86e6nm4TVUYKLsFUQ</t>
        </is>
      </c>
      <c r="O2316" s="48" t="n">
        <v>43066.68125</v>
      </c>
      <c r="P2316" s="49" t="n">
        <v>43066</v>
      </c>
      <c r="Q2316" s="47" t="n">
        <v>952</v>
      </c>
      <c r="R2316" s="47" t="inlineStr">
        <is>
          <t>No Video ID yet</t>
        </is>
      </c>
      <c r="S2316" s="49" t="n"/>
      <c r="T2316" s="49" t="n"/>
      <c r="U2316" s="47" t="inlineStr">
        <is>
          <t>In which I get trapped in some bushes, come to own an R2-D2 and fail to get coffee.. or do I??! Death Wish Coffee :: R2-D2 ::</t>
        </is>
      </c>
      <c r="V2316" s="47">
        <f>IF(AND(P2316&gt;=Calendar!$K$2,P2316&lt;EDATE(Calendar!$K$2,1),OR(Calendar!$K$4="*",N2316=Calendar!$K$4)),P2316*100+COUNTIFS($P$6:$P$3267,P2316,$Q$6:$Q$3267,"&lt;="&amp;Q2316,$N$6:$N$3267,Calendar!$K$4),"")</f>
        <v/>
      </c>
      <c r="W2316" s="47">
        <f>IF(AND(B2316=Queue!$C$4,OR(Queue!$K$4="*",N2316=Queue!$K$4)),Q2316,"")</f>
        <v/>
      </c>
    </row>
    <row r="2317">
      <c r="A2317" s="38">
        <f>IF(M2317="","",HYPERLINK("https://www.youtube.com/watch?v="&amp;M2317,"▶"))</f>
        <v/>
      </c>
      <c r="B2317" s="39">
        <f>IF(C2317&lt;&gt;"",C2317,IF(P2317&lt;=IFERROR(INDEX(tblChannels[Watched Through],MATCH(N2317,tblChannels[Channel ID],0)),0),"Watched","Unwatched"))</f>
        <v/>
      </c>
      <c r="C2317" s="40" t="n"/>
      <c r="D2317" s="41" t="n"/>
      <c r="E2317" s="42" t="n">
        <v>43062.54861111111</v>
      </c>
      <c r="F2317" s="50" t="inlineStr">
        <is>
          <t>Super Carlin Brothers</t>
        </is>
      </c>
      <c r="G2317" t="inlineStr">
        <is>
          <t>Is Coco Pixar's Best New Movie? | REVIEW</t>
        </is>
      </c>
      <c r="H2317" s="44" t="n">
        <v>0.0246875</v>
      </c>
      <c r="I2317" s="45" t="n">
        <v>947771</v>
      </c>
      <c r="J2317" s="45" t="n">
        <v>13575</v>
      </c>
      <c r="K2317" s="45" t="n">
        <v>3781</v>
      </c>
      <c r="L2317" s="46" t="n"/>
      <c r="M2317" s="47" t="n"/>
      <c r="N2317" s="47" t="inlineStr">
        <is>
          <t>UCKZo4N0lVPccBkSiuyVh4yg</t>
        </is>
      </c>
      <c r="O2317" s="48" t="n">
        <v>43062.75694444445</v>
      </c>
      <c r="P2317" s="49" t="n">
        <v>43062</v>
      </c>
      <c r="Q2317" s="47" t="n">
        <v>951</v>
      </c>
      <c r="R2317" s="47" t="inlineStr">
        <is>
          <t>No Video ID yet</t>
        </is>
      </c>
      <c r="S2317" s="49" t="n"/>
      <c r="T2317" s="49" t="n"/>
      <c r="U2317" s="47" t="inlineStr">
        <is>
          <t>Finally!!! Disney Pixar's Coco has finally been released and today J and Ben dive right on in with their complete review of the film, Olaf's Frozen Adventure, and the arrival of the Incredibles 2 Teaser Trailer. Where does Coco land in your Pixar Rankings??</t>
        </is>
      </c>
      <c r="V2317" s="47">
        <f>IF(AND(P2317&gt;=Calendar!$K$2,P2317&lt;EDATE(Calendar!$K$2,1),OR(Calendar!$K$4="*",N2317=Calendar!$K$4)),P2317*100+COUNTIFS($P$6:$P$3267,P2317,$Q$6:$Q$3267,"&lt;="&amp;Q2317,$N$6:$N$3267,Calendar!$K$4),"")</f>
        <v/>
      </c>
      <c r="W2317" s="47">
        <f>IF(AND(B2317=Queue!$C$4,OR(Queue!$K$4="*",N2317=Queue!$K$4)),Q2317,"")</f>
        <v/>
      </c>
    </row>
    <row r="2318">
      <c r="A2318" s="38">
        <f>IF(M2318="","",HYPERLINK("https://www.youtube.com/watch?v="&amp;M2318,"▶"))</f>
        <v/>
      </c>
      <c r="B2318" s="39">
        <f>IF(C2318&lt;&gt;"",C2318,IF(P2318&lt;=IFERROR(INDEX(tblChannels[Watched Through],MATCH(N2318,tblChannels[Channel ID],0)),0),"Watched","Unwatched"))</f>
        <v/>
      </c>
      <c r="C2318" s="40" t="n"/>
      <c r="D2318" s="41" t="n"/>
      <c r="E2318" s="42" t="n">
        <v>43061.74097222222</v>
      </c>
      <c r="F2318" s="52" t="inlineStr">
        <is>
          <t>Super Carlin Gaming</t>
        </is>
      </c>
      <c r="G2318" t="inlineStr">
        <is>
          <t>Pokemon Black Nuzlocke #11: Volt Switch!</t>
        </is>
      </c>
      <c r="H2318" s="44" t="n">
        <v>0.01179398148148148</v>
      </c>
      <c r="I2318" s="45" t="n">
        <v>31182</v>
      </c>
      <c r="J2318" s="45" t="n">
        <v>812</v>
      </c>
      <c r="K2318" s="45" t="n">
        <v>267</v>
      </c>
      <c r="L2318" s="46" t="n"/>
      <c r="M2318" s="47" t="n"/>
      <c r="N2318" s="47" t="inlineStr">
        <is>
          <t>UCor_9jRnNNZVzTuQ92PKsaQ</t>
        </is>
      </c>
      <c r="O2318" s="48" t="n">
        <v>43061.94930555556</v>
      </c>
      <c r="P2318" s="49" t="n">
        <v>43061</v>
      </c>
      <c r="Q2318" s="47" t="n">
        <v>950</v>
      </c>
      <c r="R2318" s="47" t="inlineStr">
        <is>
          <t>No Video ID yet</t>
        </is>
      </c>
      <c r="S2318" s="49" t="n"/>
      <c r="T2318" s="49" t="n"/>
      <c r="U2318" s="47" t="inlineStr">
        <is>
          <t>Today J and the team take on their 4th Gym Leader: The electrifying Elesa! Her Volt Switching Emolga's are no joke, can the team survive their tricky combo??</t>
        </is>
      </c>
      <c r="V2318" s="47">
        <f>IF(AND(P2318&gt;=Calendar!$K$2,P2318&lt;EDATE(Calendar!$K$2,1),OR(Calendar!$K$4="*",N2318=Calendar!$K$4)),P2318*100+COUNTIFS($P$6:$P$3267,P2318,$Q$6:$Q$3267,"&lt;="&amp;Q2318,$N$6:$N$3267,Calendar!$K$4),"")</f>
        <v/>
      </c>
      <c r="W2318" s="47">
        <f>IF(AND(B2318=Queue!$C$4,OR(Queue!$K$4="*",N2318=Queue!$K$4)),Q2318,"")</f>
        <v/>
      </c>
    </row>
    <row r="2319">
      <c r="A2319" s="38">
        <f>IF(M2319="","",HYPERLINK("https://www.youtube.com/watch?v="&amp;M2319,"▶"))</f>
        <v/>
      </c>
      <c r="B2319" s="39">
        <f>IF(C2319&lt;&gt;"",C2319,IF(P2319&lt;=IFERROR(INDEX(tblChannels[Watched Through],MATCH(N2319,tblChannels[Channel ID],0)),0),"Watched","Unwatched"))</f>
        <v/>
      </c>
      <c r="C2319" s="40" t="n"/>
      <c r="D2319" s="41" t="n"/>
      <c r="E2319" s="42" t="n">
        <v>43060.86527777778</v>
      </c>
      <c r="F2319" s="50" t="inlineStr">
        <is>
          <t>Super Carlin Brothers</t>
        </is>
      </c>
      <c r="G2319" t="inlineStr">
        <is>
          <t>TOP 10 Hardest to Animate Things in Pixar</t>
        </is>
      </c>
      <c r="H2319" s="44" t="n">
        <v>0.007361111111111111</v>
      </c>
      <c r="I2319" s="45" t="n">
        <v>1801112</v>
      </c>
      <c r="J2319" s="45" t="n">
        <v>40996</v>
      </c>
      <c r="K2319" s="45" t="n">
        <v>2544</v>
      </c>
      <c r="L2319" s="46" t="n"/>
      <c r="M2319" s="47" t="n"/>
      <c r="N2319" s="47" t="inlineStr">
        <is>
          <t>UCKZo4N0lVPccBkSiuyVh4yg</t>
        </is>
      </c>
      <c r="O2319" s="48" t="n">
        <v>43061.07361111111</v>
      </c>
      <c r="P2319" s="49" t="n">
        <v>43060</v>
      </c>
      <c r="Q2319" s="47" t="n">
        <v>949</v>
      </c>
      <c r="R2319" s="47" t="inlineStr">
        <is>
          <t>No Video ID yet</t>
        </is>
      </c>
      <c r="S2319" s="49" t="n"/>
      <c r="T2319" s="49" t="n"/>
      <c r="U2319" s="47" t="inlineStr">
        <is>
          <t>In Today’s video Ben goes through all of the most challenging animation problems Pixar has ever faced. Not everything is as simple as it seems… not even mud.</t>
        </is>
      </c>
      <c r="V2319" s="47">
        <f>IF(AND(P2319&gt;=Calendar!$K$2,P2319&lt;EDATE(Calendar!$K$2,1),OR(Calendar!$K$4="*",N2319=Calendar!$K$4)),P2319*100+COUNTIFS($P$6:$P$3267,P2319,$Q$6:$Q$3267,"&lt;="&amp;Q2319,$N$6:$N$3267,Calendar!$K$4),"")</f>
        <v/>
      </c>
      <c r="W2319" s="47">
        <f>IF(AND(B2319=Queue!$C$4,OR(Queue!$K$4="*",N2319=Queue!$K$4)),Q2319,"")</f>
        <v/>
      </c>
    </row>
    <row r="2320">
      <c r="A2320" s="38">
        <f>IF(M2320="","",HYPERLINK("https://www.youtube.com/watch?v="&amp;M2320,"▶"))</f>
        <v/>
      </c>
      <c r="B2320" s="39">
        <f>IF(C2320&lt;&gt;"",C2320,IF(P2320&lt;=IFERROR(INDEX(tblChannels[Watched Through],MATCH(N2320,tblChannels[Channel ID],0)),0),"Watched","Unwatched"))</f>
        <v/>
      </c>
      <c r="C2320" s="40" t="n"/>
      <c r="D2320" s="41" t="n"/>
      <c r="E2320" s="42" t="n">
        <v>43060.70138888889</v>
      </c>
      <c r="F2320" s="52" t="inlineStr">
        <is>
          <t>Super Carlin Gaming</t>
        </is>
      </c>
      <c r="G2320" t="inlineStr">
        <is>
          <t>Mario Kart Roulette #49: How to Work on Group Projects</t>
        </is>
      </c>
      <c r="H2320" s="44" t="n">
        <v>0.01119212962962963</v>
      </c>
      <c r="I2320" s="45" t="n">
        <v>11125</v>
      </c>
      <c r="J2320" s="45" t="n">
        <v>398</v>
      </c>
      <c r="K2320" s="45" t="n">
        <v>115</v>
      </c>
      <c r="L2320" s="46" t="n"/>
      <c r="M2320" s="47" t="n"/>
      <c r="N2320" s="47" t="inlineStr">
        <is>
          <t>UCor_9jRnNNZVzTuQ92PKsaQ</t>
        </is>
      </c>
      <c r="O2320" s="48" t="n">
        <v>43060.90972222222</v>
      </c>
      <c r="P2320" s="49" t="n">
        <v>43060</v>
      </c>
      <c r="Q2320" s="47" t="n">
        <v>948</v>
      </c>
      <c r="R2320" s="47" t="inlineStr">
        <is>
          <t>No Video ID yet</t>
        </is>
      </c>
      <c r="S2320" s="49" t="n"/>
      <c r="T2320" s="49" t="n"/>
      <c r="U2320" s="47" t="inlineStr">
        <is>
          <t>Here we go onto the Star Cup! ...again! I really have a good feeling about this one guys...</t>
        </is>
      </c>
      <c r="V2320" s="47">
        <f>IF(AND(P2320&gt;=Calendar!$K$2,P2320&lt;EDATE(Calendar!$K$2,1),OR(Calendar!$K$4="*",N2320=Calendar!$K$4)),P2320*100+COUNTIFS($P$6:$P$3267,P2320,$Q$6:$Q$3267,"&lt;="&amp;Q2320,$N$6:$N$3267,Calendar!$K$4),"")</f>
        <v/>
      </c>
      <c r="W2320" s="47">
        <f>IF(AND(B2320=Queue!$C$4,OR(Queue!$K$4="*",N2320=Queue!$K$4)),Q2320,"")</f>
        <v/>
      </c>
    </row>
    <row r="2321">
      <c r="A2321" s="38">
        <f>IF(M2321="","",HYPERLINK("https://www.youtube.com/watch?v="&amp;M2321,"▶"))</f>
        <v/>
      </c>
      <c r="B2321" s="39">
        <f>IF(C2321&lt;&gt;"",C2321,IF(P2321&lt;=IFERROR(INDEX(tblChannels[Watched Through],MATCH(N2321,tblChannels[Channel ID],0)),0),"Watched","Unwatched"))</f>
        <v/>
      </c>
      <c r="C2321" s="40" t="n"/>
      <c r="D2321" s="41" t="n"/>
      <c r="E2321" s="42" t="n">
        <v>43059.59652777778</v>
      </c>
      <c r="F2321" s="53" t="inlineStr">
        <is>
          <t>Jonathan Carlin</t>
        </is>
      </c>
      <c r="G2321" t="inlineStr">
        <is>
          <t>$1500 SKATEBOARD</t>
        </is>
      </c>
      <c r="H2321" s="44" t="n">
        <v>0.007407407407407408</v>
      </c>
      <c r="I2321" s="45" t="n">
        <v>36483</v>
      </c>
      <c r="J2321" s="45" t="n">
        <v>1707</v>
      </c>
      <c r="K2321" s="45" t="n">
        <v>544</v>
      </c>
      <c r="L2321" s="46" t="n"/>
      <c r="M2321" s="47" t="n"/>
      <c r="N2321" s="47" t="inlineStr">
        <is>
          <t>UCYPKFe86e6nm4TVUYKLsFUQ</t>
        </is>
      </c>
      <c r="O2321" s="48" t="n">
        <v>43059.80486111111</v>
      </c>
      <c r="P2321" s="49" t="n">
        <v>43059</v>
      </c>
      <c r="Q2321" s="47" t="n">
        <v>947</v>
      </c>
      <c r="R2321" s="47" t="inlineStr">
        <is>
          <t>No Video ID yet</t>
        </is>
      </c>
      <c r="S2321" s="49" t="n"/>
      <c r="T2321" s="49" t="n"/>
      <c r="U2321" s="47" t="inlineStr">
        <is>
          <t>This week we got some awesome new toys in the mail! And also reveal a few items from this years giveathon AND celebrate Halloween.. again! Boosted Board ::</t>
        </is>
      </c>
      <c r="V2321" s="47">
        <f>IF(AND(P2321&gt;=Calendar!$K$2,P2321&lt;EDATE(Calendar!$K$2,1),OR(Calendar!$K$4="*",N2321=Calendar!$K$4)),P2321*100+COUNTIFS($P$6:$P$3267,P2321,$Q$6:$Q$3267,"&lt;="&amp;Q2321,$N$6:$N$3267,Calendar!$K$4),"")</f>
        <v/>
      </c>
      <c r="W2321" s="47">
        <f>IF(AND(B2321=Queue!$C$4,OR(Queue!$K$4="*",N2321=Queue!$K$4)),Q2321,"")</f>
        <v/>
      </c>
    </row>
    <row r="2322">
      <c r="A2322" s="38">
        <f>IF(M2322="","",HYPERLINK("https://www.youtube.com/watch?v="&amp;M2322,"▶"))</f>
        <v/>
      </c>
      <c r="B2322" s="39">
        <f>IF(C2322&lt;&gt;"",C2322,IF(P2322&lt;=IFERROR(INDEX(tblChannels[Watched Through],MATCH(N2322,tblChannels[Channel ID],0)),0),"Watched","Unwatched"))</f>
        <v/>
      </c>
      <c r="C2322" s="40" t="n"/>
      <c r="D2322" s="41" t="n"/>
      <c r="E2322" s="42" t="n">
        <v>43059.45694444444</v>
      </c>
      <c r="F2322" s="52" t="inlineStr">
        <is>
          <t>Super Carlin Gaming</t>
        </is>
      </c>
      <c r="G2322" t="inlineStr">
        <is>
          <t>Pokemon Black Nuzlocke #10: A Weird Ferris Wheel Ride</t>
        </is>
      </c>
      <c r="H2322" s="44" t="n">
        <v>0.01778935185185185</v>
      </c>
      <c r="I2322" s="45" t="n">
        <v>33743</v>
      </c>
      <c r="J2322" s="45" t="n">
        <v>917</v>
      </c>
      <c r="K2322" s="45" t="n">
        <v>329</v>
      </c>
      <c r="L2322" s="46" t="n"/>
      <c r="M2322" s="47" t="n"/>
      <c r="N2322" s="47" t="inlineStr">
        <is>
          <t>UCor_9jRnNNZVzTuQ92PKsaQ</t>
        </is>
      </c>
      <c r="O2322" s="48" t="n">
        <v>43059.66527777778</v>
      </c>
      <c r="P2322" s="49" t="n">
        <v>43059</v>
      </c>
      <c r="Q2322" s="47" t="n">
        <v>946</v>
      </c>
      <c r="R2322" s="47" t="inlineStr">
        <is>
          <t>No Video ID yet</t>
        </is>
      </c>
      <c r="S2322" s="49" t="n"/>
      <c r="T2322" s="49" t="n"/>
      <c r="U2322" s="47" t="inlineStr">
        <is>
          <t>Whose idea was the forced Ferris Wheel ride? Like.. its weird right? Anyway afterwards we fight N again... and this time he has joined forces with the malicious Sigilyph... Will the team survive the Ncounter??</t>
        </is>
      </c>
      <c r="V2322" s="47">
        <f>IF(AND(P2322&gt;=Calendar!$K$2,P2322&lt;EDATE(Calendar!$K$2,1),OR(Calendar!$K$4="*",N2322=Calendar!$K$4)),P2322*100+COUNTIFS($P$6:$P$3267,P2322,$Q$6:$Q$3267,"&lt;="&amp;Q2322,$N$6:$N$3267,Calendar!$K$4),"")</f>
        <v/>
      </c>
      <c r="W2322" s="47">
        <f>IF(AND(B2322=Queue!$C$4,OR(Queue!$K$4="*",N2322=Queue!$K$4)),Q2322,"")</f>
        <v/>
      </c>
    </row>
    <row r="2323">
      <c r="A2323" s="38">
        <f>IF(M2323="","",HYPERLINK("https://www.youtube.com/watch?v="&amp;M2323,"▶"))</f>
        <v/>
      </c>
      <c r="B2323" s="39">
        <f>IF(C2323&lt;&gt;"",C2323,IF(P2323&lt;=IFERROR(INDEX(tblChannels[Watched Through],MATCH(N2323,tblChannels[Channel ID],0)),0),"Watched","Unwatched"))</f>
        <v/>
      </c>
      <c r="C2323" s="40" t="n"/>
      <c r="D2323" s="41" t="n"/>
      <c r="E2323" s="42" t="n">
        <v>43056.49166666667</v>
      </c>
      <c r="F2323" s="52" t="inlineStr">
        <is>
          <t>Super Carlin Gaming</t>
        </is>
      </c>
      <c r="G2323" t="inlineStr">
        <is>
          <t>Pokemon Black Nuzlocke #9: THE FIRST</t>
        </is>
      </c>
      <c r="H2323" s="44" t="n">
        <v>0.01914351851851852</v>
      </c>
      <c r="I2323" s="45" t="n">
        <v>35272</v>
      </c>
      <c r="J2323" s="45" t="n">
        <v>949</v>
      </c>
      <c r="K2323" s="45" t="n">
        <v>511</v>
      </c>
      <c r="L2323" s="46" t="n"/>
      <c r="M2323" s="47" t="n"/>
      <c r="N2323" s="47" t="inlineStr">
        <is>
          <t>UCor_9jRnNNZVzTuQ92PKsaQ</t>
        </is>
      </c>
      <c r="O2323" s="48" t="n">
        <v>43056.7</v>
      </c>
      <c r="P2323" s="49" t="n">
        <v>43056</v>
      </c>
      <c r="Q2323" s="47" t="n">
        <v>945</v>
      </c>
      <c r="R2323" s="47" t="inlineStr">
        <is>
          <t>No Video ID yet</t>
        </is>
      </c>
      <c r="S2323" s="49" t="n"/>
      <c r="T2323" s="49" t="n"/>
      <c r="U2323" s="47" t="inlineStr">
        <is>
          <t>As J and the team advance into the Desert Ruins they encounter new ghost pokemon, can the team survive or will someone join their ghostly ranks?!</t>
        </is>
      </c>
      <c r="V2323" s="47">
        <f>IF(AND(P2323&gt;=Calendar!$K$2,P2323&lt;EDATE(Calendar!$K$2,1),OR(Calendar!$K$4="*",N2323=Calendar!$K$4)),P2323*100+COUNTIFS($P$6:$P$3267,P2323,$Q$6:$Q$3267,"&lt;="&amp;Q2323,$N$6:$N$3267,Calendar!$K$4),"")</f>
        <v/>
      </c>
      <c r="W2323" s="47">
        <f>IF(AND(B2323=Queue!$C$4,OR(Queue!$K$4="*",N2323=Queue!$K$4)),Q2323,"")</f>
        <v/>
      </c>
    </row>
    <row r="2324">
      <c r="A2324" s="38">
        <f>IF(M2324="","",HYPERLINK("https://www.youtube.com/watch?v="&amp;M2324,"▶"))</f>
        <v/>
      </c>
      <c r="B2324" s="39">
        <f>IF(C2324&lt;&gt;"",C2324,IF(P2324&lt;=IFERROR(INDEX(tblChannels[Watched Through],MATCH(N2324,tblChannels[Channel ID],0)),0),"Watched","Unwatched"))</f>
        <v/>
      </c>
      <c r="C2324" s="40" t="n"/>
      <c r="D2324" s="41" t="n"/>
      <c r="E2324" s="42" t="n">
        <v>43055.77847222222</v>
      </c>
      <c r="F2324" s="50" t="inlineStr">
        <is>
          <t>Super Carlin Brothers</t>
        </is>
      </c>
      <c r="G2324" t="inlineStr">
        <is>
          <t>The Sorting Hat's BIG Secret | Harry Potter Theory</t>
        </is>
      </c>
      <c r="H2324" s="44" t="n">
        <v>0.007881944444444445</v>
      </c>
      <c r="I2324" s="45" t="n">
        <v>3036199</v>
      </c>
      <c r="J2324" s="45" t="n">
        <v>59213</v>
      </c>
      <c r="K2324" s="45" t="n">
        <v>6674</v>
      </c>
      <c r="L2324" s="46" t="n"/>
      <c r="M2324" s="47" t="n"/>
      <c r="N2324" s="47" t="inlineStr">
        <is>
          <t>UCKZo4N0lVPccBkSiuyVh4yg</t>
        </is>
      </c>
      <c r="O2324" s="48" t="n">
        <v>43055.98680555556</v>
      </c>
      <c r="P2324" s="49" t="n">
        <v>43055</v>
      </c>
      <c r="Q2324" s="47" t="n">
        <v>944</v>
      </c>
      <c r="R2324" s="47" t="inlineStr">
        <is>
          <t>No Video ID yet</t>
        </is>
      </c>
      <c r="S2324" s="49" t="n"/>
      <c r="T2324" s="49" t="n"/>
      <c r="U2324" s="47" t="inlineStr">
        <is>
          <t>Today Ben dives into the Wizarding World of Harry Potter to discuss why none of the first years ever seem to be prepared for the the sorting ceremony - How can Hermione not know about the Hat, are you telling me it’s never mentioned in Hogwarts: A History?</t>
        </is>
      </c>
      <c r="V2324" s="47">
        <f>IF(AND(P2324&gt;=Calendar!$K$2,P2324&lt;EDATE(Calendar!$K$2,1),OR(Calendar!$K$4="*",N2324=Calendar!$K$4)),P2324*100+COUNTIFS($P$6:$P$3267,P2324,$Q$6:$Q$3267,"&lt;="&amp;Q2324,$N$6:$N$3267,Calendar!$K$4),"")</f>
        <v/>
      </c>
      <c r="W2324" s="47">
        <f>IF(AND(B2324=Queue!$C$4,OR(Queue!$K$4="*",N2324=Queue!$K$4)),Q2324,"")</f>
        <v/>
      </c>
    </row>
    <row r="2325">
      <c r="A2325" s="38">
        <f>IF(M2325="","",HYPERLINK("https://www.youtube.com/watch?v="&amp;M2325,"▶"))</f>
        <v/>
      </c>
      <c r="B2325" s="39">
        <f>IF(C2325&lt;&gt;"",C2325,IF(P2325&lt;=IFERROR(INDEX(tblChannels[Watched Through],MATCH(N2325,tblChannels[Channel ID],0)),0),"Watched","Unwatched"))</f>
        <v/>
      </c>
      <c r="C2325" s="40" t="n"/>
      <c r="D2325" s="41" t="n"/>
      <c r="E2325" s="42" t="n">
        <v>43055.45833333334</v>
      </c>
      <c r="F2325" s="52" t="inlineStr">
        <is>
          <t>Super Carlin Gaming</t>
        </is>
      </c>
      <c r="G2325" t="inlineStr">
        <is>
          <t>Mario Kart Roulette #48: In-Laws Don't Like Me?</t>
        </is>
      </c>
      <c r="H2325" s="44" t="n">
        <v>0.01118055555555555</v>
      </c>
      <c r="I2325" s="45" t="n">
        <v>11988</v>
      </c>
      <c r="J2325" s="45" t="n">
        <v>469</v>
      </c>
      <c r="K2325" s="45" t="n">
        <v>107</v>
      </c>
      <c r="L2325" s="46" t="n"/>
      <c r="M2325" s="47" t="n"/>
      <c r="N2325" s="47" t="inlineStr">
        <is>
          <t>UCor_9jRnNNZVzTuQ92PKsaQ</t>
        </is>
      </c>
      <c r="O2325" s="48" t="n">
        <v>43055.66666666666</v>
      </c>
      <c r="P2325" s="49" t="n">
        <v>43055</v>
      </c>
      <c r="Q2325" s="47" t="n">
        <v>943</v>
      </c>
      <c r="R2325" s="47" t="inlineStr">
        <is>
          <t>No Video ID yet</t>
        </is>
      </c>
      <c r="S2325" s="49" t="n"/>
      <c r="T2325" s="49" t="n"/>
      <c r="U2325" s="47" t="inlineStr">
        <is>
          <t>The Bell Cup! Also, what do you do when your in-laws don't like you?</t>
        </is>
      </c>
      <c r="V2325" s="47">
        <f>IF(AND(P2325&gt;=Calendar!$K$2,P2325&lt;EDATE(Calendar!$K$2,1),OR(Calendar!$K$4="*",N2325=Calendar!$K$4)),P2325*100+COUNTIFS($P$6:$P$3267,P2325,$Q$6:$Q$3267,"&lt;="&amp;Q2325,$N$6:$N$3267,Calendar!$K$4),"")</f>
        <v/>
      </c>
      <c r="W2325" s="47">
        <f>IF(AND(B2325=Queue!$C$4,OR(Queue!$K$4="*",N2325=Queue!$K$4)),Q2325,"")</f>
        <v/>
      </c>
    </row>
    <row r="2326">
      <c r="A2326" s="38">
        <f>IF(M2326="","",HYPERLINK("https://www.youtube.com/watch?v="&amp;M2326,"▶"))</f>
        <v/>
      </c>
      <c r="B2326" s="39">
        <f>IF(C2326&lt;&gt;"",C2326,IF(P2326&lt;=IFERROR(INDEX(tblChannels[Watched Through],MATCH(N2326,tblChannels[Channel ID],0)),0),"Watched","Unwatched"))</f>
        <v/>
      </c>
      <c r="C2326" s="40" t="n"/>
      <c r="D2326" s="41" t="n"/>
      <c r="E2326" s="42" t="n">
        <v>43054.4625</v>
      </c>
      <c r="F2326" s="52" t="inlineStr">
        <is>
          <t>Super Carlin Gaming</t>
        </is>
      </c>
      <c r="G2326" t="inlineStr">
        <is>
          <t>Pokemon Black Nuzlocke #8: More Brats and Nuggets Please!</t>
        </is>
      </c>
      <c r="H2326" s="44" t="n">
        <v>0.01844907407407407</v>
      </c>
      <c r="I2326" s="45" t="n">
        <v>34937</v>
      </c>
      <c r="J2326" s="45" t="n">
        <v>877</v>
      </c>
      <c r="K2326" s="45" t="n">
        <v>296</v>
      </c>
      <c r="L2326" s="46" t="n"/>
      <c r="M2326" s="47" t="n"/>
      <c r="N2326" s="47" t="inlineStr">
        <is>
          <t>UCor_9jRnNNZVzTuQ92PKsaQ</t>
        </is>
      </c>
      <c r="O2326" s="48" t="n">
        <v>43054.67083333333</v>
      </c>
      <c r="P2326" s="49" t="n">
        <v>43054</v>
      </c>
      <c r="Q2326" s="47" t="n">
        <v>942</v>
      </c>
      <c r="R2326" s="47" t="inlineStr">
        <is>
          <t>No Video ID yet</t>
        </is>
      </c>
      <c r="S2326" s="49" t="n"/>
      <c r="T2326" s="49" t="n"/>
      <c r="U2326" s="47" t="inlineStr">
        <is>
          <t>Today J and the team head into the looming sandstorm beyond Castelia City.. whose idea was it to build a city next to the desert? Oh well we also run into Bratwurst and Chicken Nuggets again, can we take them down again?!</t>
        </is>
      </c>
      <c r="V2326" s="47">
        <f>IF(AND(P2326&gt;=Calendar!$K$2,P2326&lt;EDATE(Calendar!$K$2,1),OR(Calendar!$K$4="*",N2326=Calendar!$K$4)),P2326*100+COUNTIFS($P$6:$P$3267,P2326,$Q$6:$Q$3267,"&lt;="&amp;Q2326,$N$6:$N$3267,Calendar!$K$4),"")</f>
        <v/>
      </c>
      <c r="W2326" s="47">
        <f>IF(AND(B2326=Queue!$C$4,OR(Queue!$K$4="*",N2326=Queue!$K$4)),Q2326,"")</f>
        <v/>
      </c>
    </row>
    <row r="2327">
      <c r="A2327" s="38">
        <f>IF(M2327="","",HYPERLINK("https://www.youtube.com/watch?v="&amp;M2327,"▶"))</f>
        <v/>
      </c>
      <c r="B2327" s="39">
        <f>IF(C2327&lt;&gt;"",C2327,IF(P2327&lt;=IFERROR(INDEX(tblChannels[Watched Through],MATCH(N2327,tblChannels[Channel ID],0)),0),"Watched","Unwatched"))</f>
        <v/>
      </c>
      <c r="C2327" s="40" t="n"/>
      <c r="D2327" s="41" t="n"/>
      <c r="E2327" s="42" t="n">
        <v>43053.75138888889</v>
      </c>
      <c r="F2327" s="50" t="inlineStr">
        <is>
          <t>Super Carlin Brothers</t>
        </is>
      </c>
      <c r="G2327" t="inlineStr">
        <is>
          <t>Star Wars Theory: Rey’s Parents Confirmed in Battlefront 2?</t>
        </is>
      </c>
      <c r="H2327" s="44" t="n">
        <v>0.008935185185185185</v>
      </c>
      <c r="I2327" s="45" t="n">
        <v>910307</v>
      </c>
      <c r="J2327" s="45" t="n">
        <v>18510</v>
      </c>
      <c r="K2327" s="45" t="n">
        <v>5417</v>
      </c>
      <c r="L2327" s="46" t="n"/>
      <c r="M2327" s="47" t="n"/>
      <c r="N2327" s="47" t="inlineStr">
        <is>
          <t>UCKZo4N0lVPccBkSiuyVh4yg</t>
        </is>
      </c>
      <c r="O2327" s="48" t="n">
        <v>43053.95972222222</v>
      </c>
      <c r="P2327" s="49" t="n">
        <v>43053</v>
      </c>
      <c r="Q2327" s="47" t="n">
        <v>941</v>
      </c>
      <c r="R2327" s="47" t="inlineStr">
        <is>
          <t>No Video ID yet</t>
        </is>
      </c>
      <c r="S2327" s="49" t="n"/>
      <c r="T2327" s="49" t="n"/>
      <c r="U2327" s="47" t="inlineStr">
        <is>
          <t>The most recent addition to the Star Wars Canon: Star Wars Battlefront 2 reveals some interesting information possibly regarding Star Wars biggest mystery: Who are Rey’s Parents?</t>
        </is>
      </c>
      <c r="V2327" s="47">
        <f>IF(AND(P2327&gt;=Calendar!$K$2,P2327&lt;EDATE(Calendar!$K$2,1),OR(Calendar!$K$4="*",N2327=Calendar!$K$4)),P2327*100+COUNTIFS($P$6:$P$3267,P2327,$Q$6:$Q$3267,"&lt;="&amp;Q2327,$N$6:$N$3267,Calendar!$K$4),"")</f>
        <v/>
      </c>
      <c r="W2327" s="47">
        <f>IF(AND(B2327=Queue!$C$4,OR(Queue!$K$4="*",N2327=Queue!$K$4)),Q2327,"")</f>
        <v/>
      </c>
    </row>
    <row r="2328">
      <c r="A2328" s="38">
        <f>IF(M2328="","",HYPERLINK("https://www.youtube.com/watch?v="&amp;M2328,"▶"))</f>
        <v/>
      </c>
      <c r="B2328" s="39">
        <f>IF(C2328&lt;&gt;"",C2328,IF(P2328&lt;=IFERROR(INDEX(tblChannels[Watched Through],MATCH(N2328,tblChannels[Channel ID],0)),0),"Watched","Unwatched"))</f>
        <v/>
      </c>
      <c r="C2328" s="40" t="n"/>
      <c r="D2328" s="41" t="n"/>
      <c r="E2328" s="42" t="n">
        <v>43053.60277777778</v>
      </c>
      <c r="F2328" s="52" t="inlineStr">
        <is>
          <t>Super Carlin Gaming</t>
        </is>
      </c>
      <c r="G2328" t="inlineStr">
        <is>
          <t>Mario Kart Roulette #47: New Friends in New Places</t>
        </is>
      </c>
      <c r="H2328" s="44" t="n">
        <v>0.01056712962962963</v>
      </c>
      <c r="I2328" s="45" t="n">
        <v>10789</v>
      </c>
      <c r="J2328" s="45" t="n">
        <v>418</v>
      </c>
      <c r="K2328" s="45" t="n">
        <v>137</v>
      </c>
      <c r="L2328" s="46" t="n"/>
      <c r="M2328" s="47" t="n"/>
      <c r="N2328" s="47" t="inlineStr">
        <is>
          <t>UCor_9jRnNNZVzTuQ92PKsaQ</t>
        </is>
      </c>
      <c r="O2328" s="48" t="n">
        <v>43053.81111111111</v>
      </c>
      <c r="P2328" s="49" t="n">
        <v>43053</v>
      </c>
      <c r="Q2328" s="47" t="n">
        <v>940</v>
      </c>
      <c r="R2328" s="47" t="inlineStr">
        <is>
          <t>No Video ID yet</t>
        </is>
      </c>
      <c r="S2328" s="49" t="n"/>
      <c r="T2328" s="49" t="n"/>
      <c r="U2328" s="47" t="inlineStr">
        <is>
          <t>The "Frogger" Cup! Also, How do you make new friends in a new places?</t>
        </is>
      </c>
      <c r="V2328" s="47">
        <f>IF(AND(P2328&gt;=Calendar!$K$2,P2328&lt;EDATE(Calendar!$K$2,1),OR(Calendar!$K$4="*",N2328=Calendar!$K$4)),P2328*100+COUNTIFS($P$6:$P$3267,P2328,$Q$6:$Q$3267,"&lt;="&amp;Q2328,$N$6:$N$3267,Calendar!$K$4),"")</f>
        <v/>
      </c>
      <c r="W2328" s="47">
        <f>IF(AND(B2328=Queue!$C$4,OR(Queue!$K$4="*",N2328=Queue!$K$4)),Q2328,"")</f>
        <v/>
      </c>
    </row>
    <row r="2329">
      <c r="A2329" s="38">
        <f>IF(M2329="","",HYPERLINK("https://www.youtube.com/watch?v="&amp;M2329,"▶"))</f>
        <v/>
      </c>
      <c r="B2329" s="39">
        <f>IF(C2329&lt;&gt;"",C2329,IF(P2329&lt;=IFERROR(INDEX(tblChannels[Watched Through],MATCH(N2329,tblChannels[Channel ID],0)),0),"Watched","Unwatched"))</f>
        <v/>
      </c>
      <c r="C2329" s="40" t="n"/>
      <c r="D2329" s="41" t="n"/>
      <c r="E2329" s="42" t="n">
        <v>43052.62916666667</v>
      </c>
      <c r="F2329" s="52" t="inlineStr">
        <is>
          <t>Super Carlin Gaming</t>
        </is>
      </c>
      <c r="G2329" t="inlineStr">
        <is>
          <t>Pokemon Black Nuzlocke #7: BURGH!</t>
        </is>
      </c>
      <c r="H2329" s="44" t="n">
        <v>0.02465277777777778</v>
      </c>
      <c r="I2329" s="45" t="n">
        <v>40526</v>
      </c>
      <c r="J2329" s="45" t="n">
        <v>955</v>
      </c>
      <c r="K2329" s="45" t="n">
        <v>342</v>
      </c>
      <c r="L2329" s="46" t="n"/>
      <c r="M2329" s="47" t="n"/>
      <c r="N2329" s="47" t="inlineStr">
        <is>
          <t>UCor_9jRnNNZVzTuQ92PKsaQ</t>
        </is>
      </c>
      <c r="O2329" s="48" t="n">
        <v>43052.8375</v>
      </c>
      <c r="P2329" s="49" t="n">
        <v>43052</v>
      </c>
      <c r="Q2329" s="47" t="n">
        <v>939</v>
      </c>
      <c r="R2329" s="47" t="inlineStr">
        <is>
          <t>No Video ID yet</t>
        </is>
      </c>
      <c r="S2329" s="49" t="n"/>
      <c r="T2329" s="49" t="n"/>
      <c r="U2329" s="47" t="inlineStr">
        <is>
          <t>Today J and the Team take on their 3rd gym leader: BURGH! His bug pokemon should be no match for Taco, but could he have a trick up his sleeve?!</t>
        </is>
      </c>
      <c r="V2329" s="47">
        <f>IF(AND(P2329&gt;=Calendar!$K$2,P2329&lt;EDATE(Calendar!$K$2,1),OR(Calendar!$K$4="*",N2329=Calendar!$K$4)),P2329*100+COUNTIFS($P$6:$P$3267,P2329,$Q$6:$Q$3267,"&lt;="&amp;Q2329,$N$6:$N$3267,Calendar!$K$4),"")</f>
        <v/>
      </c>
      <c r="W2329" s="47">
        <f>IF(AND(B2329=Queue!$C$4,OR(Queue!$K$4="*",N2329=Queue!$K$4)),Q2329,"")</f>
        <v/>
      </c>
    </row>
    <row r="2330">
      <c r="A2330" s="38">
        <f>IF(M2330="","",HYPERLINK("https://www.youtube.com/watch?v="&amp;M2330,"▶"))</f>
        <v/>
      </c>
      <c r="B2330" s="39">
        <f>IF(C2330&lt;&gt;"",C2330,IF(P2330&lt;=IFERROR(INDEX(tblChannels[Watched Through],MATCH(N2330,tblChannels[Channel ID],0)),0),"Watched","Unwatched"))</f>
        <v/>
      </c>
      <c r="C2330" s="40" t="n"/>
      <c r="D2330" s="41" t="n"/>
      <c r="E2330" s="42" t="n">
        <v>43052.48680555556</v>
      </c>
      <c r="F2330" s="53" t="inlineStr">
        <is>
          <t>Jonathan Carlin</t>
        </is>
      </c>
      <c r="G2330" t="inlineStr">
        <is>
          <t>PARTY LIKE DARTH VADER</t>
        </is>
      </c>
      <c r="H2330" s="44" t="n">
        <v>0.006226851851851851</v>
      </c>
      <c r="I2330" s="45" t="n">
        <v>33920</v>
      </c>
      <c r="J2330" s="45" t="n">
        <v>1627</v>
      </c>
      <c r="K2330" s="45" t="n">
        <v>237</v>
      </c>
      <c r="L2330" s="46" t="n"/>
      <c r="M2330" s="47" t="n"/>
      <c r="N2330" s="47" t="inlineStr">
        <is>
          <t>UCYPKFe86e6nm4TVUYKLsFUQ</t>
        </is>
      </c>
      <c r="O2330" s="48" t="n">
        <v>43052.69513888889</v>
      </c>
      <c r="P2330" s="49" t="n">
        <v>43052</v>
      </c>
      <c r="Q2330" s="47" t="n">
        <v>938</v>
      </c>
      <c r="R2330" s="47" t="inlineStr">
        <is>
          <t>No Video ID yet</t>
        </is>
      </c>
      <c r="S2330" s="49" t="n"/>
      <c r="T2330" s="49" t="n"/>
      <c r="U2330" s="47" t="inlineStr">
        <is>
          <t>Another week of furious adulting in the books! I'll give you hint about the coded message.. its a movie!</t>
        </is>
      </c>
      <c r="V2330" s="47">
        <f>IF(AND(P2330&gt;=Calendar!$K$2,P2330&lt;EDATE(Calendar!$K$2,1),OR(Calendar!$K$4="*",N2330=Calendar!$K$4)),P2330*100+COUNTIFS($P$6:$P$3267,P2330,$Q$6:$Q$3267,"&lt;="&amp;Q2330,$N$6:$N$3267,Calendar!$K$4),"")</f>
        <v/>
      </c>
      <c r="W2330" s="47">
        <f>IF(AND(B2330=Queue!$C$4,OR(Queue!$K$4="*",N2330=Queue!$K$4)),Q2330,"")</f>
        <v/>
      </c>
    </row>
    <row r="2331">
      <c r="A2331" s="38">
        <f>IF(M2331="","",HYPERLINK("https://www.youtube.com/watch?v="&amp;M2331,"▶"))</f>
        <v/>
      </c>
      <c r="B2331" s="39">
        <f>IF(C2331&lt;&gt;"",C2331,IF(P2331&lt;=IFERROR(INDEX(tblChannels[Watched Through],MATCH(N2331,tblChannels[Channel ID],0)),0),"Watched","Unwatched"))</f>
        <v/>
      </c>
      <c r="C2331" s="40" t="n"/>
      <c r="D2331" s="41" t="n"/>
      <c r="E2331" s="42" t="n">
        <v>43049.56388888889</v>
      </c>
      <c r="F2331" s="52" t="inlineStr">
        <is>
          <t>Super Carlin Gaming</t>
        </is>
      </c>
      <c r="G2331" t="inlineStr">
        <is>
          <t>Pokemon Black Nuzlocke #6: Pinwheels and Plasma</t>
        </is>
      </c>
      <c r="H2331" s="44" t="n">
        <v>0.01731481481481481</v>
      </c>
      <c r="I2331" s="45" t="n">
        <v>40309</v>
      </c>
      <c r="J2331" s="45" t="n">
        <v>1024</v>
      </c>
      <c r="K2331" s="45" t="n">
        <v>499</v>
      </c>
      <c r="L2331" s="46" t="n"/>
      <c r="M2331" s="47" t="n"/>
      <c r="N2331" s="47" t="inlineStr">
        <is>
          <t>UCor_9jRnNNZVzTuQ92PKsaQ</t>
        </is>
      </c>
      <c r="O2331" s="48" t="n">
        <v>43049.77222222222</v>
      </c>
      <c r="P2331" s="49" t="n">
        <v>43049</v>
      </c>
      <c r="Q2331" s="47" t="n">
        <v>937</v>
      </c>
      <c r="R2331" s="47" t="inlineStr">
        <is>
          <t>No Video ID yet</t>
        </is>
      </c>
      <c r="S2331" s="49" t="n"/>
      <c r="T2331" s="49" t="n"/>
      <c r="U2331" s="47" t="inlineStr">
        <is>
          <t>Today J and the team hunt down Team Plasma in Pinwheel Forrest - What do you think should the obvious different sections count as different areas??</t>
        </is>
      </c>
      <c r="V2331" s="47">
        <f>IF(AND(P2331&gt;=Calendar!$K$2,P2331&lt;EDATE(Calendar!$K$2,1),OR(Calendar!$K$4="*",N2331=Calendar!$K$4)),P2331*100+COUNTIFS($P$6:$P$3267,P2331,$Q$6:$Q$3267,"&lt;="&amp;Q2331,$N$6:$N$3267,Calendar!$K$4),"")</f>
        <v/>
      </c>
      <c r="W2331" s="47">
        <f>IF(AND(B2331=Queue!$C$4,OR(Queue!$K$4="*",N2331=Queue!$K$4)),Q2331,"")</f>
        <v/>
      </c>
    </row>
    <row r="2332">
      <c r="A2332" s="38">
        <f>IF(M2332="","",HYPERLINK("https://www.youtube.com/watch?v="&amp;M2332,"▶"))</f>
        <v/>
      </c>
      <c r="B2332" s="39">
        <f>IF(C2332&lt;&gt;"",C2332,IF(P2332&lt;=IFERROR(INDEX(tblChannels[Watched Through],MATCH(N2332,tblChannels[Channel ID],0)),0),"Watched","Unwatched"))</f>
        <v/>
      </c>
      <c r="C2332" s="40" t="n"/>
      <c r="D2332" s="41" t="n"/>
      <c r="E2332" s="42" t="n">
        <v>43048.76875</v>
      </c>
      <c r="F2332" s="50" t="inlineStr">
        <is>
          <t>Super Carlin Brothers</t>
        </is>
      </c>
      <c r="G2332" t="inlineStr">
        <is>
          <t>Could Anastasia Become A Disney Princess?</t>
        </is>
      </c>
      <c r="H2332" s="44" t="n">
        <v>0.005925925925925926</v>
      </c>
      <c r="I2332" s="45" t="n">
        <v>470774</v>
      </c>
      <c r="J2332" s="45" t="n">
        <v>14354</v>
      </c>
      <c r="K2332" s="45" t="n">
        <v>3714</v>
      </c>
      <c r="L2332" s="46" t="n"/>
      <c r="M2332" s="47" t="n"/>
      <c r="N2332" s="47" t="inlineStr">
        <is>
          <t>UCKZo4N0lVPccBkSiuyVh4yg</t>
        </is>
      </c>
      <c r="O2332" s="48" t="n">
        <v>43048.97708333333</v>
      </c>
      <c r="P2332" s="49" t="n">
        <v>43048</v>
      </c>
      <c r="Q2332" s="47" t="n">
        <v>936</v>
      </c>
      <c r="R2332" s="47" t="inlineStr">
        <is>
          <t>No Video ID yet</t>
        </is>
      </c>
      <c r="S2332" s="49" t="n"/>
      <c r="T2332" s="49" t="n"/>
      <c r="U2332" s="47" t="inlineStr">
        <is>
          <t>Special Thanks to these Patreons :: Abi Solk, Jennifer, Alan Wolfe, pajanaparty, Sarah E McCartney, Geek_Teach, Zara Caldwell, Cletus McConville, Lasse Buan Charles C. Seymour, Kristhell Lopez, Amy Beerbower With news emerging this week that Disney has entered talks to possibly acquire Fox, we realized that Anastasia, a character often mistaken for a Disney Princess, may actually get to join the Disney family.. But would she qualify for a princess?</t>
        </is>
      </c>
      <c r="V2332" s="47">
        <f>IF(AND(P2332&gt;=Calendar!$K$2,P2332&lt;EDATE(Calendar!$K$2,1),OR(Calendar!$K$4="*",N2332=Calendar!$K$4)),P2332*100+COUNTIFS($P$6:$P$3267,P2332,$Q$6:$Q$3267,"&lt;="&amp;Q2332,$N$6:$N$3267,Calendar!$K$4),"")</f>
        <v/>
      </c>
      <c r="W2332" s="47">
        <f>IF(AND(B2332=Queue!$C$4,OR(Queue!$K$4="*",N2332=Queue!$K$4)),Q2332,"")</f>
        <v/>
      </c>
    </row>
    <row r="2333">
      <c r="A2333" s="38">
        <f>IF(M2333="","",HYPERLINK("https://www.youtube.com/watch?v="&amp;M2333,"▶"))</f>
        <v/>
      </c>
      <c r="B2333" s="39">
        <f>IF(C2333&lt;&gt;"",C2333,IF(P2333&lt;=IFERROR(INDEX(tblChannels[Watched Through],MATCH(N2333,tblChannels[Channel ID],0)),0),"Watched","Unwatched"))</f>
        <v/>
      </c>
      <c r="C2333" s="40" t="n"/>
      <c r="D2333" s="41" t="n"/>
      <c r="E2333" s="42" t="n">
        <v>43048.49930555555</v>
      </c>
      <c r="F2333" s="52" t="inlineStr">
        <is>
          <t>Super Carlin Gaming</t>
        </is>
      </c>
      <c r="G2333" t="inlineStr">
        <is>
          <t>Mario Kart Roulette #46: A Quality 8th Place.</t>
        </is>
      </c>
      <c r="H2333" s="44" t="n">
        <v>0.0102662037037037</v>
      </c>
      <c r="I2333" s="45" t="n">
        <v>11738</v>
      </c>
      <c r="J2333" s="45" t="n">
        <v>439</v>
      </c>
      <c r="K2333" s="45" t="n">
        <v>201</v>
      </c>
      <c r="L2333" s="46" t="n"/>
      <c r="M2333" s="47" t="n"/>
      <c r="N2333" s="47" t="inlineStr">
        <is>
          <t>UCor_9jRnNNZVzTuQ92PKsaQ</t>
        </is>
      </c>
      <c r="O2333" s="48" t="n">
        <v>43048.70763888889</v>
      </c>
      <c r="P2333" s="49" t="n">
        <v>43048</v>
      </c>
      <c r="Q2333" s="47" t="n">
        <v>935</v>
      </c>
      <c r="R2333" s="47" t="inlineStr">
        <is>
          <t>No Video ID yet</t>
        </is>
      </c>
      <c r="S2333" s="49" t="n"/>
      <c r="T2333" s="49" t="n"/>
      <c r="U2333" s="47" t="inlineStr">
        <is>
          <t>It's the Triforce cup! At 200cc this one is HARD!</t>
        </is>
      </c>
      <c r="V2333" s="47">
        <f>IF(AND(P2333&gt;=Calendar!$K$2,P2333&lt;EDATE(Calendar!$K$2,1),OR(Calendar!$K$4="*",N2333=Calendar!$K$4)),P2333*100+COUNTIFS($P$6:$P$3267,P2333,$Q$6:$Q$3267,"&lt;="&amp;Q2333,$N$6:$N$3267,Calendar!$K$4),"")</f>
        <v/>
      </c>
      <c r="W2333" s="47">
        <f>IF(AND(B2333=Queue!$C$4,OR(Queue!$K$4="*",N2333=Queue!$K$4)),Q2333,"")</f>
        <v/>
      </c>
    </row>
    <row r="2334">
      <c r="A2334" s="38">
        <f>IF(M2334="","",HYPERLINK("https://www.youtube.com/watch?v="&amp;M2334,"▶"))</f>
        <v/>
      </c>
      <c r="B2334" s="39">
        <f>IF(C2334&lt;&gt;"",C2334,IF(P2334&lt;=IFERROR(INDEX(tblChannels[Watched Through],MATCH(N2334,tblChannels[Channel ID],0)),0),"Watched","Unwatched"))</f>
        <v/>
      </c>
      <c r="C2334" s="40" t="n"/>
      <c r="D2334" s="41" t="n"/>
      <c r="E2334" s="42" t="n">
        <v>43047.55555555555</v>
      </c>
      <c r="F2334" s="52" t="inlineStr">
        <is>
          <t>Super Carlin Gaming</t>
        </is>
      </c>
      <c r="G2334" t="inlineStr">
        <is>
          <t>Pokemon Black Nuzlocke #5: Taco VS Lenora</t>
        </is>
      </c>
      <c r="H2334" s="44" t="n">
        <v>0.02421296296296296</v>
      </c>
      <c r="I2334" s="45" t="n">
        <v>49080</v>
      </c>
      <c r="J2334" s="45" t="n">
        <v>1144</v>
      </c>
      <c r="K2334" s="45" t="n">
        <v>417</v>
      </c>
      <c r="L2334" s="46" t="n"/>
      <c r="M2334" s="47" t="n"/>
      <c r="N2334" s="47" t="inlineStr">
        <is>
          <t>UCor_9jRnNNZVzTuQ92PKsaQ</t>
        </is>
      </c>
      <c r="O2334" s="48" t="n">
        <v>43047.76388888889</v>
      </c>
      <c r="P2334" s="49" t="n">
        <v>43047</v>
      </c>
      <c r="Q2334" s="47" t="n">
        <v>934</v>
      </c>
      <c r="R2334" s="47" t="inlineStr">
        <is>
          <t>No Video ID yet</t>
        </is>
      </c>
      <c r="S2334" s="49" t="n"/>
      <c r="T2334" s="49" t="n"/>
      <c r="U2334" s="47" t="inlineStr">
        <is>
          <t>Today J and the team take on the their 2nd Gym Leader, the normal type user: Lenora! She may not look tough but her team is well equipped to deal with type disadvantages! Will J and the team survive the battle!</t>
        </is>
      </c>
      <c r="V2334" s="47">
        <f>IF(AND(P2334&gt;=Calendar!$K$2,P2334&lt;EDATE(Calendar!$K$2,1),OR(Calendar!$K$4="*",N2334=Calendar!$K$4)),P2334*100+COUNTIFS($P$6:$P$3267,P2334,$Q$6:$Q$3267,"&lt;="&amp;Q2334,$N$6:$N$3267,Calendar!$K$4),"")</f>
        <v/>
      </c>
      <c r="W2334" s="47">
        <f>IF(AND(B2334=Queue!$C$4,OR(Queue!$K$4="*",N2334=Queue!$K$4)),Q2334,"")</f>
        <v/>
      </c>
    </row>
    <row r="2335">
      <c r="A2335" s="38">
        <f>IF(M2335="","",HYPERLINK("https://www.youtube.com/watch?v="&amp;M2335,"▶"))</f>
        <v/>
      </c>
      <c r="B2335" s="39">
        <f>IF(C2335&lt;&gt;"",C2335,IF(P2335&lt;=IFERROR(INDEX(tblChannels[Watched Through],MATCH(N2335,tblChannels[Channel ID],0)),0),"Watched","Unwatched"))</f>
        <v/>
      </c>
      <c r="C2335" s="40" t="n"/>
      <c r="D2335" s="41" t="n"/>
      <c r="E2335" s="42" t="n">
        <v>43046.72222222222</v>
      </c>
      <c r="F2335" s="50" t="inlineStr">
        <is>
          <t>Super Carlin Brothers</t>
        </is>
      </c>
      <c r="G2335" t="inlineStr">
        <is>
          <t>Top 10 Things To Look For In Coco</t>
        </is>
      </c>
      <c r="H2335" s="44" t="n">
        <v>0.007731481481481482</v>
      </c>
      <c r="I2335" s="45" t="n">
        <v>204580</v>
      </c>
      <c r="J2335" s="45" t="n">
        <v>8414</v>
      </c>
      <c r="K2335" s="45" t="n">
        <v>2308</v>
      </c>
      <c r="L2335" s="46" t="n"/>
      <c r="M2335" s="47" t="n"/>
      <c r="N2335" s="47" t="inlineStr">
        <is>
          <t>UCKZo4N0lVPccBkSiuyVh4yg</t>
        </is>
      </c>
      <c r="O2335" s="48" t="n">
        <v>43046.93055555555</v>
      </c>
      <c r="P2335" s="49" t="n">
        <v>43046</v>
      </c>
      <c r="Q2335" s="47" t="n">
        <v>933</v>
      </c>
      <c r="R2335" s="47" t="inlineStr">
        <is>
          <t>No Video ID yet</t>
        </is>
      </c>
      <c r="S2335" s="49" t="n"/>
      <c r="T2335" s="49" t="n"/>
      <c r="U2335" s="47" t="inlineStr">
        <is>
          <t>Disney Pixar's Coco comes out next week! That means it’s time to bust out the pause button and hunt Easter eggs! Today J runs down the top 10 easter eggs he think you will be able to spot or look for in Coco!</t>
        </is>
      </c>
      <c r="V2335" s="47">
        <f>IF(AND(P2335&gt;=Calendar!$K$2,P2335&lt;EDATE(Calendar!$K$2,1),OR(Calendar!$K$4="*",N2335=Calendar!$K$4)),P2335*100+COUNTIFS($P$6:$P$3267,P2335,$Q$6:$Q$3267,"&lt;="&amp;Q2335,$N$6:$N$3267,Calendar!$K$4),"")</f>
        <v/>
      </c>
      <c r="W2335" s="47">
        <f>IF(AND(B2335=Queue!$C$4,OR(Queue!$K$4="*",N2335=Queue!$K$4)),Q2335,"")</f>
        <v/>
      </c>
    </row>
    <row r="2336">
      <c r="A2336" s="38">
        <f>IF(M2336="","",HYPERLINK("https://www.youtube.com/watch?v="&amp;M2336,"▶"))</f>
        <v/>
      </c>
      <c r="B2336" s="39">
        <f>IF(C2336&lt;&gt;"",C2336,IF(P2336&lt;=IFERROR(INDEX(tblChannels[Watched Through],MATCH(N2336,tblChannels[Channel ID],0)),0),"Watched","Unwatched"))</f>
        <v/>
      </c>
      <c r="C2336" s="40" t="n"/>
      <c r="D2336" s="41" t="n"/>
      <c r="E2336" s="42" t="n">
        <v>43046.44652777778</v>
      </c>
      <c r="F2336" s="52" t="inlineStr">
        <is>
          <t>Super Carlin Gaming</t>
        </is>
      </c>
      <c r="G2336" t="inlineStr">
        <is>
          <t>Mario Kart Roulette #45: How to take life less seriously</t>
        </is>
      </c>
      <c r="H2336" s="44" t="n">
        <v>0.01065972222222222</v>
      </c>
      <c r="I2336" s="45" t="n">
        <v>11831</v>
      </c>
      <c r="J2336" s="45" t="n">
        <v>414</v>
      </c>
      <c r="K2336" s="45" t="n">
        <v>98</v>
      </c>
      <c r="L2336" s="46" t="n"/>
      <c r="M2336" s="47" t="n"/>
      <c r="N2336" s="47" t="inlineStr">
        <is>
          <t>UCor_9jRnNNZVzTuQ92PKsaQ</t>
        </is>
      </c>
      <c r="O2336" s="48" t="n">
        <v>43046.65486111111</v>
      </c>
      <c r="P2336" s="49" t="n">
        <v>43046</v>
      </c>
      <c r="Q2336" s="47" t="n">
        <v>932</v>
      </c>
      <c r="R2336" s="47" t="inlineStr">
        <is>
          <t>No Video ID yet</t>
        </is>
      </c>
      <c r="S2336" s="49" t="n"/>
      <c r="T2336" s="49" t="n"/>
      <c r="U2336" s="47" t="inlineStr">
        <is>
          <t>J &amp; Ben answer your questions and offer their advice while tackling the Egg Cup! Maybe this time we'll come away with some stars!</t>
        </is>
      </c>
      <c r="V2336" s="47">
        <f>IF(AND(P2336&gt;=Calendar!$K$2,P2336&lt;EDATE(Calendar!$K$2,1),OR(Calendar!$K$4="*",N2336=Calendar!$K$4)),P2336*100+COUNTIFS($P$6:$P$3267,P2336,$Q$6:$Q$3267,"&lt;="&amp;Q2336,$N$6:$N$3267,Calendar!$K$4),"")</f>
        <v/>
      </c>
      <c r="W2336" s="47">
        <f>IF(AND(B2336=Queue!$C$4,OR(Queue!$K$4="*",N2336=Queue!$K$4)),Q2336,"")</f>
        <v/>
      </c>
    </row>
    <row r="2337">
      <c r="A2337" s="38">
        <f>IF(M2337="","",HYPERLINK("https://www.youtube.com/watch?v="&amp;M2337,"▶"))</f>
        <v/>
      </c>
      <c r="B2337" s="39">
        <f>IF(C2337&lt;&gt;"",C2337,IF(P2337&lt;=IFERROR(INDEX(tblChannels[Watched Through],MATCH(N2337,tblChannels[Channel ID],0)),0),"Watched","Unwatched"))</f>
        <v/>
      </c>
      <c r="C2337" s="40" t="n"/>
      <c r="D2337" s="41" t="n"/>
      <c r="E2337" s="42" t="n">
        <v>43045.56944444445</v>
      </c>
      <c r="F2337" s="53" t="inlineStr">
        <is>
          <t>Jonathan Carlin</t>
        </is>
      </c>
      <c r="G2337" t="inlineStr">
        <is>
          <t>WEEK OF SEAMUS</t>
        </is>
      </c>
      <c r="H2337" s="44" t="n">
        <v>0.006921296296296296</v>
      </c>
      <c r="I2337" s="45" t="n">
        <v>121218</v>
      </c>
      <c r="J2337" s="45" t="n">
        <v>4887</v>
      </c>
      <c r="K2337" s="45" t="n">
        <v>634</v>
      </c>
      <c r="L2337" s="46" t="n"/>
      <c r="M2337" s="47" t="n"/>
      <c r="N2337" s="47" t="inlineStr">
        <is>
          <t>UCYPKFe86e6nm4TVUYKLsFUQ</t>
        </is>
      </c>
      <c r="O2337" s="48" t="n">
        <v>43045.77777777778</v>
      </c>
      <c r="P2337" s="49" t="n">
        <v>43045</v>
      </c>
      <c r="Q2337" s="47" t="n">
        <v>931</v>
      </c>
      <c r="R2337" s="47" t="inlineStr">
        <is>
          <t>No Video ID yet</t>
        </is>
      </c>
      <c r="S2337" s="49" t="n"/>
      <c r="T2337" s="49" t="n"/>
      <c r="U2337" s="47" t="inlineStr">
        <is>
          <t>This week we are joined by fellow YouTuber and theorist Seamus Gorman, who is just so adorably British. Also in case you were wondering VT beat UNC 59-7 =D Seamus's Channel :: NEW LENS ::</t>
        </is>
      </c>
      <c r="V2337" s="47">
        <f>IF(AND(P2337&gt;=Calendar!$K$2,P2337&lt;EDATE(Calendar!$K$2,1),OR(Calendar!$K$4="*",N2337=Calendar!$K$4)),P2337*100+COUNTIFS($P$6:$P$3267,P2337,$Q$6:$Q$3267,"&lt;="&amp;Q2337,$N$6:$N$3267,Calendar!$K$4),"")</f>
        <v/>
      </c>
      <c r="W2337" s="47">
        <f>IF(AND(B2337=Queue!$C$4,OR(Queue!$K$4="*",N2337=Queue!$K$4)),Q2337,"")</f>
        <v/>
      </c>
    </row>
    <row r="2338">
      <c r="A2338" s="38">
        <f>IF(M2338="","",HYPERLINK("https://www.youtube.com/watch?v="&amp;M2338,"▶"))</f>
        <v/>
      </c>
      <c r="B2338" s="39">
        <f>IF(C2338&lt;&gt;"",C2338,IF(P2338&lt;=IFERROR(INDEX(tblChannels[Watched Through],MATCH(N2338,tblChannels[Channel ID],0)),0),"Watched","Unwatched"))</f>
        <v/>
      </c>
      <c r="C2338" s="40" t="n"/>
      <c r="D2338" s="41" t="n"/>
      <c r="E2338" s="42" t="n">
        <v>43045.46666666667</v>
      </c>
      <c r="F2338" s="52" t="inlineStr">
        <is>
          <t>Super Carlin Gaming</t>
        </is>
      </c>
      <c r="G2338" t="inlineStr">
        <is>
          <t>Pokemon Black Nuzlocke #4: N Means Business!</t>
        </is>
      </c>
      <c r="H2338" s="44" t="n">
        <v>0.02376157407407407</v>
      </c>
      <c r="I2338" s="45" t="n">
        <v>52957</v>
      </c>
      <c r="J2338" s="45" t="n">
        <v>1297</v>
      </c>
      <c r="K2338" s="45" t="n">
        <v>496</v>
      </c>
      <c r="L2338" s="46" t="n"/>
      <c r="M2338" s="47" t="n"/>
      <c r="N2338" s="47" t="inlineStr">
        <is>
          <t>UCor_9jRnNNZVzTuQ92PKsaQ</t>
        </is>
      </c>
      <c r="O2338" s="48" t="n">
        <v>43045.675</v>
      </c>
      <c r="P2338" s="49" t="n">
        <v>43045</v>
      </c>
      <c r="Q2338" s="47" t="n">
        <v>930</v>
      </c>
      <c r="R2338" s="47" t="inlineStr">
        <is>
          <t>No Video ID yet</t>
        </is>
      </c>
      <c r="S2338" s="49" t="n"/>
      <c r="T2338" s="49" t="n"/>
      <c r="U2338" s="47" t="inlineStr">
        <is>
          <t>Today J and the team help rescue a little girls Pokemon and show down with N who looks to be much more formidable than our dumb "friends" Can we survive our next encounter with this cunning young trainer??</t>
        </is>
      </c>
      <c r="V2338" s="47">
        <f>IF(AND(P2338&gt;=Calendar!$K$2,P2338&lt;EDATE(Calendar!$K$2,1),OR(Calendar!$K$4="*",N2338=Calendar!$K$4)),P2338*100+COUNTIFS($P$6:$P$3267,P2338,$Q$6:$Q$3267,"&lt;="&amp;Q2338,$N$6:$N$3267,Calendar!$K$4),"")</f>
        <v/>
      </c>
      <c r="W2338" s="47">
        <f>IF(AND(B2338=Queue!$C$4,OR(Queue!$K$4="*",N2338=Queue!$K$4)),Q2338,"")</f>
        <v/>
      </c>
    </row>
    <row r="2339">
      <c r="A2339" s="38">
        <f>IF(M2339="","",HYPERLINK("https://www.youtube.com/watch?v="&amp;M2339,"▶"))</f>
        <v/>
      </c>
      <c r="B2339" s="39">
        <f>IF(C2339&lt;&gt;"",C2339,IF(P2339&lt;=IFERROR(INDEX(tblChannels[Watched Through],MATCH(N2339,tblChannels[Channel ID],0)),0),"Watched","Unwatched"))</f>
        <v/>
      </c>
      <c r="C2339" s="40" t="n"/>
      <c r="D2339" s="41" t="n"/>
      <c r="E2339" s="42" t="n">
        <v>43042.54583333333</v>
      </c>
      <c r="F2339" s="52" t="inlineStr">
        <is>
          <t>Super Carlin Gaming</t>
        </is>
      </c>
      <c r="G2339" t="inlineStr">
        <is>
          <t>Pokemon Black Nuzlocke #3: The First Gym!</t>
        </is>
      </c>
      <c r="H2339" s="44" t="n">
        <v>0.0177662037037037</v>
      </c>
      <c r="I2339" s="45" t="n">
        <v>53556</v>
      </c>
      <c r="J2339" s="45" t="n">
        <v>1315</v>
      </c>
      <c r="K2339" s="45" t="n">
        <v>483</v>
      </c>
      <c r="L2339" s="46" t="n"/>
      <c r="M2339" s="47" t="n"/>
      <c r="N2339" s="47" t="inlineStr">
        <is>
          <t>UCor_9jRnNNZVzTuQ92PKsaQ</t>
        </is>
      </c>
      <c r="O2339" s="48" t="n">
        <v>43042.7125</v>
      </c>
      <c r="P2339" s="49" t="n">
        <v>43042</v>
      </c>
      <c r="Q2339" s="47" t="n">
        <v>929</v>
      </c>
      <c r="R2339" s="47" t="inlineStr">
        <is>
          <t>No Video ID yet</t>
        </is>
      </c>
      <c r="S2339" s="49" t="n"/>
      <c r="T2339" s="49" t="n"/>
      <c r="U2339" s="47" t="n"/>
      <c r="V2339" s="47">
        <f>IF(AND(P2339&gt;=Calendar!$K$2,P2339&lt;EDATE(Calendar!$K$2,1),OR(Calendar!$K$4="*",N2339=Calendar!$K$4)),P2339*100+COUNTIFS($P$6:$P$3267,P2339,$Q$6:$Q$3267,"&lt;="&amp;Q2339,$N$6:$N$3267,Calendar!$K$4),"")</f>
        <v/>
      </c>
      <c r="W2339" s="47">
        <f>IF(AND(B2339=Queue!$C$4,OR(Queue!$K$4="*",N2339=Queue!$K$4)),Q2339,"")</f>
        <v/>
      </c>
    </row>
    <row r="2340">
      <c r="A2340" s="38">
        <f>IF(M2340="","",HYPERLINK("https://www.youtube.com/watch?v="&amp;M2340,"▶"))</f>
        <v/>
      </c>
      <c r="B2340" s="39">
        <f>IF(C2340&lt;&gt;"",C2340,IF(P2340&lt;=IFERROR(INDEX(tblChannels[Watched Through],MATCH(N2340,tblChannels[Channel ID],0)),0),"Watched","Unwatched"))</f>
        <v/>
      </c>
      <c r="C2340" s="40" t="n"/>
      <c r="D2340" s="41" t="n"/>
      <c r="E2340" s="42" t="n">
        <v>43041.625</v>
      </c>
      <c r="F2340" s="50" t="inlineStr">
        <is>
          <t>Super Carlin Brothers</t>
        </is>
      </c>
      <c r="G2340" t="inlineStr">
        <is>
          <t>Star Wars: Vader Wasn't Always Luke's Father?</t>
        </is>
      </c>
      <c r="H2340" s="44" t="n">
        <v>0.007638888888888889</v>
      </c>
      <c r="I2340" s="45" t="n">
        <v>789347</v>
      </c>
      <c r="J2340" s="45" t="n">
        <v>15579</v>
      </c>
      <c r="K2340" s="45" t="n">
        <v>3659</v>
      </c>
      <c r="L2340" s="46" t="n"/>
      <c r="M2340" s="47" t="n"/>
      <c r="N2340" s="47" t="inlineStr">
        <is>
          <t>UCKZo4N0lVPccBkSiuyVh4yg</t>
        </is>
      </c>
      <c r="O2340" s="48" t="n">
        <v>43041.79166666666</v>
      </c>
      <c r="P2340" s="49" t="n">
        <v>43041</v>
      </c>
      <c r="Q2340" s="47" t="n">
        <v>928</v>
      </c>
      <c r="R2340" s="47" t="inlineStr">
        <is>
          <t>No Video ID yet</t>
        </is>
      </c>
      <c r="S2340" s="49" t="n"/>
      <c r="T2340" s="49" t="n"/>
      <c r="U2340" s="47" t="inlineStr">
        <is>
          <t>Today Ben ventures into the Star Wars Galaxy to explain how many of their most famous and inspiring moments were NOT planned from the beginning!</t>
        </is>
      </c>
      <c r="V2340" s="47">
        <f>IF(AND(P2340&gt;=Calendar!$K$2,P2340&lt;EDATE(Calendar!$K$2,1),OR(Calendar!$K$4="*",N2340=Calendar!$K$4)),P2340*100+COUNTIFS($P$6:$P$3267,P2340,$Q$6:$Q$3267,"&lt;="&amp;Q2340,$N$6:$N$3267,Calendar!$K$4),"")</f>
        <v/>
      </c>
      <c r="W2340" s="47">
        <f>IF(AND(B2340=Queue!$C$4,OR(Queue!$K$4="*",N2340=Queue!$K$4)),Q2340,"")</f>
        <v/>
      </c>
    </row>
    <row r="2341">
      <c r="A2341" s="38">
        <f>IF(M2341="","",HYPERLINK("https://www.youtube.com/watch?v="&amp;M2341,"▶"))</f>
        <v/>
      </c>
      <c r="B2341" s="39">
        <f>IF(C2341&lt;&gt;"",C2341,IF(P2341&lt;=IFERROR(INDEX(tblChannels[Watched Through],MATCH(N2341,tblChannels[Channel ID],0)),0),"Watched","Unwatched"))</f>
        <v/>
      </c>
      <c r="C2341" s="40" t="n"/>
      <c r="D2341" s="41" t="n"/>
      <c r="E2341" s="42" t="n">
        <v>43041.41666666666</v>
      </c>
      <c r="F2341" s="52" t="inlineStr">
        <is>
          <t>Super Carlin Gaming</t>
        </is>
      </c>
      <c r="G2341" t="inlineStr">
        <is>
          <t>Mario Kart Roulette #44: Dealing With Bullies?</t>
        </is>
      </c>
      <c r="H2341" s="44" t="n">
        <v>0.0109837962962963</v>
      </c>
      <c r="I2341" s="45" t="n">
        <v>12907</v>
      </c>
      <c r="J2341" s="45" t="n">
        <v>424</v>
      </c>
      <c r="K2341" s="45" t="n">
        <v>97</v>
      </c>
      <c r="L2341" s="46" t="n"/>
      <c r="M2341" s="47" t="n"/>
      <c r="N2341" s="47" t="inlineStr">
        <is>
          <t>UCor_9jRnNNZVzTuQ92PKsaQ</t>
        </is>
      </c>
      <c r="O2341" s="48" t="n">
        <v>43041.58333333334</v>
      </c>
      <c r="P2341" s="49" t="n">
        <v>43041</v>
      </c>
      <c r="Q2341" s="47" t="n">
        <v>927</v>
      </c>
      <c r="R2341" s="47" t="inlineStr">
        <is>
          <t>No Video ID yet</t>
        </is>
      </c>
      <c r="S2341" s="49" t="n"/>
      <c r="T2341" s="49" t="n"/>
      <c r="U2341" s="47" t="inlineStr">
        <is>
          <t>The Lightning Cup! At 200cc the N64 Mario Kart Rainbow Road is CLEARLY easy enough that we can 3 star this one, right?? Right...</t>
        </is>
      </c>
      <c r="V2341" s="47">
        <f>IF(AND(P2341&gt;=Calendar!$K$2,P2341&lt;EDATE(Calendar!$K$2,1),OR(Calendar!$K$4="*",N2341=Calendar!$K$4)),P2341*100+COUNTIFS($P$6:$P$3267,P2341,$Q$6:$Q$3267,"&lt;="&amp;Q2341,$N$6:$N$3267,Calendar!$K$4),"")</f>
        <v/>
      </c>
      <c r="W2341" s="47">
        <f>IF(AND(B2341=Queue!$C$4,OR(Queue!$K$4="*",N2341=Queue!$K$4)),Q2341,"")</f>
        <v/>
      </c>
    </row>
    <row r="2342">
      <c r="A2342" s="38">
        <f>IF(M2342="","",HYPERLINK("https://www.youtube.com/watch?v="&amp;M2342,"▶"))</f>
        <v/>
      </c>
      <c r="B2342" s="39">
        <f>IF(C2342&lt;&gt;"",C2342,IF(P2342&lt;=IFERROR(INDEX(tblChannels[Watched Through],MATCH(N2342,tblChannels[Channel ID],0)),0),"Watched","Unwatched"))</f>
        <v/>
      </c>
      <c r="C2342" s="40" t="n"/>
      <c r="D2342" s="41" t="n"/>
      <c r="E2342" s="42" t="n">
        <v>43040.46180555555</v>
      </c>
      <c r="F2342" s="52" t="inlineStr">
        <is>
          <t>Super Carlin Gaming</t>
        </is>
      </c>
      <c r="G2342" t="inlineStr">
        <is>
          <t>Pokemon Black Nuzlocke #2: New Teammates!</t>
        </is>
      </c>
      <c r="H2342" s="44" t="n">
        <v>0.01553240740740741</v>
      </c>
      <c r="I2342" s="45" t="n">
        <v>62416</v>
      </c>
      <c r="J2342" s="45" t="n">
        <v>1429</v>
      </c>
      <c r="K2342" s="45" t="n">
        <v>945</v>
      </c>
      <c r="L2342" s="46" t="n"/>
      <c r="M2342" s="47" t="n"/>
      <c r="N2342" s="47" t="inlineStr">
        <is>
          <t>UCor_9jRnNNZVzTuQ92PKsaQ</t>
        </is>
      </c>
      <c r="O2342" s="48" t="n">
        <v>43040.62847222222</v>
      </c>
      <c r="P2342" s="49" t="n">
        <v>43040</v>
      </c>
      <c r="Q2342" s="47" t="n">
        <v>926</v>
      </c>
      <c r="R2342" s="47" t="inlineStr">
        <is>
          <t>No Video ID yet</t>
        </is>
      </c>
      <c r="S2342" s="49" t="n"/>
      <c r="T2342" s="49" t="n"/>
      <c r="U2342" s="47" t="inlineStr">
        <is>
          <t>Finally allowed to explore outside of town, today we catch new team members and start preparing for our first gym battle!</t>
        </is>
      </c>
      <c r="V2342" s="47">
        <f>IF(AND(P2342&gt;=Calendar!$K$2,P2342&lt;EDATE(Calendar!$K$2,1),OR(Calendar!$K$4="*",N2342=Calendar!$K$4)),P2342*100+COUNTIFS($P$6:$P$3267,P2342,$Q$6:$Q$3267,"&lt;="&amp;Q2342,$N$6:$N$3267,Calendar!$K$4),"")</f>
        <v/>
      </c>
      <c r="W2342" s="47">
        <f>IF(AND(B2342=Queue!$C$4,OR(Queue!$K$4="*",N2342=Queue!$K$4)),Q2342,"")</f>
        <v/>
      </c>
    </row>
    <row r="2343">
      <c r="A2343" s="38">
        <f>IF(M2343="","",HYPERLINK("https://www.youtube.com/watch?v="&amp;M2343,"▶"))</f>
        <v/>
      </c>
      <c r="B2343" s="39">
        <f>IF(C2343&lt;&gt;"",C2343,IF(P2343&lt;=IFERROR(INDEX(tblChannels[Watched Through],MATCH(N2343,tblChannels[Channel ID],0)),0),"Watched","Unwatched"))</f>
        <v/>
      </c>
      <c r="C2343" s="40" t="n"/>
      <c r="D2343" s="41" t="n"/>
      <c r="E2343" s="42" t="n">
        <v>43039.64583333334</v>
      </c>
      <c r="F2343" s="50" t="inlineStr">
        <is>
          <t>Super Carlin Brothers</t>
        </is>
      </c>
      <c r="G2343" t="inlineStr">
        <is>
          <t>J vs Ben: Hardest MONSTERS INC Trivia Quiz Ever (ft. Seamus Gorman)</t>
        </is>
      </c>
      <c r="H2343" s="44" t="n">
        <v>0.01664351851851852</v>
      </c>
      <c r="I2343" s="45" t="n">
        <v>841634</v>
      </c>
      <c r="J2343" s="45" t="n">
        <v>16701</v>
      </c>
      <c r="K2343" s="45" t="n">
        <v>2001</v>
      </c>
      <c r="L2343" s="46" t="n"/>
      <c r="M2343" s="47" t="n"/>
      <c r="N2343" s="47" t="inlineStr">
        <is>
          <t>UCKZo4N0lVPccBkSiuyVh4yg</t>
        </is>
      </c>
      <c r="O2343" s="48" t="n">
        <v>43039.8125</v>
      </c>
      <c r="P2343" s="49" t="n">
        <v>43039</v>
      </c>
      <c r="Q2343" s="47" t="n">
        <v>925</v>
      </c>
      <c r="R2343" s="47" t="inlineStr">
        <is>
          <t>No Video ID yet</t>
        </is>
      </c>
      <c r="S2343" s="49" t="n"/>
      <c r="T2343" s="49" t="n"/>
      <c r="U2343" s="47" t="inlineStr">
        <is>
          <t>Play along with us! :: Today Seamus joins Ben and J to determine who has the ultimate knowledge from Disney Pixar's Monsters Inc! What was your score?</t>
        </is>
      </c>
      <c r="V2343" s="47">
        <f>IF(AND(P2343&gt;=Calendar!$K$2,P2343&lt;EDATE(Calendar!$K$2,1),OR(Calendar!$K$4="*",N2343=Calendar!$K$4)),P2343*100+COUNTIFS($P$6:$P$3267,P2343,$Q$6:$Q$3267,"&lt;="&amp;Q2343,$N$6:$N$3267,Calendar!$K$4),"")</f>
        <v/>
      </c>
      <c r="W2343" s="47">
        <f>IF(AND(B2343=Queue!$C$4,OR(Queue!$K$4="*",N2343=Queue!$K$4)),Q2343,"")</f>
        <v/>
      </c>
    </row>
    <row r="2344">
      <c r="A2344" s="38">
        <f>IF(M2344="","",HYPERLINK("https://www.youtube.com/watch?v="&amp;M2344,"▶"))</f>
        <v/>
      </c>
      <c r="B2344" s="39">
        <f>IF(C2344&lt;&gt;"",C2344,IF(P2344&lt;=IFERROR(INDEX(tblChannels[Watched Through],MATCH(N2344,tblChannels[Channel ID],0)),0),"Watched","Unwatched"))</f>
        <v/>
      </c>
      <c r="C2344" s="40" t="n"/>
      <c r="D2344" s="41" t="n"/>
      <c r="E2344" s="42" t="n">
        <v>43039.5625</v>
      </c>
      <c r="F2344" s="53" t="inlineStr">
        <is>
          <t>Jonathan Carlin</t>
        </is>
      </c>
      <c r="G2344" t="inlineStr">
        <is>
          <t>BEER MILE</t>
        </is>
      </c>
      <c r="H2344" s="44" t="n">
        <v>0.008402777777777778</v>
      </c>
      <c r="I2344" s="45" t="n">
        <v>55644</v>
      </c>
      <c r="J2344" s="45" t="n">
        <v>2575</v>
      </c>
      <c r="K2344" s="45" t="n">
        <v>365</v>
      </c>
      <c r="L2344" s="46" t="n"/>
      <c r="M2344" s="47" t="n"/>
      <c r="N2344" s="47" t="inlineStr">
        <is>
          <t>UCYPKFe86e6nm4TVUYKLsFUQ</t>
        </is>
      </c>
      <c r="O2344" s="48" t="n">
        <v>43039.72916666666</v>
      </c>
      <c r="P2344" s="49" t="n">
        <v>43039</v>
      </c>
      <c r="Q2344" s="47" t="n">
        <v>924</v>
      </c>
      <c r="R2344" s="47" t="inlineStr">
        <is>
          <t>No Video ID yet</t>
        </is>
      </c>
      <c r="S2344" s="49" t="n"/>
      <c r="T2344" s="49" t="n"/>
      <c r="U2344" s="47" t="inlineStr">
        <is>
          <t>Welcome to the vlog! This weekend was Go Outside Fest in Roanoke - It was awesome, we ran a beer mile, and saw all sorts of amazing things. Enjoy! NEW LENS ::</t>
        </is>
      </c>
      <c r="V2344" s="47">
        <f>IF(AND(P2344&gt;=Calendar!$K$2,P2344&lt;EDATE(Calendar!$K$2,1),OR(Calendar!$K$4="*",N2344=Calendar!$K$4)),P2344*100+COUNTIFS($P$6:$P$3267,P2344,$Q$6:$Q$3267,"&lt;="&amp;Q2344,$N$6:$N$3267,Calendar!$K$4),"")</f>
        <v/>
      </c>
      <c r="W2344" s="47">
        <f>IF(AND(B2344=Queue!$C$4,OR(Queue!$K$4="*",N2344=Queue!$K$4)),Q2344,"")</f>
        <v/>
      </c>
    </row>
    <row r="2345">
      <c r="A2345" s="38">
        <f>IF(M2345="","",HYPERLINK("https://www.youtube.com/watch?v="&amp;M2345,"▶"))</f>
        <v/>
      </c>
      <c r="B2345" s="39">
        <f>IF(C2345&lt;&gt;"",C2345,IF(P2345&lt;=IFERROR(INDEX(tblChannels[Watched Through],MATCH(N2345,tblChannels[Channel ID],0)),0),"Watched","Unwatched"))</f>
        <v/>
      </c>
      <c r="C2345" s="40" t="n"/>
      <c r="D2345" s="41" t="n"/>
      <c r="E2345" s="42" t="n">
        <v>43039.41666666666</v>
      </c>
      <c r="F2345" s="52" t="inlineStr">
        <is>
          <t>Super Carlin Gaming</t>
        </is>
      </c>
      <c r="G2345" t="inlineStr">
        <is>
          <t>Mario Kart Roulette #43: Dating After a Break Up?</t>
        </is>
      </c>
      <c r="H2345" s="44" t="n">
        <v>0.01207175925925926</v>
      </c>
      <c r="I2345" s="45" t="n">
        <v>14938</v>
      </c>
      <c r="J2345" s="45" t="n">
        <v>417</v>
      </c>
      <c r="K2345" s="45" t="n">
        <v>120</v>
      </c>
      <c r="L2345" s="46" t="n"/>
      <c r="M2345" s="47" t="n"/>
      <c r="N2345" s="47" t="inlineStr">
        <is>
          <t>UCor_9jRnNNZVzTuQ92PKsaQ</t>
        </is>
      </c>
      <c r="O2345" s="48" t="n">
        <v>43039.58333333334</v>
      </c>
      <c r="P2345" s="49" t="n">
        <v>43039</v>
      </c>
      <c r="Q2345" s="47" t="n">
        <v>923</v>
      </c>
      <c r="R2345" s="47" t="inlineStr">
        <is>
          <t>No Video ID yet</t>
        </is>
      </c>
      <c r="S2345" s="49" t="n"/>
      <c r="T2345" s="49" t="n"/>
      <c r="U2345" s="47" t="inlineStr">
        <is>
          <t>Here we go! It's the Special Cup! Last time, we only got a slow-clap, this time we MUST DO BETTER! Also, how do you get back into dating after a break up?</t>
        </is>
      </c>
      <c r="V2345" s="47">
        <f>IF(AND(P2345&gt;=Calendar!$K$2,P2345&lt;EDATE(Calendar!$K$2,1),OR(Calendar!$K$4="*",N2345=Calendar!$K$4)),P2345*100+COUNTIFS($P$6:$P$3267,P2345,$Q$6:$Q$3267,"&lt;="&amp;Q2345,$N$6:$N$3267,Calendar!$K$4),"")</f>
        <v/>
      </c>
      <c r="W2345" s="47">
        <f>IF(AND(B2345=Queue!$C$4,OR(Queue!$K$4="*",N2345=Queue!$K$4)),Q2345,"")</f>
        <v/>
      </c>
    </row>
    <row r="2346">
      <c r="A2346" s="38">
        <f>IF(M2346="","",HYPERLINK("https://www.youtube.com/watch?v="&amp;M2346,"▶"))</f>
        <v/>
      </c>
      <c r="B2346" s="39">
        <f>IF(C2346&lt;&gt;"",C2346,IF(P2346&lt;=IFERROR(INDEX(tblChannels[Watched Through],MATCH(N2346,tblChannels[Channel ID],0)),0),"Watched","Unwatched"))</f>
        <v/>
      </c>
      <c r="C2346" s="40" t="n"/>
      <c r="D2346" s="41" t="n"/>
      <c r="E2346" s="42" t="n">
        <v>43038.43819444445</v>
      </c>
      <c r="F2346" s="52" t="inlineStr">
        <is>
          <t>Super Carlin Gaming</t>
        </is>
      </c>
      <c r="G2346" t="inlineStr">
        <is>
          <t>Pokemon Black Nuzlocke #1: Tepig, Oshawott, or Snivy?</t>
        </is>
      </c>
      <c r="H2346" s="44" t="n">
        <v>0.01232638888888889</v>
      </c>
      <c r="I2346" s="45" t="n">
        <v>119978</v>
      </c>
      <c r="J2346" s="45" t="n">
        <v>2415</v>
      </c>
      <c r="K2346" s="45" t="n">
        <v>1391</v>
      </c>
      <c r="L2346" s="46" t="n"/>
      <c r="M2346" s="47" t="n"/>
      <c r="N2346" s="47" t="inlineStr">
        <is>
          <t>UCor_9jRnNNZVzTuQ92PKsaQ</t>
        </is>
      </c>
      <c r="O2346" s="48" t="n">
        <v>43038.60486111111</v>
      </c>
      <c r="P2346" s="49" t="n">
        <v>43038</v>
      </c>
      <c r="Q2346" s="47" t="n">
        <v>922</v>
      </c>
      <c r="R2346" s="47" t="inlineStr">
        <is>
          <t>No Video ID yet</t>
        </is>
      </c>
      <c r="S2346" s="49" t="n"/>
      <c r="T2346" s="49" t="n"/>
      <c r="U2346" s="47" t="inlineStr">
        <is>
          <t>Welcome to another Nuzlocke journey, this time through Pokemon Black and the Unova region - today we choose a starter and begin our adventure, who should it be? Tepig? Oshawott? Snivy?</t>
        </is>
      </c>
      <c r="V2346" s="47">
        <f>IF(AND(P2346&gt;=Calendar!$K$2,P2346&lt;EDATE(Calendar!$K$2,1),OR(Calendar!$K$4="*",N2346=Calendar!$K$4)),P2346*100+COUNTIFS($P$6:$P$3267,P2346,$Q$6:$Q$3267,"&lt;="&amp;Q2346,$N$6:$N$3267,Calendar!$K$4),"")</f>
        <v/>
      </c>
      <c r="W2346" s="47">
        <f>IF(AND(B2346=Queue!$C$4,OR(Queue!$K$4="*",N2346=Queue!$K$4)),Q2346,"")</f>
        <v/>
      </c>
    </row>
    <row r="2347">
      <c r="A2347" s="38">
        <f>IF(M2347="","",HYPERLINK("https://www.youtube.com/watch?v="&amp;M2347,"▶"))</f>
        <v/>
      </c>
      <c r="B2347" s="39">
        <f>IF(C2347&lt;&gt;"",C2347,IF(P2347&lt;=IFERROR(INDEX(tblChannels[Watched Through],MATCH(N2347,tblChannels[Channel ID],0)),0),"Watched","Unwatched"))</f>
        <v/>
      </c>
      <c r="C2347" s="40" t="n"/>
      <c r="D2347" s="41" t="n"/>
      <c r="E2347" s="42" t="n">
        <v>43034.58333333334</v>
      </c>
      <c r="F2347" s="50" t="inlineStr">
        <is>
          <t>Super Carlin Brothers</t>
        </is>
      </c>
      <c r="G2347" t="inlineStr">
        <is>
          <t>J and Ben vs. DARTH VADER - Star Wars: Jedi Challenges Hands-On!!</t>
        </is>
      </c>
      <c r="H2347" s="44" t="n">
        <v>0.004502314814814815</v>
      </c>
      <c r="I2347" s="45" t="n">
        <v>184688</v>
      </c>
      <c r="J2347" s="45" t="n">
        <v>6346</v>
      </c>
      <c r="K2347" s="45" t="n">
        <v>435</v>
      </c>
      <c r="L2347" s="46" t="n"/>
      <c r="M2347" s="47" t="n"/>
      <c r="N2347" s="47" t="inlineStr">
        <is>
          <t>UCKZo4N0lVPccBkSiuyVh4yg</t>
        </is>
      </c>
      <c r="O2347" s="48" t="n">
        <v>43034.75</v>
      </c>
      <c r="P2347" s="49" t="n">
        <v>43034</v>
      </c>
      <c r="Q2347" s="47" t="n">
        <v>921</v>
      </c>
      <c r="R2347" s="47" t="inlineStr">
        <is>
          <t>No Video ID yet</t>
        </is>
      </c>
      <c r="S2347" s="49" t="n"/>
      <c r="T2347" s="49" t="n"/>
      <c r="U2347" s="47" t="inlineStr">
        <is>
          <t>Find out more about Star Wars™: Jedi Challenges! For availability outside the US, check out www.jedichallenges.com to learn more. Thanks to Lenovo for this paid partnership! #Ad #AwakenYourInnerJedi #JediChallenges Check out the other Star Wars™: Jedi Challenges videos at Today J and Ben train to be Jedi, fight Darth Vader with actual lightsabers and get a full behind the scenes look at Star Wars: Jedi Challenges!</t>
        </is>
      </c>
      <c r="V2347" s="47">
        <f>IF(AND(P2347&gt;=Calendar!$K$2,P2347&lt;EDATE(Calendar!$K$2,1),OR(Calendar!$K$4="*",N2347=Calendar!$K$4)),P2347*100+COUNTIFS($P$6:$P$3267,P2347,$Q$6:$Q$3267,"&lt;="&amp;Q2347,$N$6:$N$3267,Calendar!$K$4),"")</f>
        <v/>
      </c>
      <c r="W2347" s="47">
        <f>IF(AND(B2347=Queue!$C$4,OR(Queue!$K$4="*",N2347=Queue!$K$4)),Q2347,"")</f>
        <v/>
      </c>
    </row>
    <row r="2348">
      <c r="A2348" s="38">
        <f>IF(M2348="","",HYPERLINK("https://www.youtube.com/watch?v="&amp;M2348,"▶"))</f>
        <v/>
      </c>
      <c r="B2348" s="39">
        <f>IF(C2348&lt;&gt;"",C2348,IF(P2348&lt;=IFERROR(INDEX(tblChannels[Watched Through],MATCH(N2348,tblChannels[Channel ID],0)),0),"Watched","Unwatched"))</f>
        <v/>
      </c>
      <c r="C2348" s="40" t="n"/>
      <c r="D2348" s="41" t="n"/>
      <c r="E2348" s="42" t="n">
        <v>43034.57222222222</v>
      </c>
      <c r="F2348" s="52" t="inlineStr">
        <is>
          <t>Super Carlin Gaming</t>
        </is>
      </c>
      <c r="G2348" t="inlineStr">
        <is>
          <t>Mario Kart Roulette #42: Would You Rather #2! (Featuring Seamus Gorman)</t>
        </is>
      </c>
      <c r="H2348" s="44" t="n">
        <v>0.01190972222222222</v>
      </c>
      <c r="I2348" s="45" t="n">
        <v>16994</v>
      </c>
      <c r="J2348" s="45" t="n">
        <v>495</v>
      </c>
      <c r="K2348" s="45" t="n">
        <v>65</v>
      </c>
      <c r="L2348" s="46" t="n"/>
      <c r="M2348" s="47" t="n"/>
      <c r="N2348" s="47" t="inlineStr">
        <is>
          <t>UCor_9jRnNNZVzTuQ92PKsaQ</t>
        </is>
      </c>
      <c r="O2348" s="48" t="n">
        <v>43034.73888888889</v>
      </c>
      <c r="P2348" s="49" t="n">
        <v>43034</v>
      </c>
      <c r="Q2348" s="47" t="n">
        <v>920</v>
      </c>
      <c r="R2348" s="47" t="inlineStr">
        <is>
          <t>No Video ID yet</t>
        </is>
      </c>
      <c r="S2348" s="49" t="n"/>
      <c r="T2348" s="49" t="n"/>
      <c r="U2348" s="47" t="inlineStr">
        <is>
          <t>Just like last time, we asked our Patreon Discord server if they had any good "Would You Rather"s and they did not disappoint - we (try)answer them while trying to steal the shine! Check out Seamus on YouTube:</t>
        </is>
      </c>
      <c r="V2348" s="47">
        <f>IF(AND(P2348&gt;=Calendar!$K$2,P2348&lt;EDATE(Calendar!$K$2,1),OR(Calendar!$K$4="*",N2348=Calendar!$K$4)),P2348*100+COUNTIFS($P$6:$P$3267,P2348,$Q$6:$Q$3267,"&lt;="&amp;Q2348,$N$6:$N$3267,Calendar!$K$4),"")</f>
        <v/>
      </c>
      <c r="W2348" s="47">
        <f>IF(AND(B2348=Queue!$C$4,OR(Queue!$K$4="*",N2348=Queue!$K$4)),Q2348,"")</f>
        <v/>
      </c>
    </row>
    <row r="2349">
      <c r="A2349" s="38">
        <f>IF(M2349="","",HYPERLINK("https://www.youtube.com/watch?v="&amp;M2349,"▶"))</f>
        <v/>
      </c>
      <c r="B2349" s="39">
        <f>IF(C2349&lt;&gt;"",C2349,IF(P2349&lt;=IFERROR(INDEX(tblChannels[Watched Through],MATCH(N2349,tblChannels[Channel ID],0)),0),"Watched","Unwatched"))</f>
        <v/>
      </c>
      <c r="C2349" s="40" t="n"/>
      <c r="D2349" s="41" t="n"/>
      <c r="E2349" s="42" t="n">
        <v>43032.71319444444</v>
      </c>
      <c r="F2349" s="50" t="inlineStr">
        <is>
          <t>Super Carlin Brothers</t>
        </is>
      </c>
      <c r="G2349" t="inlineStr">
        <is>
          <t>Stranger Things Theory: Eleven Is Jean Grey</t>
        </is>
      </c>
      <c r="H2349" s="44" t="n">
        <v>0.006689814814814815</v>
      </c>
      <c r="I2349" s="45" t="n">
        <v>345463</v>
      </c>
      <c r="J2349" s="45" t="n">
        <v>11245</v>
      </c>
      <c r="K2349" s="45" t="n">
        <v>1713</v>
      </c>
      <c r="L2349" s="46" t="n"/>
      <c r="M2349" s="47" t="n"/>
      <c r="N2349" s="47" t="inlineStr">
        <is>
          <t>UCKZo4N0lVPccBkSiuyVh4yg</t>
        </is>
      </c>
      <c r="O2349" s="48" t="n">
        <v>43032.87986111111</v>
      </c>
      <c r="P2349" s="49" t="n">
        <v>43032</v>
      </c>
      <c r="Q2349" s="47" t="n">
        <v>919</v>
      </c>
      <c r="R2349" s="47" t="inlineStr">
        <is>
          <t>No Video ID yet</t>
        </is>
      </c>
      <c r="S2349" s="49" t="n"/>
      <c r="T2349" s="49" t="n"/>
      <c r="U2349" s="47" t="inlineStr">
        <is>
          <t>Today J dives into the Upside Down of Netflix’s Stranger Things to discuss how Eleven is influenced by the X-Men Jean Grey and what that means for her and season 2!</t>
        </is>
      </c>
      <c r="V2349" s="47">
        <f>IF(AND(P2349&gt;=Calendar!$K$2,P2349&lt;EDATE(Calendar!$K$2,1),OR(Calendar!$K$4="*",N2349=Calendar!$K$4)),P2349*100+COUNTIFS($P$6:$P$3267,P2349,$Q$6:$Q$3267,"&lt;="&amp;Q2349,$N$6:$N$3267,Calendar!$K$4),"")</f>
        <v/>
      </c>
      <c r="W2349" s="47">
        <f>IF(AND(B2349=Queue!$C$4,OR(Queue!$K$4="*",N2349=Queue!$K$4)),Q2349,"")</f>
        <v/>
      </c>
    </row>
    <row r="2350">
      <c r="A2350" s="38">
        <f>IF(M2350="","",HYPERLINK("https://www.youtube.com/watch?v="&amp;M2350,"▶"))</f>
        <v/>
      </c>
      <c r="B2350" s="39">
        <f>IF(C2350&lt;&gt;"",C2350,IF(P2350&lt;=IFERROR(INDEX(tblChannels[Watched Through],MATCH(N2350,tblChannels[Channel ID],0)),0),"Watched","Unwatched"))</f>
        <v/>
      </c>
      <c r="C2350" s="40" t="n"/>
      <c r="D2350" s="41" t="n"/>
      <c r="E2350" s="42" t="n">
        <v>43032.63472222222</v>
      </c>
      <c r="F2350" s="52" t="inlineStr">
        <is>
          <t>Super Carlin Gaming</t>
        </is>
      </c>
      <c r="G2350" t="inlineStr">
        <is>
          <t>Mario Kart Roulette #41: Would You Rather #1! (Featuring Seamus Gorman)</t>
        </is>
      </c>
      <c r="H2350" s="44" t="n">
        <v>0.01408564814814815</v>
      </c>
      <c r="I2350" s="45" t="n">
        <v>23521</v>
      </c>
      <c r="J2350" s="45" t="n">
        <v>622</v>
      </c>
      <c r="K2350" s="45" t="n">
        <v>88</v>
      </c>
      <c r="L2350" s="46" t="n"/>
      <c r="M2350" s="47" t="n"/>
      <c r="N2350" s="47" t="inlineStr">
        <is>
          <t>UCor_9jRnNNZVzTuQ92PKsaQ</t>
        </is>
      </c>
      <c r="O2350" s="48" t="n">
        <v>43032.80138888889</v>
      </c>
      <c r="P2350" s="49" t="n">
        <v>43032</v>
      </c>
      <c r="Q2350" s="47" t="n">
        <v>918</v>
      </c>
      <c r="R2350" s="47" t="inlineStr">
        <is>
          <t>No Video ID yet</t>
        </is>
      </c>
      <c r="S2350" s="49" t="n"/>
      <c r="T2350" s="49" t="n"/>
      <c r="U2350" s="47" t="inlineStr">
        <is>
          <t>We asked our Patreon Discord server if they had any good "Would You Rather"s and they did not disappoint - we answer them while trying to steal the shine! Check out Seamus on YouTube:</t>
        </is>
      </c>
      <c r="V2350" s="47">
        <f>IF(AND(P2350&gt;=Calendar!$K$2,P2350&lt;EDATE(Calendar!$K$2,1),OR(Calendar!$K$4="*",N2350=Calendar!$K$4)),P2350*100+COUNTIFS($P$6:$P$3267,P2350,$Q$6:$Q$3267,"&lt;="&amp;Q2350,$N$6:$N$3267,Calendar!$K$4),"")</f>
        <v/>
      </c>
      <c r="W2350" s="47">
        <f>IF(AND(B2350=Queue!$C$4,OR(Queue!$K$4="*",N2350=Queue!$K$4)),Q2350,"")</f>
        <v/>
      </c>
    </row>
    <row r="2351">
      <c r="A2351" s="38">
        <f>IF(M2351="","",HYPERLINK("https://www.youtube.com/watch?v="&amp;M2351,"▶"))</f>
        <v/>
      </c>
      <c r="B2351" s="39">
        <f>IF(C2351&lt;&gt;"",C2351,IF(P2351&lt;=IFERROR(INDEX(tblChannels[Watched Through],MATCH(N2351,tblChannels[Channel ID],0)),0),"Watched","Unwatched"))</f>
        <v/>
      </c>
      <c r="C2351" s="40" t="n"/>
      <c r="D2351" s="41" t="n"/>
      <c r="E2351" s="42" t="n">
        <v>43027.78958333333</v>
      </c>
      <c r="F2351" s="50" t="inlineStr">
        <is>
          <t>Super Carlin Brothers</t>
        </is>
      </c>
      <c r="G2351" t="inlineStr">
        <is>
          <t>Harry Potter Theory: How The Sorcerer's Stone Was Made (ft. Seamus Gorman)</t>
        </is>
      </c>
      <c r="H2351" s="44" t="n">
        <v>0.006180555555555555</v>
      </c>
      <c r="I2351" s="45" t="n">
        <v>994725</v>
      </c>
      <c r="J2351" s="45" t="n">
        <v>27423</v>
      </c>
      <c r="K2351" s="45" t="n">
        <v>4519</v>
      </c>
      <c r="L2351" s="46" t="n"/>
      <c r="M2351" s="47" t="n"/>
      <c r="N2351" s="47" t="inlineStr">
        <is>
          <t>UCKZo4N0lVPccBkSiuyVh4yg</t>
        </is>
      </c>
      <c r="O2351" s="48" t="n">
        <v>43027.95625</v>
      </c>
      <c r="P2351" s="49" t="n">
        <v>43027</v>
      </c>
      <c r="Q2351" s="47" t="n">
        <v>917</v>
      </c>
      <c r="R2351" s="47" t="inlineStr">
        <is>
          <t>No Video ID yet</t>
        </is>
      </c>
      <c r="S2351" s="49" t="n"/>
      <c r="T2351" s="49" t="n"/>
      <c r="U2351" s="47" t="inlineStr">
        <is>
          <t>Fantastic Beasts recently released a photo of a locked suitcase bearing the initials NF for Nicolas Flamel - Today Ben and Seamus distance plunge into the Wizarding World of Harry Potter to determine what how his appearance in the film may uncover the secrets of how he created the Sorcerer's stone.. And why Durmstrang is so bad at the Tri-Wizard Tournament?</t>
        </is>
      </c>
      <c r="V2351" s="47">
        <f>IF(AND(P2351&gt;=Calendar!$K$2,P2351&lt;EDATE(Calendar!$K$2,1),OR(Calendar!$K$4="*",N2351=Calendar!$K$4)),P2351*100+COUNTIFS($P$6:$P$3267,P2351,$Q$6:$Q$3267,"&lt;="&amp;Q2351,$N$6:$N$3267,Calendar!$K$4),"")</f>
        <v/>
      </c>
      <c r="W2351" s="47">
        <f>IF(AND(B2351=Queue!$C$4,OR(Queue!$K$4="*",N2351=Queue!$K$4)),Q2351,"")</f>
        <v/>
      </c>
    </row>
    <row r="2352">
      <c r="A2352" s="38">
        <f>IF(M2352="","",HYPERLINK("https://www.youtube.com/watch?v="&amp;M2352,"▶"))</f>
        <v/>
      </c>
      <c r="B2352" s="39">
        <f>IF(C2352&lt;&gt;"",C2352,IF(P2352&lt;=IFERROR(INDEX(tblChannels[Watched Through],MATCH(N2352,tblChannels[Channel ID],0)),0),"Watched","Unwatched"))</f>
        <v/>
      </c>
      <c r="C2352" s="40" t="n"/>
      <c r="D2352" s="41" t="n"/>
      <c r="E2352" s="42" t="n">
        <v>43027.42708333334</v>
      </c>
      <c r="F2352" s="52" t="inlineStr">
        <is>
          <t>Super Carlin Gaming</t>
        </is>
      </c>
      <c r="G2352" t="inlineStr">
        <is>
          <t>Mario Kart Roulette #40: BATTLE EDITION #2! (Featuring Seamus Gorman)</t>
        </is>
      </c>
      <c r="H2352" s="44" t="n">
        <v>0.01097222222222222</v>
      </c>
      <c r="I2352" s="45" t="n">
        <v>19626</v>
      </c>
      <c r="J2352" s="45" t="n">
        <v>620</v>
      </c>
      <c r="K2352" s="45" t="n">
        <v>114</v>
      </c>
      <c r="L2352" s="46" t="n"/>
      <c r="M2352" s="47" t="n"/>
      <c r="N2352" s="47" t="inlineStr">
        <is>
          <t>UCor_9jRnNNZVzTuQ92PKsaQ</t>
        </is>
      </c>
      <c r="O2352" s="48" t="n">
        <v>43027.59375</v>
      </c>
      <c r="P2352" s="49" t="n">
        <v>43027</v>
      </c>
      <c r="Q2352" s="47" t="n">
        <v>916</v>
      </c>
      <c r="R2352" s="47" t="inlineStr">
        <is>
          <t>No Video ID yet</t>
        </is>
      </c>
      <c r="S2352" s="49" t="n"/>
      <c r="T2352" s="49" t="n"/>
      <c r="U2352" s="47" t="inlineStr">
        <is>
          <t>Seamus is with us again for this week's Mario Kart Roulette, with another Battle! Let's see if he does better this time! Check out Seamus on YouTube:</t>
        </is>
      </c>
      <c r="V2352" s="47">
        <f>IF(AND(P2352&gt;=Calendar!$K$2,P2352&lt;EDATE(Calendar!$K$2,1),OR(Calendar!$K$4="*",N2352=Calendar!$K$4)),P2352*100+COUNTIFS($P$6:$P$3267,P2352,$Q$6:$Q$3267,"&lt;="&amp;Q2352,$N$6:$N$3267,Calendar!$K$4),"")</f>
        <v/>
      </c>
      <c r="W2352" s="47">
        <f>IF(AND(B2352=Queue!$C$4,OR(Queue!$K$4="*",N2352=Queue!$K$4)),Q2352,"")</f>
        <v/>
      </c>
    </row>
    <row r="2353">
      <c r="A2353" s="38">
        <f>IF(M2353="","",HYPERLINK("https://www.youtube.com/watch?v="&amp;M2353,"▶"))</f>
        <v/>
      </c>
      <c r="B2353" s="39">
        <f>IF(C2353&lt;&gt;"",C2353,IF(P2353&lt;=IFERROR(INDEX(tblChannels[Watched Through],MATCH(N2353,tblChannels[Channel ID],0)),0),"Watched","Unwatched"))</f>
        <v/>
      </c>
      <c r="C2353" s="40" t="n"/>
      <c r="D2353" s="41" t="n"/>
      <c r="E2353" s="42" t="n">
        <v>43025.83611111111</v>
      </c>
      <c r="F2353" s="50" t="inlineStr">
        <is>
          <t>Super Carlin Brothers</t>
        </is>
      </c>
      <c r="G2353" t="inlineStr">
        <is>
          <t>Harry Potter Theory: Hufflepuff's Cup And Slytherin's Locket (ft. Seamus Gorman)</t>
        </is>
      </c>
      <c r="H2353" s="44" t="n">
        <v>0.006851851851851852</v>
      </c>
      <c r="I2353" s="45" t="n">
        <v>1234440</v>
      </c>
      <c r="J2353" s="45" t="n">
        <v>33713</v>
      </c>
      <c r="K2353" s="45" t="n">
        <v>4697</v>
      </c>
      <c r="L2353" s="46" t="n"/>
      <c r="M2353" s="47" t="n"/>
      <c r="N2353" s="47" t="inlineStr">
        <is>
          <t>UCKZo4N0lVPccBkSiuyVh4yg</t>
        </is>
      </c>
      <c r="O2353" s="48" t="n">
        <v>43026.00277777778</v>
      </c>
      <c r="P2353" s="49" t="n">
        <v>43025</v>
      </c>
      <c r="Q2353" s="47" t="n">
        <v>915</v>
      </c>
      <c r="R2353" s="47" t="inlineStr">
        <is>
          <t>No Video ID yet</t>
        </is>
      </c>
      <c r="S2353" s="49" t="n"/>
      <c r="T2353" s="49" t="n"/>
      <c r="U2353" s="47" t="inlineStr">
        <is>
          <t>Seamus Gorman - Today J and Seamus dive into the Wizarding World of Harry Potter to discuss one of the few mysteries that unite Hufflepuffs and Slytherins: What are the hidden powers of Hufflepuff’s Cup and Slytherin’s Locket?</t>
        </is>
      </c>
      <c r="V2353" s="47">
        <f>IF(AND(P2353&gt;=Calendar!$K$2,P2353&lt;EDATE(Calendar!$K$2,1),OR(Calendar!$K$4="*",N2353=Calendar!$K$4)),P2353*100+COUNTIFS($P$6:$P$3267,P2353,$Q$6:$Q$3267,"&lt;="&amp;Q2353,$N$6:$N$3267,Calendar!$K$4),"")</f>
        <v/>
      </c>
      <c r="W2353" s="47">
        <f>IF(AND(B2353=Queue!$C$4,OR(Queue!$K$4="*",N2353=Queue!$K$4)),Q2353,"")</f>
        <v/>
      </c>
    </row>
    <row r="2354">
      <c r="A2354" s="38">
        <f>IF(M2354="","",HYPERLINK("https://www.youtube.com/watch?v="&amp;M2354,"▶"))</f>
        <v/>
      </c>
      <c r="B2354" s="39">
        <f>IF(C2354&lt;&gt;"",C2354,IF(P2354&lt;=IFERROR(INDEX(tblChannels[Watched Through],MATCH(N2354,tblChannels[Channel ID],0)),0),"Watched","Unwatched"))</f>
        <v/>
      </c>
      <c r="C2354" s="40" t="n"/>
      <c r="D2354" s="41" t="n"/>
      <c r="E2354" s="42" t="n">
        <v>43025.59652777778</v>
      </c>
      <c r="F2354" s="52" t="inlineStr">
        <is>
          <t>Super Carlin Gaming</t>
        </is>
      </c>
      <c r="G2354" t="inlineStr">
        <is>
          <t>Mario Kart Roulette #39: BATTLE EDITION Featuring Seamus Gorman!</t>
        </is>
      </c>
      <c r="H2354" s="44" t="n">
        <v>0.01265046296296296</v>
      </c>
      <c r="I2354" s="45" t="n">
        <v>32778</v>
      </c>
      <c r="J2354" s="45" t="n">
        <v>1012</v>
      </c>
      <c r="K2354" s="45" t="n">
        <v>163</v>
      </c>
      <c r="L2354" s="46" t="n"/>
      <c r="M2354" s="47" t="n"/>
      <c r="N2354" s="47" t="inlineStr">
        <is>
          <t>UCor_9jRnNNZVzTuQ92PKsaQ</t>
        </is>
      </c>
      <c r="O2354" s="48" t="n">
        <v>43025.76319444444</v>
      </c>
      <c r="P2354" s="49" t="n">
        <v>43025</v>
      </c>
      <c r="Q2354" s="47" t="n">
        <v>914</v>
      </c>
      <c r="R2354" s="47" t="inlineStr">
        <is>
          <t>No Video ID yet</t>
        </is>
      </c>
      <c r="S2354" s="49" t="n"/>
      <c r="T2354" s="49" t="n"/>
      <c r="U2354" s="47" t="inlineStr">
        <is>
          <t>"Ben's Best Hits!" We have a special visitor and we needed to break him into Shine Thief! Check out Seamus on YouTube:</t>
        </is>
      </c>
      <c r="V2354" s="47">
        <f>IF(AND(P2354&gt;=Calendar!$K$2,P2354&lt;EDATE(Calendar!$K$2,1),OR(Calendar!$K$4="*",N2354=Calendar!$K$4)),P2354*100+COUNTIFS($P$6:$P$3267,P2354,$Q$6:$Q$3267,"&lt;="&amp;Q2354,$N$6:$N$3267,Calendar!$K$4),"")</f>
        <v/>
      </c>
      <c r="W2354" s="47">
        <f>IF(AND(B2354=Queue!$C$4,OR(Queue!$K$4="*",N2354=Queue!$K$4)),Q2354,"")</f>
        <v/>
      </c>
    </row>
    <row r="2355">
      <c r="A2355" s="38">
        <f>IF(M2355="","",HYPERLINK("https://www.youtube.com/watch?v="&amp;M2355,"▶"))</f>
        <v/>
      </c>
      <c r="B2355" s="39">
        <f>IF(C2355&lt;&gt;"",C2355,IF(P2355&lt;=IFERROR(INDEX(tblChannels[Watched Through],MATCH(N2355,tblChannels[Channel ID],0)),0),"Watched","Unwatched"))</f>
        <v/>
      </c>
      <c r="C2355" s="40" t="n"/>
      <c r="D2355" s="41" t="n"/>
      <c r="E2355" s="42" t="n">
        <v>43020.8625</v>
      </c>
      <c r="F2355" s="50" t="inlineStr">
        <is>
          <t>Super Carlin Brothers</t>
        </is>
      </c>
      <c r="G2355" t="inlineStr">
        <is>
          <t>Star Wars: Will Rey Join Kylo Ren?</t>
        </is>
      </c>
      <c r="H2355" s="44" t="n">
        <v>0.007939814814814814</v>
      </c>
      <c r="I2355" s="45" t="n">
        <v>255007</v>
      </c>
      <c r="J2355" s="45" t="n">
        <v>9814</v>
      </c>
      <c r="K2355" s="45" t="n">
        <v>1306</v>
      </c>
      <c r="L2355" s="46" t="n"/>
      <c r="M2355" s="47" t="n"/>
      <c r="N2355" s="47" t="inlineStr">
        <is>
          <t>UCKZo4N0lVPccBkSiuyVh4yg</t>
        </is>
      </c>
      <c r="O2355" s="48" t="n">
        <v>43021.02916666667</v>
      </c>
      <c r="P2355" s="49" t="n">
        <v>43020</v>
      </c>
      <c r="Q2355" s="47" t="n">
        <v>913</v>
      </c>
      <c r="R2355" s="47" t="inlineStr">
        <is>
          <t>No Video ID yet</t>
        </is>
      </c>
      <c r="S2355" s="49" t="n"/>
      <c r="T2355" s="49" t="n"/>
      <c r="U2355" s="47" t="inlineStr">
        <is>
          <t>Watch the full trailer here :: Star Wars The Last Jedi just released its first full length trailer and there is a LOT to unpack. Today J jumps into the Star Wars galaxy to give his full in depth review, analysis and predictions about the latest installment to the Star Wars universe.</t>
        </is>
      </c>
      <c r="V2355" s="47">
        <f>IF(AND(P2355&gt;=Calendar!$K$2,P2355&lt;EDATE(Calendar!$K$2,1),OR(Calendar!$K$4="*",N2355=Calendar!$K$4)),P2355*100+COUNTIFS($P$6:$P$3267,P2355,$Q$6:$Q$3267,"&lt;="&amp;Q2355,$N$6:$N$3267,Calendar!$K$4),"")</f>
        <v/>
      </c>
      <c r="W2355" s="47">
        <f>IF(AND(B2355=Queue!$C$4,OR(Queue!$K$4="*",N2355=Queue!$K$4)),Q2355,"")</f>
        <v/>
      </c>
    </row>
    <row r="2356">
      <c r="A2356" s="38">
        <f>IF(M2356="","",HYPERLINK("https://www.youtube.com/watch?v="&amp;M2356,"▶"))</f>
        <v/>
      </c>
      <c r="B2356" s="39">
        <f>IF(C2356&lt;&gt;"",C2356,IF(P2356&lt;=IFERROR(INDEX(tblChannels[Watched Through],MATCH(N2356,tblChannels[Channel ID],0)),0),"Watched","Unwatched"))</f>
        <v/>
      </c>
      <c r="C2356" s="40" t="n"/>
      <c r="D2356" s="41" t="n"/>
      <c r="E2356" s="42" t="n">
        <v>43020.43333333333</v>
      </c>
      <c r="F2356" s="52" t="inlineStr">
        <is>
          <t>Super Carlin Gaming</t>
        </is>
      </c>
      <c r="G2356" t="inlineStr">
        <is>
          <t>Mario Kart Roulette #38: How to Start on Youtube!</t>
        </is>
      </c>
      <c r="H2356" s="44" t="n">
        <v>0.01016203703703704</v>
      </c>
      <c r="I2356" s="45" t="n">
        <v>11547</v>
      </c>
      <c r="J2356" s="45" t="n">
        <v>433</v>
      </c>
      <c r="K2356" s="45" t="n">
        <v>113</v>
      </c>
      <c r="L2356" s="46" t="n"/>
      <c r="M2356" s="47" t="n"/>
      <c r="N2356" s="47" t="inlineStr">
        <is>
          <t>UCor_9jRnNNZVzTuQ92PKsaQ</t>
        </is>
      </c>
      <c r="O2356" s="48" t="n">
        <v>43020.6</v>
      </c>
      <c r="P2356" s="49" t="n">
        <v>43020</v>
      </c>
      <c r="Q2356" s="47" t="n">
        <v>912</v>
      </c>
      <c r="R2356" s="47" t="inlineStr">
        <is>
          <t>No Video ID yet</t>
        </is>
      </c>
      <c r="S2356" s="49" t="n"/>
      <c r="T2356" s="49" t="n"/>
      <c r="U2356" s="47" t="inlineStr">
        <is>
          <t>The second go at the 200cc Star Cup!</t>
        </is>
      </c>
      <c r="V2356" s="47">
        <f>IF(AND(P2356&gt;=Calendar!$K$2,P2356&lt;EDATE(Calendar!$K$2,1),OR(Calendar!$K$4="*",N2356=Calendar!$K$4)),P2356*100+COUNTIFS($P$6:$P$3267,P2356,$Q$6:$Q$3267,"&lt;="&amp;Q2356,$N$6:$N$3267,Calendar!$K$4),"")</f>
        <v/>
      </c>
      <c r="W2356" s="47">
        <f>IF(AND(B2356=Queue!$C$4,OR(Queue!$K$4="*",N2356=Queue!$K$4)),Q2356,"")</f>
        <v/>
      </c>
    </row>
    <row r="2357">
      <c r="A2357" s="38">
        <f>IF(M2357="","",HYPERLINK("https://www.youtube.com/watch?v="&amp;M2357,"▶"))</f>
        <v/>
      </c>
      <c r="B2357" s="39">
        <f>IF(C2357&lt;&gt;"",C2357,IF(P2357&lt;=IFERROR(INDEX(tblChannels[Watched Through],MATCH(N2357,tblChannels[Channel ID],0)),0),"Watched","Unwatched"))</f>
        <v/>
      </c>
      <c r="C2357" s="40" t="n"/>
      <c r="D2357" s="41" t="n"/>
      <c r="E2357" s="42" t="n">
        <v>43018.76319444444</v>
      </c>
      <c r="F2357" s="50" t="inlineStr">
        <is>
          <t>Super Carlin Brothers</t>
        </is>
      </c>
      <c r="G2357" t="inlineStr">
        <is>
          <t>Top 10 Reasons LAVA Is The Best Pixar Short</t>
        </is>
      </c>
      <c r="H2357" s="44" t="n">
        <v>0.00775462962962963</v>
      </c>
      <c r="I2357" s="45" t="n">
        <v>796673</v>
      </c>
      <c r="J2357" s="45" t="n">
        <v>16619</v>
      </c>
      <c r="K2357" s="45" t="n">
        <v>2258</v>
      </c>
      <c r="L2357" s="46" t="n"/>
      <c r="M2357" s="47" t="n"/>
      <c r="N2357" s="47" t="inlineStr">
        <is>
          <t>UCKZo4N0lVPccBkSiuyVh4yg</t>
        </is>
      </c>
      <c r="O2357" s="48" t="n">
        <v>43018.92986111111</v>
      </c>
      <c r="P2357" s="49" t="n">
        <v>43018</v>
      </c>
      <c r="Q2357" s="47" t="n">
        <v>911</v>
      </c>
      <c r="R2357" s="47" t="inlineStr">
        <is>
          <t>No Video ID yet</t>
        </is>
      </c>
      <c r="S2357" s="49" t="n"/>
      <c r="T2357" s="49" t="n"/>
      <c r="U2357" s="47" t="inlineStr">
        <is>
          <t>After weeks of polling you guys have helped vote for and determine the Best Pixar Short: LAVA. Today J runs down the Top 10 reasons why Lava is in fact the best Pixar Short.</t>
        </is>
      </c>
      <c r="V2357" s="47">
        <f>IF(AND(P2357&gt;=Calendar!$K$2,P2357&lt;EDATE(Calendar!$K$2,1),OR(Calendar!$K$4="*",N2357=Calendar!$K$4)),P2357*100+COUNTIFS($P$6:$P$3267,P2357,$Q$6:$Q$3267,"&lt;="&amp;Q2357,$N$6:$N$3267,Calendar!$K$4),"")</f>
        <v/>
      </c>
      <c r="W2357" s="47">
        <f>IF(AND(B2357=Queue!$C$4,OR(Queue!$K$4="*",N2357=Queue!$K$4)),Q2357,"")</f>
        <v/>
      </c>
    </row>
    <row r="2358">
      <c r="A2358" s="38">
        <f>IF(M2358="","",HYPERLINK("https://www.youtube.com/watch?v="&amp;M2358,"▶"))</f>
        <v/>
      </c>
      <c r="B2358" s="39">
        <f>IF(C2358&lt;&gt;"",C2358,IF(P2358&lt;=IFERROR(INDEX(tblChannels[Watched Through],MATCH(N2358,tblChannels[Channel ID],0)),0),"Watched","Unwatched"))</f>
        <v/>
      </c>
      <c r="C2358" s="40" t="n"/>
      <c r="D2358" s="41" t="n"/>
      <c r="E2358" s="42" t="n">
        <v>43018.46111111111</v>
      </c>
      <c r="F2358" s="52" t="inlineStr">
        <is>
          <t>Super Carlin Gaming</t>
        </is>
      </c>
      <c r="G2358" t="inlineStr">
        <is>
          <t>Mario Kart Roulette #37: Advice for Procrastinators!</t>
        </is>
      </c>
      <c r="H2358" s="44" t="n">
        <v>0.01150462962962963</v>
      </c>
      <c r="I2358" s="45" t="n">
        <v>12423</v>
      </c>
      <c r="J2358" s="45" t="n">
        <v>407</v>
      </c>
      <c r="K2358" s="45" t="n">
        <v>144</v>
      </c>
      <c r="L2358" s="46" t="n"/>
      <c r="M2358" s="47" t="n"/>
      <c r="N2358" s="47" t="inlineStr">
        <is>
          <t>UCor_9jRnNNZVzTuQ92PKsaQ</t>
        </is>
      </c>
      <c r="O2358" s="48" t="n">
        <v>43018.62777777778</v>
      </c>
      <c r="P2358" s="49" t="n">
        <v>43018</v>
      </c>
      <c r="Q2358" s="47" t="n">
        <v>910</v>
      </c>
      <c r="R2358" s="47" t="inlineStr">
        <is>
          <t>No Video ID yet</t>
        </is>
      </c>
      <c r="S2358" s="49" t="n"/>
      <c r="T2358" s="49" t="n"/>
      <c r="U2358" s="47" t="inlineStr">
        <is>
          <t>We circle back around to the 200cc Flower cup! Will we get it this time? (please?)</t>
        </is>
      </c>
      <c r="V2358" s="47">
        <f>IF(AND(P2358&gt;=Calendar!$K$2,P2358&lt;EDATE(Calendar!$K$2,1),OR(Calendar!$K$4="*",N2358=Calendar!$K$4)),P2358*100+COUNTIFS($P$6:$P$3267,P2358,$Q$6:$Q$3267,"&lt;="&amp;Q2358,$N$6:$N$3267,Calendar!$K$4),"")</f>
        <v/>
      </c>
      <c r="W2358" s="47">
        <f>IF(AND(B2358=Queue!$C$4,OR(Queue!$K$4="*",N2358=Queue!$K$4)),Q2358,"")</f>
        <v/>
      </c>
    </row>
    <row r="2359">
      <c r="A2359" s="38">
        <f>IF(M2359="","",HYPERLINK("https://www.youtube.com/watch?v="&amp;M2359,"▶"))</f>
        <v/>
      </c>
      <c r="B2359" s="39">
        <f>IF(C2359&lt;&gt;"",C2359,IF(P2359&lt;=IFERROR(INDEX(tblChannels[Watched Through],MATCH(N2359,tblChannels[Channel ID],0)),0),"Watched","Unwatched"))</f>
        <v/>
      </c>
      <c r="C2359" s="40" t="n"/>
      <c r="D2359" s="41" t="n"/>
      <c r="E2359" s="42" t="n">
        <v>43013.75833333333</v>
      </c>
      <c r="F2359" s="50" t="inlineStr">
        <is>
          <t>Super Carlin Brothers</t>
        </is>
      </c>
      <c r="G2359" t="inlineStr">
        <is>
          <t>Frozen Theory: Rapunzel Is Anna &amp; Elsa's Cousin</t>
        </is>
      </c>
      <c r="H2359" s="44" t="n">
        <v>0.005821759259259259</v>
      </c>
      <c r="I2359" s="45" t="n">
        <v>625376</v>
      </c>
      <c r="J2359" s="45" t="n">
        <v>15914</v>
      </c>
      <c r="K2359" s="45" t="n">
        <v>3180</v>
      </c>
      <c r="L2359" s="46" t="n"/>
      <c r="M2359" s="47" t="n"/>
      <c r="N2359" s="47" t="inlineStr">
        <is>
          <t>UCKZo4N0lVPccBkSiuyVh4yg</t>
        </is>
      </c>
      <c r="O2359" s="48" t="n">
        <v>43013.925</v>
      </c>
      <c r="P2359" s="49" t="n">
        <v>43013</v>
      </c>
      <c r="Q2359" s="47" t="n">
        <v>909</v>
      </c>
      <c r="R2359" s="47" t="inlineStr">
        <is>
          <t>No Video ID yet</t>
        </is>
      </c>
      <c r="S2359" s="49" t="n"/>
      <c r="T2359" s="49" t="n"/>
      <c r="U2359" s="47" t="inlineStr">
        <is>
          <t>The idea that Anna, Elsa and Rapunzel are all somehow related has been floating around the internet for awhile, so today Ben dives into the world of Disney’s Frozen and Disney’s Tangled to discover if it’s actually true!</t>
        </is>
      </c>
      <c r="V2359" s="47">
        <f>IF(AND(P2359&gt;=Calendar!$K$2,P2359&lt;EDATE(Calendar!$K$2,1),OR(Calendar!$K$4="*",N2359=Calendar!$K$4)),P2359*100+COUNTIFS($P$6:$P$3267,P2359,$Q$6:$Q$3267,"&lt;="&amp;Q2359,$N$6:$N$3267,Calendar!$K$4),"")</f>
        <v/>
      </c>
      <c r="W2359" s="47">
        <f>IF(AND(B2359=Queue!$C$4,OR(Queue!$K$4="*",N2359=Queue!$K$4)),Q2359,"")</f>
        <v/>
      </c>
    </row>
    <row r="2360">
      <c r="A2360" s="38">
        <f>IF(M2360="","",HYPERLINK("https://www.youtube.com/watch?v="&amp;M2360,"▶"))</f>
        <v/>
      </c>
      <c r="B2360" s="39">
        <f>IF(C2360&lt;&gt;"",C2360,IF(P2360&lt;=IFERROR(INDEX(tblChannels[Watched Through],MATCH(N2360,tblChannels[Channel ID],0)),0),"Watched","Unwatched"))</f>
        <v/>
      </c>
      <c r="C2360" s="40" t="n"/>
      <c r="D2360" s="41" t="n"/>
      <c r="E2360" s="42" t="n">
        <v>43013.45</v>
      </c>
      <c r="F2360" s="52" t="inlineStr">
        <is>
          <t>Super Carlin Gaming</t>
        </is>
      </c>
      <c r="G2360" t="inlineStr">
        <is>
          <t>Mario Kart Roulette #36: Describe Your Brother</t>
        </is>
      </c>
      <c r="H2360" s="44" t="n">
        <v>0.01083333333333333</v>
      </c>
      <c r="I2360" s="45" t="n">
        <v>11732</v>
      </c>
      <c r="J2360" s="45" t="n">
        <v>406</v>
      </c>
      <c r="K2360" s="45" t="n">
        <v>118</v>
      </c>
      <c r="L2360" s="46" t="n"/>
      <c r="M2360" s="47" t="n"/>
      <c r="N2360" s="47" t="inlineStr">
        <is>
          <t>UCor_9jRnNNZVzTuQ92PKsaQ</t>
        </is>
      </c>
      <c r="O2360" s="48" t="n">
        <v>43013.61666666667</v>
      </c>
      <c r="P2360" s="49" t="n">
        <v>43013</v>
      </c>
      <c r="Q2360" s="47" t="n">
        <v>908</v>
      </c>
      <c r="R2360" s="47" t="inlineStr">
        <is>
          <t>No Video ID yet</t>
        </is>
      </c>
      <c r="S2360" s="49" t="n"/>
      <c r="T2360" s="49" t="n"/>
      <c r="U2360" s="47" t="inlineStr">
        <is>
          <t>The Bell Cup! Also, possibly our hardest to answer question yet!</t>
        </is>
      </c>
      <c r="V2360" s="47">
        <f>IF(AND(P2360&gt;=Calendar!$K$2,P2360&lt;EDATE(Calendar!$K$2,1),OR(Calendar!$K$4="*",N2360=Calendar!$K$4)),P2360*100+COUNTIFS($P$6:$P$3267,P2360,$Q$6:$Q$3267,"&lt;="&amp;Q2360,$N$6:$N$3267,Calendar!$K$4),"")</f>
        <v/>
      </c>
      <c r="W2360" s="47">
        <f>IF(AND(B2360=Queue!$C$4,OR(Queue!$K$4="*",N2360=Queue!$K$4)),Q2360,"")</f>
        <v/>
      </c>
    </row>
    <row r="2361">
      <c r="A2361" s="38">
        <f>IF(M2361="","",HYPERLINK("https://www.youtube.com/watch?v="&amp;M2361,"▶"))</f>
        <v/>
      </c>
      <c r="B2361" s="39">
        <f>IF(C2361&lt;&gt;"",C2361,IF(P2361&lt;=IFERROR(INDEX(tblChannels[Watched Through],MATCH(N2361,tblChannels[Channel ID],0)),0),"Watched","Unwatched"))</f>
        <v/>
      </c>
      <c r="C2361" s="40" t="n"/>
      <c r="D2361" s="41" t="n"/>
      <c r="E2361" s="42" t="n">
        <v>43011.73263888889</v>
      </c>
      <c r="F2361" s="50" t="inlineStr">
        <is>
          <t>Super Carlin Brothers</t>
        </is>
      </c>
      <c r="G2361" t="inlineStr">
        <is>
          <t>Robin Williams Was Almost Not Genie?!</t>
        </is>
      </c>
      <c r="H2361" s="44" t="n">
        <v>0.006030092592592593</v>
      </c>
      <c r="I2361" s="45" t="n">
        <v>513534</v>
      </c>
      <c r="J2361" s="45" t="n">
        <v>16158</v>
      </c>
      <c r="K2361" s="45" t="n">
        <v>1362</v>
      </c>
      <c r="L2361" s="46" t="n"/>
      <c r="M2361" s="47" t="n"/>
      <c r="N2361" s="47" t="inlineStr">
        <is>
          <t>UCKZo4N0lVPccBkSiuyVh4yg</t>
        </is>
      </c>
      <c r="O2361" s="48" t="n">
        <v>43011.89930555555</v>
      </c>
      <c r="P2361" s="49" t="n">
        <v>43011</v>
      </c>
      <c r="Q2361" s="47" t="n">
        <v>907</v>
      </c>
      <c r="R2361" s="47" t="inlineStr">
        <is>
          <t>No Video ID yet</t>
        </is>
      </c>
      <c r="S2361" s="49" t="n"/>
      <c r="T2361" s="49" t="n"/>
      <c r="U2361" s="47" t="inlineStr">
        <is>
          <t>Today J jumps into the world of Disney’s Aladdin to discuss how its most iconic character, the Genie, and his voice actor Robin Williams changed the world of animation, voice acting and movie marketing forever. Robin Williams Golden Globes Acceptance :: Special Thanks to these Patrons :: Abi Solk, Zara Caldwell, Cletus McConville, Lasse Buan, Charles C Seymour, Kristhell Lopez, Amy Beerbower</t>
        </is>
      </c>
      <c r="V2361" s="47">
        <f>IF(AND(P2361&gt;=Calendar!$K$2,P2361&lt;EDATE(Calendar!$K$2,1),OR(Calendar!$K$4="*",N2361=Calendar!$K$4)),P2361*100+COUNTIFS($P$6:$P$3267,P2361,$Q$6:$Q$3267,"&lt;="&amp;Q2361,$N$6:$N$3267,Calendar!$K$4),"")</f>
        <v/>
      </c>
      <c r="W2361" s="47">
        <f>IF(AND(B2361=Queue!$C$4,OR(Queue!$K$4="*",N2361=Queue!$K$4)),Q2361,"")</f>
        <v/>
      </c>
    </row>
    <row r="2362">
      <c r="A2362" s="38">
        <f>IF(M2362="","",HYPERLINK("https://www.youtube.com/watch?v="&amp;M2362,"▶"))</f>
        <v/>
      </c>
      <c r="B2362" s="39">
        <f>IF(C2362&lt;&gt;"",C2362,IF(P2362&lt;=IFERROR(INDEX(tblChannels[Watched Through],MATCH(N2362,tblChannels[Channel ID],0)),0),"Watched","Unwatched"))</f>
        <v/>
      </c>
      <c r="C2362" s="40" t="n"/>
      <c r="D2362" s="41" t="n"/>
      <c r="E2362" s="42" t="n">
        <v>43011.43541666667</v>
      </c>
      <c r="F2362" s="52" t="inlineStr">
        <is>
          <t>Super Carlin Gaming</t>
        </is>
      </c>
      <c r="G2362" t="inlineStr">
        <is>
          <t>Mario Kart Roulette #35: Living with Sneks</t>
        </is>
      </c>
      <c r="H2362" s="44" t="n">
        <v>0.01065972222222222</v>
      </c>
      <c r="I2362" s="45" t="n">
        <v>11802</v>
      </c>
      <c r="J2362" s="45" t="n">
        <v>422</v>
      </c>
      <c r="K2362" s="45" t="n">
        <v>118</v>
      </c>
      <c r="L2362" s="46" t="n"/>
      <c r="M2362" s="47" t="n"/>
      <c r="N2362" s="47" t="inlineStr">
        <is>
          <t>UCor_9jRnNNZVzTuQ92PKsaQ</t>
        </is>
      </c>
      <c r="O2362" s="48" t="n">
        <v>43011.60208333333</v>
      </c>
      <c r="P2362" s="49" t="n">
        <v>43011</v>
      </c>
      <c r="Q2362" s="47" t="n">
        <v>906</v>
      </c>
      <c r="R2362" s="47" t="inlineStr">
        <is>
          <t>No Video ID yet</t>
        </is>
      </c>
      <c r="S2362" s="49" t="n"/>
      <c r="T2362" s="49" t="n"/>
      <c r="U2362" s="47" t="inlineStr">
        <is>
          <t>The Frogger Cup! Wait... oh it's the Crossing Cup!</t>
        </is>
      </c>
      <c r="V2362" s="47">
        <f>IF(AND(P2362&gt;=Calendar!$K$2,P2362&lt;EDATE(Calendar!$K$2,1),OR(Calendar!$K$4="*",N2362=Calendar!$K$4)),P2362*100+COUNTIFS($P$6:$P$3267,P2362,$Q$6:$Q$3267,"&lt;="&amp;Q2362,$N$6:$N$3267,Calendar!$K$4),"")</f>
        <v/>
      </c>
      <c r="W2362" s="47">
        <f>IF(AND(B2362=Queue!$C$4,OR(Queue!$K$4="*",N2362=Queue!$K$4)),Q2362,"")</f>
        <v/>
      </c>
    </row>
    <row r="2363">
      <c r="A2363" s="38">
        <f>IF(M2363="","",HYPERLINK("https://www.youtube.com/watch?v="&amp;M2363,"▶"))</f>
        <v/>
      </c>
      <c r="B2363" s="39">
        <f>IF(C2363&lt;&gt;"",C2363,IF(P2363&lt;=IFERROR(INDEX(tblChannels[Watched Through],MATCH(N2363,tblChannels[Channel ID],0)),0),"Watched","Unwatched"))</f>
        <v/>
      </c>
      <c r="C2363" s="40" t="n"/>
      <c r="D2363" s="41" t="n"/>
      <c r="E2363" s="42" t="n">
        <v>43006.63055555556</v>
      </c>
      <c r="F2363" s="50" t="inlineStr">
        <is>
          <t>Super Carlin Brothers</t>
        </is>
      </c>
      <c r="G2363" t="inlineStr">
        <is>
          <t>Aladdin Makes No Sense</t>
        </is>
      </c>
      <c r="H2363" s="44" t="n">
        <v>0.008333333333333333</v>
      </c>
      <c r="I2363" s="45" t="n">
        <v>2730649</v>
      </c>
      <c r="J2363" s="45" t="n">
        <v>44214</v>
      </c>
      <c r="K2363" s="45" t="n">
        <v>6259</v>
      </c>
      <c r="L2363" s="46" t="n"/>
      <c r="M2363" s="47" t="n"/>
      <c r="N2363" s="47" t="inlineStr">
        <is>
          <t>UCKZo4N0lVPccBkSiuyVh4yg</t>
        </is>
      </c>
      <c r="O2363" s="48" t="n">
        <v>43006.79722222222</v>
      </c>
      <c r="P2363" s="49" t="n">
        <v>43006</v>
      </c>
      <c r="Q2363" s="47" t="n">
        <v>905</v>
      </c>
      <c r="R2363" s="47" t="inlineStr">
        <is>
          <t>No Video ID yet</t>
        </is>
      </c>
      <c r="S2363" s="49" t="n"/>
      <c r="T2363" s="49" t="n"/>
      <c r="U2363" s="47" t="inlineStr">
        <is>
          <t>Today Ben dives into the world of Agrabah and Disney’s Aladdin to determine if it even makes sense. Does the Genie owe Aladdin a wish? Why does Jafar even need the Genie? Is Aladdin even a good guy?</t>
        </is>
      </c>
      <c r="V2363" s="47">
        <f>IF(AND(P2363&gt;=Calendar!$K$2,P2363&lt;EDATE(Calendar!$K$2,1),OR(Calendar!$K$4="*",N2363=Calendar!$K$4)),P2363*100+COUNTIFS($P$6:$P$3267,P2363,$Q$6:$Q$3267,"&lt;="&amp;Q2363,$N$6:$N$3267,Calendar!$K$4),"")</f>
        <v/>
      </c>
      <c r="W2363" s="47">
        <f>IF(AND(B2363=Queue!$C$4,OR(Queue!$K$4="*",N2363=Queue!$K$4)),Q2363,"")</f>
        <v/>
      </c>
    </row>
    <row r="2364">
      <c r="A2364" s="38">
        <f>IF(M2364="","",HYPERLINK("https://www.youtube.com/watch?v="&amp;M2364,"▶"))</f>
        <v/>
      </c>
      <c r="B2364" s="39">
        <f>IF(C2364&lt;&gt;"",C2364,IF(P2364&lt;=IFERROR(INDEX(tblChannels[Watched Through],MATCH(N2364,tblChannels[Channel ID],0)),0),"Watched","Unwatched"))</f>
        <v/>
      </c>
      <c r="C2364" s="40" t="n"/>
      <c r="D2364" s="41" t="n"/>
      <c r="E2364" s="42" t="n">
        <v>43006.42361111111</v>
      </c>
      <c r="F2364" s="52" t="inlineStr">
        <is>
          <t>Super Carlin Gaming</t>
        </is>
      </c>
      <c r="G2364" t="inlineStr">
        <is>
          <t>Mario Kart Roulette #34: College Parties!</t>
        </is>
      </c>
      <c r="H2364" s="44" t="n">
        <v>0.01069444444444444</v>
      </c>
      <c r="I2364" s="45" t="n">
        <v>12689</v>
      </c>
      <c r="J2364" s="45" t="n">
        <v>418</v>
      </c>
      <c r="K2364" s="45" t="n">
        <v>88</v>
      </c>
      <c r="L2364" s="46" t="n"/>
      <c r="M2364" s="47" t="n"/>
      <c r="N2364" s="47" t="inlineStr">
        <is>
          <t>UCor_9jRnNNZVzTuQ92PKsaQ</t>
        </is>
      </c>
      <c r="O2364" s="48" t="n">
        <v>43006.59027777778</v>
      </c>
      <c r="P2364" s="49" t="n">
        <v>43006</v>
      </c>
      <c r="Q2364" s="47" t="n">
        <v>904</v>
      </c>
      <c r="R2364" s="47" t="inlineStr">
        <is>
          <t>No Video ID yet</t>
        </is>
      </c>
      <c r="S2364" s="49" t="n"/>
      <c r="T2364" s="49" t="n"/>
      <c r="U2364" s="47" t="inlineStr">
        <is>
          <t>To the Triforce Cup! This time is definitely the time. It'll happen. It'll definitely happen this time...</t>
        </is>
      </c>
      <c r="V2364" s="47">
        <f>IF(AND(P2364&gt;=Calendar!$K$2,P2364&lt;EDATE(Calendar!$K$2,1),OR(Calendar!$K$4="*",N2364=Calendar!$K$4)),P2364*100+COUNTIFS($P$6:$P$3267,P2364,$Q$6:$Q$3267,"&lt;="&amp;Q2364,$N$6:$N$3267,Calendar!$K$4),"")</f>
        <v/>
      </c>
      <c r="W2364" s="47">
        <f>IF(AND(B2364=Queue!$C$4,OR(Queue!$K$4="*",N2364=Queue!$K$4)),Q2364,"")</f>
        <v/>
      </c>
    </row>
    <row r="2365">
      <c r="A2365" s="38">
        <f>IF(M2365="","",HYPERLINK("https://www.youtube.com/watch?v="&amp;M2365,"▶"))</f>
        <v/>
      </c>
      <c r="B2365" s="39">
        <f>IF(C2365&lt;&gt;"",C2365,IF(P2365&lt;=IFERROR(INDEX(tblChannels[Watched Through],MATCH(N2365,tblChannels[Channel ID],0)),0),"Watched","Unwatched"))</f>
        <v/>
      </c>
      <c r="C2365" s="40" t="n"/>
      <c r="D2365" s="41" t="n"/>
      <c r="E2365" s="42" t="n">
        <v>43004.69444444445</v>
      </c>
      <c r="F2365" s="52" t="inlineStr">
        <is>
          <t>Super Carlin Gaming</t>
        </is>
      </c>
      <c r="G2365" t="inlineStr">
        <is>
          <t>Mario Kart Roulette #33: The BEST Vacations!</t>
        </is>
      </c>
      <c r="H2365" s="44" t="n">
        <v>0.01010416666666667</v>
      </c>
      <c r="I2365" s="45" t="n">
        <v>12770</v>
      </c>
      <c r="J2365" s="45" t="n">
        <v>363</v>
      </c>
      <c r="K2365" s="45" t="n">
        <v>82</v>
      </c>
      <c r="L2365" s="46" t="n"/>
      <c r="M2365" s="47" t="n"/>
      <c r="N2365" s="47" t="inlineStr">
        <is>
          <t>UCor_9jRnNNZVzTuQ92PKsaQ</t>
        </is>
      </c>
      <c r="O2365" s="48" t="n">
        <v>43004.86111111111</v>
      </c>
      <c r="P2365" s="49" t="n">
        <v>43004</v>
      </c>
      <c r="Q2365" s="47" t="n">
        <v>903</v>
      </c>
      <c r="R2365" s="47" t="inlineStr">
        <is>
          <t>No Video ID yet</t>
        </is>
      </c>
      <c r="S2365" s="49" t="n"/>
      <c r="T2365" s="49" t="n"/>
      <c r="U2365" s="47" t="inlineStr">
        <is>
          <t>Next up is the Egg Cup! Boy oh boy 200cc is hard, let's see if we can't get another three star this time!</t>
        </is>
      </c>
      <c r="V2365" s="47">
        <f>IF(AND(P2365&gt;=Calendar!$K$2,P2365&lt;EDATE(Calendar!$K$2,1),OR(Calendar!$K$4="*",N2365=Calendar!$K$4)),P2365*100+COUNTIFS($P$6:$P$3267,P2365,$Q$6:$Q$3267,"&lt;="&amp;Q2365,$N$6:$N$3267,Calendar!$K$4),"")</f>
        <v/>
      </c>
      <c r="W2365" s="47">
        <f>IF(AND(B2365=Queue!$C$4,OR(Queue!$K$4="*",N2365=Queue!$K$4)),Q2365,"")</f>
        <v/>
      </c>
    </row>
    <row r="2366">
      <c r="A2366" s="38">
        <f>IF(M2366="","",HYPERLINK("https://www.youtube.com/watch?v="&amp;M2366,"▶"))</f>
        <v/>
      </c>
      <c r="B2366" s="39">
        <f>IF(C2366&lt;&gt;"",C2366,IF(P2366&lt;=IFERROR(INDEX(tblChannels[Watched Through],MATCH(N2366,tblChannels[Channel ID],0)),0),"Watched","Unwatched"))</f>
        <v/>
      </c>
      <c r="C2366" s="40" t="n"/>
      <c r="D2366" s="41" t="n"/>
      <c r="E2366" s="42" t="n">
        <v>43004.68125</v>
      </c>
      <c r="F2366" s="50" t="inlineStr">
        <is>
          <t>Super Carlin Brothers</t>
        </is>
      </c>
      <c r="G2366" t="inlineStr">
        <is>
          <t>J vs Ben: Hardest TOY STORY Trivia Quiz Ever</t>
        </is>
      </c>
      <c r="H2366" s="44" t="n">
        <v>0.01553240740740741</v>
      </c>
      <c r="I2366" s="45" t="n">
        <v>885949</v>
      </c>
      <c r="J2366" s="45" t="n">
        <v>17781</v>
      </c>
      <c r="K2366" s="45" t="n">
        <v>2686</v>
      </c>
      <c r="L2366" s="46" t="n"/>
      <c r="M2366" s="47" t="n"/>
      <c r="N2366" s="47" t="inlineStr">
        <is>
          <t>UCKZo4N0lVPccBkSiuyVh4yg</t>
        </is>
      </c>
      <c r="O2366" s="48" t="n">
        <v>43004.84791666667</v>
      </c>
      <c r="P2366" s="49" t="n">
        <v>43004</v>
      </c>
      <c r="Q2366" s="47" t="n">
        <v>902</v>
      </c>
      <c r="R2366" s="47" t="inlineStr">
        <is>
          <t>No Video ID yet</t>
        </is>
      </c>
      <c r="S2366" s="49" t="n"/>
      <c r="T2366" s="49" t="n"/>
      <c r="U2366" s="47" t="inlineStr">
        <is>
          <t>Play along with us! :: Today J and Ben face off to decide who has the ultimate knowledge from Disney Pixar's Toy Story! What was your score?</t>
        </is>
      </c>
      <c r="V2366" s="47">
        <f>IF(AND(P2366&gt;=Calendar!$K$2,P2366&lt;EDATE(Calendar!$K$2,1),OR(Calendar!$K$4="*",N2366=Calendar!$K$4)),P2366*100+COUNTIFS($P$6:$P$3267,P2366,$Q$6:$Q$3267,"&lt;="&amp;Q2366,$N$6:$N$3267,Calendar!$K$4),"")</f>
        <v/>
      </c>
      <c r="W2366" s="47">
        <f>IF(AND(B2366=Queue!$C$4,OR(Queue!$K$4="*",N2366=Queue!$K$4)),Q2366,"")</f>
        <v/>
      </c>
    </row>
    <row r="2367">
      <c r="A2367" s="38">
        <f>IF(M2367="","",HYPERLINK("https://www.youtube.com/watch?v="&amp;M2367,"▶"))</f>
        <v/>
      </c>
      <c r="B2367" s="39">
        <f>IF(C2367&lt;&gt;"",C2367,IF(P2367&lt;=IFERROR(INDEX(tblChannels[Watched Through],MATCH(N2367,tblChannels[Channel ID],0)),0),"Watched","Unwatched"))</f>
        <v/>
      </c>
      <c r="C2367" s="40" t="n"/>
      <c r="D2367" s="41" t="n"/>
      <c r="E2367" s="42" t="n">
        <v>42999.71875</v>
      </c>
      <c r="F2367" s="50" t="inlineStr">
        <is>
          <t>Super Carlin Brothers</t>
        </is>
      </c>
      <c r="G2367" t="inlineStr">
        <is>
          <t>How Snape Saved Baby Harry</t>
        </is>
      </c>
      <c r="H2367" s="44" t="n">
        <v>0.005671296296296297</v>
      </c>
      <c r="I2367" s="45" t="n">
        <v>1118773</v>
      </c>
      <c r="J2367" s="45" t="n">
        <v>28520</v>
      </c>
      <c r="K2367" s="45" t="n">
        <v>4394</v>
      </c>
      <c r="L2367" s="46" t="n"/>
      <c r="M2367" s="47" t="n"/>
      <c r="N2367" s="47" t="inlineStr">
        <is>
          <t>UCKZo4N0lVPccBkSiuyVh4yg</t>
        </is>
      </c>
      <c r="O2367" s="48" t="n">
        <v>42999.88541666666</v>
      </c>
      <c r="P2367" s="49" t="n">
        <v>42999</v>
      </c>
      <c r="Q2367" s="47" t="n">
        <v>901</v>
      </c>
      <c r="R2367" s="47" t="inlineStr">
        <is>
          <t>No Video ID yet</t>
        </is>
      </c>
      <c r="S2367" s="49" t="n"/>
      <c r="T2367" s="49" t="n"/>
      <c r="U2367" s="47" t="inlineStr">
        <is>
          <t>Today Ben dives into the wizarding world of Harry Potter to discuss the duality of everyone’s favorite potions master: Severus Snape. In the end he seems to have performed some heroic acts, but does that clear all the bullying he’s been committing towards the students for years?</t>
        </is>
      </c>
      <c r="V2367" s="47">
        <f>IF(AND(P2367&gt;=Calendar!$K$2,P2367&lt;EDATE(Calendar!$K$2,1),OR(Calendar!$K$4="*",N2367=Calendar!$K$4)),P2367*100+COUNTIFS($P$6:$P$3267,P2367,$Q$6:$Q$3267,"&lt;="&amp;Q2367,$N$6:$N$3267,Calendar!$K$4),"")</f>
        <v/>
      </c>
      <c r="W2367" s="47">
        <f>IF(AND(B2367=Queue!$C$4,OR(Queue!$K$4="*",N2367=Queue!$K$4)),Q2367,"")</f>
        <v/>
      </c>
    </row>
    <row r="2368">
      <c r="A2368" s="38">
        <f>IF(M2368="","",HYPERLINK("https://www.youtube.com/watch?v="&amp;M2368,"▶"))</f>
        <v/>
      </c>
      <c r="B2368" s="39">
        <f>IF(C2368&lt;&gt;"",C2368,IF(P2368&lt;=IFERROR(INDEX(tblChannels[Watched Through],MATCH(N2368,tblChannels[Channel ID],0)),0),"Watched","Unwatched"))</f>
        <v/>
      </c>
      <c r="C2368" s="40" t="n"/>
      <c r="D2368" s="41" t="n"/>
      <c r="E2368" s="42" t="n">
        <v>42999.41319444445</v>
      </c>
      <c r="F2368" s="52" t="inlineStr">
        <is>
          <t>Super Carlin Gaming</t>
        </is>
      </c>
      <c r="G2368" t="inlineStr">
        <is>
          <t>Mario Kart Roulette #32: Books that aren't Harry Potter!</t>
        </is>
      </c>
      <c r="H2368" s="44" t="n">
        <v>0.01039351851851852</v>
      </c>
      <c r="I2368" s="45" t="n">
        <v>13775</v>
      </c>
      <c r="J2368" s="45" t="n">
        <v>425</v>
      </c>
      <c r="K2368" s="45" t="n">
        <v>141</v>
      </c>
      <c r="L2368" s="46" t="n"/>
      <c r="M2368" s="47" t="n"/>
      <c r="N2368" s="47" t="inlineStr">
        <is>
          <t>UCor_9jRnNNZVzTuQ92PKsaQ</t>
        </is>
      </c>
      <c r="O2368" s="48" t="n">
        <v>42999.57986111111</v>
      </c>
      <c r="P2368" s="49" t="n">
        <v>42999</v>
      </c>
      <c r="Q2368" s="47" t="n">
        <v>900</v>
      </c>
      <c r="R2368" s="47" t="inlineStr">
        <is>
          <t>No Video ID yet</t>
        </is>
      </c>
      <c r="S2368" s="49" t="n"/>
      <c r="T2368" s="49" t="n"/>
      <c r="U2368" s="47" t="inlineStr">
        <is>
          <t>On to the 200cc Lightning Cup! The last one didn't go so well, here's hoping we can do it this time! p.s. we had some issues where the mics would randomly cut out :-(</t>
        </is>
      </c>
      <c r="V2368" s="47">
        <f>IF(AND(P2368&gt;=Calendar!$K$2,P2368&lt;EDATE(Calendar!$K$2,1),OR(Calendar!$K$4="*",N2368=Calendar!$K$4)),P2368*100+COUNTIFS($P$6:$P$3267,P2368,$Q$6:$Q$3267,"&lt;="&amp;Q2368,$N$6:$N$3267,Calendar!$K$4),"")</f>
        <v/>
      </c>
      <c r="W2368" s="47">
        <f>IF(AND(B2368=Queue!$C$4,OR(Queue!$K$4="*",N2368=Queue!$K$4)),Q2368,"")</f>
        <v/>
      </c>
    </row>
    <row r="2369">
      <c r="A2369" s="38">
        <f>IF(M2369="","",HYPERLINK("https://www.youtube.com/watch?v="&amp;M2369,"▶"))</f>
        <v/>
      </c>
      <c r="B2369" s="39">
        <f>IF(C2369&lt;&gt;"",C2369,IF(P2369&lt;=IFERROR(INDEX(tblChannels[Watched Through],MATCH(N2369,tblChannels[Channel ID],0)),0),"Watched","Unwatched"))</f>
        <v/>
      </c>
      <c r="C2369" s="40" t="n"/>
      <c r="D2369" s="41" t="n"/>
      <c r="E2369" s="42" t="n">
        <v>42997.82013888889</v>
      </c>
      <c r="F2369" s="50" t="inlineStr">
        <is>
          <t>Super Carlin Brothers</t>
        </is>
      </c>
      <c r="G2369" t="inlineStr">
        <is>
          <t>Coco's New  Monster Explained</t>
        </is>
      </c>
      <c r="H2369" s="44" t="n">
        <v>0.006168981481481482</v>
      </c>
      <c r="I2369" s="45" t="n">
        <v>1004885</v>
      </c>
      <c r="J2369" s="45" t="n">
        <v>17930</v>
      </c>
      <c r="K2369" s="45" t="n">
        <v>2820</v>
      </c>
      <c r="L2369" s="46" t="n"/>
      <c r="M2369" s="47" t="n"/>
      <c r="N2369" s="47" t="inlineStr">
        <is>
          <t>UCKZo4N0lVPccBkSiuyVh4yg</t>
        </is>
      </c>
      <c r="O2369" s="48" t="n">
        <v>42997.98680555556</v>
      </c>
      <c r="P2369" s="49" t="n">
        <v>42997</v>
      </c>
      <c r="Q2369" s="47" t="n">
        <v>899</v>
      </c>
      <c r="R2369" s="47" t="inlineStr">
        <is>
          <t>No Video ID yet</t>
        </is>
      </c>
      <c r="S2369" s="49" t="n"/>
      <c r="T2369" s="49" t="n"/>
      <c r="U2369" s="47" t="inlineStr">
        <is>
          <t>Disney Pixar released a new trailer for their upcoming movie Coco last week! Today J dives into the world of the dead to uncover the crazy background of the mysterious Tiger-Ram-Eagle-Iguana monster seen chasing Miguel!</t>
        </is>
      </c>
      <c r="V2369" s="47">
        <f>IF(AND(P2369&gt;=Calendar!$K$2,P2369&lt;EDATE(Calendar!$K$2,1),OR(Calendar!$K$4="*",N2369=Calendar!$K$4)),P2369*100+COUNTIFS($P$6:$P$3267,P2369,$Q$6:$Q$3267,"&lt;="&amp;Q2369,$N$6:$N$3267,Calendar!$K$4),"")</f>
        <v/>
      </c>
      <c r="W2369" s="47">
        <f>IF(AND(B2369=Queue!$C$4,OR(Queue!$K$4="*",N2369=Queue!$K$4)),Q2369,"")</f>
        <v/>
      </c>
    </row>
    <row r="2370">
      <c r="A2370" s="38">
        <f>IF(M2370="","",HYPERLINK("https://www.youtube.com/watch?v="&amp;M2370,"▶"))</f>
        <v/>
      </c>
      <c r="B2370" s="39">
        <f>IF(C2370&lt;&gt;"",C2370,IF(P2370&lt;=IFERROR(INDEX(tblChannels[Watched Through],MATCH(N2370,tblChannels[Channel ID],0)),0),"Watched","Unwatched"))</f>
        <v/>
      </c>
      <c r="C2370" s="40" t="n"/>
      <c r="D2370" s="41" t="n"/>
      <c r="E2370" s="42" t="n">
        <v>42997.42291666667</v>
      </c>
      <c r="F2370" s="52" t="inlineStr">
        <is>
          <t>Super Carlin Gaming</t>
        </is>
      </c>
      <c r="G2370" t="inlineStr">
        <is>
          <t>Mario Kart Roulette #31: Why So Much Harry Potter?</t>
        </is>
      </c>
      <c r="H2370" s="44" t="n">
        <v>0.01116898148148148</v>
      </c>
      <c r="I2370" s="45" t="n">
        <v>14916</v>
      </c>
      <c r="J2370" s="45" t="n">
        <v>502</v>
      </c>
      <c r="K2370" s="45" t="n">
        <v>113</v>
      </c>
      <c r="L2370" s="46" t="n"/>
      <c r="M2370" s="47" t="n"/>
      <c r="N2370" s="47" t="inlineStr">
        <is>
          <t>UCor_9jRnNNZVzTuQ92PKsaQ</t>
        </is>
      </c>
      <c r="O2370" s="48" t="n">
        <v>42997.58958333333</v>
      </c>
      <c r="P2370" s="49" t="n">
        <v>42997</v>
      </c>
      <c r="Q2370" s="47" t="n">
        <v>898</v>
      </c>
      <c r="R2370" s="47" t="inlineStr">
        <is>
          <t>No Video ID yet</t>
        </is>
      </c>
      <c r="S2370" s="49" t="n"/>
      <c r="T2370" s="49" t="n"/>
      <c r="U2370" s="47" t="inlineStr">
        <is>
          <t>The 200cc 'Special Cup' just doesn't sound like it's all that pleasant... Spoiler Alert: It's not.</t>
        </is>
      </c>
      <c r="V2370" s="47">
        <f>IF(AND(P2370&gt;=Calendar!$K$2,P2370&lt;EDATE(Calendar!$K$2,1),OR(Calendar!$K$4="*",N2370=Calendar!$K$4)),P2370*100+COUNTIFS($P$6:$P$3267,P2370,$Q$6:$Q$3267,"&lt;="&amp;Q2370,$N$6:$N$3267,Calendar!$K$4),"")</f>
        <v/>
      </c>
      <c r="W2370" s="47">
        <f>IF(AND(B2370=Queue!$C$4,OR(Queue!$K$4="*",N2370=Queue!$K$4)),Q2370,"")</f>
        <v/>
      </c>
    </row>
    <row r="2371">
      <c r="A2371" s="38">
        <f>IF(M2371="","",HYPERLINK("https://www.youtube.com/watch?v="&amp;M2371,"▶"))</f>
        <v/>
      </c>
      <c r="B2371" s="39">
        <f>IF(C2371&lt;&gt;"",C2371,IF(P2371&lt;=IFERROR(INDEX(tblChannels[Watched Through],MATCH(N2371,tblChannels[Channel ID],0)),0),"Watched","Unwatched"))</f>
        <v/>
      </c>
      <c r="C2371" s="40" t="n"/>
      <c r="D2371" s="41" t="n"/>
      <c r="E2371" s="42" t="n">
        <v>42992.73402777778</v>
      </c>
      <c r="F2371" s="50" t="inlineStr">
        <is>
          <t>Super Carlin Brothers</t>
        </is>
      </c>
      <c r="G2371" t="inlineStr">
        <is>
          <t>Harry Potter Theory: Voldemort’s FULL Tri-Wizard Cup Plan!</t>
        </is>
      </c>
      <c r="H2371" s="44" t="n">
        <v>0.005914351851851852</v>
      </c>
      <c r="I2371" s="45" t="n">
        <v>1396048</v>
      </c>
      <c r="J2371" s="45" t="n">
        <v>34417</v>
      </c>
      <c r="K2371" s="45" t="n">
        <v>3038</v>
      </c>
      <c r="L2371" s="46" t="n"/>
      <c r="M2371" s="47" t="n"/>
      <c r="N2371" s="47" t="inlineStr">
        <is>
          <t>UCKZo4N0lVPccBkSiuyVh4yg</t>
        </is>
      </c>
      <c r="O2371" s="48" t="n">
        <v>42992.90069444444</v>
      </c>
      <c r="P2371" s="49" t="n">
        <v>42992</v>
      </c>
      <c r="Q2371" s="47" t="n">
        <v>897</v>
      </c>
      <c r="R2371" s="47" t="inlineStr">
        <is>
          <t>No Video ID yet</t>
        </is>
      </c>
      <c r="S2371" s="49" t="n"/>
      <c r="T2371" s="49" t="n"/>
      <c r="U2371" s="47" t="inlineStr">
        <is>
          <t>Original Article :: Today Ben dives into the wizarding world of Harry Potter to try and answer a long standing question: Why did Barty Crouch Jr. set up the tri-wizard cup to return to the school? Check out the Patreon for all those extra goodies: The original article:</t>
        </is>
      </c>
      <c r="V2371" s="47">
        <f>IF(AND(P2371&gt;=Calendar!$K$2,P2371&lt;EDATE(Calendar!$K$2,1),OR(Calendar!$K$4="*",N2371=Calendar!$K$4)),P2371*100+COUNTIFS($P$6:$P$3267,P2371,$Q$6:$Q$3267,"&lt;="&amp;Q2371,$N$6:$N$3267,Calendar!$K$4),"")</f>
        <v/>
      </c>
      <c r="W2371" s="47">
        <f>IF(AND(B2371=Queue!$C$4,OR(Queue!$K$4="*",N2371=Queue!$K$4)),Q2371,"")</f>
        <v/>
      </c>
    </row>
    <row r="2372">
      <c r="A2372" s="38">
        <f>IF(M2372="","",HYPERLINK("https://www.youtube.com/watch?v="&amp;M2372,"▶"))</f>
        <v/>
      </c>
      <c r="B2372" s="39">
        <f>IF(C2372&lt;&gt;"",C2372,IF(P2372&lt;=IFERROR(INDEX(tblChannels[Watched Through],MATCH(N2372,tblChannels[Channel ID],0)),0),"Watched","Unwatched"))</f>
        <v/>
      </c>
      <c r="C2372" s="40" t="n"/>
      <c r="D2372" s="41" t="n"/>
      <c r="E2372" s="42" t="n">
        <v>42992.58888888889</v>
      </c>
      <c r="F2372" s="52" t="inlineStr">
        <is>
          <t>Super Carlin Gaming</t>
        </is>
      </c>
      <c r="G2372" t="inlineStr">
        <is>
          <t>Mario Kart Roulette #30: A Few of our Favorite Things!</t>
        </is>
      </c>
      <c r="H2372" s="44" t="n">
        <v>0.0112962962962963</v>
      </c>
      <c r="I2372" s="45" t="n">
        <v>14449</v>
      </c>
      <c r="J2372" s="45" t="n">
        <v>430</v>
      </c>
      <c r="K2372" s="45" t="n">
        <v>84</v>
      </c>
      <c r="L2372" s="46" t="n"/>
      <c r="M2372" s="47" t="n"/>
      <c r="N2372" s="47" t="inlineStr">
        <is>
          <t>UCor_9jRnNNZVzTuQ92PKsaQ</t>
        </is>
      </c>
      <c r="O2372" s="48" t="n">
        <v>42992.75555555556</v>
      </c>
      <c r="P2372" s="49" t="n">
        <v>42992</v>
      </c>
      <c r="Q2372" s="47" t="n">
        <v>896</v>
      </c>
      <c r="R2372" s="47" t="inlineStr">
        <is>
          <t>No Video ID yet</t>
        </is>
      </c>
      <c r="S2372" s="49" t="n"/>
      <c r="T2372" s="49" t="n"/>
      <c r="U2372" s="47" t="inlineStr">
        <is>
          <t>Moving to the 200cc Leaf Cup, J &amp; Ben talk about some of their favorite things!</t>
        </is>
      </c>
      <c r="V2372" s="47">
        <f>IF(AND(P2372&gt;=Calendar!$K$2,P2372&lt;EDATE(Calendar!$K$2,1),OR(Calendar!$K$4="*",N2372=Calendar!$K$4)),P2372*100+COUNTIFS($P$6:$P$3267,P2372,$Q$6:$Q$3267,"&lt;="&amp;Q2372,$N$6:$N$3267,Calendar!$K$4),"")</f>
        <v/>
      </c>
      <c r="W2372" s="47">
        <f>IF(AND(B2372=Queue!$C$4,OR(Queue!$K$4="*",N2372=Queue!$K$4)),Q2372,"")</f>
        <v/>
      </c>
    </row>
    <row r="2373">
      <c r="A2373" s="38">
        <f>IF(M2373="","",HYPERLINK("https://www.youtube.com/watch?v="&amp;M2373,"▶"))</f>
        <v/>
      </c>
      <c r="B2373" s="39">
        <f>IF(C2373&lt;&gt;"",C2373,IF(P2373&lt;=IFERROR(INDEX(tblChannels[Watched Through],MATCH(N2373,tblChannels[Channel ID],0)),0),"Watched","Unwatched"))</f>
        <v/>
      </c>
      <c r="C2373" s="40" t="n"/>
      <c r="D2373" s="41" t="n"/>
      <c r="E2373" s="42" t="n">
        <v>42990.73472222222</v>
      </c>
      <c r="F2373" s="52" t="inlineStr">
        <is>
          <t>Super Carlin Gaming</t>
        </is>
      </c>
      <c r="G2373" t="inlineStr">
        <is>
          <t>Mario Kart Roulette #29: Advice for Starting Something New</t>
        </is>
      </c>
      <c r="H2373" s="44" t="n">
        <v>0.00982638888888889</v>
      </c>
      <c r="I2373" s="45" t="n">
        <v>13166</v>
      </c>
      <c r="J2373" s="45" t="n">
        <v>462</v>
      </c>
      <c r="K2373" s="45" t="n">
        <v>78</v>
      </c>
      <c r="L2373" s="46" t="n"/>
      <c r="M2373" s="47" t="n"/>
      <c r="N2373" s="47" t="inlineStr">
        <is>
          <t>UCor_9jRnNNZVzTuQ92PKsaQ</t>
        </is>
      </c>
      <c r="O2373" s="48" t="n">
        <v>42990.90138888889</v>
      </c>
      <c r="P2373" s="49" t="n">
        <v>42990</v>
      </c>
      <c r="Q2373" s="47" t="n">
        <v>895</v>
      </c>
      <c r="R2373" s="47" t="inlineStr">
        <is>
          <t>No Video ID yet</t>
        </is>
      </c>
      <c r="S2373" s="49" t="n"/>
      <c r="T2373" s="49" t="n"/>
      <c r="U2373" s="47" t="inlineStr">
        <is>
          <t>Heading over to the 200cc Star Cup, J &amp; Ben give their advice for starting something new and how to avoid starting it "tomorrow". If you have any questions you would like for J and Ben to answer in the next few videos, comment down below and your question might get picked to answer!</t>
        </is>
      </c>
      <c r="V2373" s="47">
        <f>IF(AND(P2373&gt;=Calendar!$K$2,P2373&lt;EDATE(Calendar!$K$2,1),OR(Calendar!$K$4="*",N2373=Calendar!$K$4)),P2373*100+COUNTIFS($P$6:$P$3267,P2373,$Q$6:$Q$3267,"&lt;="&amp;Q2373,$N$6:$N$3267,Calendar!$K$4),"")</f>
        <v/>
      </c>
      <c r="W2373" s="47">
        <f>IF(AND(B2373=Queue!$C$4,OR(Queue!$K$4="*",N2373=Queue!$K$4)),Q2373,"")</f>
        <v/>
      </c>
    </row>
    <row r="2374">
      <c r="A2374" s="38">
        <f>IF(M2374="","",HYPERLINK("https://www.youtube.com/watch?v="&amp;M2374,"▶"))</f>
        <v/>
      </c>
      <c r="B2374" s="39">
        <f>IF(C2374&lt;&gt;"",C2374,IF(P2374&lt;=IFERROR(INDEX(tblChannels[Watched Through],MATCH(N2374,tblChannels[Channel ID],0)),0),"Watched","Unwatched"))</f>
        <v/>
      </c>
      <c r="C2374" s="40" t="n"/>
      <c r="D2374" s="41" t="n"/>
      <c r="E2374" s="42" t="n">
        <v>42990.73194444444</v>
      </c>
      <c r="F2374" s="50" t="inlineStr">
        <is>
          <t>Super Carlin Brothers</t>
        </is>
      </c>
      <c r="G2374" t="inlineStr">
        <is>
          <t>EVERY PIXAR SHORT RANKED!</t>
        </is>
      </c>
      <c r="H2374" s="44" t="n">
        <v>0.02857638888888889</v>
      </c>
      <c r="I2374" s="45" t="n">
        <v>394454</v>
      </c>
      <c r="J2374" s="45" t="n">
        <v>11422</v>
      </c>
      <c r="K2374" s="45" t="n">
        <v>2404</v>
      </c>
      <c r="L2374" s="46" t="n"/>
      <c r="M2374" s="47" t="n"/>
      <c r="N2374" s="47" t="inlineStr">
        <is>
          <t>UCKZo4N0lVPccBkSiuyVh4yg</t>
        </is>
      </c>
      <c r="O2374" s="48" t="n">
        <v>42990.89861111111</v>
      </c>
      <c r="P2374" s="49" t="n">
        <v>42990</v>
      </c>
      <c r="Q2374" s="47" t="n">
        <v>894</v>
      </c>
      <c r="R2374" s="47" t="inlineStr">
        <is>
          <t>No Video ID yet</t>
        </is>
      </c>
      <c r="S2374" s="49" t="n"/>
      <c r="T2374" s="49" t="n"/>
      <c r="U2374" s="47" t="inlineStr">
        <is>
          <t>J and Ben reveal their own person ranking of the Pixar Shorts, from Luxo Jr. to Lou! What is your favorite Pixar Short!?</t>
        </is>
      </c>
      <c r="V2374" s="47">
        <f>IF(AND(P2374&gt;=Calendar!$K$2,P2374&lt;EDATE(Calendar!$K$2,1),OR(Calendar!$K$4="*",N2374=Calendar!$K$4)),P2374*100+COUNTIFS($P$6:$P$3267,P2374,$Q$6:$Q$3267,"&lt;="&amp;Q2374,$N$6:$N$3267,Calendar!$K$4),"")</f>
        <v/>
      </c>
      <c r="W2374" s="47">
        <f>IF(AND(B2374=Queue!$C$4,OR(Queue!$K$4="*",N2374=Queue!$K$4)),Q2374,"")</f>
        <v/>
      </c>
    </row>
    <row r="2375">
      <c r="A2375" s="38">
        <f>IF(M2375="","",HYPERLINK("https://www.youtube.com/watch?v="&amp;M2375,"▶"))</f>
        <v/>
      </c>
      <c r="B2375" s="39">
        <f>IF(C2375&lt;&gt;"",C2375,IF(P2375&lt;=IFERROR(INDEX(tblChannels[Watched Through],MATCH(N2375,tblChannels[Channel ID],0)),0),"Watched","Unwatched"))</f>
        <v/>
      </c>
      <c r="C2375" s="40" t="n"/>
      <c r="D2375" s="41" t="n"/>
      <c r="E2375" s="42" t="n">
        <v>42985.74236111111</v>
      </c>
      <c r="F2375" s="50" t="inlineStr">
        <is>
          <t>Super Carlin Brothers</t>
        </is>
      </c>
      <c r="G2375" t="inlineStr">
        <is>
          <t>Harry Potter Theory: The History Of Hagrid’s Wand</t>
        </is>
      </c>
      <c r="H2375" s="44" t="n">
        <v>0.005497685185185185</v>
      </c>
      <c r="I2375" s="45" t="n">
        <v>1758875</v>
      </c>
      <c r="J2375" s="45" t="n">
        <v>45245</v>
      </c>
      <c r="K2375" s="45" t="n">
        <v>3750</v>
      </c>
      <c r="L2375" s="46" t="n"/>
      <c r="M2375" s="47" t="n"/>
      <c r="N2375" s="47" t="inlineStr">
        <is>
          <t>UCKZo4N0lVPccBkSiuyVh4yg</t>
        </is>
      </c>
      <c r="O2375" s="48" t="n">
        <v>42985.90902777778</v>
      </c>
      <c r="P2375" s="49" t="n">
        <v>42985</v>
      </c>
      <c r="Q2375" s="47" t="n">
        <v>893</v>
      </c>
      <c r="R2375" s="47" t="inlineStr">
        <is>
          <t>No Video ID yet</t>
        </is>
      </c>
      <c r="S2375" s="49" t="n"/>
      <c r="T2375" s="49" t="n"/>
      <c r="U2375" s="47" t="inlineStr">
        <is>
          <t>Today Ben dives into the Wizarding World of Harry Potter and Fantastic Beasts and Where to Find Them to answer one of the oldest mysteries of the series: What happened to Hagrid’s wand and how is he able to do magic with that pink umbrella at all?</t>
        </is>
      </c>
      <c r="V2375" s="47">
        <f>IF(AND(P2375&gt;=Calendar!$K$2,P2375&lt;EDATE(Calendar!$K$2,1),OR(Calendar!$K$4="*",N2375=Calendar!$K$4)),P2375*100+COUNTIFS($P$6:$P$3267,P2375,$Q$6:$Q$3267,"&lt;="&amp;Q2375,$N$6:$N$3267,Calendar!$K$4),"")</f>
        <v/>
      </c>
      <c r="W2375" s="47">
        <f>IF(AND(B2375=Queue!$C$4,OR(Queue!$K$4="*",N2375=Queue!$K$4)),Q2375,"")</f>
        <v/>
      </c>
    </row>
    <row r="2376">
      <c r="A2376" s="38">
        <f>IF(M2376="","",HYPERLINK("https://www.youtube.com/watch?v="&amp;M2376,"▶"))</f>
        <v/>
      </c>
      <c r="B2376" s="39">
        <f>IF(C2376&lt;&gt;"",C2376,IF(P2376&lt;=IFERROR(INDEX(tblChannels[Watched Through],MATCH(N2376,tblChannels[Channel ID],0)),0),"Watched","Unwatched"))</f>
        <v/>
      </c>
      <c r="C2376" s="40" t="n"/>
      <c r="D2376" s="41" t="n"/>
      <c r="E2376" s="42" t="n">
        <v>42985.44166666667</v>
      </c>
      <c r="F2376" s="52" t="inlineStr">
        <is>
          <t>Super Carlin Gaming</t>
        </is>
      </c>
      <c r="G2376" t="inlineStr">
        <is>
          <t>Mario Kart Roulette #28: Nutrition and Favorite meal!</t>
        </is>
      </c>
      <c r="H2376" s="44" t="n">
        <v>0.009907407407407408</v>
      </c>
      <c r="I2376" s="45" t="n">
        <v>14220</v>
      </c>
      <c r="J2376" s="45" t="n">
        <v>449</v>
      </c>
      <c r="K2376" s="45" t="n">
        <v>114</v>
      </c>
      <c r="L2376" s="46" t="n"/>
      <c r="M2376" s="47" t="n"/>
      <c r="N2376" s="47" t="inlineStr">
        <is>
          <t>UCor_9jRnNNZVzTuQ92PKsaQ</t>
        </is>
      </c>
      <c r="O2376" s="48" t="n">
        <v>42985.60833333333</v>
      </c>
      <c r="P2376" s="49" t="n">
        <v>42985</v>
      </c>
      <c r="Q2376" s="47" t="n">
        <v>892</v>
      </c>
      <c r="R2376" s="47" t="inlineStr">
        <is>
          <t>No Video ID yet</t>
        </is>
      </c>
      <c r="S2376" s="49" t="n"/>
      <c r="T2376" s="49" t="n"/>
      <c r="U2376" s="47" t="inlineStr">
        <is>
          <t>200cc is a lot. J &amp; Ben answer questions about Nutrition while doing their best at the Banana Cup On the 200cc circuit, J &amp; Ben answer questions about what motivates them and then also give some Fitness Tips! If you have any questions you would like for J and Ben to answer in the next few videos, comment down below and your question might get picked to answer!</t>
        </is>
      </c>
      <c r="V2376" s="47">
        <f>IF(AND(P2376&gt;=Calendar!$K$2,P2376&lt;EDATE(Calendar!$K$2,1),OR(Calendar!$K$4="*",N2376=Calendar!$K$4)),P2376*100+COUNTIFS($P$6:$P$3267,P2376,$Q$6:$Q$3267,"&lt;="&amp;Q2376,$N$6:$N$3267,Calendar!$K$4),"")</f>
        <v/>
      </c>
      <c r="W2376" s="47">
        <f>IF(AND(B2376=Queue!$C$4,OR(Queue!$K$4="*",N2376=Queue!$K$4)),Q2376,"")</f>
        <v/>
      </c>
    </row>
    <row r="2377">
      <c r="A2377" s="38">
        <f>IF(M2377="","",HYPERLINK("https://www.youtube.com/watch?v="&amp;M2377,"▶"))</f>
        <v/>
      </c>
      <c r="B2377" s="39">
        <f>IF(C2377&lt;&gt;"",C2377,IF(P2377&lt;=IFERROR(INDEX(tblChannels[Watched Through],MATCH(N2377,tblChannels[Channel ID],0)),0),"Watched","Unwatched"))</f>
        <v/>
      </c>
      <c r="C2377" s="40" t="n"/>
      <c r="D2377" s="41" t="n"/>
      <c r="E2377" s="42" t="n">
        <v>42983.73194444444</v>
      </c>
      <c r="F2377" s="50" t="inlineStr">
        <is>
          <t>Super Carlin Brothers</t>
        </is>
      </c>
      <c r="G2377" t="inlineStr">
        <is>
          <t>Were The Dursleys Good For Harry?</t>
        </is>
      </c>
      <c r="H2377" s="44" t="n">
        <v>0.007083333333333333</v>
      </c>
      <c r="I2377" s="45" t="n">
        <v>1167536</v>
      </c>
      <c r="J2377" s="45" t="n">
        <v>31329</v>
      </c>
      <c r="K2377" s="45" t="n">
        <v>4380</v>
      </c>
      <c r="L2377" s="46" t="n"/>
      <c r="M2377" s="47" t="n"/>
      <c r="N2377" s="47" t="inlineStr">
        <is>
          <t>UCKZo4N0lVPccBkSiuyVh4yg</t>
        </is>
      </c>
      <c r="O2377" s="48" t="n">
        <v>42983.89861111111</v>
      </c>
      <c r="P2377" s="49" t="n">
        <v>42983</v>
      </c>
      <c r="Q2377" s="47" t="n">
        <v>891</v>
      </c>
      <c r="R2377" s="47" t="inlineStr">
        <is>
          <t>No Video ID yet</t>
        </is>
      </c>
      <c r="S2377" s="49" t="n"/>
      <c r="T2377" s="49" t="n"/>
      <c r="U2377" s="47" t="inlineStr">
        <is>
          <t>Today J dives into the wizarding world of Harry Potter to discuss the worst relatives anybody has ever had: The Dursleys. Could it be that despite their awfulness they were actually the key to defeating Voldemort?</t>
        </is>
      </c>
      <c r="V2377" s="47">
        <f>IF(AND(P2377&gt;=Calendar!$K$2,P2377&lt;EDATE(Calendar!$K$2,1),OR(Calendar!$K$4="*",N2377=Calendar!$K$4)),P2377*100+COUNTIFS($P$6:$P$3267,P2377,$Q$6:$Q$3267,"&lt;="&amp;Q2377,$N$6:$N$3267,Calendar!$K$4),"")</f>
        <v/>
      </c>
      <c r="W2377" s="47">
        <f>IF(AND(B2377=Queue!$C$4,OR(Queue!$K$4="*",N2377=Queue!$K$4)),Q2377,"")</f>
        <v/>
      </c>
    </row>
    <row r="2378">
      <c r="A2378" s="38">
        <f>IF(M2378="","",HYPERLINK("https://www.youtube.com/watch?v="&amp;M2378,"▶"))</f>
        <v/>
      </c>
      <c r="B2378" s="39">
        <f>IF(C2378&lt;&gt;"",C2378,IF(P2378&lt;=IFERROR(INDEX(tblChannels[Watched Through],MATCH(N2378,tblChannels[Channel ID],0)),0),"Watched","Unwatched"))</f>
        <v/>
      </c>
      <c r="C2378" s="40" t="n"/>
      <c r="D2378" s="41" t="n"/>
      <c r="E2378" s="42" t="n">
        <v>42983.47986111111</v>
      </c>
      <c r="F2378" s="52" t="inlineStr">
        <is>
          <t>Super Carlin Gaming</t>
        </is>
      </c>
      <c r="G2378" t="inlineStr">
        <is>
          <t>Mario Kart Roulette #27: Motivation &amp; Fitness Tips</t>
        </is>
      </c>
      <c r="H2378" s="44" t="n">
        <v>0.00962962962962963</v>
      </c>
      <c r="I2378" s="45" t="n">
        <v>14073</v>
      </c>
      <c r="J2378" s="45" t="n">
        <v>435</v>
      </c>
      <c r="K2378" s="45" t="n">
        <v>81</v>
      </c>
      <c r="L2378" s="46" t="n"/>
      <c r="M2378" s="47" t="n"/>
      <c r="N2378" s="47" t="inlineStr">
        <is>
          <t>UCor_9jRnNNZVzTuQ92PKsaQ</t>
        </is>
      </c>
      <c r="O2378" s="48" t="n">
        <v>42983.64652777778</v>
      </c>
      <c r="P2378" s="49" t="n">
        <v>42983</v>
      </c>
      <c r="Q2378" s="47" t="n">
        <v>890</v>
      </c>
      <c r="R2378" s="47" t="inlineStr">
        <is>
          <t>No Video ID yet</t>
        </is>
      </c>
      <c r="S2378" s="49" t="n"/>
      <c r="T2378" s="49" t="n"/>
      <c r="U2378" s="47" t="inlineStr">
        <is>
          <t>On the 200cc circuit, J &amp; Ben answer questions about what motivates them and then also give some Fitness Tips! If you have any questions you would like for J and Ben to answer in the next few videos, comment down below and your question might get picked to answer!</t>
        </is>
      </c>
      <c r="V2378" s="47">
        <f>IF(AND(P2378&gt;=Calendar!$K$2,P2378&lt;EDATE(Calendar!$K$2,1),OR(Calendar!$K$4="*",N2378=Calendar!$K$4)),P2378*100+COUNTIFS($P$6:$P$3267,P2378,$Q$6:$Q$3267,"&lt;="&amp;Q2378,$N$6:$N$3267,Calendar!$K$4),"")</f>
        <v/>
      </c>
      <c r="W2378" s="47">
        <f>IF(AND(B2378=Queue!$C$4,OR(Queue!$K$4="*",N2378=Queue!$K$4)),Q2378,"")</f>
        <v/>
      </c>
    </row>
    <row r="2379">
      <c r="A2379" s="38">
        <f>IF(M2379="","",HYPERLINK("https://www.youtube.com/watch?v="&amp;M2379,"▶"))</f>
        <v/>
      </c>
      <c r="B2379" s="39">
        <f>IF(C2379&lt;&gt;"",C2379,IF(P2379&lt;=IFERROR(INDEX(tblChannels[Watched Through],MATCH(N2379,tblChannels[Channel ID],0)),0),"Watched","Unwatched"))</f>
        <v/>
      </c>
      <c r="C2379" s="40" t="n"/>
      <c r="D2379" s="41" t="n"/>
      <c r="E2379" s="42" t="n">
        <v>42978.66319444445</v>
      </c>
      <c r="F2379" s="50" t="inlineStr">
        <is>
          <t>Super Carlin Brothers</t>
        </is>
      </c>
      <c r="G2379" t="inlineStr">
        <is>
          <t>The Disney Vault Explained</t>
        </is>
      </c>
      <c r="H2379" s="44" t="n">
        <v>0.007708333333333334</v>
      </c>
      <c r="I2379" s="45" t="n">
        <v>1444314</v>
      </c>
      <c r="J2379" s="45" t="n">
        <v>36054</v>
      </c>
      <c r="K2379" s="45" t="n">
        <v>4713</v>
      </c>
      <c r="L2379" s="46" t="n"/>
      <c r="M2379" s="47" t="n"/>
      <c r="N2379" s="47" t="inlineStr">
        <is>
          <t>UCKZo4N0lVPccBkSiuyVh4yg</t>
        </is>
      </c>
      <c r="O2379" s="48" t="n">
        <v>42978.82986111111</v>
      </c>
      <c r="P2379" s="49" t="n">
        <v>42978</v>
      </c>
      <c r="Q2379" s="47" t="n">
        <v>889</v>
      </c>
      <c r="R2379" s="47" t="inlineStr">
        <is>
          <t>No Video ID yet</t>
        </is>
      </c>
      <c r="S2379" s="49" t="n"/>
      <c r="T2379" s="49" t="n"/>
      <c r="U2379" s="47" t="inlineStr">
        <is>
          <t>Ever try to buy a Disney movie like The Lion King or Snow White but couldn’t for some reason? Today J dives into Disney’s past to discover the fascinating origin of the Disney Vault! Amazing article if you want to read more ::</t>
        </is>
      </c>
      <c r="V2379" s="47">
        <f>IF(AND(P2379&gt;=Calendar!$K$2,P2379&lt;EDATE(Calendar!$K$2,1),OR(Calendar!$K$4="*",N2379=Calendar!$K$4)),P2379*100+COUNTIFS($P$6:$P$3267,P2379,$Q$6:$Q$3267,"&lt;="&amp;Q2379,$N$6:$N$3267,Calendar!$K$4),"")</f>
        <v/>
      </c>
      <c r="W2379" s="47">
        <f>IF(AND(B2379=Queue!$C$4,OR(Queue!$K$4="*",N2379=Queue!$K$4)),Q2379,"")</f>
        <v/>
      </c>
    </row>
    <row r="2380">
      <c r="A2380" s="38">
        <f>IF(M2380="","",HYPERLINK("https://www.youtube.com/watch?v="&amp;M2380,"▶"))</f>
        <v/>
      </c>
      <c r="B2380" s="39">
        <f>IF(C2380&lt;&gt;"",C2380,IF(P2380&lt;=IFERROR(INDEX(tblChannels[Watched Through],MATCH(N2380,tblChannels[Channel ID],0)),0),"Watched","Unwatched"))</f>
        <v/>
      </c>
      <c r="C2380" s="40" t="n"/>
      <c r="D2380" s="41" t="n"/>
      <c r="E2380" s="42" t="n">
        <v>42978.49236111111</v>
      </c>
      <c r="F2380" s="52" t="inlineStr">
        <is>
          <t>Super Carlin Gaming</t>
        </is>
      </c>
      <c r="G2380" t="inlineStr">
        <is>
          <t>Mario Kart Roulette #26: Back to School!</t>
        </is>
      </c>
      <c r="H2380" s="44" t="n">
        <v>0.009293981481481481</v>
      </c>
      <c r="I2380" s="45" t="n">
        <v>15239</v>
      </c>
      <c r="J2380" s="45" t="n">
        <v>574</v>
      </c>
      <c r="K2380" s="45" t="n">
        <v>102</v>
      </c>
      <c r="L2380" s="46" t="n"/>
      <c r="M2380" s="47" t="n"/>
      <c r="N2380" s="47" t="inlineStr">
        <is>
          <t>UCor_9jRnNNZVzTuQ92PKsaQ</t>
        </is>
      </c>
      <c r="O2380" s="48" t="n">
        <v>42978.65902777778</v>
      </c>
      <c r="P2380" s="49" t="n">
        <v>42978</v>
      </c>
      <c r="Q2380" s="47" t="n">
        <v>888</v>
      </c>
      <c r="R2380" s="47" t="inlineStr">
        <is>
          <t>No Video ID yet</t>
        </is>
      </c>
      <c r="S2380" s="49" t="n"/>
      <c r="T2380" s="49" t="n"/>
      <c r="U2380" s="47" t="inlineStr">
        <is>
          <t>In this episode, J and Ben continue on the 200cc circuit and answer your questions about starting up at school! If you have any questions you would like for J and Ben to answer in the next few videos, comment down below and your question might get picked to answer!</t>
        </is>
      </c>
      <c r="V2380" s="47">
        <f>IF(AND(P2380&gt;=Calendar!$K$2,P2380&lt;EDATE(Calendar!$K$2,1),OR(Calendar!$K$4="*",N2380=Calendar!$K$4)),P2380*100+COUNTIFS($P$6:$P$3267,P2380,$Q$6:$Q$3267,"&lt;="&amp;Q2380,$N$6:$N$3267,Calendar!$K$4),"")</f>
        <v/>
      </c>
      <c r="W2380" s="47">
        <f>IF(AND(B2380=Queue!$C$4,OR(Queue!$K$4="*",N2380=Queue!$K$4)),Q2380,"")</f>
        <v/>
      </c>
    </row>
    <row r="2381">
      <c r="A2381" s="38">
        <f>IF(M2381="","",HYPERLINK("https://www.youtube.com/watch?v="&amp;M2381,"▶"))</f>
        <v/>
      </c>
      <c r="B2381" s="39">
        <f>IF(C2381&lt;&gt;"",C2381,IF(P2381&lt;=IFERROR(INDEX(tblChannels[Watched Through],MATCH(N2381,tblChannels[Channel ID],0)),0),"Watched","Unwatched"))</f>
        <v/>
      </c>
      <c r="C2381" s="40" t="n"/>
      <c r="D2381" s="41" t="n"/>
      <c r="E2381" s="42" t="n">
        <v>42976.70902777778</v>
      </c>
      <c r="F2381" s="50" t="inlineStr">
        <is>
          <t>Super Carlin Brothers</t>
        </is>
      </c>
      <c r="G2381" t="inlineStr">
        <is>
          <t>J vs Ben: The HARDEST Harry Potter Trivia Quiz EVER!</t>
        </is>
      </c>
      <c r="H2381" s="44" t="n">
        <v>0.01958333333333333</v>
      </c>
      <c r="I2381" s="45" t="n">
        <v>1699623</v>
      </c>
      <c r="J2381" s="45" t="n">
        <v>25914</v>
      </c>
      <c r="K2381" s="45" t="n">
        <v>7122</v>
      </c>
      <c r="L2381" s="46" t="n"/>
      <c r="M2381" s="47" t="n"/>
      <c r="N2381" s="47" t="inlineStr">
        <is>
          <t>UCKZo4N0lVPccBkSiuyVh4yg</t>
        </is>
      </c>
      <c r="O2381" s="48" t="n">
        <v>42976.87569444445</v>
      </c>
      <c r="P2381" s="49" t="n">
        <v>42976</v>
      </c>
      <c r="Q2381" s="47" t="n">
        <v>887</v>
      </c>
      <c r="R2381" s="47" t="inlineStr">
        <is>
          <t>No Video ID yet</t>
        </is>
      </c>
      <c r="S2381" s="49" t="n"/>
      <c r="T2381" s="49" t="n"/>
      <c r="U2381" s="47" t="inlineStr">
        <is>
          <t>Take the quiz! :: Today J and Ben go head to head in the hardest Harry Potter quiz on Pottermore to see who knows the wizarding world best! Who will win? What was your score??</t>
        </is>
      </c>
      <c r="V2381" s="47">
        <f>IF(AND(P2381&gt;=Calendar!$K$2,P2381&lt;EDATE(Calendar!$K$2,1),OR(Calendar!$K$4="*",N2381=Calendar!$K$4)),P2381*100+COUNTIFS($P$6:$P$3267,P2381,$Q$6:$Q$3267,"&lt;="&amp;Q2381,$N$6:$N$3267,Calendar!$K$4),"")</f>
        <v/>
      </c>
      <c r="W2381" s="47">
        <f>IF(AND(B2381=Queue!$C$4,OR(Queue!$K$4="*",N2381=Queue!$K$4)),Q2381,"")</f>
        <v/>
      </c>
    </row>
    <row r="2382">
      <c r="A2382" s="38">
        <f>IF(M2382="","",HYPERLINK("https://www.youtube.com/watch?v="&amp;M2382,"▶"))</f>
        <v/>
      </c>
      <c r="B2382" s="39">
        <f>IF(C2382&lt;&gt;"",C2382,IF(P2382&lt;=IFERROR(INDEX(tblChannels[Watched Through],MATCH(N2382,tblChannels[Channel ID],0)),0),"Watched","Unwatched"))</f>
        <v/>
      </c>
      <c r="C2382" s="40" t="n"/>
      <c r="D2382" s="41" t="n"/>
      <c r="E2382" s="42" t="n">
        <v>42971.72152777778</v>
      </c>
      <c r="F2382" s="50" t="inlineStr">
        <is>
          <t>Super Carlin Brothers</t>
        </is>
      </c>
      <c r="G2382" t="inlineStr">
        <is>
          <t>Mufasa And Scar Aren't Brothers?!</t>
        </is>
      </c>
      <c r="H2382" s="44" t="n">
        <v>0.0053125</v>
      </c>
      <c r="I2382" s="45" t="n">
        <v>1631562</v>
      </c>
      <c r="J2382" s="45" t="n">
        <v>35924</v>
      </c>
      <c r="K2382" s="45" t="n">
        <v>4131</v>
      </c>
      <c r="L2382" s="46" t="n"/>
      <c r="M2382" s="47" t="n"/>
      <c r="N2382" s="47" t="inlineStr">
        <is>
          <t>UCKZo4N0lVPccBkSiuyVh4yg</t>
        </is>
      </c>
      <c r="O2382" s="48" t="n">
        <v>42971.88819444444</v>
      </c>
      <c r="P2382" s="49" t="n">
        <v>42971</v>
      </c>
      <c r="Q2382" s="47" t="n">
        <v>886</v>
      </c>
      <c r="R2382" s="47" t="inlineStr">
        <is>
          <t>No Video ID yet</t>
        </is>
      </c>
      <c r="S2382" s="49" t="n"/>
      <c r="T2382" s="49" t="n"/>
      <c r="U2382" s="47" t="inlineStr">
        <is>
          <t>Last week Rob Minkoff and Don Hahn, Director and Producer of Disney’s The Lion King respectively, revealed that Scar and Mufasa were not brothers?! Today Ben examines if this could possibly be true.</t>
        </is>
      </c>
      <c r="V2382" s="47">
        <f>IF(AND(P2382&gt;=Calendar!$K$2,P2382&lt;EDATE(Calendar!$K$2,1),OR(Calendar!$K$4="*",N2382=Calendar!$K$4)),P2382*100+COUNTIFS($P$6:$P$3267,P2382,$Q$6:$Q$3267,"&lt;="&amp;Q2382,$N$6:$N$3267,Calendar!$K$4),"")</f>
        <v/>
      </c>
      <c r="W2382" s="47">
        <f>IF(AND(B2382=Queue!$C$4,OR(Queue!$K$4="*",N2382=Queue!$K$4)),Q2382,"")</f>
        <v/>
      </c>
    </row>
    <row r="2383">
      <c r="A2383" s="38">
        <f>IF(M2383="","",HYPERLINK("https://www.youtube.com/watch?v="&amp;M2383,"▶"))</f>
        <v/>
      </c>
      <c r="B2383" s="39">
        <f>IF(C2383&lt;&gt;"",C2383,IF(P2383&lt;=IFERROR(INDEX(tblChannels[Watched Through],MATCH(N2383,tblChannels[Channel ID],0)),0),"Watched","Unwatched"))</f>
        <v/>
      </c>
      <c r="C2383" s="40" t="n"/>
      <c r="D2383" s="41" t="n"/>
      <c r="E2383" s="42" t="n">
        <v>42969.68541666667</v>
      </c>
      <c r="F2383" s="50" t="inlineStr">
        <is>
          <t>Super Carlin Brothers</t>
        </is>
      </c>
      <c r="G2383" t="inlineStr">
        <is>
          <t>Why Cornelius Fudge Is The Worst</t>
        </is>
      </c>
      <c r="H2383" s="44" t="n">
        <v>0.007337962962962963</v>
      </c>
      <c r="I2383" s="45" t="n">
        <v>1937153</v>
      </c>
      <c r="J2383" s="45" t="n">
        <v>44448</v>
      </c>
      <c r="K2383" s="45" t="n">
        <v>6081</v>
      </c>
      <c r="L2383" s="46" t="n"/>
      <c r="M2383" s="47" t="n"/>
      <c r="N2383" s="47" t="inlineStr">
        <is>
          <t>UCKZo4N0lVPccBkSiuyVh4yg</t>
        </is>
      </c>
      <c r="O2383" s="48" t="n">
        <v>42969.85208333333</v>
      </c>
      <c r="P2383" s="49" t="n">
        <v>42969</v>
      </c>
      <c r="Q2383" s="47" t="n">
        <v>885</v>
      </c>
      <c r="R2383" s="47" t="inlineStr">
        <is>
          <t>No Video ID yet</t>
        </is>
      </c>
      <c r="S2383" s="49" t="n"/>
      <c r="T2383" s="49" t="n"/>
      <c r="U2383" s="47" t="inlineStr">
        <is>
          <t>SCB Survey :: Patreon :: There are many villains in the wizarding world of Harry Potter: Belatrix, Umbridge, Barty Crouch Jr. and of course Voldemort himself, but today we discuss another great villain of the series who never really seems to get called out as much as he should, none other than Ex Minister of Magic Cornelius Fudge. Today’s video was inspired by this lovely Facebook post ::</t>
        </is>
      </c>
      <c r="V2383" s="47">
        <f>IF(AND(P2383&gt;=Calendar!$K$2,P2383&lt;EDATE(Calendar!$K$2,1),OR(Calendar!$K$4="*",N2383=Calendar!$K$4)),P2383*100+COUNTIFS($P$6:$P$3267,P2383,$Q$6:$Q$3267,"&lt;="&amp;Q2383,$N$6:$N$3267,Calendar!$K$4),"")</f>
        <v/>
      </c>
      <c r="W2383" s="47">
        <f>IF(AND(B2383=Queue!$C$4,OR(Queue!$K$4="*",N2383=Queue!$K$4)),Q2383,"")</f>
        <v/>
      </c>
    </row>
    <row r="2384">
      <c r="A2384" s="38">
        <f>IF(M2384="","",HYPERLINK("https://www.youtube.com/watch?v="&amp;M2384,"▶"))</f>
        <v/>
      </c>
      <c r="B2384" s="39">
        <f>IF(C2384&lt;&gt;"",C2384,IF(P2384&lt;=IFERROR(INDEX(tblChannels[Watched Through],MATCH(N2384,tblChannels[Channel ID],0)),0),"Watched","Unwatched"))</f>
        <v/>
      </c>
      <c r="C2384" s="40" t="n"/>
      <c r="D2384" s="41" t="n"/>
      <c r="E2384" s="42" t="n">
        <v>42969.41666666666</v>
      </c>
      <c r="F2384" s="52" t="inlineStr">
        <is>
          <t>Super Carlin Gaming</t>
        </is>
      </c>
      <c r="G2384" t="inlineStr">
        <is>
          <t>Mario Kart Roulette #25: Taking on 200 cc!</t>
        </is>
      </c>
      <c r="H2384" s="44" t="n">
        <v>0.009791666666666667</v>
      </c>
      <c r="I2384" s="45" t="n">
        <v>15846</v>
      </c>
      <c r="J2384" s="45" t="n">
        <v>510</v>
      </c>
      <c r="K2384" s="45" t="n">
        <v>68</v>
      </c>
      <c r="L2384" s="46" t="n"/>
      <c r="M2384" s="47" t="n"/>
      <c r="N2384" s="47" t="inlineStr">
        <is>
          <t>UCor_9jRnNNZVzTuQ92PKsaQ</t>
        </is>
      </c>
      <c r="O2384" s="48" t="n">
        <v>42969.58333333334</v>
      </c>
      <c r="P2384" s="49" t="n">
        <v>42969</v>
      </c>
      <c r="Q2384" s="47" t="n">
        <v>884</v>
      </c>
      <c r="R2384" s="47" t="inlineStr">
        <is>
          <t>No Video ID yet</t>
        </is>
      </c>
      <c r="S2384" s="49" t="n"/>
      <c r="T2384" s="49" t="n"/>
      <c r="U2384" s="47" t="inlineStr">
        <is>
          <t>In this episode, J and Ben advance to 200 cc after 3-starring all cups at 150 cc! While they play in this high-speed cup, they attempt to answer some more of your FAQs. If you have any questions you would like for J and Ben to answer in the next few videos, comment down below and your question might get picked to answer!</t>
        </is>
      </c>
      <c r="V2384" s="47">
        <f>IF(AND(P2384&gt;=Calendar!$K$2,P2384&lt;EDATE(Calendar!$K$2,1),OR(Calendar!$K$4="*",N2384=Calendar!$K$4)),P2384*100+COUNTIFS($P$6:$P$3267,P2384,$Q$6:$Q$3267,"&lt;="&amp;Q2384,$N$6:$N$3267,Calendar!$K$4),"")</f>
        <v/>
      </c>
      <c r="W2384" s="47">
        <f>IF(AND(B2384=Queue!$C$4,OR(Queue!$K$4="*",N2384=Queue!$K$4)),Q2384,"")</f>
        <v/>
      </c>
    </row>
    <row r="2385">
      <c r="A2385" s="38">
        <f>IF(M2385="","",HYPERLINK("https://www.youtube.com/watch?v="&amp;M2385,"▶"))</f>
        <v/>
      </c>
      <c r="B2385" s="39">
        <f>IF(C2385&lt;&gt;"",C2385,IF(P2385&lt;=IFERROR(INDEX(tblChannels[Watched Through],MATCH(N2385,tblChannels[Channel ID],0)),0),"Watched","Unwatched"))</f>
        <v/>
      </c>
      <c r="C2385" s="40" t="n"/>
      <c r="D2385" s="41" t="n"/>
      <c r="E2385" s="42" t="n">
        <v>42964.79166666666</v>
      </c>
      <c r="F2385" s="50" t="inlineStr">
        <is>
          <t>Super Carlin Brothers</t>
        </is>
      </c>
      <c r="G2385" t="inlineStr">
        <is>
          <t>Pixar Theory: Why Are Monsters Told Kids Are Toxic?</t>
        </is>
      </c>
      <c r="H2385" s="44" t="n">
        <v>0.007280092592592592</v>
      </c>
      <c r="I2385" s="45" t="n">
        <v>2388352</v>
      </c>
      <c r="J2385" s="45" t="n">
        <v>51827</v>
      </c>
      <c r="K2385" s="45" t="n">
        <v>7335</v>
      </c>
      <c r="L2385" s="46" t="n"/>
      <c r="M2385" s="47" t="n"/>
      <c r="N2385" s="47" t="inlineStr">
        <is>
          <t>UCKZo4N0lVPccBkSiuyVh4yg</t>
        </is>
      </c>
      <c r="O2385" s="48" t="n">
        <v>42964.95833333334</v>
      </c>
      <c r="P2385" s="49" t="n">
        <v>42964</v>
      </c>
      <c r="Q2385" s="47" t="n">
        <v>883</v>
      </c>
      <c r="R2385" s="47" t="inlineStr">
        <is>
          <t>No Video ID yet</t>
        </is>
      </c>
      <c r="S2385" s="49" t="n"/>
      <c r="T2385" s="49" t="n"/>
      <c r="U2385" s="47" t="inlineStr">
        <is>
          <t>Survey :: Today Ben dives into the world of Pixar’s Monsters Inc. to answer one of the most basic questions from the movie: What are the monsters ever even told the kids are toxic, when it is so clearly not true?</t>
        </is>
      </c>
      <c r="V2385" s="47">
        <f>IF(AND(P2385&gt;=Calendar!$K$2,P2385&lt;EDATE(Calendar!$K$2,1),OR(Calendar!$K$4="*",N2385=Calendar!$K$4)),P2385*100+COUNTIFS($P$6:$P$3267,P2385,$Q$6:$Q$3267,"&lt;="&amp;Q2385,$N$6:$N$3267,Calendar!$K$4),"")</f>
        <v/>
      </c>
      <c r="W2385" s="47">
        <f>IF(AND(B2385=Queue!$C$4,OR(Queue!$K$4="*",N2385=Queue!$K$4)),Q2385,"")</f>
        <v/>
      </c>
    </row>
    <row r="2386">
      <c r="A2386" s="38">
        <f>IF(M2386="","",HYPERLINK("https://www.youtube.com/watch?v="&amp;M2386,"▶"))</f>
        <v/>
      </c>
      <c r="B2386" s="39">
        <f>IF(C2386&lt;&gt;"",C2386,IF(P2386&lt;=IFERROR(INDEX(tblChannels[Watched Through],MATCH(N2386,tblChannels[Channel ID],0)),0),"Watched","Unwatched"))</f>
        <v/>
      </c>
      <c r="C2386" s="40" t="n"/>
      <c r="D2386" s="41" t="n"/>
      <c r="E2386" s="42" t="n">
        <v>42964.41666666666</v>
      </c>
      <c r="F2386" s="52" t="inlineStr">
        <is>
          <t>Super Carlin Gaming</t>
        </is>
      </c>
      <c r="G2386" t="inlineStr">
        <is>
          <t>Mario Kart Roulette #24: Most Tolerable Star Wars Prequel</t>
        </is>
      </c>
      <c r="H2386" s="44" t="n">
        <v>0.01109953703703704</v>
      </c>
      <c r="I2386" s="45" t="n">
        <v>17169</v>
      </c>
      <c r="J2386" s="45" t="n">
        <v>571</v>
      </c>
      <c r="K2386" s="45" t="n">
        <v>144</v>
      </c>
      <c r="L2386" s="46" t="n"/>
      <c r="M2386" s="47" t="n"/>
      <c r="N2386" s="47" t="inlineStr">
        <is>
          <t>UCor_9jRnNNZVzTuQ92PKsaQ</t>
        </is>
      </c>
      <c r="O2386" s="48" t="n">
        <v>42964.58333333334</v>
      </c>
      <c r="P2386" s="49" t="n">
        <v>42964</v>
      </c>
      <c r="Q2386" s="47" t="n">
        <v>882</v>
      </c>
      <c r="R2386" s="47" t="inlineStr">
        <is>
          <t>No Video ID yet</t>
        </is>
      </c>
      <c r="S2386" s="49" t="n"/>
      <c r="T2386" s="49" t="n"/>
      <c r="U2386" s="47" t="inlineStr">
        <is>
          <t>In this episode, J and Ben attempt to 3 star the Flower Cup at 150 cc (yet again) BOTH as Villager Girl...can they do it? While they play, they discuss/answer some more of your questions.</t>
        </is>
      </c>
      <c r="V2386" s="47">
        <f>IF(AND(P2386&gt;=Calendar!$K$2,P2386&lt;EDATE(Calendar!$K$2,1),OR(Calendar!$K$4="*",N2386=Calendar!$K$4)),P2386*100+COUNTIFS($P$6:$P$3267,P2386,$Q$6:$Q$3267,"&lt;="&amp;Q2386,$N$6:$N$3267,Calendar!$K$4),"")</f>
        <v/>
      </c>
      <c r="W2386" s="47">
        <f>IF(AND(B2386=Queue!$C$4,OR(Queue!$K$4="*",N2386=Queue!$K$4)),Q2386,"")</f>
        <v/>
      </c>
    </row>
    <row r="2387">
      <c r="A2387" s="38">
        <f>IF(M2387="","",HYPERLINK("https://www.youtube.com/watch?v="&amp;M2387,"▶"))</f>
        <v/>
      </c>
      <c r="B2387" s="39">
        <f>IF(C2387&lt;&gt;"",C2387,IF(P2387&lt;=IFERROR(INDEX(tblChannels[Watched Through],MATCH(N2387,tblChannels[Channel ID],0)),0),"Watched","Unwatched"))</f>
        <v/>
      </c>
      <c r="C2387" s="40" t="n"/>
      <c r="D2387" s="41" t="n"/>
      <c r="E2387" s="42" t="n">
        <v>42962.80763888889</v>
      </c>
      <c r="F2387" s="50" t="inlineStr">
        <is>
          <t>Super Carlin Brothers</t>
        </is>
      </c>
      <c r="G2387" t="inlineStr">
        <is>
          <t>Marvel Theory: Why J. Jonah Jameson Hates Spider-Man (Feat. NerdSync)</t>
        </is>
      </c>
      <c r="H2387" s="44" t="n">
        <v>0.006377314814814815</v>
      </c>
      <c r="I2387" s="45" t="n">
        <v>861090</v>
      </c>
      <c r="J2387" s="45" t="n">
        <v>24503</v>
      </c>
      <c r="K2387" s="45" t="n">
        <v>2234</v>
      </c>
      <c r="L2387" s="46" t="n"/>
      <c r="M2387" s="47" t="n"/>
      <c r="N2387" s="47" t="inlineStr">
        <is>
          <t>UCKZo4N0lVPccBkSiuyVh4yg</t>
        </is>
      </c>
      <c r="O2387" s="48" t="n">
        <v>42962.97430555556</v>
      </c>
      <c r="P2387" s="49" t="n">
        <v>42962</v>
      </c>
      <c r="Q2387" s="47" t="n">
        <v>881</v>
      </c>
      <c r="R2387" s="47" t="inlineStr">
        <is>
          <t>No Video ID yet</t>
        </is>
      </c>
      <c r="S2387" s="49" t="n"/>
      <c r="T2387" s="49" t="n"/>
      <c r="U2387" s="47" t="inlineStr">
        <is>
          <t>Check out NerdSync Today J and Scott dive into the Marvel Universe to uncover an age old mystery.. Why does J. Jonah Jameson HATE Spider-Man? Also.. have you heard of his son.. You know, the astronaut?</t>
        </is>
      </c>
      <c r="V2387" s="47">
        <f>IF(AND(P2387&gt;=Calendar!$K$2,P2387&lt;EDATE(Calendar!$K$2,1),OR(Calendar!$K$4="*",N2387=Calendar!$K$4)),P2387*100+COUNTIFS($P$6:$P$3267,P2387,$Q$6:$Q$3267,"&lt;="&amp;Q2387,$N$6:$N$3267,Calendar!$K$4),"")</f>
        <v/>
      </c>
      <c r="W2387" s="47">
        <f>IF(AND(B2387=Queue!$C$4,OR(Queue!$K$4="*",N2387=Queue!$K$4)),Q2387,"")</f>
        <v/>
      </c>
    </row>
    <row r="2388">
      <c r="A2388" s="38">
        <f>IF(M2388="","",HYPERLINK("https://www.youtube.com/watch?v="&amp;M2388,"▶"))</f>
        <v/>
      </c>
      <c r="B2388" s="39">
        <f>IF(C2388&lt;&gt;"",C2388,IF(P2388&lt;=IFERROR(INDEX(tblChannels[Watched Through],MATCH(N2388,tblChannels[Channel ID],0)),0),"Watched","Unwatched"))</f>
        <v/>
      </c>
      <c r="C2388" s="40" t="n"/>
      <c r="D2388" s="41" t="n"/>
      <c r="E2388" s="42" t="n">
        <v>42962.41666666666</v>
      </c>
      <c r="F2388" s="52" t="inlineStr">
        <is>
          <t>Super Carlin Gaming</t>
        </is>
      </c>
      <c r="G2388" t="inlineStr">
        <is>
          <t>Mario Kart: SPECIAL EDITION BATTLE #2 with J, Ben, DK and Kallie!</t>
        </is>
      </c>
      <c r="H2388" s="44" t="n">
        <v>0.02248842592592593</v>
      </c>
      <c r="I2388" s="45" t="n">
        <v>12615</v>
      </c>
      <c r="J2388" s="45" t="n">
        <v>391</v>
      </c>
      <c r="K2388" s="45" t="n">
        <v>200</v>
      </c>
      <c r="L2388" s="46" t="n"/>
      <c r="M2388" s="47" t="n"/>
      <c r="N2388" s="47" t="inlineStr">
        <is>
          <t>UCor_9jRnNNZVzTuQ92PKsaQ</t>
        </is>
      </c>
      <c r="O2388" s="48" t="n">
        <v>42962.58333333334</v>
      </c>
      <c r="P2388" s="49" t="n">
        <v>42962</v>
      </c>
      <c r="Q2388" s="47" t="n">
        <v>880</v>
      </c>
      <c r="R2388" s="47" t="inlineStr">
        <is>
          <t>No Video ID yet</t>
        </is>
      </c>
      <c r="S2388" s="49" t="n"/>
      <c r="T2388" s="49" t="n"/>
      <c r="U2388" s="47" t="inlineStr">
        <is>
          <t>J and Ben join up with DK and Kallie in this special edition battle episode where they play two rounds of Shine Thief on Mario Kart 8! Go subscribe to Kallie's and DK's channels! Kallie: DK: Our Twitch:</t>
        </is>
      </c>
      <c r="V2388" s="47">
        <f>IF(AND(P2388&gt;=Calendar!$K$2,P2388&lt;EDATE(Calendar!$K$2,1),OR(Calendar!$K$4="*",N2388=Calendar!$K$4)),P2388*100+COUNTIFS($P$6:$P$3267,P2388,$Q$6:$Q$3267,"&lt;="&amp;Q2388,$N$6:$N$3267,Calendar!$K$4),"")</f>
        <v/>
      </c>
      <c r="W2388" s="47">
        <f>IF(AND(B2388=Queue!$C$4,OR(Queue!$K$4="*",N2388=Queue!$K$4)),Q2388,"")</f>
        <v/>
      </c>
    </row>
    <row r="2389">
      <c r="A2389" s="38">
        <f>IF(M2389="","",HYPERLINK("https://www.youtube.com/watch?v="&amp;M2389,"▶"))</f>
        <v/>
      </c>
      <c r="B2389" s="39">
        <f>IF(C2389&lt;&gt;"",C2389,IF(P2389&lt;=IFERROR(INDEX(tblChannels[Watched Through],MATCH(N2389,tblChannels[Channel ID],0)),0),"Watched","Unwatched"))</f>
        <v/>
      </c>
      <c r="C2389" s="40" t="n"/>
      <c r="D2389" s="41" t="n"/>
      <c r="E2389" s="42" t="n">
        <v>42957.72291666667</v>
      </c>
      <c r="F2389" s="50" t="inlineStr">
        <is>
          <t>Super Carlin Brothers</t>
        </is>
      </c>
      <c r="G2389" t="inlineStr">
        <is>
          <t>How Harry Potter Will Show Up In Fantastic Beasts</t>
        </is>
      </c>
      <c r="H2389" s="44" t="n">
        <v>0.005300925925925926</v>
      </c>
      <c r="I2389" s="45" t="n">
        <v>1084512</v>
      </c>
      <c r="J2389" s="45" t="n">
        <v>29038</v>
      </c>
      <c r="K2389" s="45" t="n">
        <v>2980</v>
      </c>
      <c r="L2389" s="46" t="n"/>
      <c r="M2389" s="47" t="n"/>
      <c r="N2389" s="47" t="inlineStr">
        <is>
          <t>UCKZo4N0lVPccBkSiuyVh4yg</t>
        </is>
      </c>
      <c r="O2389" s="48" t="n">
        <v>42957.88958333333</v>
      </c>
      <c r="P2389" s="49" t="n">
        <v>42957</v>
      </c>
      <c r="Q2389" s="47" t="n">
        <v>879</v>
      </c>
      <c r="R2389" s="47" t="inlineStr">
        <is>
          <t>No Video ID yet</t>
        </is>
      </c>
      <c r="S2389" s="49" t="n"/>
      <c r="T2389" s="49" t="n"/>
      <c r="U2389" s="47" t="inlineStr">
        <is>
          <t>Could we see Harry Potter in the upcoming Fantastic Beasts and Where To Find Them Movie? Today Ben dives into the history of the Wizarding World of Harry Potter to find out! #HarryPotterAndWhereToFindHim</t>
        </is>
      </c>
      <c r="V2389" s="47">
        <f>IF(AND(P2389&gt;=Calendar!$K$2,P2389&lt;EDATE(Calendar!$K$2,1),OR(Calendar!$K$4="*",N2389=Calendar!$K$4)),P2389*100+COUNTIFS($P$6:$P$3267,P2389,$Q$6:$Q$3267,"&lt;="&amp;Q2389,$N$6:$N$3267,Calendar!$K$4),"")</f>
        <v/>
      </c>
      <c r="W2389" s="47">
        <f>IF(AND(B2389=Queue!$C$4,OR(Queue!$K$4="*",N2389=Queue!$K$4)),Q2389,"")</f>
        <v/>
      </c>
    </row>
    <row r="2390">
      <c r="A2390" s="38">
        <f>IF(M2390="","",HYPERLINK("https://www.youtube.com/watch?v="&amp;M2390,"▶"))</f>
        <v/>
      </c>
      <c r="B2390" s="39">
        <f>IF(C2390&lt;&gt;"",C2390,IF(P2390&lt;=IFERROR(INDEX(tblChannels[Watched Through],MATCH(N2390,tblChannels[Channel ID],0)),0),"Watched","Unwatched"))</f>
        <v/>
      </c>
      <c r="C2390" s="40" t="n"/>
      <c r="D2390" s="41" t="n"/>
      <c r="E2390" s="42" t="n">
        <v>42957.41666666666</v>
      </c>
      <c r="F2390" s="52" t="inlineStr">
        <is>
          <t>Super Carlin Gaming</t>
        </is>
      </c>
      <c r="G2390" t="inlineStr">
        <is>
          <t>Mario Kart Roulette #23: Your Problems Don't Mean Anything</t>
        </is>
      </c>
      <c r="H2390" s="44" t="n">
        <v>0.01076388888888889</v>
      </c>
      <c r="I2390" s="45" t="n">
        <v>14495</v>
      </c>
      <c r="J2390" s="45" t="n">
        <v>479</v>
      </c>
      <c r="K2390" s="45" t="n">
        <v>81</v>
      </c>
      <c r="L2390" s="46" t="n"/>
      <c r="M2390" s="47" t="n"/>
      <c r="N2390" s="47" t="inlineStr">
        <is>
          <t>UCor_9jRnNNZVzTuQ92PKsaQ</t>
        </is>
      </c>
      <c r="O2390" s="48" t="n">
        <v>42957.58333333334</v>
      </c>
      <c r="P2390" s="49" t="n">
        <v>42957</v>
      </c>
      <c r="Q2390" s="47" t="n">
        <v>878</v>
      </c>
      <c r="R2390" s="47" t="inlineStr">
        <is>
          <t>No Video ID yet</t>
        </is>
      </c>
      <c r="S2390" s="49" t="n"/>
      <c r="T2390" s="49" t="n"/>
      <c r="U2390" s="47" t="inlineStr">
        <is>
          <t>In this episode, J and Ben take another shot at the Leaf Cup (again) in their efforts to 3-star as Link and Baby Peach. J and Ben continue to discuss Ben's "Rules to Life." If you have any questions you would like for J and Ben to answer in the next video, leave them in the comments below and yours might get picked!</t>
        </is>
      </c>
      <c r="V2390" s="47">
        <f>IF(AND(P2390&gt;=Calendar!$K$2,P2390&lt;EDATE(Calendar!$K$2,1),OR(Calendar!$K$4="*",N2390=Calendar!$K$4)),P2390*100+COUNTIFS($P$6:$P$3267,P2390,$Q$6:$Q$3267,"&lt;="&amp;Q2390,$N$6:$N$3267,Calendar!$K$4),"")</f>
        <v/>
      </c>
      <c r="W2390" s="47">
        <f>IF(AND(B2390=Queue!$C$4,OR(Queue!$K$4="*",N2390=Queue!$K$4)),Q2390,"")</f>
        <v/>
      </c>
    </row>
    <row r="2391">
      <c r="A2391" s="38">
        <f>IF(M2391="","",HYPERLINK("https://www.youtube.com/watch?v="&amp;M2391,"▶"))</f>
        <v/>
      </c>
      <c r="B2391" s="39">
        <f>IF(C2391&lt;&gt;"",C2391,IF(P2391&lt;=IFERROR(INDEX(tblChannels[Watched Through],MATCH(N2391,tblChannels[Channel ID],0)),0),"Watched","Unwatched"))</f>
        <v/>
      </c>
      <c r="C2391" s="40" t="n"/>
      <c r="D2391" s="41" t="n"/>
      <c r="E2391" s="42" t="n">
        <v>42955.62430555555</v>
      </c>
      <c r="F2391" s="50" t="inlineStr">
        <is>
          <t>Super Carlin Brothers</t>
        </is>
      </c>
      <c r="G2391" t="inlineStr">
        <is>
          <t>Will O' The Wisps Explained</t>
        </is>
      </c>
      <c r="H2391" s="44" t="n">
        <v>0.007916666666666667</v>
      </c>
      <c r="I2391" s="45" t="n">
        <v>532138</v>
      </c>
      <c r="J2391" s="45" t="n">
        <v>19267</v>
      </c>
      <c r="K2391" s="45" t="n">
        <v>2516</v>
      </c>
      <c r="L2391" s="46" t="n"/>
      <c r="M2391" s="47" t="n"/>
      <c r="N2391" s="47" t="inlineStr">
        <is>
          <t>UCKZo4N0lVPccBkSiuyVh4yg</t>
        </is>
      </c>
      <c r="O2391" s="48" t="n">
        <v>42955.79097222222</v>
      </c>
      <c r="P2391" s="49" t="n">
        <v>42955</v>
      </c>
      <c r="Q2391" s="47" t="n">
        <v>877</v>
      </c>
      <c r="R2391" s="47" t="inlineStr">
        <is>
          <t>No Video ID yet</t>
        </is>
      </c>
      <c r="S2391" s="49" t="n"/>
      <c r="T2391" s="49" t="n"/>
      <c r="U2391" s="47" t="inlineStr">
        <is>
          <t>Discover details about your unique family history. Go to and get a 10% discount! Thanks to AncestryDNA for sponsoring this video. Ever wonder about those little blue flame guys from Pixar’s Brave? Today J delves into their interesting backstory, widespread folklore and the actual science behind them</t>
        </is>
      </c>
      <c r="V2391" s="47">
        <f>IF(AND(P2391&gt;=Calendar!$K$2,P2391&lt;EDATE(Calendar!$K$2,1),OR(Calendar!$K$4="*",N2391=Calendar!$K$4)),P2391*100+COUNTIFS($P$6:$P$3267,P2391,$Q$6:$Q$3267,"&lt;="&amp;Q2391,$N$6:$N$3267,Calendar!$K$4),"")</f>
        <v/>
      </c>
      <c r="W2391" s="47">
        <f>IF(AND(B2391=Queue!$C$4,OR(Queue!$K$4="*",N2391=Queue!$K$4)),Q2391,"")</f>
        <v/>
      </c>
    </row>
    <row r="2392">
      <c r="A2392" s="38">
        <f>IF(M2392="","",HYPERLINK("https://www.youtube.com/watch?v="&amp;M2392,"▶"))</f>
        <v/>
      </c>
      <c r="B2392" s="39">
        <f>IF(C2392&lt;&gt;"",C2392,IF(P2392&lt;=IFERROR(INDEX(tblChannels[Watched Through],MATCH(N2392,tblChannels[Channel ID],0)),0),"Watched","Unwatched"))</f>
        <v/>
      </c>
      <c r="C2392" s="40" t="n"/>
      <c r="D2392" s="41" t="n"/>
      <c r="E2392" s="42" t="n">
        <v>42955.45277777778</v>
      </c>
      <c r="F2392" s="52" t="inlineStr">
        <is>
          <t>Super Carlin Gaming</t>
        </is>
      </c>
      <c r="G2392" t="inlineStr">
        <is>
          <t>Mario Kart Roulette #22: Don't Watch This Video If You're Pregnant</t>
        </is>
      </c>
      <c r="H2392" s="44" t="n">
        <v>0.01170138888888889</v>
      </c>
      <c r="I2392" s="45" t="n">
        <v>15552</v>
      </c>
      <c r="J2392" s="45" t="n">
        <v>522</v>
      </c>
      <c r="K2392" s="45" t="n">
        <v>170</v>
      </c>
      <c r="L2392" s="46" t="n"/>
      <c r="M2392" s="47" t="n"/>
      <c r="N2392" s="47" t="inlineStr">
        <is>
          <t>UCor_9jRnNNZVzTuQ92PKsaQ</t>
        </is>
      </c>
      <c r="O2392" s="48" t="n">
        <v>42955.61944444444</v>
      </c>
      <c r="P2392" s="49" t="n">
        <v>42955</v>
      </c>
      <c r="Q2392" s="47" t="n">
        <v>876</v>
      </c>
      <c r="R2392" s="47" t="inlineStr">
        <is>
          <t>No Video ID yet</t>
        </is>
      </c>
      <c r="S2392" s="49" t="n"/>
      <c r="T2392" s="49" t="n"/>
      <c r="U2392" s="47" t="inlineStr">
        <is>
          <t>In this episode, Ben and J take on the flower cup (again) in their efforts to 3-star. Can they do it? We shall see... They play as Villager Girl and Lakitu as they discuss Ben's "Rules to Life!" If you have any questions that you'd like for Ben and J to answer in the next video, leave them in the comments below and direct them at KALLIE so she'll see it!</t>
        </is>
      </c>
      <c r="V2392" s="47">
        <f>IF(AND(P2392&gt;=Calendar!$K$2,P2392&lt;EDATE(Calendar!$K$2,1),OR(Calendar!$K$4="*",N2392=Calendar!$K$4)),P2392*100+COUNTIFS($P$6:$P$3267,P2392,$Q$6:$Q$3267,"&lt;="&amp;Q2392,$N$6:$N$3267,Calendar!$K$4),"")</f>
        <v/>
      </c>
      <c r="W2392" s="47">
        <f>IF(AND(B2392=Queue!$C$4,OR(Queue!$K$4="*",N2392=Queue!$K$4)),Q2392,"")</f>
        <v/>
      </c>
    </row>
    <row r="2393">
      <c r="A2393" s="38">
        <f>IF(M2393="","",HYPERLINK("https://www.youtube.com/watch?v="&amp;M2393,"▶"))</f>
        <v/>
      </c>
      <c r="B2393" s="39">
        <f>IF(C2393&lt;&gt;"",C2393,IF(P2393&lt;=IFERROR(INDEX(tblChannels[Watched Through],MATCH(N2393,tblChannels[Channel ID],0)),0),"Watched","Unwatched"))</f>
        <v/>
      </c>
      <c r="C2393" s="40" t="n"/>
      <c r="D2393" s="41" t="n"/>
      <c r="E2393" s="42" t="n">
        <v>42951.74722222222</v>
      </c>
      <c r="F2393" s="52" t="inlineStr">
        <is>
          <t>Super Carlin Gaming</t>
        </is>
      </c>
      <c r="G2393" t="inlineStr">
        <is>
          <t>Pokemon Pearl Nuzlocke #30: THE FINAL BATTLE!</t>
        </is>
      </c>
      <c r="H2393" s="44" t="n">
        <v>0.02143518518518519</v>
      </c>
      <c r="I2393" s="45" t="n">
        <v>33624</v>
      </c>
      <c r="J2393" s="45" t="n">
        <v>1080</v>
      </c>
      <c r="K2393" s="45" t="n">
        <v>462</v>
      </c>
      <c r="L2393" s="46" t="n"/>
      <c r="M2393" s="47" t="n"/>
      <c r="N2393" s="47" t="inlineStr">
        <is>
          <t>UCor_9jRnNNZVzTuQ92PKsaQ</t>
        </is>
      </c>
      <c r="O2393" s="48" t="n">
        <v>42951.91388888889</v>
      </c>
      <c r="P2393" s="49" t="n">
        <v>42951</v>
      </c>
      <c r="Q2393" s="47" t="n">
        <v>875</v>
      </c>
      <c r="R2393" s="47" t="inlineStr">
        <is>
          <t>No Video ID yet</t>
        </is>
      </c>
      <c r="S2393" s="49" t="n"/>
      <c r="T2393" s="49" t="n"/>
      <c r="U2393" s="47" t="inlineStr">
        <is>
          <t>J and the team take on Cynthia - It all comes down to this! Will the team be victorious?!? Who will we lose along the way?! DK's Twitter:</t>
        </is>
      </c>
      <c r="V2393" s="47">
        <f>IF(AND(P2393&gt;=Calendar!$K$2,P2393&lt;EDATE(Calendar!$K$2,1),OR(Calendar!$K$4="*",N2393=Calendar!$K$4)),P2393*100+COUNTIFS($P$6:$P$3267,P2393,$Q$6:$Q$3267,"&lt;="&amp;Q2393,$N$6:$N$3267,Calendar!$K$4),"")</f>
        <v/>
      </c>
      <c r="W2393" s="47">
        <f>IF(AND(B2393=Queue!$C$4,OR(Queue!$K$4="*",N2393=Queue!$K$4)),Q2393,"")</f>
        <v/>
      </c>
    </row>
    <row r="2394">
      <c r="A2394" s="38">
        <f>IF(M2394="","",HYPERLINK("https://www.youtube.com/watch?v="&amp;M2394,"▶"))</f>
        <v/>
      </c>
      <c r="B2394" s="39">
        <f>IF(C2394&lt;&gt;"",C2394,IF(P2394&lt;=IFERROR(INDEX(tblChannels[Watched Through],MATCH(N2394,tblChannels[Channel ID],0)),0),"Watched","Unwatched"))</f>
        <v/>
      </c>
      <c r="C2394" s="40" t="n"/>
      <c r="D2394" s="41" t="n"/>
      <c r="E2394" s="42" t="n">
        <v>42950.725</v>
      </c>
      <c r="F2394" s="50" t="inlineStr">
        <is>
          <t>Super Carlin Brothers</t>
        </is>
      </c>
      <c r="G2394" t="inlineStr">
        <is>
          <t>Harry Potter Theory: Why Harry Had To Compete In The Tri-Wizard Tournament</t>
        </is>
      </c>
      <c r="H2394" s="44" t="n">
        <v>0.005231481481481481</v>
      </c>
      <c r="I2394" s="45" t="n">
        <v>1962475</v>
      </c>
      <c r="J2394" s="45" t="n">
        <v>35881</v>
      </c>
      <c r="K2394" s="45" t="n">
        <v>4005</v>
      </c>
      <c r="L2394" s="46" t="n"/>
      <c r="M2394" s="47" t="n"/>
      <c r="N2394" s="47" t="inlineStr">
        <is>
          <t>UCKZo4N0lVPccBkSiuyVh4yg</t>
        </is>
      </c>
      <c r="O2394" s="48" t="n">
        <v>42950.89166666667</v>
      </c>
      <c r="P2394" s="49" t="n">
        <v>42950</v>
      </c>
      <c r="Q2394" s="47" t="n">
        <v>874</v>
      </c>
      <c r="R2394" s="47" t="inlineStr">
        <is>
          <t>No Video ID yet</t>
        </is>
      </c>
      <c r="S2394" s="49" t="n"/>
      <c r="T2394" s="49" t="n"/>
      <c r="U2394" s="47" t="inlineStr">
        <is>
          <t>Ever wonder why Harry HAD to compete in the Tri-Wizard Cup? Why he couldn’t just stand aside or forfeit each task so it was fair to the other schools? Today Ben dives into the wizarding world of Harry Potter to find out.</t>
        </is>
      </c>
      <c r="V2394" s="47">
        <f>IF(AND(P2394&gt;=Calendar!$K$2,P2394&lt;EDATE(Calendar!$K$2,1),OR(Calendar!$K$4="*",N2394=Calendar!$K$4)),P2394*100+COUNTIFS($P$6:$P$3267,P2394,$Q$6:$Q$3267,"&lt;="&amp;Q2394,$N$6:$N$3267,Calendar!$K$4),"")</f>
        <v/>
      </c>
      <c r="W2394" s="47">
        <f>IF(AND(B2394=Queue!$C$4,OR(Queue!$K$4="*",N2394=Queue!$K$4)),Q2394,"")</f>
        <v/>
      </c>
    </row>
    <row r="2395">
      <c r="A2395" s="38">
        <f>IF(M2395="","",HYPERLINK("https://www.youtube.com/watch?v="&amp;M2395,"▶"))</f>
        <v/>
      </c>
      <c r="B2395" s="39">
        <f>IF(C2395&lt;&gt;"",C2395,IF(P2395&lt;=IFERROR(INDEX(tblChannels[Watched Through],MATCH(N2395,tblChannels[Channel ID],0)),0),"Watched","Unwatched"))</f>
        <v/>
      </c>
      <c r="C2395" s="40" t="n"/>
      <c r="D2395" s="41" t="n"/>
      <c r="E2395" s="42" t="n">
        <v>42950.49097222222</v>
      </c>
      <c r="F2395" s="52" t="inlineStr">
        <is>
          <t>Super Carlin Gaming</t>
        </is>
      </c>
      <c r="G2395" t="inlineStr">
        <is>
          <t>Mario Kart Roulette #21: Which Deathly Hallow Would You Choose?</t>
        </is>
      </c>
      <c r="H2395" s="44" t="n">
        <v>0.01185185185185185</v>
      </c>
      <c r="I2395" s="45" t="n">
        <v>14768</v>
      </c>
      <c r="J2395" s="45" t="n">
        <v>453</v>
      </c>
      <c r="K2395" s="45" t="n">
        <v>146</v>
      </c>
      <c r="L2395" s="46" t="n"/>
      <c r="M2395" s="47" t="n"/>
      <c r="N2395" s="47" t="inlineStr">
        <is>
          <t>UCor_9jRnNNZVzTuQ92PKsaQ</t>
        </is>
      </c>
      <c r="O2395" s="48" t="n">
        <v>42950.65763888889</v>
      </c>
      <c r="P2395" s="49" t="n">
        <v>42950</v>
      </c>
      <c r="Q2395" s="47" t="n">
        <v>873</v>
      </c>
      <c r="R2395" s="47" t="inlineStr">
        <is>
          <t>No Video ID yet</t>
        </is>
      </c>
      <c r="S2395" s="49" t="n"/>
      <c r="T2395" s="49" t="n"/>
      <c r="U2395" s="47" t="inlineStr">
        <is>
          <t>In this episode, J and Ben play as Bowser and Baby Daisy while they try to 3-star the Leaf Cup! If you would like for J and Ben to answer any of your questions in the next video, leave them in the comments below!</t>
        </is>
      </c>
      <c r="V2395" s="47">
        <f>IF(AND(P2395&gt;=Calendar!$K$2,P2395&lt;EDATE(Calendar!$K$2,1),OR(Calendar!$K$4="*",N2395=Calendar!$K$4)),P2395*100+COUNTIFS($P$6:$P$3267,P2395,$Q$6:$Q$3267,"&lt;="&amp;Q2395,$N$6:$N$3267,Calendar!$K$4),"")</f>
        <v/>
      </c>
      <c r="W2395" s="47">
        <f>IF(AND(B2395=Queue!$C$4,OR(Queue!$K$4="*",N2395=Queue!$K$4)),Q2395,"")</f>
        <v/>
      </c>
    </row>
    <row r="2396">
      <c r="A2396" s="38">
        <f>IF(M2396="","",HYPERLINK("https://www.youtube.com/watch?v="&amp;M2396,"▶"))</f>
        <v/>
      </c>
      <c r="B2396" s="39">
        <f>IF(C2396&lt;&gt;"",C2396,IF(P2396&lt;=IFERROR(INDEX(tblChannels[Watched Through],MATCH(N2396,tblChannels[Channel ID],0)),0),"Watched","Unwatched"))</f>
        <v/>
      </c>
      <c r="C2396" s="40" t="n"/>
      <c r="D2396" s="41" t="n"/>
      <c r="E2396" s="42" t="n">
        <v>42949.67152777778</v>
      </c>
      <c r="F2396" s="52" t="inlineStr">
        <is>
          <t>Super Carlin Gaming</t>
        </is>
      </c>
      <c r="G2396" t="inlineStr">
        <is>
          <t>Pokemon Pearl Nuzlocke #29: THE ELITE FOUR</t>
        </is>
      </c>
      <c r="H2396" s="44" t="n">
        <v>0.0249537037037037</v>
      </c>
      <c r="I2396" s="45" t="n">
        <v>27429</v>
      </c>
      <c r="J2396" s="45" t="n">
        <v>798</v>
      </c>
      <c r="K2396" s="45" t="n">
        <v>172</v>
      </c>
      <c r="L2396" s="46" t="n"/>
      <c r="M2396" s="47" t="n"/>
      <c r="N2396" s="47" t="inlineStr">
        <is>
          <t>UCor_9jRnNNZVzTuQ92PKsaQ</t>
        </is>
      </c>
      <c r="O2396" s="48" t="n">
        <v>42949.83819444444</v>
      </c>
      <c r="P2396" s="49" t="n">
        <v>42949</v>
      </c>
      <c r="Q2396" s="47" t="n">
        <v>872</v>
      </c>
      <c r="R2396" s="47" t="inlineStr">
        <is>
          <t>No Video ID yet</t>
        </is>
      </c>
      <c r="S2396" s="49" t="n"/>
      <c r="T2396" s="49" t="n"/>
      <c r="U2396" s="47" t="inlineStr">
        <is>
          <t>J and the Team take on the Elite Four! Will everyone make it out alive?</t>
        </is>
      </c>
      <c r="V2396" s="47">
        <f>IF(AND(P2396&gt;=Calendar!$K$2,P2396&lt;EDATE(Calendar!$K$2,1),OR(Calendar!$K$4="*",N2396=Calendar!$K$4)),P2396*100+COUNTIFS($P$6:$P$3267,P2396,$Q$6:$Q$3267,"&lt;="&amp;Q2396,$N$6:$N$3267,Calendar!$K$4),"")</f>
        <v/>
      </c>
      <c r="W2396" s="47">
        <f>IF(AND(B2396=Queue!$C$4,OR(Queue!$K$4="*",N2396=Queue!$K$4)),Q2396,"")</f>
        <v/>
      </c>
    </row>
    <row r="2397">
      <c r="A2397" s="38">
        <f>IF(M2397="","",HYPERLINK("https://www.youtube.com/watch?v="&amp;M2397,"▶"))</f>
        <v/>
      </c>
      <c r="B2397" s="39">
        <f>IF(C2397&lt;&gt;"",C2397,IF(P2397&lt;=IFERROR(INDEX(tblChannels[Watched Through],MATCH(N2397,tblChannels[Channel ID],0)),0),"Watched","Unwatched"))</f>
        <v/>
      </c>
      <c r="C2397" s="40" t="n"/>
      <c r="D2397" s="41" t="n"/>
      <c r="E2397" s="42" t="n">
        <v>42948.72777777778</v>
      </c>
      <c r="F2397" s="50" t="inlineStr">
        <is>
          <t>Super Carlin Brothers</t>
        </is>
      </c>
      <c r="G2397" t="inlineStr">
        <is>
          <t>Harry Potter Theory: How The Resurrection Stone Actually Works</t>
        </is>
      </c>
      <c r="H2397" s="44" t="n">
        <v>0.005868055555555555</v>
      </c>
      <c r="I2397" s="45" t="n">
        <v>1705097</v>
      </c>
      <c r="J2397" s="45" t="n">
        <v>36454</v>
      </c>
      <c r="K2397" s="45" t="n">
        <v>7712</v>
      </c>
      <c r="L2397" s="46" t="n"/>
      <c r="M2397" s="47" t="n"/>
      <c r="N2397" s="47" t="inlineStr">
        <is>
          <t>UCKZo4N0lVPccBkSiuyVh4yg</t>
        </is>
      </c>
      <c r="O2397" s="48" t="n">
        <v>42948.89444444444</v>
      </c>
      <c r="P2397" s="49" t="n">
        <v>42948</v>
      </c>
      <c r="Q2397" s="47" t="n">
        <v>871</v>
      </c>
      <c r="R2397" s="47" t="inlineStr">
        <is>
          <t>No Video ID yet</t>
        </is>
      </c>
      <c r="S2397" s="49" t="n"/>
      <c r="T2397" s="49" t="n"/>
      <c r="U2397" s="47" t="inlineStr">
        <is>
          <t>Today J dives into the wizarding world of Harry Potter to determine the true nature of the 2nd Deathly Hallow: The Resurrection Stone, and discusses if Harry’s final moments before facing Voldemort are really what they seem. Special thanks to these patrons on Patreon: Charles C. Seymour, Qui Le, Kristhell Lopez, Elizabeth Jack, Tj Hammerlund, Amy Beerbower, Isabella</t>
        </is>
      </c>
      <c r="V2397" s="47">
        <f>IF(AND(P2397&gt;=Calendar!$K$2,P2397&lt;EDATE(Calendar!$K$2,1),OR(Calendar!$K$4="*",N2397=Calendar!$K$4)),P2397*100+COUNTIFS($P$6:$P$3267,P2397,$Q$6:$Q$3267,"&lt;="&amp;Q2397,$N$6:$N$3267,Calendar!$K$4),"")</f>
        <v/>
      </c>
      <c r="W2397" s="47">
        <f>IF(AND(B2397=Queue!$C$4,OR(Queue!$K$4="*",N2397=Queue!$K$4)),Q2397,"")</f>
        <v/>
      </c>
    </row>
    <row r="2398">
      <c r="A2398" s="38">
        <f>IF(M2398="","",HYPERLINK("https://www.youtube.com/watch?v="&amp;M2398,"▶"))</f>
        <v/>
      </c>
      <c r="B2398" s="39">
        <f>IF(C2398&lt;&gt;"",C2398,IF(P2398&lt;=IFERROR(INDEX(tblChannels[Watched Through],MATCH(N2398,tblChannels[Channel ID],0)),0),"Watched","Unwatched"))</f>
        <v/>
      </c>
      <c r="C2398" s="40" t="n"/>
      <c r="D2398" s="41" t="n"/>
      <c r="E2398" s="42" t="n">
        <v>42948.48402777778</v>
      </c>
      <c r="F2398" s="52" t="inlineStr">
        <is>
          <t>Super Carlin Gaming</t>
        </is>
      </c>
      <c r="G2398" t="inlineStr">
        <is>
          <t>Mario Kart Roulette #20: Ice Cream and Pizza Toppings</t>
        </is>
      </c>
      <c r="H2398" s="44" t="n">
        <v>0.01055555555555556</v>
      </c>
      <c r="I2398" s="45" t="n">
        <v>16245</v>
      </c>
      <c r="J2398" s="45" t="n">
        <v>462</v>
      </c>
      <c r="K2398" s="45" t="n">
        <v>153</v>
      </c>
      <c r="L2398" s="46" t="n"/>
      <c r="M2398" s="47" t="n"/>
      <c r="N2398" s="47" t="inlineStr">
        <is>
          <t>UCor_9jRnNNZVzTuQ92PKsaQ</t>
        </is>
      </c>
      <c r="O2398" s="48" t="n">
        <v>42948.65069444444</v>
      </c>
      <c r="P2398" s="49" t="n">
        <v>42948</v>
      </c>
      <c r="Q2398" s="47" t="n">
        <v>870</v>
      </c>
      <c r="R2398" s="47" t="inlineStr">
        <is>
          <t>No Video ID yet</t>
        </is>
      </c>
      <c r="S2398" s="49" t="n"/>
      <c r="T2398" s="49" t="n"/>
      <c r="U2398" s="47" t="inlineStr">
        <is>
          <t>In this episode, J and Ben play as Donkey Kong and Daisy in their efforts to 3-star the Banana Cup... again. If you would like for J and Ben to answer any of your questions in the next video, leave them in the comments below!</t>
        </is>
      </c>
      <c r="V2398" s="47">
        <f>IF(AND(P2398&gt;=Calendar!$K$2,P2398&lt;EDATE(Calendar!$K$2,1),OR(Calendar!$K$4="*",N2398=Calendar!$K$4)),P2398*100+COUNTIFS($P$6:$P$3267,P2398,$Q$6:$Q$3267,"&lt;="&amp;Q2398,$N$6:$N$3267,Calendar!$K$4),"")</f>
        <v/>
      </c>
      <c r="W2398" s="47">
        <f>IF(AND(B2398=Queue!$C$4,OR(Queue!$K$4="*",N2398=Queue!$K$4)),Q2398,"")</f>
        <v/>
      </c>
    </row>
    <row r="2399">
      <c r="A2399" s="38">
        <f>IF(M2399="","",HYPERLINK("https://www.youtube.com/watch?v="&amp;M2399,"▶"))</f>
        <v/>
      </c>
      <c r="B2399" s="39">
        <f>IF(C2399&lt;&gt;"",C2399,IF(P2399&lt;=IFERROR(INDEX(tblChannels[Watched Through],MATCH(N2399,tblChannels[Channel ID],0)),0),"Watched","Unwatched"))</f>
        <v/>
      </c>
      <c r="C2399" s="40" t="n"/>
      <c r="D2399" s="41" t="n"/>
      <c r="E2399" s="42" t="n">
        <v>42947.67083333333</v>
      </c>
      <c r="F2399" s="52" t="inlineStr">
        <is>
          <t>Super Carlin Gaming</t>
        </is>
      </c>
      <c r="G2399" t="inlineStr">
        <is>
          <t>Pokemon Pearl Nuzlocke #28: Final Preparations!</t>
        </is>
      </c>
      <c r="H2399" s="44" t="n">
        <v>0.02297453703703704</v>
      </c>
      <c r="I2399" s="45" t="n">
        <v>24240</v>
      </c>
      <c r="J2399" s="45" t="n">
        <v>633</v>
      </c>
      <c r="K2399" s="45" t="n">
        <v>181</v>
      </c>
      <c r="L2399" s="46" t="n"/>
      <c r="M2399" s="47" t="n"/>
      <c r="N2399" s="47" t="inlineStr">
        <is>
          <t>UCor_9jRnNNZVzTuQ92PKsaQ</t>
        </is>
      </c>
      <c r="O2399" s="48" t="n">
        <v>42947.8375</v>
      </c>
      <c r="P2399" s="49" t="n">
        <v>42947</v>
      </c>
      <c r="Q2399" s="47" t="n">
        <v>869</v>
      </c>
      <c r="R2399" s="47" t="inlineStr">
        <is>
          <t>No Video ID yet</t>
        </is>
      </c>
      <c r="S2399" s="49" t="n"/>
      <c r="T2399" s="49" t="n"/>
      <c r="U2399" s="47" t="inlineStr">
        <is>
          <t>J and the team prepare to face the Elite 4!</t>
        </is>
      </c>
      <c r="V2399" s="47">
        <f>IF(AND(P2399&gt;=Calendar!$K$2,P2399&lt;EDATE(Calendar!$K$2,1),OR(Calendar!$K$4="*",N2399=Calendar!$K$4)),P2399*100+COUNTIFS($P$6:$P$3267,P2399,$Q$6:$Q$3267,"&lt;="&amp;Q2399,$N$6:$N$3267,Calendar!$K$4),"")</f>
        <v/>
      </c>
      <c r="W2399" s="47">
        <f>IF(AND(B2399=Queue!$C$4,OR(Queue!$K$4="*",N2399=Queue!$K$4)),Q2399,"")</f>
        <v/>
      </c>
    </row>
    <row r="2400">
      <c r="A2400" s="38">
        <f>IF(M2400="","",HYPERLINK("https://www.youtube.com/watch?v="&amp;M2400,"▶"))</f>
        <v/>
      </c>
      <c r="B2400" s="39">
        <f>IF(C2400&lt;&gt;"",C2400,IF(P2400&lt;=IFERROR(INDEX(tblChannels[Watched Through],MATCH(N2400,tblChannels[Channel ID],0)),0),"Watched","Unwatched"))</f>
        <v/>
      </c>
      <c r="C2400" s="40" t="n"/>
      <c r="D2400" s="41" t="n"/>
      <c r="E2400" s="42" t="n">
        <v>42944.65763888889</v>
      </c>
      <c r="F2400" s="52" t="inlineStr">
        <is>
          <t>Super Carlin Gaming</t>
        </is>
      </c>
      <c r="G2400" t="inlineStr">
        <is>
          <t>Pokemon Pearl Nuzlocke #27: Graveler Surprise!</t>
        </is>
      </c>
      <c r="H2400" s="44" t="n">
        <v>0.01350694444444444</v>
      </c>
      <c r="I2400" s="45" t="n">
        <v>22152</v>
      </c>
      <c r="J2400" s="45" t="n">
        <v>778</v>
      </c>
      <c r="K2400" s="45" t="n">
        <v>290</v>
      </c>
      <c r="L2400" s="46" t="n"/>
      <c r="M2400" s="47" t="n"/>
      <c r="N2400" s="47" t="inlineStr">
        <is>
          <t>UCor_9jRnNNZVzTuQ92PKsaQ</t>
        </is>
      </c>
      <c r="O2400" s="48" t="n">
        <v>42944.82430555556</v>
      </c>
      <c r="P2400" s="49" t="n">
        <v>42944</v>
      </c>
      <c r="Q2400" s="47" t="n">
        <v>868</v>
      </c>
      <c r="R2400" s="47" t="inlineStr">
        <is>
          <t>No Video ID yet</t>
        </is>
      </c>
      <c r="S2400" s="49" t="n"/>
      <c r="T2400" s="49" t="n"/>
      <c r="U2400" s="47" t="inlineStr">
        <is>
          <t>J and the team do a little grinding, and then go up against Sprouts! Can the team make it through the battle without the loss of another member?</t>
        </is>
      </c>
      <c r="V2400" s="47">
        <f>IF(AND(P2400&gt;=Calendar!$K$2,P2400&lt;EDATE(Calendar!$K$2,1),OR(Calendar!$K$4="*",N2400=Calendar!$K$4)),P2400*100+COUNTIFS($P$6:$P$3267,P2400,$Q$6:$Q$3267,"&lt;="&amp;Q2400,$N$6:$N$3267,Calendar!$K$4),"")</f>
        <v/>
      </c>
      <c r="W2400" s="47">
        <f>IF(AND(B2400=Queue!$C$4,OR(Queue!$K$4="*",N2400=Queue!$K$4)),Q2400,"")</f>
        <v/>
      </c>
    </row>
    <row r="2401">
      <c r="A2401" s="38">
        <f>IF(M2401="","",HYPERLINK("https://www.youtube.com/watch?v="&amp;M2401,"▶"))</f>
        <v/>
      </c>
      <c r="B2401" s="39">
        <f>IF(C2401&lt;&gt;"",C2401,IF(P2401&lt;=IFERROR(INDEX(tblChannels[Watched Through],MATCH(N2401,tblChannels[Channel ID],0)),0),"Watched","Unwatched"))</f>
        <v/>
      </c>
      <c r="C2401" s="40" t="n"/>
      <c r="D2401" s="41" t="n"/>
      <c r="E2401" s="42" t="n">
        <v>42943.90763888889</v>
      </c>
      <c r="F2401" s="50" t="inlineStr">
        <is>
          <t>Super Carlin Brothers</t>
        </is>
      </c>
      <c r="G2401" t="inlineStr">
        <is>
          <t>How to Get Accepted into Hogwarts!</t>
        </is>
      </c>
      <c r="H2401" s="44" t="n">
        <v>0.005081018518518519</v>
      </c>
      <c r="I2401" s="45" t="n">
        <v>1696420</v>
      </c>
      <c r="J2401" s="45" t="n">
        <v>39503</v>
      </c>
      <c r="K2401" s="45" t="n">
        <v>7272</v>
      </c>
      <c r="L2401" s="46" t="n"/>
      <c r="M2401" s="47" t="n"/>
      <c r="N2401" s="47" t="inlineStr">
        <is>
          <t>UCKZo4N0lVPccBkSiuyVh4yg</t>
        </is>
      </c>
      <c r="O2401" s="48" t="n">
        <v>42944.07430555556</v>
      </c>
      <c r="P2401" s="49" t="n">
        <v>42943</v>
      </c>
      <c r="Q2401" s="47" t="n">
        <v>867</v>
      </c>
      <c r="R2401" s="47" t="inlineStr">
        <is>
          <t>No Video ID yet</t>
        </is>
      </c>
      <c r="S2401" s="49" t="n"/>
      <c r="T2401" s="49" t="n"/>
      <c r="U2401" s="47" t="inlineStr">
        <is>
          <t>Sure you need to get your acceptance letter, but how the heck do you get one!?</t>
        </is>
      </c>
      <c r="V2401" s="47">
        <f>IF(AND(P2401&gt;=Calendar!$K$2,P2401&lt;EDATE(Calendar!$K$2,1),OR(Calendar!$K$4="*",N2401=Calendar!$K$4)),P2401*100+COUNTIFS($P$6:$P$3267,P2401,$Q$6:$Q$3267,"&lt;="&amp;Q2401,$N$6:$N$3267,Calendar!$K$4),"")</f>
        <v/>
      </c>
      <c r="W2401" s="47">
        <f>IF(AND(B2401=Queue!$C$4,OR(Queue!$K$4="*",N2401=Queue!$K$4)),Q2401,"")</f>
        <v/>
      </c>
    </row>
    <row r="2402">
      <c r="A2402" s="38">
        <f>IF(M2402="","",HYPERLINK("https://www.youtube.com/watch?v="&amp;M2402,"▶"))</f>
        <v/>
      </c>
      <c r="B2402" s="39">
        <f>IF(C2402&lt;&gt;"",C2402,IF(P2402&lt;=IFERROR(INDEX(tblChannels[Watched Through],MATCH(N2402,tblChannels[Channel ID],0)),0),"Watched","Unwatched"))</f>
        <v/>
      </c>
      <c r="C2402" s="40" t="n"/>
      <c r="D2402" s="41" t="n"/>
      <c r="E2402" s="42" t="n">
        <v>42943.41666666666</v>
      </c>
      <c r="F2402" s="52" t="inlineStr">
        <is>
          <t>Super Carlin Gaming</t>
        </is>
      </c>
      <c r="G2402" t="inlineStr">
        <is>
          <t>Mario Kart Roulette #19: Crossing Cup? More like Frogger Cup, am I right?</t>
        </is>
      </c>
      <c r="H2402" s="44" t="n">
        <v>0.0124537037037037</v>
      </c>
      <c r="I2402" s="45" t="n">
        <v>17321</v>
      </c>
      <c r="J2402" s="45" t="n">
        <v>496</v>
      </c>
      <c r="K2402" s="45" t="n">
        <v>181</v>
      </c>
      <c r="L2402" s="46" t="n"/>
      <c r="M2402" s="47" t="n"/>
      <c r="N2402" s="47" t="inlineStr">
        <is>
          <t>UCor_9jRnNNZVzTuQ92PKsaQ</t>
        </is>
      </c>
      <c r="O2402" s="48" t="n">
        <v>42943.58333333334</v>
      </c>
      <c r="P2402" s="49" t="n">
        <v>42943</v>
      </c>
      <c r="Q2402" s="47" t="n">
        <v>866</v>
      </c>
      <c r="R2402" s="47" t="inlineStr">
        <is>
          <t>No Video ID yet</t>
        </is>
      </c>
      <c r="S2402" s="49" t="n"/>
      <c r="T2402" s="49" t="n"/>
      <c r="U2402" s="47" t="inlineStr">
        <is>
          <t>In this episode, J and Ben play as Luigi and Lemmy in their efforts to 3-star the Crossing Cup. If you would like for J and Ben to answer any of your questions in the next video, leave them in the comments below!</t>
        </is>
      </c>
      <c r="V2402" s="47">
        <f>IF(AND(P2402&gt;=Calendar!$K$2,P2402&lt;EDATE(Calendar!$K$2,1),OR(Calendar!$K$4="*",N2402=Calendar!$K$4)),P2402*100+COUNTIFS($P$6:$P$3267,P2402,$Q$6:$Q$3267,"&lt;="&amp;Q2402,$N$6:$N$3267,Calendar!$K$4),"")</f>
        <v/>
      </c>
      <c r="W2402" s="47">
        <f>IF(AND(B2402=Queue!$C$4,OR(Queue!$K$4="*",N2402=Queue!$K$4)),Q2402,"")</f>
        <v/>
      </c>
    </row>
    <row r="2403">
      <c r="A2403" s="38">
        <f>IF(M2403="","",HYPERLINK("https://www.youtube.com/watch?v="&amp;M2403,"▶"))</f>
        <v/>
      </c>
      <c r="B2403" s="39">
        <f>IF(C2403&lt;&gt;"",C2403,IF(P2403&lt;=IFERROR(INDEX(tblChannels[Watched Through],MATCH(N2403,tblChannels[Channel ID],0)),0),"Watched","Unwatched"))</f>
        <v/>
      </c>
      <c r="C2403" s="40" t="n"/>
      <c r="D2403" s="41" t="n"/>
      <c r="E2403" s="42" t="n">
        <v>42942.62847222222</v>
      </c>
      <c r="F2403" s="52" t="inlineStr">
        <is>
          <t>Super Carlin Gaming</t>
        </is>
      </c>
      <c r="G2403" t="inlineStr">
        <is>
          <t>Pokemon Pearl Nuzlocke #26: Aniki is stronger than you.</t>
        </is>
      </c>
      <c r="H2403" s="44" t="n">
        <v>0.03050925925925926</v>
      </c>
      <c r="I2403" s="45" t="n">
        <v>27509</v>
      </c>
      <c r="J2403" s="45" t="n">
        <v>679</v>
      </c>
      <c r="K2403" s="45" t="n">
        <v>404</v>
      </c>
      <c r="L2403" s="46" t="n"/>
      <c r="M2403" s="47" t="n"/>
      <c r="N2403" s="47" t="inlineStr">
        <is>
          <t>UCor_9jRnNNZVzTuQ92PKsaQ</t>
        </is>
      </c>
      <c r="O2403" s="48" t="n">
        <v>42942.79513888889</v>
      </c>
      <c r="P2403" s="49" t="n">
        <v>42942</v>
      </c>
      <c r="Q2403" s="47" t="n">
        <v>865</v>
      </c>
      <c r="R2403" s="47" t="inlineStr">
        <is>
          <t>No Video ID yet</t>
        </is>
      </c>
      <c r="S2403" s="49" t="n"/>
      <c r="T2403" s="49" t="n"/>
      <c r="U2403" s="47" t="n"/>
      <c r="V2403" s="47">
        <f>IF(AND(P2403&gt;=Calendar!$K$2,P2403&lt;EDATE(Calendar!$K$2,1),OR(Calendar!$K$4="*",N2403=Calendar!$K$4)),P2403*100+COUNTIFS($P$6:$P$3267,P2403,$Q$6:$Q$3267,"&lt;="&amp;Q2403,$N$6:$N$3267,Calendar!$K$4),"")</f>
        <v/>
      </c>
      <c r="W2403" s="47">
        <f>IF(AND(B2403=Queue!$C$4,OR(Queue!$K$4="*",N2403=Queue!$K$4)),Q2403,"")</f>
        <v/>
      </c>
    </row>
    <row r="2404">
      <c r="A2404" s="38">
        <f>IF(M2404="","",HYPERLINK("https://www.youtube.com/watch?v="&amp;M2404,"▶"))</f>
        <v/>
      </c>
      <c r="B2404" s="39">
        <f>IF(C2404&lt;&gt;"",C2404,IF(P2404&lt;=IFERROR(INDEX(tblChannels[Watched Through],MATCH(N2404,tblChannels[Channel ID],0)),0),"Watched","Unwatched"))</f>
        <v/>
      </c>
      <c r="C2404" s="40" t="n"/>
      <c r="D2404" s="41" t="n"/>
      <c r="E2404" s="42" t="n">
        <v>42941.62708333333</v>
      </c>
      <c r="F2404" s="50" t="inlineStr">
        <is>
          <t>Super Carlin Brothers</t>
        </is>
      </c>
      <c r="G2404" t="inlineStr">
        <is>
          <t>J vs Ben: The HARDEST Dumbledore Trivia Quiz EVER!</t>
        </is>
      </c>
      <c r="H2404" s="44" t="n">
        <v>0.02212962962962963</v>
      </c>
      <c r="I2404" s="45" t="n">
        <v>1548625</v>
      </c>
      <c r="J2404" s="45" t="n">
        <v>27628</v>
      </c>
      <c r="K2404" s="45" t="n">
        <v>5714</v>
      </c>
      <c r="L2404" s="46" t="n"/>
      <c r="M2404" s="47" t="n"/>
      <c r="N2404" s="47" t="inlineStr">
        <is>
          <t>UCKZo4N0lVPccBkSiuyVh4yg</t>
        </is>
      </c>
      <c r="O2404" s="48" t="n">
        <v>42941.79375</v>
      </c>
      <c r="P2404" s="49" t="n">
        <v>42941</v>
      </c>
      <c r="Q2404" s="47" t="n">
        <v>864</v>
      </c>
      <c r="R2404" s="47" t="inlineStr">
        <is>
          <t>No Video ID yet</t>
        </is>
      </c>
      <c r="S2404" s="49" t="n"/>
      <c r="T2404" s="49" t="n"/>
      <c r="U2404" s="47" t="inlineStr">
        <is>
          <t>Today Ben and J face off to find out just who would know Dumbledore from a Death Eater in disguise! Take the quiz with us! ::</t>
        </is>
      </c>
      <c r="V2404" s="47">
        <f>IF(AND(P2404&gt;=Calendar!$K$2,P2404&lt;EDATE(Calendar!$K$2,1),OR(Calendar!$K$4="*",N2404=Calendar!$K$4)),P2404*100+COUNTIFS($P$6:$P$3267,P2404,$Q$6:$Q$3267,"&lt;="&amp;Q2404,$N$6:$N$3267,Calendar!$K$4),"")</f>
        <v/>
      </c>
      <c r="W2404" s="47">
        <f>IF(AND(B2404=Queue!$C$4,OR(Queue!$K$4="*",N2404=Queue!$K$4)),Q2404,"")</f>
        <v/>
      </c>
    </row>
    <row r="2405">
      <c r="A2405" s="38">
        <f>IF(M2405="","",HYPERLINK("https://www.youtube.com/watch?v="&amp;M2405,"▶"))</f>
        <v/>
      </c>
      <c r="B2405" s="39">
        <f>IF(C2405&lt;&gt;"",C2405,IF(P2405&lt;=IFERROR(INDEX(tblChannels[Watched Through],MATCH(N2405,tblChannels[Channel ID],0)),0),"Watched","Unwatched"))</f>
        <v/>
      </c>
      <c r="C2405" s="40" t="n"/>
      <c r="D2405" s="41" t="n"/>
      <c r="E2405" s="42" t="n">
        <v>42941.41666666666</v>
      </c>
      <c r="F2405" s="52" t="inlineStr">
        <is>
          <t>Super Carlin Gaming</t>
        </is>
      </c>
      <c r="G2405" t="inlineStr">
        <is>
          <t>Mario Kart Roulette #18: Favorite YouTubers</t>
        </is>
      </c>
      <c r="H2405" s="44" t="n">
        <v>0.01146990740740741</v>
      </c>
      <c r="I2405" s="45" t="n">
        <v>17391</v>
      </c>
      <c r="J2405" s="45" t="n">
        <v>512</v>
      </c>
      <c r="K2405" s="45" t="n">
        <v>92</v>
      </c>
      <c r="L2405" s="46" t="n"/>
      <c r="M2405" s="47" t="n"/>
      <c r="N2405" s="47" t="inlineStr">
        <is>
          <t>UCor_9jRnNNZVzTuQ92PKsaQ</t>
        </is>
      </c>
      <c r="O2405" s="48" t="n">
        <v>42941.58333333334</v>
      </c>
      <c r="P2405" s="49" t="n">
        <v>42941</v>
      </c>
      <c r="Q2405" s="47" t="n">
        <v>863</v>
      </c>
      <c r="R2405" s="47" t="inlineStr">
        <is>
          <t>No Video ID yet</t>
        </is>
      </c>
      <c r="S2405" s="49" t="n"/>
      <c r="T2405" s="49" t="n"/>
      <c r="U2405" s="47" t="inlineStr">
        <is>
          <t>In this episode, J and Ben discuss their favorite YouTube channels as they take on the Egg Cup as Dry Bones and Waluigi. Good Mythical Morning (Rhett and Link): Learn Quick (Mike Boyd): Drawfee: CGP Grey: Nerdy and Quirky: Playlist of Scott Sterling videos:</t>
        </is>
      </c>
      <c r="V2405" s="47">
        <f>IF(AND(P2405&gt;=Calendar!$K$2,P2405&lt;EDATE(Calendar!$K$2,1),OR(Calendar!$K$4="*",N2405=Calendar!$K$4)),P2405*100+COUNTIFS($P$6:$P$3267,P2405,$Q$6:$Q$3267,"&lt;="&amp;Q2405,$N$6:$N$3267,Calendar!$K$4),"")</f>
        <v/>
      </c>
      <c r="W2405" s="47">
        <f>IF(AND(B2405=Queue!$C$4,OR(Queue!$K$4="*",N2405=Queue!$K$4)),Q2405,"")</f>
        <v/>
      </c>
    </row>
    <row r="2406">
      <c r="A2406" s="38">
        <f>IF(M2406="","",HYPERLINK("https://www.youtube.com/watch?v="&amp;M2406,"▶"))</f>
        <v/>
      </c>
      <c r="B2406" s="39">
        <f>IF(C2406&lt;&gt;"",C2406,IF(P2406&lt;=IFERROR(INDEX(tblChannels[Watched Through],MATCH(N2406,tblChannels[Channel ID],0)),0),"Watched","Unwatched"))</f>
        <v/>
      </c>
      <c r="C2406" s="40" t="n"/>
      <c r="D2406" s="41" t="n"/>
      <c r="E2406" s="42" t="n">
        <v>42940.60833333333</v>
      </c>
      <c r="F2406" s="52" t="inlineStr">
        <is>
          <t>Super Carlin Gaming</t>
        </is>
      </c>
      <c r="G2406" t="inlineStr">
        <is>
          <t>Pokemon Pearl Nuzlocke #25: The road to Victory Road.</t>
        </is>
      </c>
      <c r="H2406" s="44" t="n">
        <v>0.01930555555555555</v>
      </c>
      <c r="I2406" s="45" t="n">
        <v>24582</v>
      </c>
      <c r="J2406" s="45" t="n">
        <v>659</v>
      </c>
      <c r="K2406" s="45" t="n">
        <v>146</v>
      </c>
      <c r="L2406" s="46" t="n"/>
      <c r="M2406" s="47" t="n"/>
      <c r="N2406" s="47" t="inlineStr">
        <is>
          <t>UCor_9jRnNNZVzTuQ92PKsaQ</t>
        </is>
      </c>
      <c r="O2406" s="48" t="n">
        <v>42940.775</v>
      </c>
      <c r="P2406" s="49" t="n">
        <v>42940</v>
      </c>
      <c r="Q2406" s="47" t="n">
        <v>862</v>
      </c>
      <c r="R2406" s="47" t="inlineStr">
        <is>
          <t>No Video ID yet</t>
        </is>
      </c>
      <c r="S2406" s="49" t="n"/>
      <c r="T2406" s="49" t="n"/>
      <c r="U2406" s="47" t="inlineStr">
        <is>
          <t>After some line up changes, J brings the team to Victory Road!</t>
        </is>
      </c>
      <c r="V2406" s="47">
        <f>IF(AND(P2406&gt;=Calendar!$K$2,P2406&lt;EDATE(Calendar!$K$2,1),OR(Calendar!$K$4="*",N2406=Calendar!$K$4)),P2406*100+COUNTIFS($P$6:$P$3267,P2406,$Q$6:$Q$3267,"&lt;="&amp;Q2406,$N$6:$N$3267,Calendar!$K$4),"")</f>
        <v/>
      </c>
      <c r="W2406" s="47">
        <f>IF(AND(B2406=Queue!$C$4,OR(Queue!$K$4="*",N2406=Queue!$K$4)),Q2406,"")</f>
        <v/>
      </c>
    </row>
    <row r="2407">
      <c r="A2407" s="38">
        <f>IF(M2407="","",HYPERLINK("https://www.youtube.com/watch?v="&amp;M2407,"▶"))</f>
        <v/>
      </c>
      <c r="B2407" s="39">
        <f>IF(C2407&lt;&gt;"",C2407,IF(P2407&lt;=IFERROR(INDEX(tblChannels[Watched Through],MATCH(N2407,tblChannels[Channel ID],0)),0),"Watched","Unwatched"))</f>
        <v/>
      </c>
      <c r="C2407" s="40" t="n"/>
      <c r="D2407" s="41" t="n"/>
      <c r="E2407" s="42" t="n">
        <v>42937.57708333333</v>
      </c>
      <c r="F2407" s="52" t="inlineStr">
        <is>
          <t>Super Carlin Gaming</t>
        </is>
      </c>
      <c r="G2407" t="inlineStr">
        <is>
          <t>Pokemon Pearl Nuzlocke #24: Hunting Legendaries!</t>
        </is>
      </c>
      <c r="H2407" s="44" t="n">
        <v>0.01743055555555556</v>
      </c>
      <c r="I2407" s="45" t="n">
        <v>24026</v>
      </c>
      <c r="J2407" s="45" t="n">
        <v>676</v>
      </c>
      <c r="K2407" s="45" t="n">
        <v>376</v>
      </c>
      <c r="L2407" s="46" t="n"/>
      <c r="M2407" s="47" t="n"/>
      <c r="N2407" s="47" t="inlineStr">
        <is>
          <t>UCor_9jRnNNZVzTuQ92PKsaQ</t>
        </is>
      </c>
      <c r="O2407" s="48" t="n">
        <v>42937.74375</v>
      </c>
      <c r="P2407" s="49" t="n">
        <v>42937</v>
      </c>
      <c r="Q2407" s="47" t="n">
        <v>861</v>
      </c>
      <c r="R2407" s="47" t="inlineStr">
        <is>
          <t>No Video ID yet</t>
        </is>
      </c>
      <c r="S2407" s="49" t="n"/>
      <c r="T2407" s="49" t="n"/>
      <c r="U2407" s="47" t="inlineStr">
        <is>
          <t>J and the gang venture to catch the remaining Legendary Pokémon, but without a masterball, can it be done? What is the cost?</t>
        </is>
      </c>
      <c r="V2407" s="47">
        <f>IF(AND(P2407&gt;=Calendar!$K$2,P2407&lt;EDATE(Calendar!$K$2,1),OR(Calendar!$K$4="*",N2407=Calendar!$K$4)),P2407*100+COUNTIFS($P$6:$P$3267,P2407,$Q$6:$Q$3267,"&lt;="&amp;Q2407,$N$6:$N$3267,Calendar!$K$4),"")</f>
        <v/>
      </c>
      <c r="W2407" s="47">
        <f>IF(AND(B2407=Queue!$C$4,OR(Queue!$K$4="*",N2407=Queue!$K$4)),Q2407,"")</f>
        <v/>
      </c>
    </row>
    <row r="2408">
      <c r="A2408" s="38">
        <f>IF(M2408="","",HYPERLINK("https://www.youtube.com/watch?v="&amp;M2408,"▶"))</f>
        <v/>
      </c>
      <c r="B2408" s="39">
        <f>IF(C2408&lt;&gt;"",C2408,IF(P2408&lt;=IFERROR(INDEX(tblChannels[Watched Through],MATCH(N2408,tblChannels[Channel ID],0)),0),"Watched","Unwatched"))</f>
        <v/>
      </c>
      <c r="C2408" s="40" t="n"/>
      <c r="D2408" s="41" t="n"/>
      <c r="E2408" s="42" t="n">
        <v>42936.66597222222</v>
      </c>
      <c r="F2408" s="50" t="inlineStr">
        <is>
          <t>Super Carlin Brothers</t>
        </is>
      </c>
      <c r="G2408" t="inlineStr">
        <is>
          <t>How Pixar Was Almost Pixaren't!</t>
        </is>
      </c>
      <c r="H2408" s="44" t="n">
        <v>0.004513888888888888</v>
      </c>
      <c r="I2408" s="45" t="n">
        <v>456156</v>
      </c>
      <c r="J2408" s="45" t="n">
        <v>15303</v>
      </c>
      <c r="K2408" s="45" t="n">
        <v>1841</v>
      </c>
      <c r="L2408" s="46" t="n"/>
      <c r="M2408" s="47" t="n"/>
      <c r="N2408" s="47" t="inlineStr">
        <is>
          <t>UCKZo4N0lVPccBkSiuyVh4yg</t>
        </is>
      </c>
      <c r="O2408" s="48" t="n">
        <v>42936.83263888889</v>
      </c>
      <c r="P2408" s="49" t="n">
        <v>42936</v>
      </c>
      <c r="Q2408" s="47" t="n">
        <v>860</v>
      </c>
      <c r="R2408" s="47" t="inlineStr">
        <is>
          <t>No Video ID yet</t>
        </is>
      </c>
      <c r="S2408" s="49" t="n"/>
      <c r="T2408" s="49" t="n"/>
      <c r="U2408" s="47" t="inlineStr">
        <is>
          <t>Pixar was almost not Pixar! Well then, what was it? Ben lets us in on some Pixar history!</t>
        </is>
      </c>
      <c r="V2408" s="47">
        <f>IF(AND(P2408&gt;=Calendar!$K$2,P2408&lt;EDATE(Calendar!$K$2,1),OR(Calendar!$K$4="*",N2408=Calendar!$K$4)),P2408*100+COUNTIFS($P$6:$P$3267,P2408,$Q$6:$Q$3267,"&lt;="&amp;Q2408,$N$6:$N$3267,Calendar!$K$4),"")</f>
        <v/>
      </c>
      <c r="W2408" s="47">
        <f>IF(AND(B2408=Queue!$C$4,OR(Queue!$K$4="*",N2408=Queue!$K$4)),Q2408,"")</f>
        <v/>
      </c>
    </row>
    <row r="2409">
      <c r="A2409" s="38">
        <f>IF(M2409="","",HYPERLINK("https://www.youtube.com/watch?v="&amp;M2409,"▶"))</f>
        <v/>
      </c>
      <c r="B2409" s="39">
        <f>IF(C2409&lt;&gt;"",C2409,IF(P2409&lt;=IFERROR(INDEX(tblChannels[Watched Through],MATCH(N2409,tblChannels[Channel ID],0)),0),"Watched","Unwatched"))</f>
        <v/>
      </c>
      <c r="C2409" s="40" t="n"/>
      <c r="D2409" s="41" t="n"/>
      <c r="E2409" s="42" t="n">
        <v>42936.41666666666</v>
      </c>
      <c r="F2409" s="52" t="inlineStr">
        <is>
          <t>Super Carlin Gaming</t>
        </is>
      </c>
      <c r="G2409" t="inlineStr">
        <is>
          <t>Mario Kart Roulette #17: How Many Times Can Ben Fall Off the Course?</t>
        </is>
      </c>
      <c r="H2409" s="44" t="n">
        <v>0.0140162037037037</v>
      </c>
      <c r="I2409" s="45" t="n">
        <v>18343</v>
      </c>
      <c r="J2409" s="45" t="n">
        <v>499</v>
      </c>
      <c r="K2409" s="45" t="n">
        <v>108</v>
      </c>
      <c r="L2409" s="46" t="n"/>
      <c r="M2409" s="47" t="n"/>
      <c r="N2409" s="47" t="inlineStr">
        <is>
          <t>UCor_9jRnNNZVzTuQ92PKsaQ</t>
        </is>
      </c>
      <c r="O2409" s="48" t="n">
        <v>42936.58333333334</v>
      </c>
      <c r="P2409" s="49" t="n">
        <v>42936</v>
      </c>
      <c r="Q2409" s="47" t="n">
        <v>859</v>
      </c>
      <c r="R2409" s="47" t="inlineStr">
        <is>
          <t>No Video ID yet</t>
        </is>
      </c>
      <c r="S2409" s="49" t="n"/>
      <c r="T2409" s="49" t="n"/>
      <c r="U2409" s="47" t="inlineStr">
        <is>
          <t>In this episode, J and Ben take on the Special Cup as Pink Gold Peach and Luigi while they continue answering some of your questions. If you have any questions you would like J and Ben to answer in the next video, leave them in the comments below!</t>
        </is>
      </c>
      <c r="V2409" s="47">
        <f>IF(AND(P2409&gt;=Calendar!$K$2,P2409&lt;EDATE(Calendar!$K$2,1),OR(Calendar!$K$4="*",N2409=Calendar!$K$4)),P2409*100+COUNTIFS($P$6:$P$3267,P2409,$Q$6:$Q$3267,"&lt;="&amp;Q2409,$N$6:$N$3267,Calendar!$K$4),"")</f>
        <v/>
      </c>
      <c r="W2409" s="47">
        <f>IF(AND(B2409=Queue!$C$4,OR(Queue!$K$4="*",N2409=Queue!$K$4)),Q2409,"")</f>
        <v/>
      </c>
    </row>
    <row r="2410">
      <c r="A2410" s="38">
        <f>IF(M2410="","",HYPERLINK("https://www.youtube.com/watch?v="&amp;M2410,"▶"))</f>
        <v/>
      </c>
      <c r="B2410" s="39">
        <f>IF(C2410&lt;&gt;"",C2410,IF(P2410&lt;=IFERROR(INDEX(tblChannels[Watched Through],MATCH(N2410,tblChannels[Channel ID],0)),0),"Watched","Unwatched"))</f>
        <v/>
      </c>
      <c r="C2410" s="40" t="n"/>
      <c r="D2410" s="41" t="n"/>
      <c r="E2410" s="42" t="n">
        <v>42935.67152777778</v>
      </c>
      <c r="F2410" s="52" t="inlineStr">
        <is>
          <t>Super Carlin Gaming</t>
        </is>
      </c>
      <c r="G2410" t="inlineStr">
        <is>
          <t>Pokemon Pearl Nuzlocke #23: The Last Badge</t>
        </is>
      </c>
      <c r="H2410" s="44" t="n">
        <v>0.02965277777777778</v>
      </c>
      <c r="I2410" s="45" t="n">
        <v>29932</v>
      </c>
      <c r="J2410" s="45" t="n">
        <v>783</v>
      </c>
      <c r="K2410" s="45" t="n">
        <v>222</v>
      </c>
      <c r="L2410" s="46" t="n"/>
      <c r="M2410" s="47" t="n"/>
      <c r="N2410" s="47" t="inlineStr">
        <is>
          <t>UCor_9jRnNNZVzTuQ92PKsaQ</t>
        </is>
      </c>
      <c r="O2410" s="48" t="n">
        <v>42935.83819444444</v>
      </c>
      <c r="P2410" s="49" t="n">
        <v>42935</v>
      </c>
      <c r="Q2410" s="47" t="n">
        <v>858</v>
      </c>
      <c r="R2410" s="47" t="inlineStr">
        <is>
          <t>No Video ID yet</t>
        </is>
      </c>
      <c r="S2410" s="49" t="n"/>
      <c r="T2410" s="49" t="n"/>
      <c r="U2410" s="47" t="inlineStr">
        <is>
          <t>J and the team head to the final gym to take on Volkner! Will everyone make it out alive??</t>
        </is>
      </c>
      <c r="V2410" s="47">
        <f>IF(AND(P2410&gt;=Calendar!$K$2,P2410&lt;EDATE(Calendar!$K$2,1),OR(Calendar!$K$4="*",N2410=Calendar!$K$4)),P2410*100+COUNTIFS($P$6:$P$3267,P2410,$Q$6:$Q$3267,"&lt;="&amp;Q2410,$N$6:$N$3267,Calendar!$K$4),"")</f>
        <v/>
      </c>
      <c r="W2410" s="47">
        <f>IF(AND(B2410=Queue!$C$4,OR(Queue!$K$4="*",N2410=Queue!$K$4)),Q2410,"")</f>
        <v/>
      </c>
    </row>
    <row r="2411">
      <c r="A2411" s="38">
        <f>IF(M2411="","",HYPERLINK("https://www.youtube.com/watch?v="&amp;M2411,"▶"))</f>
        <v/>
      </c>
      <c r="B2411" s="39">
        <f>IF(C2411&lt;&gt;"",C2411,IF(P2411&lt;=IFERROR(INDEX(tblChannels[Watched Through],MATCH(N2411,tblChannels[Channel ID],0)),0),"Watched","Unwatched"))</f>
        <v/>
      </c>
      <c r="C2411" s="40" t="n"/>
      <c r="D2411" s="41" t="n"/>
      <c r="E2411" s="42" t="n">
        <v>42934.71597222222</v>
      </c>
      <c r="F2411" s="50" t="inlineStr">
        <is>
          <t>Super Carlin Brothers</t>
        </is>
      </c>
      <c r="G2411" t="inlineStr">
        <is>
          <t>How Pixar Almost Deleted Itself</t>
        </is>
      </c>
      <c r="H2411" s="44" t="n">
        <v>0.007546296296296297</v>
      </c>
      <c r="I2411" s="45" t="n">
        <v>1487088</v>
      </c>
      <c r="J2411" s="45" t="n">
        <v>36983</v>
      </c>
      <c r="K2411" s="45" t="n">
        <v>5633</v>
      </c>
      <c r="L2411" s="46" t="n"/>
      <c r="M2411" s="47" t="n"/>
      <c r="N2411" s="47" t="inlineStr">
        <is>
          <t>UCKZo4N0lVPccBkSiuyVh4yg</t>
        </is>
      </c>
      <c r="O2411" s="48" t="n">
        <v>42934.88263888889</v>
      </c>
      <c r="P2411" s="49" t="n">
        <v>42934</v>
      </c>
      <c r="Q2411" s="47" t="n">
        <v>857</v>
      </c>
      <c r="R2411" s="47" t="inlineStr">
        <is>
          <t>No Video ID yet</t>
        </is>
      </c>
      <c r="S2411" s="49" t="n"/>
      <c r="T2411" s="49" t="n"/>
      <c r="U2411" s="47" t="inlineStr">
        <is>
          <t>Today J dives into Pixar's History and tells the story of how they almost almost deleted themselves from existence... on accident.</t>
        </is>
      </c>
      <c r="V2411" s="47">
        <f>IF(AND(P2411&gt;=Calendar!$K$2,P2411&lt;EDATE(Calendar!$K$2,1),OR(Calendar!$K$4="*",N2411=Calendar!$K$4)),P2411*100+COUNTIFS($P$6:$P$3267,P2411,$Q$6:$Q$3267,"&lt;="&amp;Q2411,$N$6:$N$3267,Calendar!$K$4),"")</f>
        <v/>
      </c>
      <c r="W2411" s="47">
        <f>IF(AND(B2411=Queue!$C$4,OR(Queue!$K$4="*",N2411=Queue!$K$4)),Q2411,"")</f>
        <v/>
      </c>
    </row>
    <row r="2412">
      <c r="A2412" s="38">
        <f>IF(M2412="","",HYPERLINK("https://www.youtube.com/watch?v="&amp;M2412,"▶"))</f>
        <v/>
      </c>
      <c r="B2412" s="39">
        <f>IF(C2412&lt;&gt;"",C2412,IF(P2412&lt;=IFERROR(INDEX(tblChannels[Watched Through],MATCH(N2412,tblChannels[Channel ID],0)),0),"Watched","Unwatched"))</f>
        <v/>
      </c>
      <c r="C2412" s="40" t="n"/>
      <c r="D2412" s="41" t="n"/>
      <c r="E2412" s="42" t="n">
        <v>42934.41666666666</v>
      </c>
      <c r="F2412" s="52" t="inlineStr">
        <is>
          <t>Super Carlin Gaming</t>
        </is>
      </c>
      <c r="G2412" t="inlineStr">
        <is>
          <t>Mario Kart Roulette #16: I Don't Wanna Walk Your Crazy Dog, Homes (Roommate Tips)</t>
        </is>
      </c>
      <c r="H2412" s="44" t="n">
        <v>0.01099537037037037</v>
      </c>
      <c r="I2412" s="45" t="n">
        <v>15493</v>
      </c>
      <c r="J2412" s="45" t="n">
        <v>456</v>
      </c>
      <c r="K2412" s="45" t="n">
        <v>53</v>
      </c>
      <c r="L2412" s="46" t="n"/>
      <c r="M2412" s="47" t="n"/>
      <c r="N2412" s="47" t="inlineStr">
        <is>
          <t>UCor_9jRnNNZVzTuQ92PKsaQ</t>
        </is>
      </c>
      <c r="O2412" s="48" t="n">
        <v>42934.58333333334</v>
      </c>
      <c r="P2412" s="49" t="n">
        <v>42934</v>
      </c>
      <c r="Q2412" s="47" t="n">
        <v>856</v>
      </c>
      <c r="R2412" s="47" t="inlineStr">
        <is>
          <t>No Video ID yet</t>
        </is>
      </c>
      <c r="S2412" s="49" t="n"/>
      <c r="T2412" s="49" t="n"/>
      <c r="U2412" s="47" t="inlineStr">
        <is>
          <t>In this episode, J and Ben continue answering your questions while they take on the Star Cup as Bowser and Baby Daisy. Have any questions you'd like for Jonathan and Ben to answer in the next video? Leave them in the comments below!</t>
        </is>
      </c>
      <c r="V2412" s="47">
        <f>IF(AND(P2412&gt;=Calendar!$K$2,P2412&lt;EDATE(Calendar!$K$2,1),OR(Calendar!$K$4="*",N2412=Calendar!$K$4)),P2412*100+COUNTIFS($P$6:$P$3267,P2412,$Q$6:$Q$3267,"&lt;="&amp;Q2412,$N$6:$N$3267,Calendar!$K$4),"")</f>
        <v/>
      </c>
      <c r="W2412" s="47">
        <f>IF(AND(B2412=Queue!$C$4,OR(Queue!$K$4="*",N2412=Queue!$K$4)),Q2412,"")</f>
        <v/>
      </c>
    </row>
    <row r="2413">
      <c r="A2413" s="38">
        <f>IF(M2413="","",HYPERLINK("https://www.youtube.com/watch?v="&amp;M2413,"▶"))</f>
        <v/>
      </c>
      <c r="B2413" s="39">
        <f>IF(C2413&lt;&gt;"",C2413,IF(P2413&lt;=IFERROR(INDEX(tblChannels[Watched Through],MATCH(N2413,tblChannels[Channel ID],0)),0),"Watched","Unwatched"))</f>
        <v/>
      </c>
      <c r="C2413" s="40" t="n"/>
      <c r="D2413" s="41" t="n"/>
      <c r="E2413" s="42" t="n">
        <v>42933.63541666666</v>
      </c>
      <c r="F2413" s="52" t="inlineStr">
        <is>
          <t>Super Carlin Gaming</t>
        </is>
      </c>
      <c r="G2413" t="inlineStr">
        <is>
          <t>Pokemon Pearl Nuzlocke #22: Final Battle w/ Team Galactic</t>
        </is>
      </c>
      <c r="H2413" s="44" t="n">
        <v>0.03040509259259259</v>
      </c>
      <c r="I2413" s="45" t="n">
        <v>32514</v>
      </c>
      <c r="J2413" s="45" t="n">
        <v>742</v>
      </c>
      <c r="K2413" s="45" t="n">
        <v>248</v>
      </c>
      <c r="L2413" s="46" t="n"/>
      <c r="M2413" s="47" t="n"/>
      <c r="N2413" s="47" t="inlineStr">
        <is>
          <t>UCor_9jRnNNZVzTuQ92PKsaQ</t>
        </is>
      </c>
      <c r="O2413" s="48" t="n">
        <v>42933.80208333334</v>
      </c>
      <c r="P2413" s="49" t="n">
        <v>42933</v>
      </c>
      <c r="Q2413" s="47" t="n">
        <v>855</v>
      </c>
      <c r="R2413" s="47" t="inlineStr">
        <is>
          <t>No Video ID yet</t>
        </is>
      </c>
      <c r="S2413" s="49" t="n"/>
      <c r="T2413" s="49" t="n"/>
      <c r="U2413" s="47" t="inlineStr">
        <is>
          <t>We have chased Team Galactic to the top of Mt. Coronet.. but can we survive another encounter with the their most elite officers?</t>
        </is>
      </c>
      <c r="V2413" s="47">
        <f>IF(AND(P2413&gt;=Calendar!$K$2,P2413&lt;EDATE(Calendar!$K$2,1),OR(Calendar!$K$4="*",N2413=Calendar!$K$4)),P2413*100+COUNTIFS($P$6:$P$3267,P2413,$Q$6:$Q$3267,"&lt;="&amp;Q2413,$N$6:$N$3267,Calendar!$K$4),"")</f>
        <v/>
      </c>
      <c r="W2413" s="47">
        <f>IF(AND(B2413=Queue!$C$4,OR(Queue!$K$4="*",N2413=Queue!$K$4)),Q2413,"")</f>
        <v/>
      </c>
    </row>
    <row r="2414">
      <c r="A2414" s="38">
        <f>IF(M2414="","",HYPERLINK("https://www.youtube.com/watch?v="&amp;M2414,"▶"))</f>
        <v/>
      </c>
      <c r="B2414" s="39">
        <f>IF(C2414&lt;&gt;"",C2414,IF(P2414&lt;=IFERROR(INDEX(tblChannels[Watched Through],MATCH(N2414,tblChannels[Channel ID],0)),0),"Watched","Unwatched"))</f>
        <v/>
      </c>
      <c r="C2414" s="40" t="n"/>
      <c r="D2414" s="41" t="n"/>
      <c r="E2414" s="42" t="n">
        <v>42929.65069444444</v>
      </c>
      <c r="F2414" s="50" t="inlineStr">
        <is>
          <t>Super Carlin Brothers</t>
        </is>
      </c>
      <c r="G2414" t="inlineStr">
        <is>
          <t>Will Moana Be A Disney Princess?</t>
        </is>
      </c>
      <c r="H2414" s="44" t="n">
        <v>0.005173611111111111</v>
      </c>
      <c r="I2414" s="45" t="n">
        <v>489808</v>
      </c>
      <c r="J2414" s="45" t="n">
        <v>17022</v>
      </c>
      <c r="K2414" s="45" t="n">
        <v>2951</v>
      </c>
      <c r="L2414" s="46" t="n"/>
      <c r="M2414" s="47" t="n"/>
      <c r="N2414" s="47" t="inlineStr">
        <is>
          <t>UCKZo4N0lVPccBkSiuyVh4yg</t>
        </is>
      </c>
      <c r="O2414" s="48" t="n">
        <v>42929.81736111111</v>
      </c>
      <c r="P2414" s="49" t="n">
        <v>42929</v>
      </c>
      <c r="Q2414" s="47" t="n">
        <v>854</v>
      </c>
      <c r="R2414" s="47" t="inlineStr">
        <is>
          <t>No Video ID yet</t>
        </is>
      </c>
      <c r="S2414" s="49" t="n"/>
      <c r="T2414" s="49" t="n"/>
      <c r="U2414" s="47" t="inlineStr">
        <is>
          <t>Today Ben discusses whether or not Disney's latest heroine, Moana, will join the ranks of the Disney Princesses!</t>
        </is>
      </c>
      <c r="V2414" s="47">
        <f>IF(AND(P2414&gt;=Calendar!$K$2,P2414&lt;EDATE(Calendar!$K$2,1),OR(Calendar!$K$4="*",N2414=Calendar!$K$4)),P2414*100+COUNTIFS($P$6:$P$3267,P2414,$Q$6:$Q$3267,"&lt;="&amp;Q2414,$N$6:$N$3267,Calendar!$K$4),"")</f>
        <v/>
      </c>
      <c r="W2414" s="47">
        <f>IF(AND(B2414=Queue!$C$4,OR(Queue!$K$4="*",N2414=Queue!$K$4)),Q2414,"")</f>
        <v/>
      </c>
    </row>
    <row r="2415">
      <c r="A2415" s="38">
        <f>IF(M2415="","",HYPERLINK("https://www.youtube.com/watch?v="&amp;M2415,"▶"))</f>
        <v/>
      </c>
      <c r="B2415" s="39">
        <f>IF(C2415&lt;&gt;"",C2415,IF(P2415&lt;=IFERROR(INDEX(tblChannels[Watched Through],MATCH(N2415,tblChannels[Channel ID],0)),0),"Watched","Unwatched"))</f>
        <v/>
      </c>
      <c r="C2415" s="40" t="n"/>
      <c r="D2415" s="41" t="n"/>
      <c r="E2415" s="42" t="n">
        <v>42929.41666666666</v>
      </c>
      <c r="F2415" s="52" t="inlineStr">
        <is>
          <t>Super Carlin Gaming</t>
        </is>
      </c>
      <c r="G2415" t="inlineStr">
        <is>
          <t>Mario Kart Roulette #15: J Invented PROMposals</t>
        </is>
      </c>
      <c r="H2415" s="44" t="n">
        <v>0.01184027777777778</v>
      </c>
      <c r="I2415" s="45" t="n">
        <v>17282</v>
      </c>
      <c r="J2415" s="45" t="n">
        <v>497</v>
      </c>
      <c r="K2415" s="45" t="n">
        <v>93</v>
      </c>
      <c r="L2415" s="46" t="n"/>
      <c r="M2415" s="47" t="n"/>
      <c r="N2415" s="47" t="inlineStr">
        <is>
          <t>UCor_9jRnNNZVzTuQ92PKsaQ</t>
        </is>
      </c>
      <c r="O2415" s="48" t="n">
        <v>42929.58333333334</v>
      </c>
      <c r="P2415" s="49" t="n">
        <v>42929</v>
      </c>
      <c r="Q2415" s="47" t="n">
        <v>853</v>
      </c>
      <c r="R2415" s="47" t="inlineStr">
        <is>
          <t>No Video ID yet</t>
        </is>
      </c>
      <c r="S2415" s="49" t="n"/>
      <c r="T2415" s="49" t="n"/>
      <c r="U2415" s="47" t="inlineStr">
        <is>
          <t>In this episode, J and Ben answer some more of your questions while they take on the Flower Cup as Villager and Cat Peach.</t>
        </is>
      </c>
      <c r="V2415" s="47">
        <f>IF(AND(P2415&gt;=Calendar!$K$2,P2415&lt;EDATE(Calendar!$K$2,1),OR(Calendar!$K$4="*",N2415=Calendar!$K$4)),P2415*100+COUNTIFS($P$6:$P$3267,P2415,$Q$6:$Q$3267,"&lt;="&amp;Q2415,$N$6:$N$3267,Calendar!$K$4),"")</f>
        <v/>
      </c>
      <c r="W2415" s="47">
        <f>IF(AND(B2415=Queue!$C$4,OR(Queue!$K$4="*",N2415=Queue!$K$4)),Q2415,"")</f>
        <v/>
      </c>
    </row>
    <row r="2416">
      <c r="A2416" s="38">
        <f>IF(M2416="","",HYPERLINK("https://www.youtube.com/watch?v="&amp;M2416,"▶"))</f>
        <v/>
      </c>
      <c r="B2416" s="39">
        <f>IF(C2416&lt;&gt;"",C2416,IF(P2416&lt;=IFERROR(INDEX(tblChannels[Watched Through],MATCH(N2416,tblChannels[Channel ID],0)),0),"Watched","Unwatched"))</f>
        <v/>
      </c>
      <c r="C2416" s="40" t="n"/>
      <c r="D2416" s="41" t="n"/>
      <c r="E2416" s="42" t="n">
        <v>42927.71111111111</v>
      </c>
      <c r="F2416" s="50" t="inlineStr">
        <is>
          <t>Super Carlin Brothers</t>
        </is>
      </c>
      <c r="G2416" t="inlineStr">
        <is>
          <t>Is This The Best Spider Man Yet? | HOMECOMING REVIEW</t>
        </is>
      </c>
      <c r="H2416" s="44" t="n">
        <v>0.0249537037037037</v>
      </c>
      <c r="I2416" s="45" t="n">
        <v>574025</v>
      </c>
      <c r="J2416" s="45" t="n">
        <v>13228</v>
      </c>
      <c r="K2416" s="45" t="n">
        <v>3148</v>
      </c>
      <c r="L2416" s="46" t="n"/>
      <c r="M2416" s="47" t="n"/>
      <c r="N2416" s="47" t="inlineStr">
        <is>
          <t>UCKZo4N0lVPccBkSiuyVh4yg</t>
        </is>
      </c>
      <c r="O2416" s="48" t="n">
        <v>42927.87777777778</v>
      </c>
      <c r="P2416" s="49" t="n">
        <v>42927</v>
      </c>
      <c r="Q2416" s="47" t="n">
        <v>852</v>
      </c>
      <c r="R2416" s="47" t="inlineStr">
        <is>
          <t>No Video ID yet</t>
        </is>
      </c>
      <c r="S2416" s="49" t="n"/>
      <c r="T2416" s="49" t="n"/>
      <c r="U2416" s="47" t="inlineStr">
        <is>
          <t>Today J and Ben give their full spoiler review of Sony and Marvel's latest movie: Spider Man Homecoming! Is this the best Spider Man movie to date? Who is your favorite Spider Man??</t>
        </is>
      </c>
      <c r="V2416" s="47">
        <f>IF(AND(P2416&gt;=Calendar!$K$2,P2416&lt;EDATE(Calendar!$K$2,1),OR(Calendar!$K$4="*",N2416=Calendar!$K$4)),P2416*100+COUNTIFS($P$6:$P$3267,P2416,$Q$6:$Q$3267,"&lt;="&amp;Q2416,$N$6:$N$3267,Calendar!$K$4),"")</f>
        <v/>
      </c>
      <c r="W2416" s="47">
        <f>IF(AND(B2416=Queue!$C$4,OR(Queue!$K$4="*",N2416=Queue!$K$4)),Q2416,"")</f>
        <v/>
      </c>
    </row>
    <row r="2417">
      <c r="A2417" s="38">
        <f>IF(M2417="","",HYPERLINK("https://www.youtube.com/watch?v="&amp;M2417,"▶"))</f>
        <v/>
      </c>
      <c r="B2417" s="39">
        <f>IF(C2417&lt;&gt;"",C2417,IF(P2417&lt;=IFERROR(INDEX(tblChannels[Watched Through],MATCH(N2417,tblChannels[Channel ID],0)),0),"Watched","Unwatched"))</f>
        <v/>
      </c>
      <c r="C2417" s="40" t="n"/>
      <c r="D2417" s="41" t="n"/>
      <c r="E2417" s="42" t="n">
        <v>42927.41666666666</v>
      </c>
      <c r="F2417" s="52" t="inlineStr">
        <is>
          <t>Super Carlin Gaming</t>
        </is>
      </c>
      <c r="G2417" t="inlineStr">
        <is>
          <t>Mario Kart Roulette #14: Fourth of July Stories</t>
        </is>
      </c>
      <c r="H2417" s="44" t="n">
        <v>0.01020833333333333</v>
      </c>
      <c r="I2417" s="45" t="n">
        <v>16510</v>
      </c>
      <c r="J2417" s="45" t="n">
        <v>452</v>
      </c>
      <c r="K2417" s="45" t="n">
        <v>91</v>
      </c>
      <c r="L2417" s="46" t="n"/>
      <c r="M2417" s="47" t="n"/>
      <c r="N2417" s="47" t="inlineStr">
        <is>
          <t>UCor_9jRnNNZVzTuQ92PKsaQ</t>
        </is>
      </c>
      <c r="O2417" s="48" t="n">
        <v>42927.58333333334</v>
      </c>
      <c r="P2417" s="49" t="n">
        <v>42927</v>
      </c>
      <c r="Q2417" s="47" t="n">
        <v>851</v>
      </c>
      <c r="R2417" s="47" t="inlineStr">
        <is>
          <t>No Video ID yet</t>
        </is>
      </c>
      <c r="S2417" s="49" t="n"/>
      <c r="T2417" s="49" t="n"/>
      <c r="U2417" s="47" t="inlineStr">
        <is>
          <t>In this episode, Ben and J are back at it again with the Mushroom Cup in their effort to three-star.</t>
        </is>
      </c>
      <c r="V2417" s="47">
        <f>IF(AND(P2417&gt;=Calendar!$K$2,P2417&lt;EDATE(Calendar!$K$2,1),OR(Calendar!$K$4="*",N2417=Calendar!$K$4)),P2417*100+COUNTIFS($P$6:$P$3267,P2417,$Q$6:$Q$3267,"&lt;="&amp;Q2417,$N$6:$N$3267,Calendar!$K$4),"")</f>
        <v/>
      </c>
      <c r="W2417" s="47">
        <f>IF(AND(B2417=Queue!$C$4,OR(Queue!$K$4="*",N2417=Queue!$K$4)),Q2417,"")</f>
        <v/>
      </c>
    </row>
    <row r="2418">
      <c r="A2418" s="38">
        <f>IF(M2418="","",HYPERLINK("https://www.youtube.com/watch?v="&amp;M2418,"▶"))</f>
        <v/>
      </c>
      <c r="B2418" s="39">
        <f>IF(C2418&lt;&gt;"",C2418,IF(P2418&lt;=IFERROR(INDEX(tblChannels[Watched Through],MATCH(N2418,tblChannels[Channel ID],0)),0),"Watched","Unwatched"))</f>
        <v/>
      </c>
      <c r="C2418" s="40" t="n"/>
      <c r="D2418" s="41" t="n"/>
      <c r="E2418" s="42" t="n">
        <v>42924.41666666666</v>
      </c>
      <c r="F2418" s="52" t="inlineStr">
        <is>
          <t>Super Carlin Gaming</t>
        </is>
      </c>
      <c r="G2418" t="inlineStr">
        <is>
          <t>Mario Kart Roulette #13: SPECIAL EDITION BATTLE (feat. J, Ben, DK and Kallie)</t>
        </is>
      </c>
      <c r="H2418" s="44" t="n">
        <v>0.01412037037037037</v>
      </c>
      <c r="I2418" s="45" t="n">
        <v>20275</v>
      </c>
      <c r="J2418" s="45" t="n">
        <v>578</v>
      </c>
      <c r="K2418" s="45" t="n">
        <v>88</v>
      </c>
      <c r="L2418" s="46" t="n"/>
      <c r="M2418" s="47" t="n"/>
      <c r="N2418" s="47" t="inlineStr">
        <is>
          <t>UCor_9jRnNNZVzTuQ92PKsaQ</t>
        </is>
      </c>
      <c r="O2418" s="48" t="n">
        <v>42924.58333333334</v>
      </c>
      <c r="P2418" s="49" t="n">
        <v>42924</v>
      </c>
      <c r="Q2418" s="47" t="n">
        <v>850</v>
      </c>
      <c r="R2418" s="47" t="inlineStr">
        <is>
          <t>No Video ID yet</t>
        </is>
      </c>
      <c r="S2418" s="49" t="n"/>
      <c r="T2418" s="49" t="n"/>
      <c r="U2418" s="47" t="inlineStr">
        <is>
          <t>In this special edition episode, J, Ben, DK and Kallie compete against each other in four Shine Battle rounds.</t>
        </is>
      </c>
      <c r="V2418" s="47">
        <f>IF(AND(P2418&gt;=Calendar!$K$2,P2418&lt;EDATE(Calendar!$K$2,1),OR(Calendar!$K$4="*",N2418=Calendar!$K$4)),P2418*100+COUNTIFS($P$6:$P$3267,P2418,$Q$6:$Q$3267,"&lt;="&amp;Q2418,$N$6:$N$3267,Calendar!$K$4),"")</f>
        <v/>
      </c>
      <c r="W2418" s="47">
        <f>IF(AND(B2418=Queue!$C$4,OR(Queue!$K$4="*",N2418=Queue!$K$4)),Q2418,"")</f>
        <v/>
      </c>
    </row>
    <row r="2419">
      <c r="A2419" s="38">
        <f>IF(M2419="","",HYPERLINK("https://www.youtube.com/watch?v="&amp;M2419,"▶"))</f>
        <v/>
      </c>
      <c r="B2419" s="39">
        <f>IF(C2419&lt;&gt;"",C2419,IF(P2419&lt;=IFERROR(INDEX(tblChannels[Watched Through],MATCH(N2419,tblChannels[Channel ID],0)),0),"Watched","Unwatched"))</f>
        <v/>
      </c>
      <c r="C2419" s="40" t="n"/>
      <c r="D2419" s="41" t="n"/>
      <c r="E2419" s="42" t="n">
        <v>42923.54722222222</v>
      </c>
      <c r="F2419" s="52" t="inlineStr">
        <is>
          <t>Super Carlin Gaming</t>
        </is>
      </c>
      <c r="G2419" t="inlineStr">
        <is>
          <t>Pokemon Pearl Nuzlocke #21: Hamilton's Shiny Quest</t>
        </is>
      </c>
      <c r="H2419" s="44" t="n">
        <v>0.0169212962962963</v>
      </c>
      <c r="I2419" s="45" t="n">
        <v>26898</v>
      </c>
      <c r="J2419" s="45" t="n">
        <v>740</v>
      </c>
      <c r="K2419" s="45" t="n">
        <v>320</v>
      </c>
      <c r="L2419" s="46" t="n"/>
      <c r="M2419" s="47" t="n"/>
      <c r="N2419" s="47" t="inlineStr">
        <is>
          <t>UCor_9jRnNNZVzTuQ92PKsaQ</t>
        </is>
      </c>
      <c r="O2419" s="48" t="n">
        <v>42923.71388888889</v>
      </c>
      <c r="P2419" s="49" t="n">
        <v>42923</v>
      </c>
      <c r="Q2419" s="47" t="n">
        <v>849</v>
      </c>
      <c r="R2419" s="47" t="inlineStr">
        <is>
          <t>No Video ID yet</t>
        </is>
      </c>
      <c r="S2419" s="49" t="n"/>
      <c r="T2419" s="49" t="n"/>
      <c r="U2419" s="47" t="inlineStr">
        <is>
          <t>Before heading to Mt. Coronet and finishing off Team Galactic J and the team make a side quest to the Iron Island to help their stoic leader achieve his full potential.. but will they make it though the steel cave's trainers and traps and reach the prize? Also.. I totally forgot to turn the face cam on.. ugh.</t>
        </is>
      </c>
      <c r="V2419" s="47">
        <f>IF(AND(P2419&gt;=Calendar!$K$2,P2419&lt;EDATE(Calendar!$K$2,1),OR(Calendar!$K$4="*",N2419=Calendar!$K$4)),P2419*100+COUNTIFS($P$6:$P$3267,P2419,$Q$6:$Q$3267,"&lt;="&amp;Q2419,$N$6:$N$3267,Calendar!$K$4),"")</f>
        <v/>
      </c>
      <c r="W2419" s="47">
        <f>IF(AND(B2419=Queue!$C$4,OR(Queue!$K$4="*",N2419=Queue!$K$4)),Q2419,"")</f>
        <v/>
      </c>
    </row>
    <row r="2420">
      <c r="A2420" s="38">
        <f>IF(M2420="","",HYPERLINK("https://www.youtube.com/watch?v="&amp;M2420,"▶"))</f>
        <v/>
      </c>
      <c r="B2420" s="39">
        <f>IF(C2420&lt;&gt;"",C2420,IF(P2420&lt;=IFERROR(INDEX(tblChannels[Watched Through],MATCH(N2420,tblChannels[Channel ID],0)),0),"Watched","Unwatched"))</f>
        <v/>
      </c>
      <c r="C2420" s="40" t="n"/>
      <c r="D2420" s="41" t="n"/>
      <c r="E2420" s="42" t="n">
        <v>42922.77361111111</v>
      </c>
      <c r="F2420" s="50" t="inlineStr">
        <is>
          <t>Super Carlin Brothers</t>
        </is>
      </c>
      <c r="G2420" t="inlineStr">
        <is>
          <t>Star Wars: Why Are Sith Lightsabers Red</t>
        </is>
      </c>
      <c r="H2420" s="44" t="n">
        <v>0.00636574074074074</v>
      </c>
      <c r="I2420" s="45" t="n">
        <v>280798</v>
      </c>
      <c r="J2420" s="45" t="n">
        <v>9132</v>
      </c>
      <c r="K2420" s="45" t="n">
        <v>1841</v>
      </c>
      <c r="L2420" s="46" t="n"/>
      <c r="M2420" s="47" t="n"/>
      <c r="N2420" s="47" t="inlineStr">
        <is>
          <t>UCKZo4N0lVPccBkSiuyVh4yg</t>
        </is>
      </c>
      <c r="O2420" s="48" t="n">
        <v>42922.94027777778</v>
      </c>
      <c r="P2420" s="49" t="n">
        <v>42922</v>
      </c>
      <c r="Q2420" s="47" t="n">
        <v>848</v>
      </c>
      <c r="R2420" s="47" t="inlineStr">
        <is>
          <t>No Video ID yet</t>
        </is>
      </c>
      <c r="S2420" s="49" t="n"/>
      <c r="T2420" s="49" t="n"/>
      <c r="U2420" s="47" t="inlineStr">
        <is>
          <t>Today Ben dives into the world of Star Wars to discuss why and how red lightsabers come to be including the origin of Darth Vader’s own lightsaber and what implications this may have for the future of Star Wars.</t>
        </is>
      </c>
      <c r="V2420" s="47">
        <f>IF(AND(P2420&gt;=Calendar!$K$2,P2420&lt;EDATE(Calendar!$K$2,1),OR(Calendar!$K$4="*",N2420=Calendar!$K$4)),P2420*100+COUNTIFS($P$6:$P$3267,P2420,$Q$6:$Q$3267,"&lt;="&amp;Q2420,$N$6:$N$3267,Calendar!$K$4),"")</f>
        <v/>
      </c>
      <c r="W2420" s="47">
        <f>IF(AND(B2420=Queue!$C$4,OR(Queue!$K$4="*",N2420=Queue!$K$4)),Q2420,"")</f>
        <v/>
      </c>
    </row>
    <row r="2421">
      <c r="A2421" s="38">
        <f>IF(M2421="","",HYPERLINK("https://www.youtube.com/watch?v="&amp;M2421,"▶"))</f>
        <v/>
      </c>
      <c r="B2421" s="39">
        <f>IF(C2421&lt;&gt;"",C2421,IF(P2421&lt;=IFERROR(INDEX(tblChannels[Watched Through],MATCH(N2421,tblChannels[Channel ID],0)),0),"Watched","Unwatched"))</f>
        <v/>
      </c>
      <c r="C2421" s="40" t="n"/>
      <c r="D2421" s="41" t="n"/>
      <c r="E2421" s="42" t="n">
        <v>42922.41666666666</v>
      </c>
      <c r="F2421" s="52" t="inlineStr">
        <is>
          <t>Super Carlin Gaming</t>
        </is>
      </c>
      <c r="G2421" t="inlineStr">
        <is>
          <t>Mario Kart Roulette #12: Complaining About How Awful We Are</t>
        </is>
      </c>
      <c r="H2421" s="44" t="n">
        <v>0.01034722222222222</v>
      </c>
      <c r="I2421" s="45" t="n">
        <v>18458</v>
      </c>
      <c r="J2421" s="45" t="n">
        <v>558</v>
      </c>
      <c r="K2421" s="45" t="n">
        <v>81</v>
      </c>
      <c r="L2421" s="46" t="n"/>
      <c r="M2421" s="47" t="n"/>
      <c r="N2421" s="47" t="inlineStr">
        <is>
          <t>UCor_9jRnNNZVzTuQ92PKsaQ</t>
        </is>
      </c>
      <c r="O2421" s="48" t="n">
        <v>42922.58333333334</v>
      </c>
      <c r="P2421" s="49" t="n">
        <v>42922</v>
      </c>
      <c r="Q2421" s="47" t="n">
        <v>847</v>
      </c>
      <c r="R2421" s="47" t="inlineStr">
        <is>
          <t>No Video ID yet</t>
        </is>
      </c>
      <c r="S2421" s="49" t="n"/>
      <c r="T2421" s="49" t="n"/>
      <c r="U2421" s="47" t="inlineStr">
        <is>
          <t>In this episode, J and Ben take on the Bell Cup as Roy and Inkling Girl as they continue discussing their strengths and weaknesses (but mostly still weaknesses.)</t>
        </is>
      </c>
      <c r="V2421" s="47">
        <f>IF(AND(P2421&gt;=Calendar!$K$2,P2421&lt;EDATE(Calendar!$K$2,1),OR(Calendar!$K$4="*",N2421=Calendar!$K$4)),P2421*100+COUNTIFS($P$6:$P$3267,P2421,$Q$6:$Q$3267,"&lt;="&amp;Q2421,$N$6:$N$3267,Calendar!$K$4),"")</f>
        <v/>
      </c>
      <c r="W2421" s="47">
        <f>IF(AND(B2421=Queue!$C$4,OR(Queue!$K$4="*",N2421=Queue!$K$4)),Q2421,"")</f>
        <v/>
      </c>
    </row>
    <row r="2422">
      <c r="A2422" s="38">
        <f>IF(M2422="","",HYPERLINK("https://www.youtube.com/watch?v="&amp;M2422,"▶"))</f>
        <v/>
      </c>
      <c r="B2422" s="39">
        <f>IF(C2422&lt;&gt;"",C2422,IF(P2422&lt;=IFERROR(INDEX(tblChannels[Watched Through],MATCH(N2422,tblChannels[Channel ID],0)),0),"Watched","Unwatched"))</f>
        <v/>
      </c>
      <c r="C2422" s="40" t="n"/>
      <c r="D2422" s="41" t="n"/>
      <c r="E2422" s="42" t="n">
        <v>42921.625</v>
      </c>
      <c r="F2422" s="52" t="inlineStr">
        <is>
          <t>Super Carlin Gaming</t>
        </is>
      </c>
      <c r="G2422" t="inlineStr">
        <is>
          <t>Pokemon Pearl Nuzlocke #20: Galactic HQ</t>
        </is>
      </c>
      <c r="H2422" s="44" t="n">
        <v>0.01890046296296296</v>
      </c>
      <c r="I2422" s="45" t="n">
        <v>28349</v>
      </c>
      <c r="J2422" s="45" t="n">
        <v>743</v>
      </c>
      <c r="K2422" s="45" t="n">
        <v>192</v>
      </c>
      <c r="L2422" s="46" t="n"/>
      <c r="M2422" s="47" t="n"/>
      <c r="N2422" s="47" t="inlineStr">
        <is>
          <t>UCor_9jRnNNZVzTuQ92PKsaQ</t>
        </is>
      </c>
      <c r="O2422" s="48" t="n">
        <v>42921.79166666666</v>
      </c>
      <c r="P2422" s="49" t="n">
        <v>42921</v>
      </c>
      <c r="Q2422" s="47" t="n">
        <v>846</v>
      </c>
      <c r="R2422" s="47" t="inlineStr">
        <is>
          <t>No Video ID yet</t>
        </is>
      </c>
      <c r="S2422" s="49" t="n"/>
      <c r="T2422" s="49" t="n"/>
      <c r="U2422" s="47" t="inlineStr">
        <is>
          <t>With their 7th gym badge in hand J and the team set off to finish off what remains of Team Galactic. They have killed our pokemon before.. can the team survive another encounter with their elite?</t>
        </is>
      </c>
      <c r="V2422" s="47">
        <f>IF(AND(P2422&gt;=Calendar!$K$2,P2422&lt;EDATE(Calendar!$K$2,1),OR(Calendar!$K$4="*",N2422=Calendar!$K$4)),P2422*100+COUNTIFS($P$6:$P$3267,P2422,$Q$6:$Q$3267,"&lt;="&amp;Q2422,$N$6:$N$3267,Calendar!$K$4),"")</f>
        <v/>
      </c>
      <c r="W2422" s="47">
        <f>IF(AND(B2422=Queue!$C$4,OR(Queue!$K$4="*",N2422=Queue!$K$4)),Q2422,"")</f>
        <v/>
      </c>
    </row>
    <row r="2423">
      <c r="A2423" s="38">
        <f>IF(M2423="","",HYPERLINK("https://www.youtube.com/watch?v="&amp;M2423,"▶"))</f>
        <v/>
      </c>
      <c r="B2423" s="39">
        <f>IF(C2423&lt;&gt;"",C2423,IF(P2423&lt;=IFERROR(INDEX(tblChannels[Watched Through],MATCH(N2423,tblChannels[Channel ID],0)),0),"Watched","Unwatched"))</f>
        <v/>
      </c>
      <c r="C2423" s="40" t="n"/>
      <c r="D2423" s="41" t="n"/>
      <c r="E2423" s="42" t="n">
        <v>42920.67152777778</v>
      </c>
      <c r="F2423" s="50" t="inlineStr">
        <is>
          <t>Super Carlin Brothers</t>
        </is>
      </c>
      <c r="G2423" t="inlineStr">
        <is>
          <t>Spider Man And The American Flag Explained</t>
        </is>
      </c>
      <c r="H2423" s="44" t="n">
        <v>0.005543981481481481</v>
      </c>
      <c r="I2423" s="45" t="n">
        <v>588252</v>
      </c>
      <c r="J2423" s="45" t="n">
        <v>18466</v>
      </c>
      <c r="K2423" s="45" t="n">
        <v>2574</v>
      </c>
      <c r="L2423" s="46" t="n"/>
      <c r="M2423" s="47" t="n"/>
      <c r="N2423" s="47" t="inlineStr">
        <is>
          <t>UCKZo4N0lVPccBkSiuyVh4yg</t>
        </is>
      </c>
      <c r="O2423" s="48" t="n">
        <v>42920.83819444444</v>
      </c>
      <c r="P2423" s="49" t="n">
        <v>42920</v>
      </c>
      <c r="Q2423" s="47" t="n">
        <v>845</v>
      </c>
      <c r="R2423" s="47" t="inlineStr">
        <is>
          <t>No Video ID yet</t>
        </is>
      </c>
      <c r="S2423" s="49" t="n"/>
      <c r="T2423" s="49" t="n"/>
      <c r="U2423" s="47" t="inlineStr">
        <is>
          <t>Happy Independence Day! Today J discusses the odd relationship that has recently developed between Spider Man and the American Flag.</t>
        </is>
      </c>
      <c r="V2423" s="47">
        <f>IF(AND(P2423&gt;=Calendar!$K$2,P2423&lt;EDATE(Calendar!$K$2,1),OR(Calendar!$K$4="*",N2423=Calendar!$K$4)),P2423*100+COUNTIFS($P$6:$P$3267,P2423,$Q$6:$Q$3267,"&lt;="&amp;Q2423,$N$6:$N$3267,Calendar!$K$4),"")</f>
        <v/>
      </c>
      <c r="W2423" s="47">
        <f>IF(AND(B2423=Queue!$C$4,OR(Queue!$K$4="*",N2423=Queue!$K$4)),Q2423,"")</f>
        <v/>
      </c>
    </row>
    <row r="2424">
      <c r="A2424" s="38">
        <f>IF(M2424="","",HYPERLINK("https://www.youtube.com/watch?v="&amp;M2424,"▶"))</f>
        <v/>
      </c>
      <c r="B2424" s="39">
        <f>IF(C2424&lt;&gt;"",C2424,IF(P2424&lt;=IFERROR(INDEX(tblChannels[Watched Through],MATCH(N2424,tblChannels[Channel ID],0)),0),"Watched","Unwatched"))</f>
        <v/>
      </c>
      <c r="C2424" s="40" t="n"/>
      <c r="D2424" s="41" t="n"/>
      <c r="E2424" s="42" t="n">
        <v>42920.41666666666</v>
      </c>
      <c r="F2424" s="52" t="inlineStr">
        <is>
          <t>Super Carlin Gaming</t>
        </is>
      </c>
      <c r="G2424" t="inlineStr">
        <is>
          <t>Mario Kart Roulette #11: Strengths and Weaknesses (literally)</t>
        </is>
      </c>
      <c r="H2424" s="44" t="n">
        <v>0.01116898148148148</v>
      </c>
      <c r="I2424" s="45" t="n">
        <v>19269</v>
      </c>
      <c r="J2424" s="45" t="n">
        <v>532</v>
      </c>
      <c r="K2424" s="45" t="n">
        <v>58</v>
      </c>
      <c r="L2424" s="46" t="n"/>
      <c r="M2424" s="47" t="n"/>
      <c r="N2424" s="47" t="inlineStr">
        <is>
          <t>UCor_9jRnNNZVzTuQ92PKsaQ</t>
        </is>
      </c>
      <c r="O2424" s="48" t="n">
        <v>42920.58333333334</v>
      </c>
      <c r="P2424" s="49" t="n">
        <v>42920</v>
      </c>
      <c r="Q2424" s="47" t="n">
        <v>844</v>
      </c>
      <c r="R2424" s="47" t="inlineStr">
        <is>
          <t>No Video ID yet</t>
        </is>
      </c>
      <c r="S2424" s="49" t="n"/>
      <c r="T2424" s="49" t="n"/>
      <c r="U2424" s="47" t="inlineStr">
        <is>
          <t>In this episode, J and Ben discuss their strengths and weaknesses while they compete in the Triforce Cup as White Yoshi and Pink Gold Peach.</t>
        </is>
      </c>
      <c r="V2424" s="47">
        <f>IF(AND(P2424&gt;=Calendar!$K$2,P2424&lt;EDATE(Calendar!$K$2,1),OR(Calendar!$K$4="*",N2424=Calendar!$K$4)),P2424*100+COUNTIFS($P$6:$P$3267,P2424,$Q$6:$Q$3267,"&lt;="&amp;Q2424,$N$6:$N$3267,Calendar!$K$4),"")</f>
        <v/>
      </c>
      <c r="W2424" s="47">
        <f>IF(AND(B2424=Queue!$C$4,OR(Queue!$K$4="*",N2424=Queue!$K$4)),Q2424,"")</f>
        <v/>
      </c>
    </row>
    <row r="2425">
      <c r="A2425" s="38">
        <f>IF(M2425="","",HYPERLINK("https://www.youtube.com/watch?v="&amp;M2425,"▶"))</f>
        <v/>
      </c>
      <c r="B2425" s="39">
        <f>IF(C2425&lt;&gt;"",C2425,IF(P2425&lt;=IFERROR(INDEX(tblChannels[Watched Through],MATCH(N2425,tblChannels[Channel ID],0)),0),"Watched","Unwatched"))</f>
        <v/>
      </c>
      <c r="C2425" s="40" t="n"/>
      <c r="D2425" s="41" t="n"/>
      <c r="E2425" s="42" t="n">
        <v>42919.63958333333</v>
      </c>
      <c r="F2425" s="52" t="inlineStr">
        <is>
          <t>Super Carlin Gaming</t>
        </is>
      </c>
      <c r="G2425" t="inlineStr">
        <is>
          <t>Pokemon Pearl Nuzlocke #19: A Raging Starfire</t>
        </is>
      </c>
      <c r="H2425" s="44" t="n">
        <v>0.01732638888888889</v>
      </c>
      <c r="I2425" s="45" t="n">
        <v>29530</v>
      </c>
      <c r="J2425" s="45" t="n">
        <v>793</v>
      </c>
      <c r="K2425" s="45" t="n">
        <v>210</v>
      </c>
      <c r="L2425" s="46" t="n"/>
      <c r="M2425" s="47" t="n"/>
      <c r="N2425" s="47" t="inlineStr">
        <is>
          <t>UCor_9jRnNNZVzTuQ92PKsaQ</t>
        </is>
      </c>
      <c r="O2425" s="48" t="n">
        <v>42919.80625</v>
      </c>
      <c r="P2425" s="49" t="n">
        <v>42919</v>
      </c>
      <c r="Q2425" s="47" t="n">
        <v>843</v>
      </c>
      <c r="R2425" s="47" t="inlineStr">
        <is>
          <t>No Video ID yet</t>
        </is>
      </c>
      <c r="S2425" s="49" t="n"/>
      <c r="T2425" s="49" t="n"/>
      <c r="U2425" s="47" t="inlineStr">
        <is>
          <t>#HailContinuesToFall In the wake of Ozzy's death the team must carry on and tries for its 7th badge.. will the loss be more than they can bear?</t>
        </is>
      </c>
      <c r="V2425" s="47">
        <f>IF(AND(P2425&gt;=Calendar!$K$2,P2425&lt;EDATE(Calendar!$K$2,1),OR(Calendar!$K$4="*",N2425=Calendar!$K$4)),P2425*100+COUNTIFS($P$6:$P$3267,P2425,$Q$6:$Q$3267,"&lt;="&amp;Q2425,$N$6:$N$3267,Calendar!$K$4),"")</f>
        <v/>
      </c>
      <c r="W2425" s="47">
        <f>IF(AND(B2425=Queue!$C$4,OR(Queue!$K$4="*",N2425=Queue!$K$4)),Q2425,"")</f>
        <v/>
      </c>
    </row>
    <row r="2426">
      <c r="A2426" s="38">
        <f>IF(M2426="","",HYPERLINK("https://www.youtube.com/watch?v="&amp;M2426,"▶"))</f>
        <v/>
      </c>
      <c r="B2426" s="39">
        <f>IF(C2426&lt;&gt;"",C2426,IF(P2426&lt;=IFERROR(INDEX(tblChannels[Watched Through],MATCH(N2426,tblChannels[Channel ID],0)),0),"Watched","Unwatched"))</f>
        <v/>
      </c>
      <c r="C2426" s="40" t="n"/>
      <c r="D2426" s="41" t="n"/>
      <c r="E2426" s="42" t="n">
        <v>42916.64930555555</v>
      </c>
      <c r="F2426" s="52" t="inlineStr">
        <is>
          <t>Super Carlin Gaming</t>
        </is>
      </c>
      <c r="G2426" t="inlineStr">
        <is>
          <t>Pokemon Pearl Nuzlocke #18: Hail Continues To Fall</t>
        </is>
      </c>
      <c r="H2426" s="44" t="n">
        <v>0.02387731481481482</v>
      </c>
      <c r="I2426" s="45" t="n">
        <v>33803</v>
      </c>
      <c r="J2426" s="45" t="n">
        <v>1005</v>
      </c>
      <c r="K2426" s="45" t="n">
        <v>691</v>
      </c>
      <c r="L2426" s="46" t="n"/>
      <c r="M2426" s="47" t="n"/>
      <c r="N2426" s="47" t="inlineStr">
        <is>
          <t>UCor_9jRnNNZVzTuQ92PKsaQ</t>
        </is>
      </c>
      <c r="O2426" s="48" t="n">
        <v>42916.81597222222</v>
      </c>
      <c r="P2426" s="49" t="n">
        <v>42916</v>
      </c>
      <c r="Q2426" s="47" t="n">
        <v>842</v>
      </c>
      <c r="R2426" s="47" t="inlineStr">
        <is>
          <t>No Video ID yet</t>
        </is>
      </c>
      <c r="S2426" s="49" t="n"/>
      <c r="T2426" s="49" t="n"/>
      <c r="U2426" s="47" t="inlineStr">
        <is>
          <t>Today J and the team continue North to Lake Accuity and our 7th gym badge.. there are many tough trainers along way.. can the team weather the blizzard and make it to Snow Point City?</t>
        </is>
      </c>
      <c r="V2426" s="47">
        <f>IF(AND(P2426&gt;=Calendar!$K$2,P2426&lt;EDATE(Calendar!$K$2,1),OR(Calendar!$K$4="*",N2426=Calendar!$K$4)),P2426*100+COUNTIFS($P$6:$P$3267,P2426,$Q$6:$Q$3267,"&lt;="&amp;Q2426,$N$6:$N$3267,Calendar!$K$4),"")</f>
        <v/>
      </c>
      <c r="W2426" s="47">
        <f>IF(AND(B2426=Queue!$C$4,OR(Queue!$K$4="*",N2426=Queue!$K$4)),Q2426,"")</f>
        <v/>
      </c>
    </row>
    <row r="2427">
      <c r="A2427" s="38">
        <f>IF(M2427="","",HYPERLINK("https://www.youtube.com/watch?v="&amp;M2427,"▶"))</f>
        <v/>
      </c>
      <c r="B2427" s="39">
        <f>IF(C2427&lt;&gt;"",C2427,IF(P2427&lt;=IFERROR(INDEX(tblChannels[Watched Through],MATCH(N2427,tblChannels[Channel ID],0)),0),"Watched","Unwatched"))</f>
        <v/>
      </c>
      <c r="C2427" s="40" t="n"/>
      <c r="D2427" s="41" t="n"/>
      <c r="E2427" s="42" t="n">
        <v>42915.80138888889</v>
      </c>
      <c r="F2427" s="50" t="inlineStr">
        <is>
          <t>Super Carlin Brothers</t>
        </is>
      </c>
      <c r="G2427" t="inlineStr">
        <is>
          <t>Pixar Theory: The Origin Of Al's Toy Barn (ft. Mike Mozart)</t>
        </is>
      </c>
      <c r="H2427" s="44" t="n">
        <v>0.006631944444444445</v>
      </c>
      <c r="I2427" s="45" t="n">
        <v>1259236</v>
      </c>
      <c r="J2427" s="45" t="n">
        <v>33431</v>
      </c>
      <c r="K2427" s="45" t="n">
        <v>3034</v>
      </c>
      <c r="L2427" s="46" t="n"/>
      <c r="M2427" s="47" t="n"/>
      <c r="N2427" s="47" t="inlineStr">
        <is>
          <t>UCKZo4N0lVPccBkSiuyVh4yg</t>
        </is>
      </c>
      <c r="O2427" s="48" t="n">
        <v>42915.96805555555</v>
      </c>
      <c r="P2427" s="49" t="n">
        <v>42915</v>
      </c>
      <c r="Q2427" s="47" t="n">
        <v>841</v>
      </c>
      <c r="R2427" s="47" t="inlineStr">
        <is>
          <t>No Video ID yet</t>
        </is>
      </c>
      <c r="S2427" s="49" t="n"/>
      <c r="T2427" s="49" t="n"/>
      <c r="U2427" s="47" t="inlineStr">
        <is>
          <t>Today Ben continues with Mike Mozart’s tale of Andy’s father and discover the origins of Al from Al’s Toy Barn. Little did we know that hidden deep inside this story was the answer to one of our oldest Pixar questions ever!</t>
        </is>
      </c>
      <c r="V2427" s="47">
        <f>IF(AND(P2427&gt;=Calendar!$K$2,P2427&lt;EDATE(Calendar!$K$2,1),OR(Calendar!$K$4="*",N2427=Calendar!$K$4)),P2427*100+COUNTIFS($P$6:$P$3267,P2427,$Q$6:$Q$3267,"&lt;="&amp;Q2427,$N$6:$N$3267,Calendar!$K$4),"")</f>
        <v/>
      </c>
      <c r="W2427" s="47">
        <f>IF(AND(B2427=Queue!$C$4,OR(Queue!$K$4="*",N2427=Queue!$K$4)),Q2427,"")</f>
        <v/>
      </c>
    </row>
    <row r="2428">
      <c r="A2428" s="38">
        <f>IF(M2428="","",HYPERLINK("https://www.youtube.com/watch?v="&amp;M2428,"▶"))</f>
        <v/>
      </c>
      <c r="B2428" s="39">
        <f>IF(C2428&lt;&gt;"",C2428,IF(P2428&lt;=IFERROR(INDEX(tblChannels[Watched Through],MATCH(N2428,tblChannels[Channel ID],0)),0),"Watched","Unwatched"))</f>
        <v/>
      </c>
      <c r="C2428" s="40" t="n"/>
      <c r="D2428" s="41" t="n"/>
      <c r="E2428" s="42" t="n">
        <v>42915.41666666666</v>
      </c>
      <c r="F2428" s="52" t="inlineStr">
        <is>
          <t>Super Carlin Gaming</t>
        </is>
      </c>
      <c r="G2428" t="inlineStr">
        <is>
          <t>Mario Kart Roulette #10: Dragons and Nifflers</t>
        </is>
      </c>
      <c r="H2428" s="44" t="n">
        <v>0.01131944444444444</v>
      </c>
      <c r="I2428" s="45" t="n">
        <v>21293</v>
      </c>
      <c r="J2428" s="45" t="n">
        <v>548</v>
      </c>
      <c r="K2428" s="45" t="n">
        <v>127</v>
      </c>
      <c r="L2428" s="46" t="n"/>
      <c r="M2428" s="47" t="n"/>
      <c r="N2428" s="47" t="inlineStr">
        <is>
          <t>UCor_9jRnNNZVzTuQ92PKsaQ</t>
        </is>
      </c>
      <c r="O2428" s="48" t="n">
        <v>42915.58333333334</v>
      </c>
      <c r="P2428" s="49" t="n">
        <v>42915</v>
      </c>
      <c r="Q2428" s="47" t="n">
        <v>840</v>
      </c>
      <c r="R2428" s="47" t="inlineStr">
        <is>
          <t>No Video ID yet</t>
        </is>
      </c>
      <c r="S2428" s="49" t="n"/>
      <c r="T2428" s="49" t="n"/>
      <c r="U2428" s="47" t="inlineStr">
        <is>
          <t>In this episode, J and Ben continue answering some of your questions while they take on the Lightning Cup as Wario and Inkling Boy.</t>
        </is>
      </c>
      <c r="V2428" s="47">
        <f>IF(AND(P2428&gt;=Calendar!$K$2,P2428&lt;EDATE(Calendar!$K$2,1),OR(Calendar!$K$4="*",N2428=Calendar!$K$4)),P2428*100+COUNTIFS($P$6:$P$3267,P2428,$Q$6:$Q$3267,"&lt;="&amp;Q2428,$N$6:$N$3267,Calendar!$K$4),"")</f>
        <v/>
      </c>
      <c r="W2428" s="47">
        <f>IF(AND(B2428=Queue!$C$4,OR(Queue!$K$4="*",N2428=Queue!$K$4)),Q2428,"")</f>
        <v/>
      </c>
    </row>
    <row r="2429">
      <c r="A2429" s="38">
        <f>IF(M2429="","",HYPERLINK("https://www.youtube.com/watch?v="&amp;M2429,"▶"))</f>
        <v/>
      </c>
      <c r="B2429" s="39">
        <f>IF(C2429&lt;&gt;"",C2429,IF(P2429&lt;=IFERROR(INDEX(tblChannels[Watched Through],MATCH(N2429,tblChannels[Channel ID],0)),0),"Watched","Unwatched"))</f>
        <v/>
      </c>
      <c r="C2429" s="40" t="n"/>
      <c r="D2429" s="41" t="n"/>
      <c r="E2429" s="42" t="n">
        <v>42914.62083333333</v>
      </c>
      <c r="F2429" s="52" t="inlineStr">
        <is>
          <t>Super Carlin Gaming</t>
        </is>
      </c>
      <c r="G2429" t="inlineStr">
        <is>
          <t>Pokemon Pearl Nuzlocke #17: Beak Unit Alpha</t>
        </is>
      </c>
      <c r="H2429" s="44" t="n">
        <v>0.02050925925925926</v>
      </c>
      <c r="I2429" s="45" t="n">
        <v>31396</v>
      </c>
      <c r="J2429" s="45" t="n">
        <v>807</v>
      </c>
      <c r="K2429" s="45" t="n">
        <v>295</v>
      </c>
      <c r="L2429" s="46" t="n"/>
      <c r="M2429" s="47" t="n"/>
      <c r="N2429" s="47" t="inlineStr">
        <is>
          <t>UCor_9jRnNNZVzTuQ92PKsaQ</t>
        </is>
      </c>
      <c r="O2429" s="48" t="n">
        <v>42914.7875</v>
      </c>
      <c r="P2429" s="49" t="n">
        <v>42914</v>
      </c>
      <c r="Q2429" s="47" t="n">
        <v>839</v>
      </c>
      <c r="R2429" s="47" t="inlineStr">
        <is>
          <t>No Video ID yet</t>
        </is>
      </c>
      <c r="S2429" s="49" t="n"/>
      <c r="T2429" s="49" t="n"/>
      <c r="U2429" s="47" t="inlineStr">
        <is>
          <t>A new friend, a new evolution and the founding of Beak Unit Alpha! Today J and the team take on Team Galactic and chase them around the region, but will their admins be to tough to take?</t>
        </is>
      </c>
      <c r="V2429" s="47">
        <f>IF(AND(P2429&gt;=Calendar!$K$2,P2429&lt;EDATE(Calendar!$K$2,1),OR(Calendar!$K$4="*",N2429=Calendar!$K$4)),P2429*100+COUNTIFS($P$6:$P$3267,P2429,$Q$6:$Q$3267,"&lt;="&amp;Q2429,$N$6:$N$3267,Calendar!$K$4),"")</f>
        <v/>
      </c>
      <c r="W2429" s="47">
        <f>IF(AND(B2429=Queue!$C$4,OR(Queue!$K$4="*",N2429=Queue!$K$4)),Q2429,"")</f>
        <v/>
      </c>
    </row>
    <row r="2430">
      <c r="A2430" s="38">
        <f>IF(M2430="","",HYPERLINK("https://www.youtube.com/watch?v="&amp;M2430,"▶"))</f>
        <v/>
      </c>
      <c r="B2430" s="39">
        <f>IF(C2430&lt;&gt;"",C2430,IF(P2430&lt;=IFERROR(INDEX(tblChannels[Watched Through],MATCH(N2430,tblChannels[Channel ID],0)),0),"Watched","Unwatched"))</f>
        <v/>
      </c>
      <c r="C2430" s="40" t="n"/>
      <c r="D2430" s="41" t="n"/>
      <c r="E2430" s="42" t="n">
        <v>42913.79236111111</v>
      </c>
      <c r="F2430" s="50" t="inlineStr">
        <is>
          <t>Super Carlin Brothers</t>
        </is>
      </c>
      <c r="G2430" t="inlineStr">
        <is>
          <t>How Cars 3 Fits Into the Pixar Theory</t>
        </is>
      </c>
      <c r="H2430" s="44" t="n">
        <v>0.007673611111111111</v>
      </c>
      <c r="I2430" s="45" t="n">
        <v>747828</v>
      </c>
      <c r="J2430" s="45" t="n">
        <v>19450</v>
      </c>
      <c r="K2430" s="45" t="n">
        <v>2990</v>
      </c>
      <c r="L2430" s="46" t="n"/>
      <c r="M2430" s="47" t="n"/>
      <c r="N2430" s="47" t="inlineStr">
        <is>
          <t>UCKZo4N0lVPccBkSiuyVh4yg</t>
        </is>
      </c>
      <c r="O2430" s="48" t="n">
        <v>42913.95902777778</v>
      </c>
      <c r="P2430" s="49" t="n">
        <v>42913</v>
      </c>
      <c r="Q2430" s="47" t="n">
        <v>838</v>
      </c>
      <c r="R2430" s="47" t="inlineStr">
        <is>
          <t>No Video ID yet</t>
        </is>
      </c>
      <c r="S2430" s="49" t="n"/>
      <c r="T2430" s="49" t="n"/>
      <c r="U2430" s="47" t="inlineStr">
        <is>
          <t>Today we discuss how Cars 3 Fits into the Pixar Theory! Jon Negroni’s Pixar Theory :: A new Pixar movie means a new entry into the Pixar Theory, today J drives into the world of Cars 3 to discover how the world of cars connects to the rest of the Pixar universe!</t>
        </is>
      </c>
      <c r="V2430" s="47">
        <f>IF(AND(P2430&gt;=Calendar!$K$2,P2430&lt;EDATE(Calendar!$K$2,1),OR(Calendar!$K$4="*",N2430=Calendar!$K$4)),P2430*100+COUNTIFS($P$6:$P$3267,P2430,$Q$6:$Q$3267,"&lt;="&amp;Q2430,$N$6:$N$3267,Calendar!$K$4),"")</f>
        <v/>
      </c>
      <c r="W2430" s="47">
        <f>IF(AND(B2430=Queue!$C$4,OR(Queue!$K$4="*",N2430=Queue!$K$4)),Q2430,"")</f>
        <v/>
      </c>
    </row>
    <row r="2431">
      <c r="A2431" s="38">
        <f>IF(M2431="","",HYPERLINK("https://www.youtube.com/watch?v="&amp;M2431,"▶"))</f>
        <v/>
      </c>
      <c r="B2431" s="39">
        <f>IF(C2431&lt;&gt;"",C2431,IF(P2431&lt;=IFERROR(INDEX(tblChannels[Watched Through],MATCH(N2431,tblChannels[Channel ID],0)),0),"Watched","Unwatched"))</f>
        <v/>
      </c>
      <c r="C2431" s="40" t="n"/>
      <c r="D2431" s="41" t="n"/>
      <c r="E2431" s="42" t="n">
        <v>42913.41666666666</v>
      </c>
      <c r="F2431" s="52" t="inlineStr">
        <is>
          <t>Super Carlin Gaming</t>
        </is>
      </c>
      <c r="G2431" t="inlineStr">
        <is>
          <t>Mario Kart Roulette #9: Ask J and Ben</t>
        </is>
      </c>
      <c r="H2431" s="44" t="n">
        <v>0.01099537037037037</v>
      </c>
      <c r="I2431" s="45" t="n">
        <v>21420</v>
      </c>
      <c r="J2431" s="45" t="n">
        <v>536</v>
      </c>
      <c r="K2431" s="45" t="n">
        <v>100</v>
      </c>
      <c r="L2431" s="46" t="n"/>
      <c r="M2431" s="47" t="n"/>
      <c r="N2431" s="47" t="inlineStr">
        <is>
          <t>UCor_9jRnNNZVzTuQ92PKsaQ</t>
        </is>
      </c>
      <c r="O2431" s="48" t="n">
        <v>42913.58333333334</v>
      </c>
      <c r="P2431" s="49" t="n">
        <v>42913</v>
      </c>
      <c r="Q2431" s="47" t="n">
        <v>837</v>
      </c>
      <c r="R2431" s="47" t="inlineStr">
        <is>
          <t>No Video ID yet</t>
        </is>
      </c>
      <c r="S2431" s="49" t="n"/>
      <c r="T2431" s="49" t="n"/>
      <c r="U2431" s="47" t="inlineStr">
        <is>
          <t>In this episode of the Mario Kart Roulette Challenge, J and Ben take on the Leaf Cup as Baby Luigi and Link as they discuss and answer some of your questions! If you have any questions you would like answered in the next video, leave them in the towel section below!</t>
        </is>
      </c>
      <c r="V2431" s="47">
        <f>IF(AND(P2431&gt;=Calendar!$K$2,P2431&lt;EDATE(Calendar!$K$2,1),OR(Calendar!$K$4="*",N2431=Calendar!$K$4)),P2431*100+COUNTIFS($P$6:$P$3267,P2431,$Q$6:$Q$3267,"&lt;="&amp;Q2431,$N$6:$N$3267,Calendar!$K$4),"")</f>
        <v/>
      </c>
      <c r="W2431" s="47">
        <f>IF(AND(B2431=Queue!$C$4,OR(Queue!$K$4="*",N2431=Queue!$K$4)),Q2431,"")</f>
        <v/>
      </c>
    </row>
    <row r="2432">
      <c r="A2432" s="38">
        <f>IF(M2432="","",HYPERLINK("https://www.youtube.com/watch?v="&amp;M2432,"▶"))</f>
        <v/>
      </c>
      <c r="B2432" s="39">
        <f>IF(C2432&lt;&gt;"",C2432,IF(P2432&lt;=IFERROR(INDEX(tblChannels[Watched Through],MATCH(N2432,tblChannels[Channel ID],0)),0),"Watched","Unwatched"))</f>
        <v/>
      </c>
      <c r="C2432" s="40" t="n"/>
      <c r="D2432" s="41" t="n"/>
      <c r="E2432" s="42" t="n">
        <v>42912.64652777778</v>
      </c>
      <c r="F2432" s="52" t="inlineStr">
        <is>
          <t>Super Carlin Gaming</t>
        </is>
      </c>
      <c r="G2432" t="inlineStr">
        <is>
          <t>Pokemon Pearl Nuzlocke #16: A Steel Gym?</t>
        </is>
      </c>
      <c r="H2432" s="44" t="n">
        <v>0.02186342592592593</v>
      </c>
      <c r="I2432" s="45" t="n">
        <v>33738</v>
      </c>
      <c r="J2432" s="45" t="n">
        <v>814</v>
      </c>
      <c r="K2432" s="45" t="n">
        <v>257</v>
      </c>
      <c r="L2432" s="46" t="n"/>
      <c r="M2432" s="47" t="n"/>
      <c r="N2432" s="47" t="inlineStr">
        <is>
          <t>UCor_9jRnNNZVzTuQ92PKsaQ</t>
        </is>
      </c>
      <c r="O2432" s="48" t="n">
        <v>42912.81319444445</v>
      </c>
      <c r="P2432" s="49" t="n">
        <v>42912</v>
      </c>
      <c r="Q2432" s="47" t="n">
        <v>836</v>
      </c>
      <c r="R2432" s="47" t="inlineStr">
        <is>
          <t>No Video ID yet</t>
        </is>
      </c>
      <c r="S2432" s="49" t="n"/>
      <c r="T2432" s="49" t="n"/>
      <c r="U2432" s="47" t="inlineStr">
        <is>
          <t>J and the team make their way to the 6th gym which uh, claims to be a Steel gym, but uh... is it? Can they survive another gym battle or will another member fall?!</t>
        </is>
      </c>
      <c r="V2432" s="47">
        <f>IF(AND(P2432&gt;=Calendar!$K$2,P2432&lt;EDATE(Calendar!$K$2,1),OR(Calendar!$K$4="*",N2432=Calendar!$K$4)),P2432*100+COUNTIFS($P$6:$P$3267,P2432,$Q$6:$Q$3267,"&lt;="&amp;Q2432,$N$6:$N$3267,Calendar!$K$4),"")</f>
        <v/>
      </c>
      <c r="W2432" s="47">
        <f>IF(AND(B2432=Queue!$C$4,OR(Queue!$K$4="*",N2432=Queue!$K$4)),Q2432,"")</f>
        <v/>
      </c>
    </row>
    <row r="2433">
      <c r="A2433" s="38">
        <f>IF(M2433="","",HYPERLINK("https://www.youtube.com/watch?v="&amp;M2433,"▶"))</f>
        <v/>
      </c>
      <c r="B2433" s="39">
        <f>IF(C2433&lt;&gt;"",C2433,IF(P2433&lt;=IFERROR(INDEX(tblChannels[Watched Through],MATCH(N2433,tblChannels[Channel ID],0)),0),"Watched","Unwatched"))</f>
        <v/>
      </c>
      <c r="C2433" s="40" t="n"/>
      <c r="D2433" s="41" t="n"/>
      <c r="E2433" s="42" t="n">
        <v>42909.61458333334</v>
      </c>
      <c r="F2433" s="52" t="inlineStr">
        <is>
          <t>Super Carlin Gaming</t>
        </is>
      </c>
      <c r="G2433" t="inlineStr">
        <is>
          <t>Pokemon Pearl Nuzlocke #15: Ghosts and Zombies</t>
        </is>
      </c>
      <c r="H2433" s="44" t="n">
        <v>0.02427083333333333</v>
      </c>
      <c r="I2433" s="45" t="n">
        <v>35488</v>
      </c>
      <c r="J2433" s="45" t="n">
        <v>826</v>
      </c>
      <c r="K2433" s="45" t="n">
        <v>287</v>
      </c>
      <c r="L2433" s="46" t="n"/>
      <c r="M2433" s="47" t="n"/>
      <c r="N2433" s="47" t="inlineStr">
        <is>
          <t>UCor_9jRnNNZVzTuQ92PKsaQ</t>
        </is>
      </c>
      <c r="O2433" s="48" t="n">
        <v>42909.78125</v>
      </c>
      <c r="P2433" s="49" t="n">
        <v>42909</v>
      </c>
      <c r="Q2433" s="47" t="n">
        <v>835</v>
      </c>
      <c r="R2433" s="47" t="inlineStr">
        <is>
          <t>No Video ID yet</t>
        </is>
      </c>
      <c r="S2433" s="49" t="n"/>
      <c r="T2433" s="49" t="n"/>
      <c r="U2433" s="47" t="inlineStr">
        <is>
          <t>Today J and team face the grave reality that a zombie walks among them and then prepare for their next Ghostly Gym battle.. will the team survive so many horrors or will the dead prevail?!</t>
        </is>
      </c>
      <c r="V2433" s="47">
        <f>IF(AND(P2433&gt;=Calendar!$K$2,P2433&lt;EDATE(Calendar!$K$2,1),OR(Calendar!$K$4="*",N2433=Calendar!$K$4)),P2433*100+COUNTIFS($P$6:$P$3267,P2433,$Q$6:$Q$3267,"&lt;="&amp;Q2433,$N$6:$N$3267,Calendar!$K$4),"")</f>
        <v/>
      </c>
      <c r="W2433" s="47">
        <f>IF(AND(B2433=Queue!$C$4,OR(Queue!$K$4="*",N2433=Queue!$K$4)),Q2433,"")</f>
        <v/>
      </c>
    </row>
    <row r="2434">
      <c r="A2434" s="38">
        <f>IF(M2434="","",HYPERLINK("https://www.youtube.com/watch?v="&amp;M2434,"▶"))</f>
        <v/>
      </c>
      <c r="B2434" s="39">
        <f>IF(C2434&lt;&gt;"",C2434,IF(P2434&lt;=IFERROR(INDEX(tblChannels[Watched Through],MATCH(N2434,tblChannels[Channel ID],0)),0),"Watched","Unwatched"))</f>
        <v/>
      </c>
      <c r="C2434" s="40" t="n"/>
      <c r="D2434" s="41" t="n"/>
      <c r="E2434" s="42" t="n">
        <v>42908.80555555555</v>
      </c>
      <c r="F2434" s="50" t="inlineStr">
        <is>
          <t>Super Carlin Brothers</t>
        </is>
      </c>
      <c r="G2434" t="inlineStr">
        <is>
          <t>Toy Story Zero: The True Story Of Andy’s Dad &amp; Woody’s Origin (ft. Mike Mozart)</t>
        </is>
      </c>
      <c r="H2434" s="44" t="n">
        <v>0.01224537037037037</v>
      </c>
      <c r="I2434" s="45" t="n">
        <v>5115951</v>
      </c>
      <c r="J2434" s="45" t="n">
        <v>154040</v>
      </c>
      <c r="K2434" s="45" t="n">
        <v>14123</v>
      </c>
      <c r="L2434" s="46" t="n"/>
      <c r="M2434" s="47" t="n"/>
      <c r="N2434" s="47" t="inlineStr">
        <is>
          <t>UCKZo4N0lVPccBkSiuyVh4yg</t>
        </is>
      </c>
      <c r="O2434" s="48" t="n">
        <v>42908.97222222222</v>
      </c>
      <c r="P2434" s="49" t="n">
        <v>42908</v>
      </c>
      <c r="Q2434" s="47" t="n">
        <v>834</v>
      </c>
      <c r="R2434" s="47" t="inlineStr">
        <is>
          <t>No Video ID yet</t>
        </is>
      </c>
      <c r="S2434" s="49" t="n"/>
      <c r="T2434" s="49" t="n"/>
      <c r="U2434" s="47" t="inlineStr">
        <is>
          <t>One of the longest standing mysteries about Pixar’s Toy Story movies is what happened to Andy’s dad? It turns out the secret was once revealed by Pixar’s Head Writer Joe Ranft to his friend Mike Mozart. Today J sits down with Mike to discuss and retell the amazing story that happened before Toy Story. Follow Mike on Instagram ::</t>
        </is>
      </c>
      <c r="V2434" s="47">
        <f>IF(AND(P2434&gt;=Calendar!$K$2,P2434&lt;EDATE(Calendar!$K$2,1),OR(Calendar!$K$4="*",N2434=Calendar!$K$4)),P2434*100+COUNTIFS($P$6:$P$3267,P2434,$Q$6:$Q$3267,"&lt;="&amp;Q2434,$N$6:$N$3267,Calendar!$K$4),"")</f>
        <v/>
      </c>
      <c r="W2434" s="47">
        <f>IF(AND(B2434=Queue!$C$4,OR(Queue!$K$4="*",N2434=Queue!$K$4)),Q2434,"")</f>
        <v/>
      </c>
    </row>
    <row r="2435">
      <c r="A2435" s="38">
        <f>IF(M2435="","",HYPERLINK("https://www.youtube.com/watch?v="&amp;M2435,"▶"))</f>
        <v/>
      </c>
      <c r="B2435" s="39">
        <f>IF(C2435&lt;&gt;"",C2435,IF(P2435&lt;=IFERROR(INDEX(tblChannels[Watched Through],MATCH(N2435,tblChannels[Channel ID],0)),0),"Watched","Unwatched"))</f>
        <v/>
      </c>
      <c r="C2435" s="40" t="n"/>
      <c r="D2435" s="41" t="n"/>
      <c r="E2435" s="42" t="n">
        <v>42908.41666666666</v>
      </c>
      <c r="F2435" s="52" t="inlineStr">
        <is>
          <t>Super Carlin Gaming</t>
        </is>
      </c>
      <c r="G2435" t="inlineStr">
        <is>
          <t>Mario Kart Roulette #8: Animal Crossing Is Basically Frogger Right?</t>
        </is>
      </c>
      <c r="H2435" s="44" t="n">
        <v>0.01138888888888889</v>
      </c>
      <c r="I2435" s="45" t="n">
        <v>23833</v>
      </c>
      <c r="J2435" s="45" t="n">
        <v>624</v>
      </c>
      <c r="K2435" s="45" t="n">
        <v>221</v>
      </c>
      <c r="L2435" s="46" t="n"/>
      <c r="M2435" s="47" t="n"/>
      <c r="N2435" s="47" t="inlineStr">
        <is>
          <t>UCor_9jRnNNZVzTuQ92PKsaQ</t>
        </is>
      </c>
      <c r="O2435" s="48" t="n">
        <v>42908.58333333334</v>
      </c>
      <c r="P2435" s="49" t="n">
        <v>42908</v>
      </c>
      <c r="Q2435" s="47" t="n">
        <v>833</v>
      </c>
      <c r="R2435" s="47" t="inlineStr">
        <is>
          <t>No Video ID yet</t>
        </is>
      </c>
      <c r="S2435" s="49" t="n"/>
      <c r="T2435" s="49" t="n"/>
      <c r="U2435" s="47" t="inlineStr">
        <is>
          <t>In this episode, J and Ben will be competing in the Banana Cup at 150 cc as Baby Mario and Baby Luigi.</t>
        </is>
      </c>
      <c r="V2435" s="47">
        <f>IF(AND(P2435&gt;=Calendar!$K$2,P2435&lt;EDATE(Calendar!$K$2,1),OR(Calendar!$K$4="*",N2435=Calendar!$K$4)),P2435*100+COUNTIFS($P$6:$P$3267,P2435,$Q$6:$Q$3267,"&lt;="&amp;Q2435,$N$6:$N$3267,Calendar!$K$4),"")</f>
        <v/>
      </c>
      <c r="W2435" s="47">
        <f>IF(AND(B2435=Queue!$C$4,OR(Queue!$K$4="*",N2435=Queue!$K$4)),Q2435,"")</f>
        <v/>
      </c>
    </row>
    <row r="2436">
      <c r="A2436" s="38">
        <f>IF(M2436="","",HYPERLINK("https://www.youtube.com/watch?v="&amp;M2436,"▶"))</f>
        <v/>
      </c>
      <c r="B2436" s="39">
        <f>IF(C2436&lt;&gt;"",C2436,IF(P2436&lt;=IFERROR(INDEX(tblChannels[Watched Through],MATCH(N2436,tblChannels[Channel ID],0)),0),"Watched","Unwatched"))</f>
        <v/>
      </c>
      <c r="C2436" s="40" t="n"/>
      <c r="D2436" s="41" t="n"/>
      <c r="E2436" s="42" t="n">
        <v>42907.70138888889</v>
      </c>
      <c r="F2436" s="52" t="inlineStr">
        <is>
          <t>Super Carlin Gaming</t>
        </is>
      </c>
      <c r="G2436" t="inlineStr">
        <is>
          <t>Pokemon Pearl Nuzlocke #14: Cynthia's Mission</t>
        </is>
      </c>
      <c r="H2436" s="44" t="n">
        <v>0.02881944444444445</v>
      </c>
      <c r="I2436" s="45" t="n">
        <v>37191</v>
      </c>
      <c r="J2436" s="45" t="n">
        <v>866</v>
      </c>
      <c r="K2436" s="45" t="n">
        <v>401</v>
      </c>
      <c r="L2436" s="46" t="n"/>
      <c r="M2436" s="47" t="n"/>
      <c r="N2436" s="47" t="inlineStr">
        <is>
          <t>UCor_9jRnNNZVzTuQ92PKsaQ</t>
        </is>
      </c>
      <c r="O2436" s="48" t="n">
        <v>42907.86805555555</v>
      </c>
      <c r="P2436" s="49" t="n">
        <v>42907</v>
      </c>
      <c r="Q2436" s="47" t="n">
        <v>832</v>
      </c>
      <c r="R2436" s="47" t="inlineStr">
        <is>
          <t>No Video ID yet</t>
        </is>
      </c>
      <c r="S2436" s="49" t="n"/>
      <c r="T2436" s="49" t="n"/>
      <c r="U2436" s="47" t="inlineStr">
        <is>
          <t>J and the team quickly encounter sprouts before receiving a new mission from Cynthia, will they survive the foggy journey north?</t>
        </is>
      </c>
      <c r="V2436" s="47">
        <f>IF(AND(P2436&gt;=Calendar!$K$2,P2436&lt;EDATE(Calendar!$K$2,1),OR(Calendar!$K$4="*",N2436=Calendar!$K$4)),P2436*100+COUNTIFS($P$6:$P$3267,P2436,$Q$6:$Q$3267,"&lt;="&amp;Q2436,$N$6:$N$3267,Calendar!$K$4),"")</f>
        <v/>
      </c>
      <c r="W2436" s="47">
        <f>IF(AND(B2436=Queue!$C$4,OR(Queue!$K$4="*",N2436=Queue!$K$4)),Q2436,"")</f>
        <v/>
      </c>
    </row>
    <row r="2437">
      <c r="A2437" s="38">
        <f>IF(M2437="","",HYPERLINK("https://www.youtube.com/watch?v="&amp;M2437,"▶"))</f>
        <v/>
      </c>
      <c r="B2437" s="39">
        <f>IF(C2437&lt;&gt;"",C2437,IF(P2437&lt;=IFERROR(INDEX(tblChannels[Watched Through],MATCH(N2437,tblChannels[Channel ID],0)),0),"Watched","Unwatched"))</f>
        <v/>
      </c>
      <c r="C2437" s="40" t="n"/>
      <c r="D2437" s="41" t="n"/>
      <c r="E2437" s="42" t="n">
        <v>42906.78541666667</v>
      </c>
      <c r="F2437" s="50" t="inlineStr">
        <is>
          <t>Super Carlin Brothers</t>
        </is>
      </c>
      <c r="G2437" t="inlineStr">
        <is>
          <t>Is Cars 3 The Best Cars Movie? | REVIEW</t>
        </is>
      </c>
      <c r="H2437" s="44" t="n">
        <v>0.02993055555555555</v>
      </c>
      <c r="I2437" s="45" t="n">
        <v>606419</v>
      </c>
      <c r="J2437" s="45" t="n">
        <v>10586</v>
      </c>
      <c r="K2437" s="45" t="n">
        <v>3059</v>
      </c>
      <c r="L2437" s="46" t="n"/>
      <c r="M2437" s="47" t="n"/>
      <c r="N2437" s="47" t="inlineStr">
        <is>
          <t>UCKZo4N0lVPccBkSiuyVh4yg</t>
        </is>
      </c>
      <c r="O2437" s="48" t="n">
        <v>42906.95208333333</v>
      </c>
      <c r="P2437" s="49" t="n">
        <v>42906</v>
      </c>
      <c r="Q2437" s="47" t="n">
        <v>831</v>
      </c>
      <c r="R2437" s="47" t="inlineStr">
        <is>
          <t>No Video ID yet</t>
        </is>
      </c>
      <c r="S2437" s="49" t="n"/>
      <c r="T2437" s="49" t="n"/>
      <c r="U2437" s="47" t="inlineStr">
        <is>
          <t>Last week Disney Pixar’s Cars 3 came out so today J and Ben are giving their full spoiler review to determine if the final chapter of Lightning McQueen is also the best one.</t>
        </is>
      </c>
      <c r="V2437" s="47">
        <f>IF(AND(P2437&gt;=Calendar!$K$2,P2437&lt;EDATE(Calendar!$K$2,1),OR(Calendar!$K$4="*",N2437=Calendar!$K$4)),P2437*100+COUNTIFS($P$6:$P$3267,P2437,$Q$6:$Q$3267,"&lt;="&amp;Q2437,$N$6:$N$3267,Calendar!$K$4),"")</f>
        <v/>
      </c>
      <c r="W2437" s="47">
        <f>IF(AND(B2437=Queue!$C$4,OR(Queue!$K$4="*",N2437=Queue!$K$4)),Q2437,"")</f>
        <v/>
      </c>
    </row>
    <row r="2438">
      <c r="A2438" s="38">
        <f>IF(M2438="","",HYPERLINK("https://www.youtube.com/watch?v="&amp;M2438,"▶"))</f>
        <v/>
      </c>
      <c r="B2438" s="39">
        <f>IF(C2438&lt;&gt;"",C2438,IF(P2438&lt;=IFERROR(INDEX(tblChannels[Watched Through],MATCH(N2438,tblChannels[Channel ID],0)),0),"Watched","Unwatched"))</f>
        <v/>
      </c>
      <c r="C2438" s="40" t="n"/>
      <c r="D2438" s="41" t="n"/>
      <c r="E2438" s="42" t="n">
        <v>42906.41666666666</v>
      </c>
      <c r="F2438" s="52" t="inlineStr">
        <is>
          <t>Super Carlin Gaming</t>
        </is>
      </c>
      <c r="G2438" t="inlineStr">
        <is>
          <t>Mario Kart Roulette #7: J and Ben Take on the Shell Cup!</t>
        </is>
      </c>
      <c r="H2438" s="44" t="n">
        <v>0.01032407407407407</v>
      </c>
      <c r="I2438" s="45" t="n">
        <v>30120</v>
      </c>
      <c r="J2438" s="45" t="n">
        <v>754</v>
      </c>
      <c r="K2438" s="45" t="n">
        <v>177</v>
      </c>
      <c r="L2438" s="46" t="n"/>
      <c r="M2438" s="47" t="n"/>
      <c r="N2438" s="47" t="inlineStr">
        <is>
          <t>UCor_9jRnNNZVzTuQ92PKsaQ</t>
        </is>
      </c>
      <c r="O2438" s="48" t="n">
        <v>42906.58333333334</v>
      </c>
      <c r="P2438" s="49" t="n">
        <v>42906</v>
      </c>
      <c r="Q2438" s="47" t="n">
        <v>830</v>
      </c>
      <c r="R2438" s="47" t="inlineStr">
        <is>
          <t>No Video ID yet</t>
        </is>
      </c>
      <c r="S2438" s="49" t="n"/>
      <c r="T2438" s="49" t="n"/>
      <c r="U2438" s="47" t="inlineStr">
        <is>
          <t>In this episode, J and Ben take on the Shell Cup at 150 cc as Shy Guy and Koopa Troopa!</t>
        </is>
      </c>
      <c r="V2438" s="47">
        <f>IF(AND(P2438&gt;=Calendar!$K$2,P2438&lt;EDATE(Calendar!$K$2,1),OR(Calendar!$K$4="*",N2438=Calendar!$K$4)),P2438*100+COUNTIFS($P$6:$P$3267,P2438,$Q$6:$Q$3267,"&lt;="&amp;Q2438,$N$6:$N$3267,Calendar!$K$4),"")</f>
        <v/>
      </c>
      <c r="W2438" s="47">
        <f>IF(AND(B2438=Queue!$C$4,OR(Queue!$K$4="*",N2438=Queue!$K$4)),Q2438,"")</f>
        <v/>
      </c>
    </row>
    <row r="2439">
      <c r="A2439" s="38">
        <f>IF(M2439="","",HYPERLINK("https://www.youtube.com/watch?v="&amp;M2439,"▶"))</f>
        <v/>
      </c>
      <c r="B2439" s="39">
        <f>IF(C2439&lt;&gt;"",C2439,IF(P2439&lt;=IFERROR(INDEX(tblChannels[Watched Through],MATCH(N2439,tblChannels[Channel ID],0)),0),"Watched","Unwatched"))</f>
        <v/>
      </c>
      <c r="C2439" s="40" t="n"/>
      <c r="D2439" s="41" t="n"/>
      <c r="E2439" s="42" t="n">
        <v>42905.62638888889</v>
      </c>
      <c r="F2439" s="52" t="inlineStr">
        <is>
          <t>Super Carlin Gaming</t>
        </is>
      </c>
      <c r="G2439" t="inlineStr">
        <is>
          <t>Pokemon Pearl Nuzlocke #13: Soloman vs Wake</t>
        </is>
      </c>
      <c r="H2439" s="44" t="n">
        <v>0.02141203703703704</v>
      </c>
      <c r="I2439" s="45" t="n">
        <v>33588</v>
      </c>
      <c r="J2439" s="45" t="n">
        <v>853</v>
      </c>
      <c r="K2439" s="45" t="n">
        <v>251</v>
      </c>
      <c r="L2439" s="46" t="n"/>
      <c r="M2439" s="47" t="n"/>
      <c r="N2439" s="47" t="inlineStr">
        <is>
          <t>UCor_9jRnNNZVzTuQ92PKsaQ</t>
        </is>
      </c>
      <c r="O2439" s="48" t="n">
        <v>42905.79305555556</v>
      </c>
      <c r="P2439" s="49" t="n">
        <v>42905</v>
      </c>
      <c r="Q2439" s="47" t="n">
        <v>829</v>
      </c>
      <c r="R2439" s="47" t="inlineStr">
        <is>
          <t>No Video ID yet</t>
        </is>
      </c>
      <c r="S2439" s="49" t="n"/>
      <c r="T2439" s="49" t="n"/>
      <c r="U2439" s="47" t="inlineStr">
        <is>
          <t>Today J and the team take on a their next gym battle and put their newest member to the test.. he look promising, but will his small HP be enough to tackle a gym leader?!</t>
        </is>
      </c>
      <c r="V2439" s="47">
        <f>IF(AND(P2439&gt;=Calendar!$K$2,P2439&lt;EDATE(Calendar!$K$2,1),OR(Calendar!$K$4="*",N2439=Calendar!$K$4)),P2439*100+COUNTIFS($P$6:$P$3267,P2439,$Q$6:$Q$3267,"&lt;="&amp;Q2439,$N$6:$N$3267,Calendar!$K$4),"")</f>
        <v/>
      </c>
      <c r="W2439" s="47">
        <f>IF(AND(B2439=Queue!$C$4,OR(Queue!$K$4="*",N2439=Queue!$K$4)),Q2439,"")</f>
        <v/>
      </c>
    </row>
    <row r="2440">
      <c r="A2440" s="38">
        <f>IF(M2440="","",HYPERLINK("https://www.youtube.com/watch?v="&amp;M2440,"▶"))</f>
        <v/>
      </c>
      <c r="B2440" s="39">
        <f>IF(C2440&lt;&gt;"",C2440,IF(P2440&lt;=IFERROR(INDEX(tblChannels[Watched Through],MATCH(N2440,tblChannels[Channel ID],0)),0),"Watched","Unwatched"))</f>
        <v/>
      </c>
      <c r="C2440" s="40" t="n"/>
      <c r="D2440" s="41" t="n"/>
      <c r="E2440" s="42" t="n">
        <v>42902.64375</v>
      </c>
      <c r="F2440" s="52" t="inlineStr">
        <is>
          <t>Super Carlin Gaming</t>
        </is>
      </c>
      <c r="G2440" t="inlineStr">
        <is>
          <t>Pokemon Pearl Nuzlocke #12: A New Recruit!</t>
        </is>
      </c>
      <c r="H2440" s="44" t="n">
        <v>0.01900462962962963</v>
      </c>
      <c r="I2440" s="45" t="n">
        <v>34716</v>
      </c>
      <c r="J2440" s="45" t="n">
        <v>758</v>
      </c>
      <c r="K2440" s="45" t="n">
        <v>324</v>
      </c>
      <c r="L2440" s="46" t="n"/>
      <c r="M2440" s="47" t="n"/>
      <c r="N2440" s="47" t="inlineStr">
        <is>
          <t>UCor_9jRnNNZVzTuQ92PKsaQ</t>
        </is>
      </c>
      <c r="O2440" s="48" t="n">
        <v>42902.81041666667</v>
      </c>
      <c r="P2440" s="49" t="n">
        <v>42902</v>
      </c>
      <c r="Q2440" s="47" t="n">
        <v>828</v>
      </c>
      <c r="R2440" s="47" t="inlineStr">
        <is>
          <t>No Video ID yet</t>
        </is>
      </c>
      <c r="S2440" s="49" t="n"/>
      <c r="T2440" s="49" t="n"/>
      <c r="U2440" s="47" t="inlineStr">
        <is>
          <t>J and the team roll around in the mud and the rain in preparation for the next gym - but then a new hero emerges!</t>
        </is>
      </c>
      <c r="V2440" s="47">
        <f>IF(AND(P2440&gt;=Calendar!$K$2,P2440&lt;EDATE(Calendar!$K$2,1),OR(Calendar!$K$4="*",N2440=Calendar!$K$4)),P2440*100+COUNTIFS($P$6:$P$3267,P2440,$Q$6:$Q$3267,"&lt;="&amp;Q2440,$N$6:$N$3267,Calendar!$K$4),"")</f>
        <v/>
      </c>
      <c r="W2440" s="47">
        <f>IF(AND(B2440=Queue!$C$4,OR(Queue!$K$4="*",N2440=Queue!$K$4)),Q2440,"")</f>
        <v/>
      </c>
    </row>
    <row r="2441">
      <c r="A2441" s="38">
        <f>IF(M2441="","",HYPERLINK("https://www.youtube.com/watch?v="&amp;M2441,"▶"))</f>
        <v/>
      </c>
      <c r="B2441" s="39">
        <f>IF(C2441&lt;&gt;"",C2441,IF(P2441&lt;=IFERROR(INDEX(tblChannels[Watched Through],MATCH(N2441,tblChannels[Channel ID],0)),0),"Watched","Unwatched"))</f>
        <v/>
      </c>
      <c r="C2441" s="40" t="n"/>
      <c r="D2441" s="41" t="n"/>
      <c r="E2441" s="42" t="n">
        <v>42901.62777777778</v>
      </c>
      <c r="F2441" s="50" t="inlineStr">
        <is>
          <t>Super Carlin Brothers</t>
        </is>
      </c>
      <c r="G2441" t="inlineStr">
        <is>
          <t>Disney Theory: What is Moana's Spirit Animal?</t>
        </is>
      </c>
      <c r="H2441" s="44" t="n">
        <v>0.004467592592592592</v>
      </c>
      <c r="I2441" s="45" t="n">
        <v>1353477</v>
      </c>
      <c r="J2441" s="45" t="n">
        <v>27559</v>
      </c>
      <c r="K2441" s="45" t="n">
        <v>9437</v>
      </c>
      <c r="L2441" s="46" t="n"/>
      <c r="M2441" s="47" t="n"/>
      <c r="N2441" s="47" t="inlineStr">
        <is>
          <t>UCKZo4N0lVPccBkSiuyVh4yg</t>
        </is>
      </c>
      <c r="O2441" s="48" t="n">
        <v>42901.79444444444</v>
      </c>
      <c r="P2441" s="49" t="n">
        <v>42901</v>
      </c>
      <c r="Q2441" s="47" t="n">
        <v>827</v>
      </c>
      <c r="R2441" s="47" t="inlineStr">
        <is>
          <t>No Video ID yet</t>
        </is>
      </c>
      <c r="S2441" s="49" t="n"/>
      <c r="T2441" s="49" t="n"/>
      <c r="U2441" s="47" t="inlineStr">
        <is>
          <t>If Moana's Grandmother's Spirit Animal is a ray, then what is Moana's? Ben has an idea!</t>
        </is>
      </c>
      <c r="V2441" s="47">
        <f>IF(AND(P2441&gt;=Calendar!$K$2,P2441&lt;EDATE(Calendar!$K$2,1),OR(Calendar!$K$4="*",N2441=Calendar!$K$4)),P2441*100+COUNTIFS($P$6:$P$3267,P2441,$Q$6:$Q$3267,"&lt;="&amp;Q2441,$N$6:$N$3267,Calendar!$K$4),"")</f>
        <v/>
      </c>
      <c r="W2441" s="47">
        <f>IF(AND(B2441=Queue!$C$4,OR(Queue!$K$4="*",N2441=Queue!$K$4)),Q2441,"")</f>
        <v/>
      </c>
    </row>
    <row r="2442">
      <c r="A2442" s="38">
        <f>IF(M2442="","",HYPERLINK("https://www.youtube.com/watch?v="&amp;M2442,"▶"))</f>
        <v/>
      </c>
      <c r="B2442" s="39">
        <f>IF(C2442&lt;&gt;"",C2442,IF(P2442&lt;=IFERROR(INDEX(tblChannels[Watched Through],MATCH(N2442,tblChannels[Channel ID],0)),0),"Watched","Unwatched"))</f>
        <v/>
      </c>
      <c r="C2442" s="40" t="n"/>
      <c r="D2442" s="41" t="n"/>
      <c r="E2442" s="42" t="n">
        <v>42901.41666666666</v>
      </c>
      <c r="F2442" s="52" t="inlineStr">
        <is>
          <t>Super Carlin Gaming</t>
        </is>
      </c>
      <c r="G2442" t="inlineStr">
        <is>
          <t>Mario Kart Roulette #6: Ask J (pt. 2)</t>
        </is>
      </c>
      <c r="H2442" s="44" t="n">
        <v>0.0096875</v>
      </c>
      <c r="I2442" s="45" t="n">
        <v>17360</v>
      </c>
      <c r="J2442" s="45" t="n">
        <v>456</v>
      </c>
      <c r="K2442" s="45" t="n">
        <v>121</v>
      </c>
      <c r="L2442" s="46" t="n"/>
      <c r="M2442" s="47" t="n"/>
      <c r="N2442" s="47" t="inlineStr">
        <is>
          <t>UCor_9jRnNNZVzTuQ92PKsaQ</t>
        </is>
      </c>
      <c r="O2442" s="48" t="n">
        <v>42901.58333333334</v>
      </c>
      <c r="P2442" s="49" t="n">
        <v>42901</v>
      </c>
      <c r="Q2442" s="47" t="n">
        <v>826</v>
      </c>
      <c r="R2442" s="47" t="inlineStr">
        <is>
          <t>No Video ID yet</t>
        </is>
      </c>
      <c r="S2442" s="49" t="n"/>
      <c r="T2442" s="49" t="n"/>
      <c r="U2442" s="47" t="inlineStr">
        <is>
          <t>In this episode of the Mario Kart 8 Roulette challenge, J plays the Crossing Cup as Bowser while he continues to answer more viewer questions.</t>
        </is>
      </c>
      <c r="V2442" s="47">
        <f>IF(AND(P2442&gt;=Calendar!$K$2,P2442&lt;EDATE(Calendar!$K$2,1),OR(Calendar!$K$4="*",N2442=Calendar!$K$4)),P2442*100+COUNTIFS($P$6:$P$3267,P2442,$Q$6:$Q$3267,"&lt;="&amp;Q2442,$N$6:$N$3267,Calendar!$K$4),"")</f>
        <v/>
      </c>
      <c r="W2442" s="47">
        <f>IF(AND(B2442=Queue!$C$4,OR(Queue!$K$4="*",N2442=Queue!$K$4)),Q2442,"")</f>
        <v/>
      </c>
    </row>
    <row r="2443">
      <c r="A2443" s="38">
        <f>IF(M2443="","",HYPERLINK("https://www.youtube.com/watch?v="&amp;M2443,"▶"))</f>
        <v/>
      </c>
      <c r="B2443" s="39">
        <f>IF(C2443&lt;&gt;"",C2443,IF(P2443&lt;=IFERROR(INDEX(tblChannels[Watched Through],MATCH(N2443,tblChannels[Channel ID],0)),0),"Watched","Unwatched"))</f>
        <v/>
      </c>
      <c r="C2443" s="40" t="n"/>
      <c r="D2443" s="41" t="n"/>
      <c r="E2443" s="42" t="n">
        <v>42900.69722222222</v>
      </c>
      <c r="F2443" s="52" t="inlineStr">
        <is>
          <t>Super Carlin Gaming</t>
        </is>
      </c>
      <c r="G2443" t="inlineStr">
        <is>
          <t>Pokémon Pearl Nuzlocke #11: The Veilstone Gym</t>
        </is>
      </c>
      <c r="H2443" s="44" t="n">
        <v>0.01756944444444444</v>
      </c>
      <c r="I2443" s="45" t="n">
        <v>35690</v>
      </c>
      <c r="J2443" s="45" t="n">
        <v>827</v>
      </c>
      <c r="K2443" s="45" t="n">
        <v>357</v>
      </c>
      <c r="L2443" s="46" t="n"/>
      <c r="M2443" s="47" t="n"/>
      <c r="N2443" s="47" t="inlineStr">
        <is>
          <t>UCor_9jRnNNZVzTuQ92PKsaQ</t>
        </is>
      </c>
      <c r="O2443" s="48" t="n">
        <v>42900.86388888889</v>
      </c>
      <c r="P2443" s="49" t="n">
        <v>42900</v>
      </c>
      <c r="Q2443" s="47" t="n">
        <v>825</v>
      </c>
      <c r="R2443" s="47" t="inlineStr">
        <is>
          <t>No Video ID yet</t>
        </is>
      </c>
      <c r="S2443" s="49" t="n"/>
      <c r="T2443" s="49" t="n"/>
      <c r="U2443" s="47" t="inlineStr">
        <is>
          <t>J and his Pokémon take Maylene at the Veilstone City Gym, but is it worth the cost?</t>
        </is>
      </c>
      <c r="V2443" s="47">
        <f>IF(AND(P2443&gt;=Calendar!$K$2,P2443&lt;EDATE(Calendar!$K$2,1),OR(Calendar!$K$4="*",N2443=Calendar!$K$4)),P2443*100+COUNTIFS($P$6:$P$3267,P2443,$Q$6:$Q$3267,"&lt;="&amp;Q2443,$N$6:$N$3267,Calendar!$K$4),"")</f>
        <v/>
      </c>
      <c r="W2443" s="47">
        <f>IF(AND(B2443=Queue!$C$4,OR(Queue!$K$4="*",N2443=Queue!$K$4)),Q2443,"")</f>
        <v/>
      </c>
    </row>
    <row r="2444">
      <c r="A2444" s="38">
        <f>IF(M2444="","",HYPERLINK("https://www.youtube.com/watch?v="&amp;M2444,"▶"))</f>
        <v/>
      </c>
      <c r="B2444" s="39">
        <f>IF(C2444&lt;&gt;"",C2444,IF(P2444&lt;=IFERROR(INDEX(tblChannels[Watched Through],MATCH(N2444,tblChannels[Channel ID],0)),0),"Watched","Unwatched"))</f>
        <v/>
      </c>
      <c r="C2444" s="40" t="n"/>
      <c r="D2444" s="41" t="n"/>
      <c r="E2444" s="42" t="n">
        <v>42899.73958333334</v>
      </c>
      <c r="F2444" s="50" t="inlineStr">
        <is>
          <t>Super Carlin Brothers</t>
        </is>
      </c>
      <c r="G2444" t="inlineStr">
        <is>
          <t>Harry Potter Theory: Why is Ravenclaw's Mascot an Eagle?!</t>
        </is>
      </c>
      <c r="H2444" s="44" t="n">
        <v>0.007696759259259259</v>
      </c>
      <c r="I2444" s="45" t="n">
        <v>1564792</v>
      </c>
      <c r="J2444" s="45" t="n">
        <v>46678</v>
      </c>
      <c r="K2444" s="45" t="n">
        <v>14406</v>
      </c>
      <c r="L2444" s="46" t="n"/>
      <c r="M2444" s="47" t="n"/>
      <c r="N2444" s="47" t="inlineStr">
        <is>
          <t>UCKZo4N0lVPccBkSiuyVh4yg</t>
        </is>
      </c>
      <c r="O2444" s="48" t="n">
        <v>42899.90625</v>
      </c>
      <c r="P2444" s="49" t="n">
        <v>42899</v>
      </c>
      <c r="Q2444" s="47" t="n">
        <v>824</v>
      </c>
      <c r="R2444" s="47" t="inlineStr">
        <is>
          <t>No Video ID yet</t>
        </is>
      </c>
      <c r="S2444" s="49" t="n"/>
      <c r="T2444" s="49" t="n"/>
      <c r="U2444" s="47" t="inlineStr">
        <is>
          <t>Why on earth isn't Ravenclaws mascot a Raven?? Today J goes in depth in figuring out why they chose an Eagle instead.</t>
        </is>
      </c>
      <c r="V2444" s="47">
        <f>IF(AND(P2444&gt;=Calendar!$K$2,P2444&lt;EDATE(Calendar!$K$2,1),OR(Calendar!$K$4="*",N2444=Calendar!$K$4)),P2444*100+COUNTIFS($P$6:$P$3267,P2444,$Q$6:$Q$3267,"&lt;="&amp;Q2444,$N$6:$N$3267,Calendar!$K$4),"")</f>
        <v/>
      </c>
      <c r="W2444" s="47">
        <f>IF(AND(B2444=Queue!$C$4,OR(Queue!$K$4="*",N2444=Queue!$K$4)),Q2444,"")</f>
        <v/>
      </c>
    </row>
    <row r="2445">
      <c r="A2445" s="38">
        <f>IF(M2445="","",HYPERLINK("https://www.youtube.com/watch?v="&amp;M2445,"▶"))</f>
        <v/>
      </c>
      <c r="B2445" s="39">
        <f>IF(C2445&lt;&gt;"",C2445,IF(P2445&lt;=IFERROR(INDEX(tblChannels[Watched Through],MATCH(N2445,tblChannels[Channel ID],0)),0),"Watched","Unwatched"))</f>
        <v/>
      </c>
      <c r="C2445" s="40" t="n"/>
      <c r="D2445" s="41" t="n"/>
      <c r="E2445" s="42" t="n">
        <v>42899.41666666666</v>
      </c>
      <c r="F2445" s="52" t="inlineStr">
        <is>
          <t>Super Carlin Gaming</t>
        </is>
      </c>
      <c r="G2445" t="inlineStr">
        <is>
          <t>Mario Kart Roulette #5: Ask J</t>
        </is>
      </c>
      <c r="H2445" s="44" t="n">
        <v>0.01021990740740741</v>
      </c>
      <c r="I2445" s="45" t="n">
        <v>20402</v>
      </c>
      <c r="J2445" s="45" t="n">
        <v>576</v>
      </c>
      <c r="K2445" s="45" t="n">
        <v>164</v>
      </c>
      <c r="L2445" s="46" t="n"/>
      <c r="M2445" s="47" t="n"/>
      <c r="N2445" s="47" t="inlineStr">
        <is>
          <t>UCor_9jRnNNZVzTuQ92PKsaQ</t>
        </is>
      </c>
      <c r="O2445" s="48" t="n">
        <v>42899.58333333334</v>
      </c>
      <c r="P2445" s="49" t="n">
        <v>42899</v>
      </c>
      <c r="Q2445" s="47" t="n">
        <v>823</v>
      </c>
      <c r="R2445" s="47" t="inlineStr">
        <is>
          <t>No Video ID yet</t>
        </is>
      </c>
      <c r="S2445" s="49" t="n"/>
      <c r="T2445" s="49" t="n"/>
      <c r="U2445" s="47" t="inlineStr">
        <is>
          <t>In this episode, J will be competing in the Egg Cup as Link as he answers some viewer questions. If you have any questions you would like for J to answer in future videos, leave them in the towel section below!</t>
        </is>
      </c>
      <c r="V2445" s="47">
        <f>IF(AND(P2445&gt;=Calendar!$K$2,P2445&lt;EDATE(Calendar!$K$2,1),OR(Calendar!$K$4="*",N2445=Calendar!$K$4)),P2445*100+COUNTIFS($P$6:$P$3267,P2445,$Q$6:$Q$3267,"&lt;="&amp;Q2445,$N$6:$N$3267,Calendar!$K$4),"")</f>
        <v/>
      </c>
      <c r="W2445" s="47">
        <f>IF(AND(B2445=Queue!$C$4,OR(Queue!$K$4="*",N2445=Queue!$K$4)),Q2445,"")</f>
        <v/>
      </c>
    </row>
    <row r="2446">
      <c r="A2446" s="38">
        <f>IF(M2446="","",HYPERLINK("https://www.youtube.com/watch?v="&amp;M2446,"▶"))</f>
        <v/>
      </c>
      <c r="B2446" s="39">
        <f>IF(C2446&lt;&gt;"",C2446,IF(P2446&lt;=IFERROR(INDEX(tblChannels[Watched Through],MATCH(N2446,tblChannels[Channel ID],0)),0),"Watched","Unwatched"))</f>
        <v/>
      </c>
      <c r="C2446" s="40" t="n"/>
      <c r="D2446" s="41" t="n"/>
      <c r="E2446" s="42" t="n">
        <v>42898.625</v>
      </c>
      <c r="F2446" s="52" t="inlineStr">
        <is>
          <t>Super Carlin Gaming</t>
        </is>
      </c>
      <c r="G2446" t="inlineStr">
        <is>
          <t>Pokemon Pearl Nuzlocke #10: Gyarados Surprise!</t>
        </is>
      </c>
      <c r="H2446" s="44" t="n">
        <v>0.02846064814814815</v>
      </c>
      <c r="I2446" s="45" t="n">
        <v>41375</v>
      </c>
      <c r="J2446" s="45" t="n">
        <v>899</v>
      </c>
      <c r="K2446" s="45" t="n">
        <v>285</v>
      </c>
      <c r="L2446" s="46" t="n"/>
      <c r="M2446" s="47" t="n"/>
      <c r="N2446" s="47" t="inlineStr">
        <is>
          <t>UCor_9jRnNNZVzTuQ92PKsaQ</t>
        </is>
      </c>
      <c r="O2446" s="48" t="n">
        <v>42898.79166666666</v>
      </c>
      <c r="P2446" s="49" t="n">
        <v>42898</v>
      </c>
      <c r="Q2446" s="47" t="n">
        <v>822</v>
      </c>
      <c r="R2446" s="47" t="inlineStr">
        <is>
          <t>No Video ID yet</t>
        </is>
      </c>
      <c r="S2446" s="49" t="n"/>
      <c r="T2446" s="49" t="n"/>
      <c r="U2446" s="47" t="inlineStr">
        <is>
          <t>J and the team continue towards their next Gym Battle but are surprised by a cunning Gyarados, can they survive and make it to their next badge?</t>
        </is>
      </c>
      <c r="V2446" s="47">
        <f>IF(AND(P2446&gt;=Calendar!$K$2,P2446&lt;EDATE(Calendar!$K$2,1),OR(Calendar!$K$4="*",N2446=Calendar!$K$4)),P2446*100+COUNTIFS($P$6:$P$3267,P2446,$Q$6:$Q$3267,"&lt;="&amp;Q2446,$N$6:$N$3267,Calendar!$K$4),"")</f>
        <v/>
      </c>
      <c r="W2446" s="47">
        <f>IF(AND(B2446=Queue!$C$4,OR(Queue!$K$4="*",N2446=Queue!$K$4)),Q2446,"")</f>
        <v/>
      </c>
    </row>
    <row r="2447">
      <c r="A2447" s="38">
        <f>IF(M2447="","",HYPERLINK("https://www.youtube.com/watch?v="&amp;M2447,"▶"))</f>
        <v/>
      </c>
      <c r="B2447" s="39">
        <f>IF(C2447&lt;&gt;"",C2447,IF(P2447&lt;=IFERROR(INDEX(tblChannels[Watched Through],MATCH(N2447,tblChannels[Channel ID],0)),0),"Watched","Unwatched"))</f>
        <v/>
      </c>
      <c r="C2447" s="40" t="n"/>
      <c r="D2447" s="41" t="n"/>
      <c r="E2447" s="42" t="n">
        <v>42895.625</v>
      </c>
      <c r="F2447" s="52" t="inlineStr">
        <is>
          <t>Super Carlin Gaming</t>
        </is>
      </c>
      <c r="G2447" t="inlineStr">
        <is>
          <t>Pokemon Pearl Nuzlocke #9: There Is A Mole In Our Ranks</t>
        </is>
      </c>
      <c r="H2447" s="44" t="n">
        <v>0.0258912037037037</v>
      </c>
      <c r="I2447" s="45" t="n">
        <v>42371</v>
      </c>
      <c r="J2447" s="45" t="n">
        <v>950</v>
      </c>
      <c r="K2447" s="45" t="n">
        <v>445</v>
      </c>
      <c r="L2447" s="46" t="n"/>
      <c r="M2447" s="47" t="n"/>
      <c r="N2447" s="47" t="inlineStr">
        <is>
          <t>UCor_9jRnNNZVzTuQ92PKsaQ</t>
        </is>
      </c>
      <c r="O2447" s="48" t="n">
        <v>42895.79166666666</v>
      </c>
      <c r="P2447" s="49" t="n">
        <v>42895</v>
      </c>
      <c r="Q2447" s="47" t="n">
        <v>821</v>
      </c>
      <c r="R2447" s="47" t="inlineStr">
        <is>
          <t>No Video ID yet</t>
        </is>
      </c>
      <c r="S2447" s="49" t="n"/>
      <c r="T2447" s="49" t="n"/>
      <c r="U2447" s="47" t="inlineStr">
        <is>
          <t>J and the team continue on towards their next gym battle and uncover a mole in our ranks.. We also fight lots of trainers and visit a graveyard! Fun!</t>
        </is>
      </c>
      <c r="V2447" s="47">
        <f>IF(AND(P2447&gt;=Calendar!$K$2,P2447&lt;EDATE(Calendar!$K$2,1),OR(Calendar!$K$4="*",N2447=Calendar!$K$4)),P2447*100+COUNTIFS($P$6:$P$3267,P2447,$Q$6:$Q$3267,"&lt;="&amp;Q2447,$N$6:$N$3267,Calendar!$K$4),"")</f>
        <v/>
      </c>
      <c r="W2447" s="47">
        <f>IF(AND(B2447=Queue!$C$4,OR(Queue!$K$4="*",N2447=Queue!$K$4)),Q2447,"")</f>
        <v/>
      </c>
    </row>
    <row r="2448">
      <c r="A2448" s="38">
        <f>IF(M2448="","",HYPERLINK("https://www.youtube.com/watch?v="&amp;M2448,"▶"))</f>
        <v/>
      </c>
      <c r="B2448" s="39">
        <f>IF(C2448&lt;&gt;"",C2448,IF(P2448&lt;=IFERROR(INDEX(tblChannels[Watched Through],MATCH(N2448,tblChannels[Channel ID],0)),0),"Watched","Unwatched"))</f>
        <v/>
      </c>
      <c r="C2448" s="40" t="n"/>
      <c r="D2448" s="41" t="n"/>
      <c r="E2448" s="42" t="n">
        <v>42894.7625</v>
      </c>
      <c r="F2448" s="50" t="inlineStr">
        <is>
          <t>Super Carlin Brothers</t>
        </is>
      </c>
      <c r="G2448" t="inlineStr">
        <is>
          <t>Frozen Theory: How Do Elsa's Gloves Work?</t>
        </is>
      </c>
      <c r="H2448" s="44" t="n">
        <v>0.005763888888888889</v>
      </c>
      <c r="I2448" s="45" t="n">
        <v>1519396</v>
      </c>
      <c r="J2448" s="45" t="n">
        <v>34165</v>
      </c>
      <c r="K2448" s="45" t="n">
        <v>6393</v>
      </c>
      <c r="L2448" s="46" t="n"/>
      <c r="M2448" s="47" t="n"/>
      <c r="N2448" s="47" t="inlineStr">
        <is>
          <t>UCKZo4N0lVPccBkSiuyVh4yg</t>
        </is>
      </c>
      <c r="O2448" s="48" t="n">
        <v>42894.92916666667</v>
      </c>
      <c r="P2448" s="49" t="n">
        <v>42894</v>
      </c>
      <c r="Q2448" s="47" t="n">
        <v>820</v>
      </c>
      <c r="R2448" s="47" t="inlineStr">
        <is>
          <t>No Video ID yet</t>
        </is>
      </c>
      <c r="S2448" s="49" t="n"/>
      <c r="T2448" s="49" t="n"/>
      <c r="U2448" s="47" t="inlineStr">
        <is>
          <t>Well it’s Summer so naturally its time for Ben to rediscover Disney’s Frozen once again. He has been searching for the source of Elsa’s powers FOREVER and thinks he is one step closer to understanding it via her gloves.</t>
        </is>
      </c>
      <c r="V2448" s="47">
        <f>IF(AND(P2448&gt;=Calendar!$K$2,P2448&lt;EDATE(Calendar!$K$2,1),OR(Calendar!$K$4="*",N2448=Calendar!$K$4)),P2448*100+COUNTIFS($P$6:$P$3267,P2448,$Q$6:$Q$3267,"&lt;="&amp;Q2448,$N$6:$N$3267,Calendar!$K$4),"")</f>
        <v/>
      </c>
      <c r="W2448" s="47">
        <f>IF(AND(B2448=Queue!$C$4,OR(Queue!$K$4="*",N2448=Queue!$K$4)),Q2448,"")</f>
        <v/>
      </c>
    </row>
    <row r="2449">
      <c r="A2449" s="38">
        <f>IF(M2449="","",HYPERLINK("https://www.youtube.com/watch?v="&amp;M2449,"▶"))</f>
        <v/>
      </c>
      <c r="B2449" s="39">
        <f>IF(C2449&lt;&gt;"",C2449,IF(P2449&lt;=IFERROR(INDEX(tblChannels[Watched Through],MATCH(N2449,tblChannels[Channel ID],0)),0),"Watched","Unwatched"))</f>
        <v/>
      </c>
      <c r="C2449" s="40" t="n"/>
      <c r="D2449" s="41" t="n"/>
      <c r="E2449" s="42" t="n">
        <v>42893.625</v>
      </c>
      <c r="F2449" s="52" t="inlineStr">
        <is>
          <t>Super Carlin Gaming</t>
        </is>
      </c>
      <c r="G2449" t="inlineStr">
        <is>
          <t>Pokemon Pearl Nuzlocke #8: Return Of The Sprouts</t>
        </is>
      </c>
      <c r="H2449" s="44" t="n">
        <v>0.01629629629629629</v>
      </c>
      <c r="I2449" s="45" t="n">
        <v>38695</v>
      </c>
      <c r="J2449" s="45" t="n">
        <v>871</v>
      </c>
      <c r="K2449" s="45" t="n">
        <v>277</v>
      </c>
      <c r="L2449" s="46" t="n"/>
      <c r="M2449" s="47" t="n"/>
      <c r="N2449" s="47" t="inlineStr">
        <is>
          <t>UCor_9jRnNNZVzTuQ92PKsaQ</t>
        </is>
      </c>
      <c r="O2449" s="48" t="n">
        <v>42893.79166666666</v>
      </c>
      <c r="P2449" s="49" t="n">
        <v>42893</v>
      </c>
      <c r="Q2449" s="47" t="n">
        <v>819</v>
      </c>
      <c r="R2449" s="47" t="inlineStr">
        <is>
          <t>No Video ID yet</t>
        </is>
      </c>
      <c r="S2449" s="49" t="n"/>
      <c r="T2449" s="49" t="n"/>
      <c r="U2449" s="47" t="inlineStr">
        <is>
          <t>J and the team continue towards their next gym battle, but first must deal with the a tricky double battle and a surprise rival battle! Will the team survive the dual threats?</t>
        </is>
      </c>
      <c r="V2449" s="47">
        <f>IF(AND(P2449&gt;=Calendar!$K$2,P2449&lt;EDATE(Calendar!$K$2,1),OR(Calendar!$K$4="*",N2449=Calendar!$K$4)),P2449*100+COUNTIFS($P$6:$P$3267,P2449,$Q$6:$Q$3267,"&lt;="&amp;Q2449,$N$6:$N$3267,Calendar!$K$4),"")</f>
        <v/>
      </c>
      <c r="W2449" s="47">
        <f>IF(AND(B2449=Queue!$C$4,OR(Queue!$K$4="*",N2449=Queue!$K$4)),Q2449,"")</f>
        <v/>
      </c>
    </row>
    <row r="2450">
      <c r="A2450" s="38">
        <f>IF(M2450="","",HYPERLINK("https://www.youtube.com/watch?v="&amp;M2450,"▶"))</f>
        <v/>
      </c>
      <c r="B2450" s="39">
        <f>IF(C2450&lt;&gt;"",C2450,IF(P2450&lt;=IFERROR(INDEX(tblChannels[Watched Through],MATCH(N2450,tblChannels[Channel ID],0)),0),"Watched","Unwatched"))</f>
        <v/>
      </c>
      <c r="C2450" s="40" t="n"/>
      <c r="D2450" s="41" t="n"/>
      <c r="E2450" s="42" t="n">
        <v>42892.63541666666</v>
      </c>
      <c r="F2450" s="50" t="inlineStr">
        <is>
          <t>Super Carlin Brothers</t>
        </is>
      </c>
      <c r="G2450" t="inlineStr">
        <is>
          <t>Top 10 Things To Look For In Cars 3</t>
        </is>
      </c>
      <c r="H2450" s="44" t="n">
        <v>0.00662037037037037</v>
      </c>
      <c r="I2450" s="45" t="n">
        <v>302055</v>
      </c>
      <c r="J2450" s="45" t="n">
        <v>8894</v>
      </c>
      <c r="K2450" s="45" t="n">
        <v>2293</v>
      </c>
      <c r="L2450" s="46" t="n"/>
      <c r="M2450" s="47" t="n"/>
      <c r="N2450" s="47" t="inlineStr">
        <is>
          <t>UCKZo4N0lVPccBkSiuyVh4yg</t>
        </is>
      </c>
      <c r="O2450" s="48" t="n">
        <v>42892.80208333334</v>
      </c>
      <c r="P2450" s="49" t="n">
        <v>42892</v>
      </c>
      <c r="Q2450" s="47" t="n">
        <v>818</v>
      </c>
      <c r="R2450" s="47" t="inlineStr">
        <is>
          <t>No Video ID yet</t>
        </is>
      </c>
      <c r="S2450" s="49" t="n"/>
      <c r="T2450" s="49" t="n"/>
      <c r="U2450" s="47" t="inlineStr">
        <is>
          <t>Disney Pixar's Cars 3 comes out next week! That means its time to bust out the pause button and hunt Easter eggs! Today J runs down the top 10 easter eggs he think you will be able to spot or look for in Cars 3!</t>
        </is>
      </c>
      <c r="V2450" s="47">
        <f>IF(AND(P2450&gt;=Calendar!$K$2,P2450&lt;EDATE(Calendar!$K$2,1),OR(Calendar!$K$4="*",N2450=Calendar!$K$4)),P2450*100+COUNTIFS($P$6:$P$3267,P2450,$Q$6:$Q$3267,"&lt;="&amp;Q2450,$N$6:$N$3267,Calendar!$K$4),"")</f>
        <v/>
      </c>
      <c r="W2450" s="47">
        <f>IF(AND(B2450=Queue!$C$4,OR(Queue!$K$4="*",N2450=Queue!$K$4)),Q2450,"")</f>
        <v/>
      </c>
    </row>
    <row r="2451">
      <c r="A2451" s="38">
        <f>IF(M2451="","",HYPERLINK("https://www.youtube.com/watch?v="&amp;M2451,"▶"))</f>
        <v/>
      </c>
      <c r="B2451" s="39">
        <f>IF(C2451&lt;&gt;"",C2451,IF(P2451&lt;=IFERROR(INDEX(tblChannels[Watched Through],MATCH(N2451,tblChannels[Channel ID],0)),0),"Watched","Unwatched"))</f>
        <v/>
      </c>
      <c r="C2451" s="40" t="n"/>
      <c r="D2451" s="41" t="n"/>
      <c r="E2451" s="42" t="n">
        <v>42892.42291666667</v>
      </c>
      <c r="F2451" s="52" t="inlineStr">
        <is>
          <t>Super Carlin Gaming</t>
        </is>
      </c>
      <c r="G2451" t="inlineStr">
        <is>
          <t>Mario Kart Roulette #4: Hand-Held Gaming</t>
        </is>
      </c>
      <c r="H2451" s="44" t="n">
        <v>0.01116898148148148</v>
      </c>
      <c r="I2451" s="45" t="n">
        <v>21399</v>
      </c>
      <c r="J2451" s="45" t="n">
        <v>575</v>
      </c>
      <c r="K2451" s="45" t="n">
        <v>129</v>
      </c>
      <c r="L2451" s="46" t="n"/>
      <c r="M2451" s="47" t="n"/>
      <c r="N2451" s="47" t="inlineStr">
        <is>
          <t>UCor_9jRnNNZVzTuQ92PKsaQ</t>
        </is>
      </c>
      <c r="O2451" s="48" t="n">
        <v>42892.58958333333</v>
      </c>
      <c r="P2451" s="49" t="n">
        <v>42892</v>
      </c>
      <c r="Q2451" s="47" t="n">
        <v>817</v>
      </c>
      <c r="R2451" s="47" t="inlineStr">
        <is>
          <t>No Video ID yet</t>
        </is>
      </c>
      <c r="S2451" s="49" t="n"/>
      <c r="T2451" s="49" t="n"/>
      <c r="U2451" s="47" t="inlineStr">
        <is>
          <t>In this episode, J plays the Crown Cup as Inkling Girl as he discusses hand-held gaming systems.</t>
        </is>
      </c>
      <c r="V2451" s="47">
        <f>IF(AND(P2451&gt;=Calendar!$K$2,P2451&lt;EDATE(Calendar!$K$2,1),OR(Calendar!$K$4="*",N2451=Calendar!$K$4)),P2451*100+COUNTIFS($P$6:$P$3267,P2451,$Q$6:$Q$3267,"&lt;="&amp;Q2451,$N$6:$N$3267,Calendar!$K$4),"")</f>
        <v/>
      </c>
      <c r="W2451" s="47">
        <f>IF(AND(B2451=Queue!$C$4,OR(Queue!$K$4="*",N2451=Queue!$K$4)),Q2451,"")</f>
        <v/>
      </c>
    </row>
    <row r="2452">
      <c r="A2452" s="38">
        <f>IF(M2452="","",HYPERLINK("https://www.youtube.com/watch?v="&amp;M2452,"▶"))</f>
        <v/>
      </c>
      <c r="B2452" s="39">
        <f>IF(C2452&lt;&gt;"",C2452,IF(P2452&lt;=IFERROR(INDEX(tblChannels[Watched Through],MATCH(N2452,tblChannels[Channel ID],0)),0),"Watched","Unwatched"))</f>
        <v/>
      </c>
      <c r="C2452" s="40" t="n"/>
      <c r="D2452" s="41" t="n"/>
      <c r="E2452" s="42" t="n">
        <v>42892.41666666666</v>
      </c>
      <c r="F2452" s="52" t="inlineStr">
        <is>
          <t>Super Carlin Gaming</t>
        </is>
      </c>
      <c r="G2452" t="inlineStr">
        <is>
          <t>Mario Kart Roulette #3: J's History of Gaming</t>
        </is>
      </c>
      <c r="H2452" s="44" t="n">
        <v>0.009907407407407408</v>
      </c>
      <c r="I2452" s="45" t="n">
        <v>24061</v>
      </c>
      <c r="J2452" s="45" t="n">
        <v>659</v>
      </c>
      <c r="K2452" s="45" t="n">
        <v>127</v>
      </c>
      <c r="L2452" s="46" t="n"/>
      <c r="M2452" s="47" t="n"/>
      <c r="N2452" s="47" t="inlineStr">
        <is>
          <t>UCor_9jRnNNZVzTuQ92PKsaQ</t>
        </is>
      </c>
      <c r="O2452" s="48" t="n">
        <v>42892.58333333334</v>
      </c>
      <c r="P2452" s="49" t="n">
        <v>42892</v>
      </c>
      <c r="Q2452" s="47" t="n">
        <v>816</v>
      </c>
      <c r="R2452" s="47" t="inlineStr">
        <is>
          <t>No Video ID yet</t>
        </is>
      </c>
      <c r="S2452" s="49" t="n"/>
      <c r="T2452" s="49" t="n"/>
      <c r="U2452" s="47" t="inlineStr">
        <is>
          <t>In this episode, J will be playing the Star Cup as Waluigi as he answers some questions and tells stories about his childhood/history of gaming.</t>
        </is>
      </c>
      <c r="V2452" s="47">
        <f>IF(AND(P2452&gt;=Calendar!$K$2,P2452&lt;EDATE(Calendar!$K$2,1),OR(Calendar!$K$4="*",N2452=Calendar!$K$4)),P2452*100+COUNTIFS($P$6:$P$3267,P2452,$Q$6:$Q$3267,"&lt;="&amp;Q2452,$N$6:$N$3267,Calendar!$K$4),"")</f>
        <v/>
      </c>
      <c r="W2452" s="47">
        <f>IF(AND(B2452=Queue!$C$4,OR(Queue!$K$4="*",N2452=Queue!$K$4)),Q2452,"")</f>
        <v/>
      </c>
    </row>
    <row r="2453">
      <c r="A2453" s="38">
        <f>IF(M2453="","",HYPERLINK("https://www.youtube.com/watch?v="&amp;M2453,"▶"))</f>
        <v/>
      </c>
      <c r="B2453" s="39">
        <f>IF(C2453&lt;&gt;"",C2453,IF(P2453&lt;=IFERROR(INDEX(tblChannels[Watched Through],MATCH(N2453,tblChannels[Channel ID],0)),0),"Watched","Unwatched"))</f>
        <v/>
      </c>
      <c r="C2453" s="40" t="n"/>
      <c r="D2453" s="41" t="n"/>
      <c r="E2453" s="42" t="n">
        <v>42891.70208333333</v>
      </c>
      <c r="F2453" s="52" t="inlineStr">
        <is>
          <t>Super Carlin Gaming</t>
        </is>
      </c>
      <c r="G2453" t="inlineStr">
        <is>
          <t>Pokemon Pearl Nuzlocke #7: A Deadly Galactic Battle</t>
        </is>
      </c>
      <c r="H2453" s="44" t="n">
        <v>0.02644675925925926</v>
      </c>
      <c r="I2453" s="45" t="n">
        <v>47601</v>
      </c>
      <c r="J2453" s="45" t="n">
        <v>1018</v>
      </c>
      <c r="K2453" s="45" t="n">
        <v>519</v>
      </c>
      <c r="L2453" s="46" t="n"/>
      <c r="M2453" s="47" t="n"/>
      <c r="N2453" s="47" t="inlineStr">
        <is>
          <t>UCor_9jRnNNZVzTuQ92PKsaQ</t>
        </is>
      </c>
      <c r="O2453" s="48" t="n">
        <v>42891.86875</v>
      </c>
      <c r="P2453" s="49" t="n">
        <v>42891</v>
      </c>
      <c r="Q2453" s="47" t="n">
        <v>815</v>
      </c>
      <c r="R2453" s="47" t="inlineStr">
        <is>
          <t>No Video ID yet</t>
        </is>
      </c>
      <c r="S2453" s="49" t="n"/>
      <c r="T2453" s="49" t="n"/>
      <c r="U2453" s="47" t="inlineStr">
        <is>
          <t>The stakes are higher than ever when J and the team take on the next member of Team Galactics Admin staff... Can they all make it to the end??</t>
        </is>
      </c>
      <c r="V2453" s="47">
        <f>IF(AND(P2453&gt;=Calendar!$K$2,P2453&lt;EDATE(Calendar!$K$2,1),OR(Calendar!$K$4="*",N2453=Calendar!$K$4)),P2453*100+COUNTIFS($P$6:$P$3267,P2453,$Q$6:$Q$3267,"&lt;="&amp;Q2453,$N$6:$N$3267,Calendar!$K$4),"")</f>
        <v/>
      </c>
      <c r="W2453" s="47">
        <f>IF(AND(B2453=Queue!$C$4,OR(Queue!$K$4="*",N2453=Queue!$K$4)),Q2453,"")</f>
        <v/>
      </c>
    </row>
    <row r="2454">
      <c r="A2454" s="38">
        <f>IF(M2454="","",HYPERLINK("https://www.youtube.com/watch?v="&amp;M2454,"▶"))</f>
        <v/>
      </c>
      <c r="B2454" s="39">
        <f>IF(C2454&lt;&gt;"",C2454,IF(P2454&lt;=IFERROR(INDEX(tblChannels[Watched Through],MATCH(N2454,tblChannels[Channel ID],0)),0),"Watched","Unwatched"))</f>
        <v/>
      </c>
      <c r="C2454" s="40" t="n"/>
      <c r="D2454" s="41" t="n"/>
      <c r="E2454" s="42" t="n">
        <v>42888.625</v>
      </c>
      <c r="F2454" s="52" t="inlineStr">
        <is>
          <t>Super Carlin Gaming</t>
        </is>
      </c>
      <c r="G2454" t="inlineStr">
        <is>
          <t>Pokemon Pearl Nuzlocke #6: Romera VS Gardenia!</t>
        </is>
      </c>
      <c r="H2454" s="44" t="n">
        <v>0.01358796296296296</v>
      </c>
      <c r="I2454" s="45" t="n">
        <v>41309</v>
      </c>
      <c r="J2454" s="45" t="n">
        <v>954</v>
      </c>
      <c r="K2454" s="45" t="n">
        <v>384</v>
      </c>
      <c r="L2454" s="46" t="n"/>
      <c r="M2454" s="47" t="n"/>
      <c r="N2454" s="47" t="inlineStr">
        <is>
          <t>UCor_9jRnNNZVzTuQ92PKsaQ</t>
        </is>
      </c>
      <c r="O2454" s="48" t="n">
        <v>42888.79166666666</v>
      </c>
      <c r="P2454" s="49" t="n">
        <v>42888</v>
      </c>
      <c r="Q2454" s="47" t="n">
        <v>814</v>
      </c>
      <c r="R2454" s="47" t="inlineStr">
        <is>
          <t>No Video ID yet</t>
        </is>
      </c>
      <c r="S2454" s="49" t="n"/>
      <c r="T2454" s="49" t="n"/>
      <c r="U2454" s="47" t="inlineStr">
        <is>
          <t>J and the team take on the grass gym of Gardenia! Romera has been training hard just for this occasion, but is she ready for all of Gardenia's tricks??</t>
        </is>
      </c>
      <c r="V2454" s="47">
        <f>IF(AND(P2454&gt;=Calendar!$K$2,P2454&lt;EDATE(Calendar!$K$2,1),OR(Calendar!$K$4="*",N2454=Calendar!$K$4)),P2454*100+COUNTIFS($P$6:$P$3267,P2454,$Q$6:$Q$3267,"&lt;="&amp;Q2454,$N$6:$N$3267,Calendar!$K$4),"")</f>
        <v/>
      </c>
      <c r="W2454" s="47">
        <f>IF(AND(B2454=Queue!$C$4,OR(Queue!$K$4="*",N2454=Queue!$K$4)),Q2454,"")</f>
        <v/>
      </c>
    </row>
    <row r="2455">
      <c r="A2455" s="38">
        <f>IF(M2455="","",HYPERLINK("https://www.youtube.com/watch?v="&amp;M2455,"▶"))</f>
        <v/>
      </c>
      <c r="B2455" s="39">
        <f>IF(C2455&lt;&gt;"",C2455,IF(P2455&lt;=IFERROR(INDEX(tblChannels[Watched Through],MATCH(N2455,tblChannels[Channel ID],0)),0),"Watched","Unwatched"))</f>
        <v/>
      </c>
      <c r="C2455" s="40" t="n"/>
      <c r="D2455" s="41" t="n"/>
      <c r="E2455" s="42" t="n">
        <v>42887.67013888889</v>
      </c>
      <c r="F2455" s="50" t="inlineStr">
        <is>
          <t>Super Carlin Brothers</t>
        </is>
      </c>
      <c r="G2455" t="inlineStr">
        <is>
          <t>In Defense of Dudley Dursley</t>
        </is>
      </c>
      <c r="H2455" s="44" t="n">
        <v>0.004895833333333334</v>
      </c>
      <c r="I2455" s="45" t="n">
        <v>2302459</v>
      </c>
      <c r="J2455" s="45" t="n">
        <v>50983</v>
      </c>
      <c r="K2455" s="45" t="n">
        <v>4764</v>
      </c>
      <c r="L2455" s="46" t="n"/>
      <c r="M2455" s="47" t="n"/>
      <c r="N2455" s="47" t="inlineStr">
        <is>
          <t>UCKZo4N0lVPccBkSiuyVh4yg</t>
        </is>
      </c>
      <c r="O2455" s="48" t="n">
        <v>42887.83680555555</v>
      </c>
      <c r="P2455" s="49" t="n">
        <v>42887</v>
      </c>
      <c r="Q2455" s="47" t="n">
        <v>813</v>
      </c>
      <c r="R2455" s="47" t="inlineStr">
        <is>
          <t>No Video ID yet</t>
        </is>
      </c>
      <c r="S2455" s="49" t="n"/>
      <c r="T2455" s="49" t="n"/>
      <c r="U2455" s="47" t="inlineStr">
        <is>
          <t>Ever wonder why Dudley Dursley saw when he was attacked by the Dementors at the beginning of Harry Potter and the Order of the Phoenix? Today Ben dives into the wizarding world once again to find out! Special thanks to the Patrons who support Super Carlin Brothers on Patreon :: Kristhell Lopez, Ian Carrillo, Elizabeth Jack, Jonathan, Amy Beerbower, Isabella</t>
        </is>
      </c>
      <c r="V2455" s="47">
        <f>IF(AND(P2455&gt;=Calendar!$K$2,P2455&lt;EDATE(Calendar!$K$2,1),OR(Calendar!$K$4="*",N2455=Calendar!$K$4)),P2455*100+COUNTIFS($P$6:$P$3267,P2455,$Q$6:$Q$3267,"&lt;="&amp;Q2455,$N$6:$N$3267,Calendar!$K$4),"")</f>
        <v/>
      </c>
      <c r="W2455" s="47">
        <f>IF(AND(B2455=Queue!$C$4,OR(Queue!$K$4="*",N2455=Queue!$K$4)),Q2455,"")</f>
        <v/>
      </c>
    </row>
    <row r="2456">
      <c r="A2456" s="38">
        <f>IF(M2456="","",HYPERLINK("https://www.youtube.com/watch?v="&amp;M2456,"▶"))</f>
        <v/>
      </c>
      <c r="B2456" s="39">
        <f>IF(C2456&lt;&gt;"",C2456,IF(P2456&lt;=IFERROR(INDEX(tblChannels[Watched Through],MATCH(N2456,tblChannels[Channel ID],0)),0),"Watched","Unwatched"))</f>
        <v/>
      </c>
      <c r="C2456" s="40" t="n"/>
      <c r="D2456" s="41" t="n"/>
      <c r="E2456" s="42" t="n">
        <v>42887.41666666666</v>
      </c>
      <c r="F2456" s="52" t="inlineStr">
        <is>
          <t>Super Carlin Gaming</t>
        </is>
      </c>
      <c r="G2456" t="inlineStr">
        <is>
          <t>Mario Kart 8 Roulette #2: Best and Worst Tracks</t>
        </is>
      </c>
      <c r="H2456" s="44" t="n">
        <v>0.01063657407407407</v>
      </c>
      <c r="I2456" s="45" t="n">
        <v>29826</v>
      </c>
      <c r="J2456" s="45" t="n">
        <v>730</v>
      </c>
      <c r="K2456" s="45" t="n">
        <v>163</v>
      </c>
      <c r="L2456" s="46" t="n"/>
      <c r="M2456" s="47" t="n"/>
      <c r="N2456" s="47" t="inlineStr">
        <is>
          <t>UCor_9jRnNNZVzTuQ92PKsaQ</t>
        </is>
      </c>
      <c r="O2456" s="48" t="n">
        <v>42887.58333333334</v>
      </c>
      <c r="P2456" s="49" t="n">
        <v>42887</v>
      </c>
      <c r="Q2456" s="47" t="n">
        <v>812</v>
      </c>
      <c r="R2456" s="47" t="inlineStr">
        <is>
          <t>No Video ID yet</t>
        </is>
      </c>
      <c r="S2456" s="49" t="n"/>
      <c r="T2456" s="49" t="n"/>
      <c r="U2456" s="47" t="inlineStr">
        <is>
          <t>J continues his quest to 3 Star every Grand Prix in Nintendo's Mario Kart 8 Deluxe! Today he takes on the Flower Cup with Wario and discusses his favorite tracks from different Mario Kart games.</t>
        </is>
      </c>
      <c r="V2456" s="47">
        <f>IF(AND(P2456&gt;=Calendar!$K$2,P2456&lt;EDATE(Calendar!$K$2,1),OR(Calendar!$K$4="*",N2456=Calendar!$K$4)),P2456*100+COUNTIFS($P$6:$P$3267,P2456,$Q$6:$Q$3267,"&lt;="&amp;Q2456,$N$6:$N$3267,Calendar!$K$4),"")</f>
        <v/>
      </c>
      <c r="W2456" s="47">
        <f>IF(AND(B2456=Queue!$C$4,OR(Queue!$K$4="*",N2456=Queue!$K$4)),Q2456,"")</f>
        <v/>
      </c>
    </row>
    <row r="2457">
      <c r="A2457" s="38">
        <f>IF(M2457="","",HYPERLINK("https://www.youtube.com/watch?v="&amp;M2457,"▶"))</f>
        <v/>
      </c>
      <c r="B2457" s="39">
        <f>IF(C2457&lt;&gt;"",C2457,IF(P2457&lt;=IFERROR(INDEX(tblChannels[Watched Through],MATCH(N2457,tblChannels[Channel ID],0)),0),"Watched","Unwatched"))</f>
        <v/>
      </c>
      <c r="C2457" s="40" t="n"/>
      <c r="D2457" s="41" t="n"/>
      <c r="E2457" s="42" t="n">
        <v>42886.625</v>
      </c>
      <c r="F2457" s="52" t="inlineStr">
        <is>
          <t>Super Carlin Gaming</t>
        </is>
      </c>
      <c r="G2457" t="inlineStr">
        <is>
          <t>Pokemon Pearl Nuzlocke #5: Budew or Budont There Is No Try</t>
        </is>
      </c>
      <c r="H2457" s="44" t="n">
        <v>0.01996527777777778</v>
      </c>
      <c r="I2457" s="45" t="n">
        <v>46895</v>
      </c>
      <c r="J2457" s="45" t="n">
        <v>1074</v>
      </c>
      <c r="K2457" s="45" t="n">
        <v>464</v>
      </c>
      <c r="L2457" s="46" t="n"/>
      <c r="M2457" s="47" t="n"/>
      <c r="N2457" s="47" t="inlineStr">
        <is>
          <t>UCor_9jRnNNZVzTuQ92PKsaQ</t>
        </is>
      </c>
      <c r="O2457" s="48" t="n">
        <v>42886.79166666666</v>
      </c>
      <c r="P2457" s="49" t="n">
        <v>42886</v>
      </c>
      <c r="Q2457" s="47" t="n">
        <v>811</v>
      </c>
      <c r="R2457" s="47" t="inlineStr">
        <is>
          <t>No Video ID yet</t>
        </is>
      </c>
      <c r="S2457" s="49" t="n"/>
      <c r="T2457" s="49" t="n"/>
      <c r="U2457" s="47" t="inlineStr">
        <is>
          <t>J and the team venture through Eterna Forest and Hamilton tries his best to evolve.. will the team survive the forest unharmed and make it to our 2nd gym battle?</t>
        </is>
      </c>
      <c r="V2457" s="47">
        <f>IF(AND(P2457&gt;=Calendar!$K$2,P2457&lt;EDATE(Calendar!$K$2,1),OR(Calendar!$K$4="*",N2457=Calendar!$K$4)),P2457*100+COUNTIFS($P$6:$P$3267,P2457,$Q$6:$Q$3267,"&lt;="&amp;Q2457,$N$6:$N$3267,Calendar!$K$4),"")</f>
        <v/>
      </c>
      <c r="W2457" s="47">
        <f>IF(AND(B2457=Queue!$C$4,OR(Queue!$K$4="*",N2457=Queue!$K$4)),Q2457,"")</f>
        <v/>
      </c>
    </row>
    <row r="2458">
      <c r="A2458" s="38">
        <f>IF(M2458="","",HYPERLINK("https://www.youtube.com/watch?v="&amp;M2458,"▶"))</f>
        <v/>
      </c>
      <c r="B2458" s="39">
        <f>IF(C2458&lt;&gt;"",C2458,IF(P2458&lt;=IFERROR(INDEX(tblChannels[Watched Through],MATCH(N2458,tblChannels[Channel ID],0)),0),"Watched","Unwatched"))</f>
        <v/>
      </c>
      <c r="C2458" s="40" t="n"/>
      <c r="D2458" s="41" t="n"/>
      <c r="E2458" s="42" t="n">
        <v>42885.66458333333</v>
      </c>
      <c r="F2458" s="50" t="inlineStr">
        <is>
          <t>Super Carlin Brothers</t>
        </is>
      </c>
      <c r="G2458" t="inlineStr">
        <is>
          <t>J vs Ben: Hardest UP Trivia Quiz Ever</t>
        </is>
      </c>
      <c r="H2458" s="44" t="n">
        <v>0.01142361111111111</v>
      </c>
      <c r="I2458" s="45" t="n">
        <v>609379</v>
      </c>
      <c r="J2458" s="45" t="n">
        <v>16681</v>
      </c>
      <c r="K2458" s="45" t="n">
        <v>3817</v>
      </c>
      <c r="L2458" s="46" t="n"/>
      <c r="M2458" s="47" t="n"/>
      <c r="N2458" s="47" t="inlineStr">
        <is>
          <t>UCKZo4N0lVPccBkSiuyVh4yg</t>
        </is>
      </c>
      <c r="O2458" s="48" t="n">
        <v>42885.83125</v>
      </c>
      <c r="P2458" s="49" t="n">
        <v>42885</v>
      </c>
      <c r="Q2458" s="47" t="n">
        <v>810</v>
      </c>
      <c r="R2458" s="47" t="inlineStr">
        <is>
          <t>No Video ID yet</t>
        </is>
      </c>
      <c r="S2458" s="49" t="n"/>
      <c r="T2458" s="49" t="n"/>
      <c r="U2458" s="47" t="inlineStr">
        <is>
          <t>Play along with us! :: Today J and Ben face off to decide who has the ultimate knowledge from Disney Pixar's Up! What was your score?</t>
        </is>
      </c>
      <c r="V2458" s="47">
        <f>IF(AND(P2458&gt;=Calendar!$K$2,P2458&lt;EDATE(Calendar!$K$2,1),OR(Calendar!$K$4="*",N2458=Calendar!$K$4)),P2458*100+COUNTIFS($P$6:$P$3267,P2458,$Q$6:$Q$3267,"&lt;="&amp;Q2458,$N$6:$N$3267,Calendar!$K$4),"")</f>
        <v/>
      </c>
      <c r="W2458" s="47">
        <f>IF(AND(B2458=Queue!$C$4,OR(Queue!$K$4="*",N2458=Queue!$K$4)),Q2458,"")</f>
        <v/>
      </c>
    </row>
    <row r="2459">
      <c r="A2459" s="38">
        <f>IF(M2459="","",HYPERLINK("https://www.youtube.com/watch?v="&amp;M2459,"▶"))</f>
        <v/>
      </c>
      <c r="B2459" s="39">
        <f>IF(C2459&lt;&gt;"",C2459,IF(P2459&lt;=IFERROR(INDEX(tblChannels[Watched Through],MATCH(N2459,tblChannels[Channel ID],0)),0),"Watched","Unwatched"))</f>
        <v/>
      </c>
      <c r="C2459" s="40" t="n"/>
      <c r="D2459" s="41" t="n"/>
      <c r="E2459" s="42" t="n">
        <v>42885.41666666666</v>
      </c>
      <c r="F2459" s="52" t="inlineStr">
        <is>
          <t>Super Carlin Gaming</t>
        </is>
      </c>
      <c r="G2459" t="inlineStr">
        <is>
          <t>Mario Kart Roulette #1: Favorite/Least Favorite Characters</t>
        </is>
      </c>
      <c r="H2459" s="44" t="n">
        <v>0.01115740740740741</v>
      </c>
      <c r="I2459" s="45" t="n">
        <v>63973</v>
      </c>
      <c r="J2459" s="45" t="n">
        <v>1398</v>
      </c>
      <c r="K2459" s="45" t="n">
        <v>304</v>
      </c>
      <c r="L2459" s="46" t="n"/>
      <c r="M2459" s="47" t="n"/>
      <c r="N2459" s="47" t="inlineStr">
        <is>
          <t>UCor_9jRnNNZVzTuQ92PKsaQ</t>
        </is>
      </c>
      <c r="O2459" s="48" t="n">
        <v>42885.58333333334</v>
      </c>
      <c r="P2459" s="49" t="n">
        <v>42885</v>
      </c>
      <c r="Q2459" s="47" t="n">
        <v>809</v>
      </c>
      <c r="R2459" s="47" t="inlineStr">
        <is>
          <t>No Video ID yet</t>
        </is>
      </c>
      <c r="S2459" s="49" t="n"/>
      <c r="T2459" s="49" t="n"/>
      <c r="U2459" s="47" t="inlineStr">
        <is>
          <t>In this episode, J will be playing the Mushroom Cup and discussing his favorite/least favorite characters on Mario Kart 8.</t>
        </is>
      </c>
      <c r="V2459" s="47">
        <f>IF(AND(P2459&gt;=Calendar!$K$2,P2459&lt;EDATE(Calendar!$K$2,1),OR(Calendar!$K$4="*",N2459=Calendar!$K$4)),P2459*100+COUNTIFS($P$6:$P$3267,P2459,$Q$6:$Q$3267,"&lt;="&amp;Q2459,$N$6:$N$3267,Calendar!$K$4),"")</f>
        <v/>
      </c>
      <c r="W2459" s="47">
        <f>IF(AND(B2459=Queue!$C$4,OR(Queue!$K$4="*",N2459=Queue!$K$4)),Q2459,"")</f>
        <v/>
      </c>
    </row>
    <row r="2460">
      <c r="A2460" s="38">
        <f>IF(M2460="","",HYPERLINK("https://www.youtube.com/watch?v="&amp;M2460,"▶"))</f>
        <v/>
      </c>
      <c r="B2460" s="39">
        <f>IF(C2460&lt;&gt;"",C2460,IF(P2460&lt;=IFERROR(INDEX(tblChannels[Watched Through],MATCH(N2460,tblChannels[Channel ID],0)),0),"Watched","Unwatched"))</f>
        <v/>
      </c>
      <c r="C2460" s="40" t="n"/>
      <c r="D2460" s="41" t="n"/>
      <c r="E2460" s="42" t="n">
        <v>42884.625</v>
      </c>
      <c r="F2460" s="52" t="inlineStr">
        <is>
          <t>Super Carlin Gaming</t>
        </is>
      </c>
      <c r="G2460" t="inlineStr">
        <is>
          <t>Pokemon Pearl Nuzlocke #4: Enter Team Galactic</t>
        </is>
      </c>
      <c r="H2460" s="44" t="n">
        <v>0.01446759259259259</v>
      </c>
      <c r="I2460" s="45" t="n">
        <v>47169</v>
      </c>
      <c r="J2460" s="45" t="n">
        <v>1074</v>
      </c>
      <c r="K2460" s="45" t="n">
        <v>472</v>
      </c>
      <c r="L2460" s="46" t="n"/>
      <c r="M2460" s="47" t="n"/>
      <c r="N2460" s="47" t="inlineStr">
        <is>
          <t>UCor_9jRnNNZVzTuQ92PKsaQ</t>
        </is>
      </c>
      <c r="O2460" s="48" t="n">
        <v>42884.79166666666</v>
      </c>
      <c r="P2460" s="49" t="n">
        <v>42884</v>
      </c>
      <c r="Q2460" s="47" t="n">
        <v>808</v>
      </c>
      <c r="R2460" s="47" t="inlineStr">
        <is>
          <t>No Video ID yet</t>
        </is>
      </c>
      <c r="S2460" s="49" t="n"/>
      <c r="T2460" s="49" t="n"/>
      <c r="U2460" s="47" t="inlineStr">
        <is>
          <t>J and the team advance to Valley Windworks where they encounter the first boss battle of Team Galactic.. can they handle their first real test or will Team Galactic strike someone down??</t>
        </is>
      </c>
      <c r="V2460" s="47">
        <f>IF(AND(P2460&gt;=Calendar!$K$2,P2460&lt;EDATE(Calendar!$K$2,1),OR(Calendar!$K$4="*",N2460=Calendar!$K$4)),P2460*100+COUNTIFS($P$6:$P$3267,P2460,$Q$6:$Q$3267,"&lt;="&amp;Q2460,$N$6:$N$3267,Calendar!$K$4),"")</f>
        <v/>
      </c>
      <c r="W2460" s="47">
        <f>IF(AND(B2460=Queue!$C$4,OR(Queue!$K$4="*",N2460=Queue!$K$4)),Q2460,"")</f>
        <v/>
      </c>
    </row>
    <row r="2461">
      <c r="A2461" s="38">
        <f>IF(M2461="","",HYPERLINK("https://www.youtube.com/watch?v="&amp;M2461,"▶"))</f>
        <v/>
      </c>
      <c r="B2461" s="39">
        <f>IF(C2461&lt;&gt;"",C2461,IF(P2461&lt;=IFERROR(INDEX(tblChannels[Watched Through],MATCH(N2461,tblChannels[Channel ID],0)),0),"Watched","Unwatched"))</f>
        <v/>
      </c>
      <c r="C2461" s="40" t="n"/>
      <c r="D2461" s="41" t="n"/>
      <c r="E2461" s="42" t="n">
        <v>42881.625</v>
      </c>
      <c r="F2461" s="52" t="inlineStr">
        <is>
          <t>Super Carlin Gaming</t>
        </is>
      </c>
      <c r="G2461" t="inlineStr">
        <is>
          <t>Pokemon Pearl Nuzlocke #3: Ozzy VS Roark</t>
        </is>
      </c>
      <c r="H2461" s="44" t="n">
        <v>0.0191087962962963</v>
      </c>
      <c r="I2461" s="45" t="n">
        <v>55065</v>
      </c>
      <c r="J2461" s="45" t="n">
        <v>1151</v>
      </c>
      <c r="K2461" s="45" t="n">
        <v>496</v>
      </c>
      <c r="L2461" s="46" t="n"/>
      <c r="M2461" s="47" t="n"/>
      <c r="N2461" s="47" t="inlineStr">
        <is>
          <t>UCor_9jRnNNZVzTuQ92PKsaQ</t>
        </is>
      </c>
      <c r="O2461" s="48" t="n">
        <v>42881.79166666666</v>
      </c>
      <c r="P2461" s="49" t="n">
        <v>42881</v>
      </c>
      <c r="Q2461" s="47" t="n">
        <v>807</v>
      </c>
      <c r="R2461" s="47" t="inlineStr">
        <is>
          <t>No Video ID yet</t>
        </is>
      </c>
      <c r="S2461" s="49" t="n"/>
      <c r="T2461" s="49" t="n"/>
      <c r="U2461" s="47" t="inlineStr">
        <is>
          <t>It is finally time for our first Gym Battle! Ozzy has been a little shaky on the confidence side, but maybe her first gym battle will lift her spirits.. that is if she can survive!</t>
        </is>
      </c>
      <c r="V2461" s="47">
        <f>IF(AND(P2461&gt;=Calendar!$K$2,P2461&lt;EDATE(Calendar!$K$2,1),OR(Calendar!$K$4="*",N2461=Calendar!$K$4)),P2461*100+COUNTIFS($P$6:$P$3267,P2461,$Q$6:$Q$3267,"&lt;="&amp;Q2461,$N$6:$N$3267,Calendar!$K$4),"")</f>
        <v/>
      </c>
      <c r="W2461" s="47">
        <f>IF(AND(B2461=Queue!$C$4,OR(Queue!$K$4="*",N2461=Queue!$K$4)),Q2461,"")</f>
        <v/>
      </c>
    </row>
    <row r="2462">
      <c r="A2462" s="38">
        <f>IF(M2462="","",HYPERLINK("https://www.youtube.com/watch?v="&amp;M2462,"▶"))</f>
        <v/>
      </c>
      <c r="B2462" s="39">
        <f>IF(C2462&lt;&gt;"",C2462,IF(P2462&lt;=IFERROR(INDEX(tblChannels[Watched Through],MATCH(N2462,tblChannels[Channel ID],0)),0),"Watched","Unwatched"))</f>
        <v/>
      </c>
      <c r="C2462" s="40" t="n"/>
      <c r="D2462" s="41" t="n"/>
      <c r="E2462" s="42" t="n">
        <v>42880.72638888889</v>
      </c>
      <c r="F2462" s="50" t="inlineStr">
        <is>
          <t>Super Carlin Brothers</t>
        </is>
      </c>
      <c r="G2462" t="inlineStr">
        <is>
          <t>Big Hero 6 Kites Explained</t>
        </is>
      </c>
      <c r="H2462" s="44" t="n">
        <v>0.004699074074074074</v>
      </c>
      <c r="I2462" s="45" t="n">
        <v>357973</v>
      </c>
      <c r="J2462" s="45" t="n">
        <v>12443</v>
      </c>
      <c r="K2462" s="45" t="n">
        <v>1410</v>
      </c>
      <c r="L2462" s="46" t="n"/>
      <c r="M2462" s="47" t="n"/>
      <c r="N2462" s="47" t="inlineStr">
        <is>
          <t>UCKZo4N0lVPccBkSiuyVh4yg</t>
        </is>
      </c>
      <c r="O2462" s="48" t="n">
        <v>42880.89305555556</v>
      </c>
      <c r="P2462" s="49" t="n">
        <v>42880</v>
      </c>
      <c r="Q2462" s="47" t="n">
        <v>806</v>
      </c>
      <c r="R2462" s="47" t="inlineStr">
        <is>
          <t>No Video ID yet</t>
        </is>
      </c>
      <c r="S2462" s="49" t="n"/>
      <c r="T2462" s="49" t="n"/>
      <c r="U2462" s="47" t="inlineStr">
        <is>
          <t>Today Ben dives in to Disney's Big Hero 6 and the world of San Fransokyo to explain what all those odd kite/blimp things Hiro and Baymax fly through are.</t>
        </is>
      </c>
      <c r="V2462" s="47">
        <f>IF(AND(P2462&gt;=Calendar!$K$2,P2462&lt;EDATE(Calendar!$K$2,1),OR(Calendar!$K$4="*",N2462=Calendar!$K$4)),P2462*100+COUNTIFS($P$6:$P$3267,P2462,$Q$6:$Q$3267,"&lt;="&amp;Q2462,$N$6:$N$3267,Calendar!$K$4),"")</f>
        <v/>
      </c>
      <c r="W2462" s="47">
        <f>IF(AND(B2462=Queue!$C$4,OR(Queue!$K$4="*",N2462=Queue!$K$4)),Q2462,"")</f>
        <v/>
      </c>
    </row>
    <row r="2463">
      <c r="A2463" s="38">
        <f>IF(M2463="","",HYPERLINK("https://www.youtube.com/watch?v="&amp;M2463,"▶"))</f>
        <v/>
      </c>
      <c r="B2463" s="39">
        <f>IF(C2463&lt;&gt;"",C2463,IF(P2463&lt;=IFERROR(INDEX(tblChannels[Watched Through],MATCH(N2463,tblChannels[Channel ID],0)),0),"Watched","Unwatched"))</f>
        <v/>
      </c>
      <c r="C2463" s="40" t="n"/>
      <c r="D2463" s="41" t="n"/>
      <c r="E2463" s="42" t="n">
        <v>42879.625</v>
      </c>
      <c r="F2463" s="52" t="inlineStr">
        <is>
          <t>Super Carlin Gaming</t>
        </is>
      </c>
      <c r="G2463" t="inlineStr">
        <is>
          <t>Pokemon Pearl Nuzlocke #2: Team Building!</t>
        </is>
      </c>
      <c r="H2463" s="44" t="n">
        <v>0.01353009259259259</v>
      </c>
      <c r="I2463" s="45" t="n">
        <v>58533</v>
      </c>
      <c r="J2463" s="45" t="n">
        <v>1193</v>
      </c>
      <c r="K2463" s="45" t="n">
        <v>525</v>
      </c>
      <c r="L2463" s="46" t="n"/>
      <c r="M2463" s="47" t="n"/>
      <c r="N2463" s="47" t="inlineStr">
        <is>
          <t>UCor_9jRnNNZVzTuQ92PKsaQ</t>
        </is>
      </c>
      <c r="O2463" s="48" t="n">
        <v>42879.79166666666</v>
      </c>
      <c r="P2463" s="49" t="n">
        <v>42879</v>
      </c>
      <c r="Q2463" s="47" t="n">
        <v>805</v>
      </c>
      <c r="R2463" s="47" t="inlineStr">
        <is>
          <t>No Video ID yet</t>
        </is>
      </c>
      <c r="S2463" s="49" t="n"/>
      <c r="T2463" s="49" t="n"/>
      <c r="U2463" s="47" t="inlineStr">
        <is>
          <t>As J and Ozzy head toward their first badge they, first must add some extra team members to fill out the ranks, who will they encounter and join the squad??</t>
        </is>
      </c>
      <c r="V2463" s="47">
        <f>IF(AND(P2463&gt;=Calendar!$K$2,P2463&lt;EDATE(Calendar!$K$2,1),OR(Calendar!$K$4="*",N2463=Calendar!$K$4)),P2463*100+COUNTIFS($P$6:$P$3267,P2463,$Q$6:$Q$3267,"&lt;="&amp;Q2463,$N$6:$N$3267,Calendar!$K$4),"")</f>
        <v/>
      </c>
      <c r="W2463" s="47">
        <f>IF(AND(B2463=Queue!$C$4,OR(Queue!$K$4="*",N2463=Queue!$K$4)),Q2463,"")</f>
        <v/>
      </c>
    </row>
    <row r="2464">
      <c r="A2464" s="38">
        <f>IF(M2464="","",HYPERLINK("https://www.youtube.com/watch?v="&amp;M2464,"▶"))</f>
        <v/>
      </c>
      <c r="B2464" s="39">
        <f>IF(C2464&lt;&gt;"",C2464,IF(P2464&lt;=IFERROR(INDEX(tblChannels[Watched Through],MATCH(N2464,tblChannels[Channel ID],0)),0),"Watched","Unwatched"))</f>
        <v/>
      </c>
      <c r="C2464" s="40" t="n"/>
      <c r="D2464" s="41" t="n"/>
      <c r="E2464" s="42" t="n">
        <v>42878.69652777778</v>
      </c>
      <c r="F2464" s="50" t="inlineStr">
        <is>
          <t>Super Carlin Brothers</t>
        </is>
      </c>
      <c r="G2464" t="inlineStr">
        <is>
          <t>The Truth About Doc Hudson</t>
        </is>
      </c>
      <c r="H2464" s="44" t="n">
        <v>0.006840277777777778</v>
      </c>
      <c r="I2464" s="45" t="n">
        <v>1879545</v>
      </c>
      <c r="J2464" s="45" t="n">
        <v>34847</v>
      </c>
      <c r="K2464" s="45" t="n">
        <v>5145</v>
      </c>
      <c r="L2464" s="46" t="n"/>
      <c r="M2464" s="47" t="n"/>
      <c r="N2464" s="47" t="inlineStr">
        <is>
          <t>UCKZo4N0lVPccBkSiuyVh4yg</t>
        </is>
      </c>
      <c r="O2464" s="48" t="n">
        <v>42878.86319444444</v>
      </c>
      <c r="P2464" s="49" t="n">
        <v>42878</v>
      </c>
      <c r="Q2464" s="47" t="n">
        <v>804</v>
      </c>
      <c r="R2464" s="47" t="inlineStr">
        <is>
          <t>No Video ID yet</t>
        </is>
      </c>
      <c r="S2464" s="49" t="n"/>
      <c r="T2464" s="49" t="n"/>
      <c r="U2464" s="47" t="inlineStr">
        <is>
          <t>Disney Pixar's Cars 3 comes out in just 4 weeks! Today J dives into the world of Cars and explores the history of the Fabulous Hudson Hornet Doc Hudson. His real world NASCAR history may just hold the key to Lightning McQueen's victory over his new rival Jackson Storm.</t>
        </is>
      </c>
      <c r="V2464" s="47">
        <f>IF(AND(P2464&gt;=Calendar!$K$2,P2464&lt;EDATE(Calendar!$K$2,1),OR(Calendar!$K$4="*",N2464=Calendar!$K$4)),P2464*100+COUNTIFS($P$6:$P$3267,P2464,$Q$6:$Q$3267,"&lt;="&amp;Q2464,$N$6:$N$3267,Calendar!$K$4),"")</f>
        <v/>
      </c>
      <c r="W2464" s="47">
        <f>IF(AND(B2464=Queue!$C$4,OR(Queue!$K$4="*",N2464=Queue!$K$4)),Q2464,"")</f>
        <v/>
      </c>
    </row>
    <row r="2465">
      <c r="A2465" s="38">
        <f>IF(M2465="","",HYPERLINK("https://www.youtube.com/watch?v="&amp;M2465,"▶"))</f>
        <v/>
      </c>
      <c r="B2465" s="39">
        <f>IF(C2465&lt;&gt;"",C2465,IF(P2465&lt;=IFERROR(INDEX(tblChannels[Watched Through],MATCH(N2465,tblChannels[Channel ID],0)),0),"Watched","Unwatched"))</f>
        <v/>
      </c>
      <c r="C2465" s="40" t="n"/>
      <c r="D2465" s="41" t="n"/>
      <c r="E2465" s="42" t="n">
        <v>42877.63472222222</v>
      </c>
      <c r="F2465" s="52" t="inlineStr">
        <is>
          <t>Super Carlin Gaming</t>
        </is>
      </c>
      <c r="G2465" t="inlineStr">
        <is>
          <t>Pokemon Pearl Nuzlocke #1: Piplup, Turtwig or Chimchar?</t>
        </is>
      </c>
      <c r="H2465" s="44" t="n">
        <v>0.01609953703703704</v>
      </c>
      <c r="I2465" s="45" t="n">
        <v>129045</v>
      </c>
      <c r="J2465" s="45" t="n">
        <v>2234</v>
      </c>
      <c r="K2465" s="45" t="n">
        <v>1388</v>
      </c>
      <c r="L2465" s="46" t="n"/>
      <c r="M2465" s="47" t="n"/>
      <c r="N2465" s="47" t="inlineStr">
        <is>
          <t>UCor_9jRnNNZVzTuQ92PKsaQ</t>
        </is>
      </c>
      <c r="O2465" s="48" t="n">
        <v>42877.80138888889</v>
      </c>
      <c r="P2465" s="49" t="n">
        <v>42877</v>
      </c>
      <c r="Q2465" s="47" t="n">
        <v>803</v>
      </c>
      <c r="R2465" s="47" t="inlineStr">
        <is>
          <t>No Video ID yet</t>
        </is>
      </c>
      <c r="S2465" s="49" t="n"/>
      <c r="T2465" s="49" t="n"/>
      <c r="U2465" s="47" t="inlineStr">
        <is>
          <t>Welcome to Sinnoh! Our next Nuzlocke journey kicks off with a new rival, a new starter and a few new friends! Who is your favorite starter pokemon in Gen 4?</t>
        </is>
      </c>
      <c r="V2465" s="47">
        <f>IF(AND(P2465&gt;=Calendar!$K$2,P2465&lt;EDATE(Calendar!$K$2,1),OR(Calendar!$K$4="*",N2465=Calendar!$K$4)),P2465*100+COUNTIFS($P$6:$P$3267,P2465,$Q$6:$Q$3267,"&lt;="&amp;Q2465,$N$6:$N$3267,Calendar!$K$4),"")</f>
        <v/>
      </c>
      <c r="W2465" s="47">
        <f>IF(AND(B2465=Queue!$C$4,OR(Queue!$K$4="*",N2465=Queue!$K$4)),Q2465,"")</f>
        <v/>
      </c>
    </row>
    <row r="2466">
      <c r="A2466" s="38">
        <f>IF(M2466="","",HYPERLINK("https://www.youtube.com/watch?v="&amp;M2466,"▶"))</f>
        <v/>
      </c>
      <c r="B2466" s="39">
        <f>IF(C2466&lt;&gt;"",C2466,IF(P2466&lt;=IFERROR(INDEX(tblChannels[Watched Through],MATCH(N2466,tblChannels[Channel ID],0)),0),"Watched","Unwatched"))</f>
        <v/>
      </c>
      <c r="C2466" s="40" t="n"/>
      <c r="D2466" s="41" t="n"/>
      <c r="E2466" s="42" t="n">
        <v>42873.75972222222</v>
      </c>
      <c r="F2466" s="50" t="inlineStr">
        <is>
          <t>Super Carlin Brothers</t>
        </is>
      </c>
      <c r="G2466" t="inlineStr">
        <is>
          <t>Marvel Theory: Stan Lee's Cameos Explained</t>
        </is>
      </c>
      <c r="H2466" s="44" t="n">
        <v>0.007152777777777778</v>
      </c>
      <c r="I2466" s="45" t="n">
        <v>765766</v>
      </c>
      <c r="J2466" s="45" t="n">
        <v>19452</v>
      </c>
      <c r="K2466" s="45" t="n">
        <v>2834</v>
      </c>
      <c r="L2466" s="46" t="n"/>
      <c r="M2466" s="47" t="n"/>
      <c r="N2466" s="47" t="inlineStr">
        <is>
          <t>UCKZo4N0lVPccBkSiuyVh4yg</t>
        </is>
      </c>
      <c r="O2466" s="48" t="n">
        <v>42873.92638888889</v>
      </c>
      <c r="P2466" s="49" t="n">
        <v>42873</v>
      </c>
      <c r="Q2466" s="47" t="n">
        <v>802</v>
      </c>
      <c r="R2466" s="47" t="inlineStr">
        <is>
          <t>No Video ID yet</t>
        </is>
      </c>
      <c r="S2466" s="49" t="n"/>
      <c r="T2466" s="49" t="n"/>
      <c r="U2466" s="47" t="inlineStr">
        <is>
          <t>If you have ever seen a Marvel movie than no doubt you have noticed at some point the random appearance of comic book author Stan Lee. He is in ALL of them, but why? Is this just a polite cameo appearance or is there more to it, today Ben dives into the Marvel multiverse to find out!</t>
        </is>
      </c>
      <c r="V2466" s="47">
        <f>IF(AND(P2466&gt;=Calendar!$K$2,P2466&lt;EDATE(Calendar!$K$2,1),OR(Calendar!$K$4="*",N2466=Calendar!$K$4)),P2466*100+COUNTIFS($P$6:$P$3267,P2466,$Q$6:$Q$3267,"&lt;="&amp;Q2466,$N$6:$N$3267,Calendar!$K$4),"")</f>
        <v/>
      </c>
      <c r="W2466" s="47">
        <f>IF(AND(B2466=Queue!$C$4,OR(Queue!$K$4="*",N2466=Queue!$K$4)),Q2466,"")</f>
        <v/>
      </c>
    </row>
    <row r="2467">
      <c r="A2467" s="38">
        <f>IF(M2467="","",HYPERLINK("https://www.youtube.com/watch?v="&amp;M2467,"▶"))</f>
        <v/>
      </c>
      <c r="B2467" s="39">
        <f>IF(C2467&lt;&gt;"",C2467,IF(P2467&lt;=IFERROR(INDEX(tblChannels[Watched Through],MATCH(N2467,tblChannels[Channel ID],0)),0),"Watched","Unwatched"))</f>
        <v/>
      </c>
      <c r="C2467" s="40" t="n"/>
      <c r="D2467" s="41" t="n"/>
      <c r="E2467" s="42" t="n">
        <v>42871.63333333333</v>
      </c>
      <c r="F2467" s="50" t="inlineStr">
        <is>
          <t>Super Carlin Brothers</t>
        </is>
      </c>
      <c r="G2467" t="inlineStr">
        <is>
          <t>Does Lightning Google Autofill</t>
        </is>
      </c>
      <c r="H2467" s="44" t="n">
        <v>0.005185185185185185</v>
      </c>
      <c r="I2467" s="45" t="n">
        <v>274023</v>
      </c>
      <c r="J2467" s="45" t="n">
        <v>8831</v>
      </c>
      <c r="K2467" s="45" t="n">
        <v>1344</v>
      </c>
      <c r="L2467" s="46" t="n"/>
      <c r="M2467" s="47" t="n"/>
      <c r="N2467" s="47" t="inlineStr">
        <is>
          <t>UCKZo4N0lVPccBkSiuyVh4yg</t>
        </is>
      </c>
      <c r="O2467" s="48" t="n">
        <v>42871.8</v>
      </c>
      <c r="P2467" s="49" t="n">
        <v>42871</v>
      </c>
      <c r="Q2467" s="47" t="n">
        <v>801</v>
      </c>
      <c r="R2467" s="47" t="inlineStr">
        <is>
          <t>No Video ID yet</t>
        </is>
      </c>
      <c r="S2467" s="49" t="n"/>
      <c r="T2467" s="49" t="n"/>
      <c r="U2467" s="47" t="inlineStr">
        <is>
          <t>Pixar's Cars 3 is just 5 weeks away so today J plays everyone's favorite game and asks Does Lightning Google Autofill?!</t>
        </is>
      </c>
      <c r="V2467" s="47">
        <f>IF(AND(P2467&gt;=Calendar!$K$2,P2467&lt;EDATE(Calendar!$K$2,1),OR(Calendar!$K$4="*",N2467=Calendar!$K$4)),P2467*100+COUNTIFS($P$6:$P$3267,P2467,$Q$6:$Q$3267,"&lt;="&amp;Q2467,$N$6:$N$3267,Calendar!$K$4),"")</f>
        <v/>
      </c>
      <c r="W2467" s="47">
        <f>IF(AND(B2467=Queue!$C$4,OR(Queue!$K$4="*",N2467=Queue!$K$4)),Q2467,"")</f>
        <v/>
      </c>
    </row>
    <row r="2468">
      <c r="A2468" s="38">
        <f>IF(M2468="","",HYPERLINK("https://www.youtube.com/watch?v="&amp;M2468,"▶"))</f>
        <v/>
      </c>
      <c r="B2468" s="39">
        <f>IF(C2468&lt;&gt;"",C2468,IF(P2468&lt;=IFERROR(INDEX(tblChannels[Watched Through],MATCH(N2468,tblChannels[Channel ID],0)),0),"Watched","Unwatched"))</f>
        <v/>
      </c>
      <c r="C2468" s="40" t="n"/>
      <c r="D2468" s="41" t="n"/>
      <c r="E2468" s="42" t="n">
        <v>42866.79305555556</v>
      </c>
      <c r="F2468" s="50" t="inlineStr">
        <is>
          <t>Super Carlin Brothers</t>
        </is>
      </c>
      <c r="G2468" t="inlineStr">
        <is>
          <t>Harry Potter Theory: Slughorn's Darkest Secret</t>
        </is>
      </c>
      <c r="H2468" s="44" t="n">
        <v>0.005856481481481482</v>
      </c>
      <c r="I2468" s="45" t="n">
        <v>2288588</v>
      </c>
      <c r="J2468" s="45" t="n">
        <v>48512</v>
      </c>
      <c r="K2468" s="45" t="n">
        <v>3682</v>
      </c>
      <c r="L2468" s="46" t="n"/>
      <c r="M2468" s="47" t="n"/>
      <c r="N2468" s="47" t="inlineStr">
        <is>
          <t>UCKZo4N0lVPccBkSiuyVh4yg</t>
        </is>
      </c>
      <c r="O2468" s="48" t="n">
        <v>42866.95972222222</v>
      </c>
      <c r="P2468" s="49" t="n">
        <v>42866</v>
      </c>
      <c r="Q2468" s="47" t="n">
        <v>800</v>
      </c>
      <c r="R2468" s="47" t="inlineStr">
        <is>
          <t>No Video ID yet</t>
        </is>
      </c>
      <c r="S2468" s="49" t="n"/>
      <c r="T2468" s="49" t="n"/>
      <c r="U2468" s="47" t="inlineStr">
        <is>
          <t>Harry spends a good portion of the Half Blood Prince trying to retrieve one of Slughorn’s memories, but what other secrets is he hiding? We think we have discovered an even greater secret of the potions master!</t>
        </is>
      </c>
      <c r="V2468" s="47">
        <f>IF(AND(P2468&gt;=Calendar!$K$2,P2468&lt;EDATE(Calendar!$K$2,1),OR(Calendar!$K$4="*",N2468=Calendar!$K$4)),P2468*100+COUNTIFS($P$6:$P$3267,P2468,$Q$6:$Q$3267,"&lt;="&amp;Q2468,$N$6:$N$3267,Calendar!$K$4),"")</f>
        <v/>
      </c>
      <c r="W2468" s="47">
        <f>IF(AND(B2468=Queue!$C$4,OR(Queue!$K$4="*",N2468=Queue!$K$4)),Q2468,"")</f>
        <v/>
      </c>
    </row>
    <row r="2469">
      <c r="A2469" s="38">
        <f>IF(M2469="","",HYPERLINK("https://www.youtube.com/watch?v="&amp;M2469,"▶"))</f>
        <v/>
      </c>
      <c r="B2469" s="39">
        <f>IF(C2469&lt;&gt;"",C2469,IF(P2469&lt;=IFERROR(INDEX(tblChannels[Watched Through],MATCH(N2469,tblChannels[Channel ID],0)),0),"Watched","Unwatched"))</f>
        <v/>
      </c>
      <c r="C2469" s="40" t="n"/>
      <c r="D2469" s="41" t="n"/>
      <c r="E2469" s="42" t="n">
        <v>42864.80902777778</v>
      </c>
      <c r="F2469" s="50" t="inlineStr">
        <is>
          <t>Super Carlin Brothers</t>
        </is>
      </c>
      <c r="G2469" t="inlineStr">
        <is>
          <t>Disney Theory: Big Hero 6 Brother Is Alive</t>
        </is>
      </c>
      <c r="H2469" s="44" t="n">
        <v>0.007569444444444445</v>
      </c>
      <c r="I2469" s="45" t="n">
        <v>4373502</v>
      </c>
      <c r="J2469" s="45" t="n">
        <v>81951</v>
      </c>
      <c r="K2469" s="45" t="n">
        <v>12411</v>
      </c>
      <c r="L2469" s="46" t="n"/>
      <c r="M2469" s="47" t="n"/>
      <c r="N2469" s="47" t="inlineStr">
        <is>
          <t>UCKZo4N0lVPccBkSiuyVh4yg</t>
        </is>
      </c>
      <c r="O2469" s="48" t="n">
        <v>42864.97569444445</v>
      </c>
      <c r="P2469" s="49" t="n">
        <v>42864</v>
      </c>
      <c r="Q2469" s="47" t="n">
        <v>799</v>
      </c>
      <c r="R2469" s="47" t="inlineStr">
        <is>
          <t>No Video ID yet</t>
        </is>
      </c>
      <c r="S2469" s="49" t="n"/>
      <c r="T2469" s="49" t="n"/>
      <c r="U2469" s="47" t="inlineStr">
        <is>
          <t>Today J dives into San Fransokyo and the world of Disney's Big Hero 6 to determine if Hiro's brother Tadashi truly died and if not.. who is he?</t>
        </is>
      </c>
      <c r="V2469" s="47">
        <f>IF(AND(P2469&gt;=Calendar!$K$2,P2469&lt;EDATE(Calendar!$K$2,1),OR(Calendar!$K$4="*",N2469=Calendar!$K$4)),P2469*100+COUNTIFS($P$6:$P$3267,P2469,$Q$6:$Q$3267,"&lt;="&amp;Q2469,$N$6:$N$3267,Calendar!$K$4),"")</f>
        <v/>
      </c>
      <c r="W2469" s="47">
        <f>IF(AND(B2469=Queue!$C$4,OR(Queue!$K$4="*",N2469=Queue!$K$4)),Q2469,"")</f>
        <v/>
      </c>
    </row>
    <row r="2470">
      <c r="A2470" s="38">
        <f>IF(M2470="","",HYPERLINK("https://www.youtube.com/watch?v="&amp;M2470,"▶"))</f>
        <v/>
      </c>
      <c r="B2470" s="39">
        <f>IF(C2470&lt;&gt;"",C2470,IF(P2470&lt;=IFERROR(INDEX(tblChannels[Watched Through],MATCH(N2470,tblChannels[Channel ID],0)),0),"Watched","Unwatched"))</f>
        <v/>
      </c>
      <c r="C2470" s="40" t="n"/>
      <c r="D2470" s="41" t="n"/>
      <c r="E2470" s="42" t="n">
        <v>42861.41666666666</v>
      </c>
      <c r="F2470" s="50" t="inlineStr">
        <is>
          <t>Super Carlin Brothers</t>
        </is>
      </c>
      <c r="G2470" t="inlineStr">
        <is>
          <t>Loot Crate Unboxing | INVESTIGATE</t>
        </is>
      </c>
      <c r="H2470" s="44" t="n">
        <v>0.00880787037037037</v>
      </c>
      <c r="I2470" s="45" t="n">
        <v>93940</v>
      </c>
      <c r="J2470" s="45" t="n">
        <v>3730</v>
      </c>
      <c r="K2470" s="45" t="n">
        <v>799</v>
      </c>
      <c r="L2470" s="46" t="n"/>
      <c r="M2470" s="47" t="n"/>
      <c r="N2470" s="47" t="inlineStr">
        <is>
          <t>UCKZo4N0lVPccBkSiuyVh4yg</t>
        </is>
      </c>
      <c r="O2470" s="48" t="n">
        <v>42861.58333333334</v>
      </c>
      <c r="P2470" s="49" t="n">
        <v>42861</v>
      </c>
      <c r="Q2470" s="47" t="n">
        <v>798</v>
      </c>
      <c r="R2470" s="47" t="inlineStr">
        <is>
          <t>No Video ID yet</t>
        </is>
      </c>
      <c r="S2470" s="49" t="n"/>
      <c r="T2470" s="49" t="n"/>
      <c r="U2470" s="47" t="inlineStr">
        <is>
          <t>Get 10% Off your first month of LootCrate at: Promo Code: CARLIN J and Ben unbox the INVESTIGATE Loot Crate - It has all sorts of fun stuff including things from Batman, Jessica Jones, The X-Files and Stranger Things.</t>
        </is>
      </c>
      <c r="V2470" s="47">
        <f>IF(AND(P2470&gt;=Calendar!$K$2,P2470&lt;EDATE(Calendar!$K$2,1),OR(Calendar!$K$4="*",N2470=Calendar!$K$4)),P2470*100+COUNTIFS($P$6:$P$3267,P2470,$Q$6:$Q$3267,"&lt;="&amp;Q2470,$N$6:$N$3267,Calendar!$K$4),"")</f>
        <v/>
      </c>
      <c r="W2470" s="47">
        <f>IF(AND(B2470=Queue!$C$4,OR(Queue!$K$4="*",N2470=Queue!$K$4)),Q2470,"")</f>
        <v/>
      </c>
    </row>
    <row r="2471">
      <c r="A2471" s="38">
        <f>IF(M2471="","",HYPERLINK("https://www.youtube.com/watch?v="&amp;M2471,"▶"))</f>
        <v/>
      </c>
      <c r="B2471" s="39">
        <f>IF(C2471&lt;&gt;"",C2471,IF(P2471&lt;=IFERROR(INDEX(tblChannels[Watched Through],MATCH(N2471,tblChannels[Channel ID],0)),0),"Watched","Unwatched"))</f>
        <v/>
      </c>
      <c r="C2471" s="40" t="n"/>
      <c r="D2471" s="41" t="n"/>
      <c r="E2471" s="42" t="n">
        <v>42859.71111111111</v>
      </c>
      <c r="F2471" s="50" t="inlineStr">
        <is>
          <t>Super Carlin Brothers</t>
        </is>
      </c>
      <c r="G2471" t="inlineStr">
        <is>
          <t>Harry Potter Theory: Newt's Patronus</t>
        </is>
      </c>
      <c r="H2471" s="44" t="n">
        <v>0.00587962962962963</v>
      </c>
      <c r="I2471" s="45" t="n">
        <v>1534251</v>
      </c>
      <c r="J2471" s="45" t="n">
        <v>37678</v>
      </c>
      <c r="K2471" s="45" t="n">
        <v>8807</v>
      </c>
      <c r="L2471" s="46" t="n"/>
      <c r="M2471" s="47" t="n"/>
      <c r="N2471" s="47" t="inlineStr">
        <is>
          <t>UCKZo4N0lVPccBkSiuyVh4yg</t>
        </is>
      </c>
      <c r="O2471" s="48" t="n">
        <v>42859.87777777778</v>
      </c>
      <c r="P2471" s="49" t="n">
        <v>42859</v>
      </c>
      <c r="Q2471" s="47" t="n">
        <v>797</v>
      </c>
      <c r="R2471" s="47" t="inlineStr">
        <is>
          <t>No Video ID yet</t>
        </is>
      </c>
      <c r="S2471" s="49" t="n"/>
      <c r="T2471" s="49" t="n"/>
      <c r="U2471" s="47" t="inlineStr">
        <is>
          <t>Harry Potter author JK Rowling recently said revealing Newt's patronus would be spoilery.. naturally we had to investigate! Today Ben tries to deduce what form it will take in the next Fantastic Beasts movie. Also at 5:45 obviously Newt and Tina were so uncomfortable we decided to go to black.. =P Read more about the Patronus Charm here ::</t>
        </is>
      </c>
      <c r="V2471" s="47">
        <f>IF(AND(P2471&gt;=Calendar!$K$2,P2471&lt;EDATE(Calendar!$K$2,1),OR(Calendar!$K$4="*",N2471=Calendar!$K$4)),P2471*100+COUNTIFS($P$6:$P$3267,P2471,$Q$6:$Q$3267,"&lt;="&amp;Q2471,$N$6:$N$3267,Calendar!$K$4),"")</f>
        <v/>
      </c>
      <c r="W2471" s="47">
        <f>IF(AND(B2471=Queue!$C$4,OR(Queue!$K$4="*",N2471=Queue!$K$4)),Q2471,"")</f>
        <v/>
      </c>
    </row>
    <row r="2472">
      <c r="A2472" s="38">
        <f>IF(M2472="","",HYPERLINK("https://www.youtube.com/watch?v="&amp;M2472,"▶"))</f>
        <v/>
      </c>
      <c r="B2472" s="39">
        <f>IF(C2472&lt;&gt;"",C2472,IF(P2472&lt;=IFERROR(INDEX(tblChannels[Watched Through],MATCH(N2472,tblChannels[Channel ID],0)),0),"Watched","Unwatched"))</f>
        <v/>
      </c>
      <c r="C2472" s="40" t="n"/>
      <c r="D2472" s="41" t="n"/>
      <c r="E2472" s="42" t="n">
        <v>42857.74513888889</v>
      </c>
      <c r="F2472" s="50" t="inlineStr">
        <is>
          <t>Super Carlin Brothers</t>
        </is>
      </c>
      <c r="G2472" t="inlineStr">
        <is>
          <t>Cars Theory: Who Is The True Villain of Cars 3?</t>
        </is>
      </c>
      <c r="H2472" s="44" t="n">
        <v>0.005868055555555555</v>
      </c>
      <c r="I2472" s="45" t="n">
        <v>1134813</v>
      </c>
      <c r="J2472" s="45" t="n">
        <v>19864</v>
      </c>
      <c r="K2472" s="45" t="n">
        <v>2506</v>
      </c>
      <c r="L2472" s="46" t="n"/>
      <c r="M2472" s="47" t="n"/>
      <c r="N2472" s="47" t="inlineStr">
        <is>
          <t>UCKZo4N0lVPccBkSiuyVh4yg</t>
        </is>
      </c>
      <c r="O2472" s="48" t="n">
        <v>42857.91180555556</v>
      </c>
      <c r="P2472" s="49" t="n">
        <v>42857</v>
      </c>
      <c r="Q2472" s="47" t="n">
        <v>796</v>
      </c>
      <c r="R2472" s="47" t="inlineStr">
        <is>
          <t>No Video ID yet</t>
        </is>
      </c>
      <c r="S2472" s="49" t="n"/>
      <c r="T2472" s="49" t="n"/>
      <c r="U2472" s="47" t="inlineStr">
        <is>
          <t>Cars 3 just released its first full trailer and naturally we have a lot to say! Today J dives into the unexplored world of Cars 3 to try and determine who the true villain of the movie is!</t>
        </is>
      </c>
      <c r="V2472" s="47">
        <f>IF(AND(P2472&gt;=Calendar!$K$2,P2472&lt;EDATE(Calendar!$K$2,1),OR(Calendar!$K$4="*",N2472=Calendar!$K$4)),P2472*100+COUNTIFS($P$6:$P$3267,P2472,$Q$6:$Q$3267,"&lt;="&amp;Q2472,$N$6:$N$3267,Calendar!$K$4),"")</f>
        <v/>
      </c>
      <c r="W2472" s="47">
        <f>IF(AND(B2472=Queue!$C$4,OR(Queue!$K$4="*",N2472=Queue!$K$4)),Q2472,"")</f>
        <v/>
      </c>
    </row>
    <row r="2473">
      <c r="A2473" s="38">
        <f>IF(M2473="","",HYPERLINK("https://www.youtube.com/watch?v="&amp;M2473,"▶"))</f>
        <v/>
      </c>
      <c r="B2473" s="39">
        <f>IF(C2473&lt;&gt;"",C2473,IF(P2473&lt;=IFERROR(INDEX(tblChannels[Watched Through],MATCH(N2473,tblChannels[Channel ID],0)),0),"Watched","Unwatched"))</f>
        <v/>
      </c>
      <c r="C2473" s="40" t="n"/>
      <c r="D2473" s="41" t="n"/>
      <c r="E2473" s="42" t="n">
        <v>42852.71736111111</v>
      </c>
      <c r="F2473" s="50" t="inlineStr">
        <is>
          <t>Super Carlin Brothers</t>
        </is>
      </c>
      <c r="G2473" t="inlineStr">
        <is>
          <t>Top 10 Favorite Harry Potter Movie Moments</t>
        </is>
      </c>
      <c r="H2473" s="44" t="n">
        <v>0.00775462962962963</v>
      </c>
      <c r="I2473" s="45" t="n">
        <v>1157377</v>
      </c>
      <c r="J2473" s="45" t="n">
        <v>30685</v>
      </c>
      <c r="K2473" s="45" t="n">
        <v>8028</v>
      </c>
      <c r="L2473" s="46" t="n"/>
      <c r="M2473" s="47" t="n"/>
      <c r="N2473" s="47" t="inlineStr">
        <is>
          <t>UCKZo4N0lVPccBkSiuyVh4yg</t>
        </is>
      </c>
      <c r="O2473" s="48" t="n">
        <v>42852.88402777778</v>
      </c>
      <c r="P2473" s="49" t="n">
        <v>42852</v>
      </c>
      <c r="Q2473" s="47" t="n">
        <v>795</v>
      </c>
      <c r="R2473" s="47" t="inlineStr">
        <is>
          <t>No Video ID yet</t>
        </is>
      </c>
      <c r="S2473" s="49" t="n"/>
      <c r="T2473" s="49" t="n"/>
      <c r="U2473" s="47" t="inlineStr">
        <is>
          <t>The Harry Potter movies are great, but with over 4000 pages of books to cover there was undoubtedly going to be some stuff left out, but that doesn't mean we don't LOVE some of the things they did include. Today Ben reveals his Top 10 Favorite moments in Harry Potter movies!</t>
        </is>
      </c>
      <c r="V2473" s="47">
        <f>IF(AND(P2473&gt;=Calendar!$K$2,P2473&lt;EDATE(Calendar!$K$2,1),OR(Calendar!$K$4="*",N2473=Calendar!$K$4)),P2473*100+COUNTIFS($P$6:$P$3267,P2473,$Q$6:$Q$3267,"&lt;="&amp;Q2473,$N$6:$N$3267,Calendar!$K$4),"")</f>
        <v/>
      </c>
      <c r="W2473" s="47">
        <f>IF(AND(B2473=Queue!$C$4,OR(Queue!$K$4="*",N2473=Queue!$K$4)),Q2473,"")</f>
        <v/>
      </c>
    </row>
    <row r="2474">
      <c r="A2474" s="38">
        <f>IF(M2474="","",HYPERLINK("https://www.youtube.com/watch?v="&amp;M2474,"▶"))</f>
        <v/>
      </c>
      <c r="B2474" s="39">
        <f>IF(C2474&lt;&gt;"",C2474,IF(P2474&lt;=IFERROR(INDEX(tblChannels[Watched Through],MATCH(N2474,tblChannels[Channel ID],0)),0),"Watched","Unwatched"))</f>
        <v/>
      </c>
      <c r="C2474" s="40" t="n"/>
      <c r="D2474" s="41" t="n"/>
      <c r="E2474" s="42" t="n">
        <v>42850.80208333334</v>
      </c>
      <c r="F2474" s="50" t="inlineStr">
        <is>
          <t>Super Carlin Brothers</t>
        </is>
      </c>
      <c r="G2474" t="inlineStr">
        <is>
          <t>Harry Potter Theory: The Truth About Felix Felicis</t>
        </is>
      </c>
      <c r="H2474" s="44" t="n">
        <v>0.008645833333333333</v>
      </c>
      <c r="I2474" s="45" t="n">
        <v>2588467</v>
      </c>
      <c r="J2474" s="45" t="n">
        <v>56099</v>
      </c>
      <c r="K2474" s="45" t="n">
        <v>6219</v>
      </c>
      <c r="L2474" s="46" t="n"/>
      <c r="M2474" s="47" t="n"/>
      <c r="N2474" s="47" t="inlineStr">
        <is>
          <t>UCKZo4N0lVPccBkSiuyVh4yg</t>
        </is>
      </c>
      <c r="O2474" s="48" t="n">
        <v>42850.96875</v>
      </c>
      <c r="P2474" s="49" t="n">
        <v>42850</v>
      </c>
      <c r="Q2474" s="47" t="n">
        <v>794</v>
      </c>
      <c r="R2474" s="47" t="inlineStr">
        <is>
          <t>No Video ID yet</t>
        </is>
      </c>
      <c r="S2474" s="49" t="n"/>
      <c r="T2474" s="49" t="n"/>
      <c r="U2474" s="47" t="inlineStr">
        <is>
          <t>Today J dives into the wizarding world of Harry Potter to try and explain the truth about the mysterious potion Felix Felicis, commonly known as Liquid Luck.</t>
        </is>
      </c>
      <c r="V2474" s="47">
        <f>IF(AND(P2474&gt;=Calendar!$K$2,P2474&lt;EDATE(Calendar!$K$2,1),OR(Calendar!$K$4="*",N2474=Calendar!$K$4)),P2474*100+COUNTIFS($P$6:$P$3267,P2474,$Q$6:$Q$3267,"&lt;="&amp;Q2474,$N$6:$N$3267,Calendar!$K$4),"")</f>
        <v/>
      </c>
      <c r="W2474" s="47">
        <f>IF(AND(B2474=Queue!$C$4,OR(Queue!$K$4="*",N2474=Queue!$K$4)),Q2474,"")</f>
        <v/>
      </c>
    </row>
    <row r="2475">
      <c r="A2475" s="38">
        <f>IF(M2475="","",HYPERLINK("https://www.youtube.com/watch?v="&amp;M2475,"▶"))</f>
        <v/>
      </c>
      <c r="B2475" s="39">
        <f>IF(C2475&lt;&gt;"",C2475,IF(P2475&lt;=IFERROR(INDEX(tblChannels[Watched Through],MATCH(N2475,tblChannels[Channel ID],0)),0),"Watched","Unwatched"))</f>
        <v/>
      </c>
      <c r="C2475" s="40" t="n"/>
      <c r="D2475" s="41" t="n"/>
      <c r="E2475" s="42" t="n">
        <v>42845.81944444445</v>
      </c>
      <c r="F2475" s="50" t="inlineStr">
        <is>
          <t>Super Carlin Brothers</t>
        </is>
      </c>
      <c r="G2475" t="inlineStr">
        <is>
          <t>Star Wars Theory: Will Luke Be Evil?!</t>
        </is>
      </c>
      <c r="H2475" s="44" t="n">
        <v>0.008657407407407407</v>
      </c>
      <c r="I2475" s="45" t="n">
        <v>356954</v>
      </c>
      <c r="J2475" s="45" t="n">
        <v>10995</v>
      </c>
      <c r="K2475" s="45" t="n">
        <v>2174</v>
      </c>
      <c r="L2475" s="46" t="n"/>
      <c r="M2475" s="47" t="n"/>
      <c r="N2475" s="47" t="inlineStr">
        <is>
          <t>UCKZo4N0lVPccBkSiuyVh4yg</t>
        </is>
      </c>
      <c r="O2475" s="48" t="n">
        <v>42845.98611111111</v>
      </c>
      <c r="P2475" s="49" t="n">
        <v>42845</v>
      </c>
      <c r="Q2475" s="47" t="n">
        <v>793</v>
      </c>
      <c r="R2475" s="47" t="inlineStr">
        <is>
          <t>No Video ID yet</t>
        </is>
      </c>
      <c r="S2475" s="49" t="n"/>
      <c r="T2475" s="49" t="n"/>
      <c r="U2475" s="47" t="inlineStr">
        <is>
          <t>Holy cow guys does anyone ever get more excited than when there is new Star Wars content?! We have been pouring over the newest trailer for hours upon hours and I think we have a really good prediction as to what we might expect in the upcoming film! Thanks as always for watching!!</t>
        </is>
      </c>
      <c r="V2475" s="47">
        <f>IF(AND(P2475&gt;=Calendar!$K$2,P2475&lt;EDATE(Calendar!$K$2,1),OR(Calendar!$K$4="*",N2475=Calendar!$K$4)),P2475*100+COUNTIFS($P$6:$P$3267,P2475,$Q$6:$Q$3267,"&lt;="&amp;Q2475,$N$6:$N$3267,Calendar!$K$4),"")</f>
        <v/>
      </c>
      <c r="W2475" s="47">
        <f>IF(AND(B2475=Queue!$C$4,OR(Queue!$K$4="*",N2475=Queue!$K$4)),Q2475,"")</f>
        <v/>
      </c>
    </row>
    <row r="2476">
      <c r="A2476" s="38">
        <f>IF(M2476="","",HYPERLINK("https://www.youtube.com/watch?v="&amp;M2476,"▶"))</f>
        <v/>
      </c>
      <c r="B2476" s="39">
        <f>IF(C2476&lt;&gt;"",C2476,IF(P2476&lt;=IFERROR(INDEX(tblChannels[Watched Through],MATCH(N2476,tblChannels[Channel ID],0)),0),"Watched","Unwatched"))</f>
        <v/>
      </c>
      <c r="C2476" s="40" t="n"/>
      <c r="D2476" s="41" t="n"/>
      <c r="E2476" s="42" t="n">
        <v>42844.65138888889</v>
      </c>
      <c r="F2476" s="52" t="inlineStr">
        <is>
          <t>Super Carlin Gaming</t>
        </is>
      </c>
      <c r="G2476" t="inlineStr">
        <is>
          <t>Pokemon Emerald Nuzlocke #32: THE FINAL BATTLE!</t>
        </is>
      </c>
      <c r="H2476" s="44" t="n">
        <v>0.01618055555555556</v>
      </c>
      <c r="I2476" s="45" t="n">
        <v>30224</v>
      </c>
      <c r="J2476" s="45" t="n">
        <v>905</v>
      </c>
      <c r="K2476" s="45" t="n">
        <v>450</v>
      </c>
      <c r="L2476" s="46" t="n"/>
      <c r="M2476" s="47" t="n"/>
      <c r="N2476" s="47" t="inlineStr">
        <is>
          <t>UCor_9jRnNNZVzTuQ92PKsaQ</t>
        </is>
      </c>
      <c r="O2476" s="48" t="n">
        <v>42844.81805555556</v>
      </c>
      <c r="P2476" s="49" t="n">
        <v>42844</v>
      </c>
      <c r="Q2476" s="47" t="n">
        <v>792</v>
      </c>
      <c r="R2476" s="47" t="inlineStr">
        <is>
          <t>No Video ID yet</t>
        </is>
      </c>
      <c r="S2476" s="49" t="n"/>
      <c r="T2476" s="49" t="n"/>
      <c r="U2476" s="47" t="inlineStr">
        <is>
          <t>It all comes down to THIS! Do J, Flo, and the remaining team members have what it takes to handle Wallace, the strongest trainer in Hoenn, or will they fall just short of their goal!</t>
        </is>
      </c>
      <c r="V2476" s="47">
        <f>IF(AND(P2476&gt;=Calendar!$K$2,P2476&lt;EDATE(Calendar!$K$2,1),OR(Calendar!$K$4="*",N2476=Calendar!$K$4)),P2476*100+COUNTIFS($P$6:$P$3267,P2476,$Q$6:$Q$3267,"&lt;="&amp;Q2476,$N$6:$N$3267,Calendar!$K$4),"")</f>
        <v/>
      </c>
      <c r="W2476" s="47">
        <f>IF(AND(B2476=Queue!$C$4,OR(Queue!$K$4="*",N2476=Queue!$K$4)),Q2476,"")</f>
        <v/>
      </c>
    </row>
    <row r="2477">
      <c r="A2477" s="38">
        <f>IF(M2477="","",HYPERLINK("https://www.youtube.com/watch?v="&amp;M2477,"▶"))</f>
        <v/>
      </c>
      <c r="B2477" s="39">
        <f>IF(C2477&lt;&gt;"",C2477,IF(P2477&lt;=IFERROR(INDEX(tblChannels[Watched Through],MATCH(N2477,tblChannels[Channel ID],0)),0),"Watched","Unwatched"))</f>
        <v/>
      </c>
      <c r="C2477" s="40" t="n"/>
      <c r="D2477" s="41" t="n"/>
      <c r="E2477" s="42" t="n">
        <v>42843.70902777778</v>
      </c>
      <c r="F2477" s="50" t="inlineStr">
        <is>
          <t>Super Carlin Brothers</t>
        </is>
      </c>
      <c r="G2477" t="inlineStr">
        <is>
          <t>Harry Potter Theory: Who Was Crookshanks Original Owner?</t>
        </is>
      </c>
      <c r="H2477" s="44" t="n">
        <v>0.005983796296296296</v>
      </c>
      <c r="I2477" s="45" t="n">
        <v>2069985</v>
      </c>
      <c r="J2477" s="45" t="n">
        <v>51736</v>
      </c>
      <c r="K2477" s="45" t="n">
        <v>5531</v>
      </c>
      <c r="L2477" s="46" t="n"/>
      <c r="M2477" s="47" t="n"/>
      <c r="N2477" s="47" t="inlineStr">
        <is>
          <t>UCKZo4N0lVPccBkSiuyVh4yg</t>
        </is>
      </c>
      <c r="O2477" s="48" t="n">
        <v>42843.87569444445</v>
      </c>
      <c r="P2477" s="49" t="n">
        <v>42843</v>
      </c>
      <c r="Q2477" s="47" t="n">
        <v>791</v>
      </c>
      <c r="R2477" s="47" t="inlineStr">
        <is>
          <t>No Video ID yet</t>
        </is>
      </c>
      <c r="S2477" s="49" t="n"/>
      <c r="T2477" s="49" t="n"/>
      <c r="U2477" s="47" t="inlineStr">
        <is>
          <t>Today we discuss a theory that we like so much we'd almost call it canon... and that is figuring out who may have been the original owner of Crookshanks the cat.</t>
        </is>
      </c>
      <c r="V2477" s="47">
        <f>IF(AND(P2477&gt;=Calendar!$K$2,P2477&lt;EDATE(Calendar!$K$2,1),OR(Calendar!$K$4="*",N2477=Calendar!$K$4)),P2477*100+COUNTIFS($P$6:$P$3267,P2477,$Q$6:$Q$3267,"&lt;="&amp;Q2477,$N$6:$N$3267,Calendar!$K$4),"")</f>
        <v/>
      </c>
      <c r="W2477" s="47">
        <f>IF(AND(B2477=Queue!$C$4,OR(Queue!$K$4="*",N2477=Queue!$K$4)),Q2477,"")</f>
        <v/>
      </c>
    </row>
    <row r="2478">
      <c r="A2478" s="38">
        <f>IF(M2478="","",HYPERLINK("https://www.youtube.com/watch?v="&amp;M2478,"▶"))</f>
        <v/>
      </c>
      <c r="B2478" s="39">
        <f>IF(C2478&lt;&gt;"",C2478,IF(P2478&lt;=IFERROR(INDEX(tblChannels[Watched Through],MATCH(N2478,tblChannels[Channel ID],0)),0),"Watched","Unwatched"))</f>
        <v/>
      </c>
      <c r="C2478" s="40" t="n"/>
      <c r="D2478" s="41" t="n"/>
      <c r="E2478" s="42" t="n">
        <v>42842.69375</v>
      </c>
      <c r="F2478" s="52" t="inlineStr">
        <is>
          <t>Super Carlin Gaming</t>
        </is>
      </c>
      <c r="G2478" t="inlineStr">
        <is>
          <t>Pokemon Emerald Nuzlocke #31: ICE AND DRAGONS</t>
        </is>
      </c>
      <c r="H2478" s="44" t="n">
        <v>0.01604166666666667</v>
      </c>
      <c r="I2478" s="45" t="n">
        <v>22208</v>
      </c>
      <c r="J2478" s="45" t="n">
        <v>576</v>
      </c>
      <c r="K2478" s="45" t="n">
        <v>195</v>
      </c>
      <c r="L2478" s="46" t="n"/>
      <c r="M2478" s="47" t="n"/>
      <c r="N2478" s="47" t="inlineStr">
        <is>
          <t>UCor_9jRnNNZVzTuQ92PKsaQ</t>
        </is>
      </c>
      <c r="O2478" s="48" t="n">
        <v>42842.86041666667</v>
      </c>
      <c r="P2478" s="49" t="n">
        <v>42842</v>
      </c>
      <c r="Q2478" s="47" t="n">
        <v>790</v>
      </c>
      <c r="R2478" s="47" t="inlineStr">
        <is>
          <t>No Video ID yet</t>
        </is>
      </c>
      <c r="S2478" s="49" t="n"/>
      <c r="T2478" s="49" t="n"/>
      <c r="U2478" s="47" t="inlineStr">
        <is>
          <t>J and the team continue their trial against the Elite 4! Down one member, can they all survive Glacia's sheer cold tactics and Drakes deadly dragons?!</t>
        </is>
      </c>
      <c r="V2478" s="47">
        <f>IF(AND(P2478&gt;=Calendar!$K$2,P2478&lt;EDATE(Calendar!$K$2,1),OR(Calendar!$K$4="*",N2478=Calendar!$K$4)),P2478*100+COUNTIFS($P$6:$P$3267,P2478,$Q$6:$Q$3267,"&lt;="&amp;Q2478,$N$6:$N$3267,Calendar!$K$4),"")</f>
        <v/>
      </c>
      <c r="W2478" s="47">
        <f>IF(AND(B2478=Queue!$C$4,OR(Queue!$K$4="*",N2478=Queue!$K$4)),Q2478,"")</f>
        <v/>
      </c>
    </row>
    <row r="2479">
      <c r="A2479" s="38">
        <f>IF(M2479="","",HYPERLINK("https://www.youtube.com/watch?v="&amp;M2479,"▶"))</f>
        <v/>
      </c>
      <c r="B2479" s="39">
        <f>IF(C2479&lt;&gt;"",C2479,IF(P2479&lt;=IFERROR(INDEX(tblChannels[Watched Through],MATCH(N2479,tblChannels[Channel ID],0)),0),"Watched","Unwatched"))</f>
        <v/>
      </c>
      <c r="C2479" s="40" t="n"/>
      <c r="D2479" s="41" t="n"/>
      <c r="E2479" s="42" t="n">
        <v>42840.41666666666</v>
      </c>
      <c r="F2479" s="50" t="inlineStr">
        <is>
          <t>Super Carlin Brothers</t>
        </is>
      </c>
      <c r="G2479" t="inlineStr">
        <is>
          <t>Loot Crate Unboxing | PRIMAL</t>
        </is>
      </c>
      <c r="H2479" s="44" t="n">
        <v>0.009016203703703703</v>
      </c>
      <c r="I2479" s="45" t="n">
        <v>95166</v>
      </c>
      <c r="J2479" s="45" t="n">
        <v>3763</v>
      </c>
      <c r="K2479" s="45" t="n">
        <v>860</v>
      </c>
      <c r="L2479" s="46" t="n"/>
      <c r="M2479" s="47" t="n"/>
      <c r="N2479" s="47" t="inlineStr">
        <is>
          <t>UCKZo4N0lVPccBkSiuyVh4yg</t>
        </is>
      </c>
      <c r="O2479" s="48" t="n">
        <v>42840.58333333334</v>
      </c>
      <c r="P2479" s="49" t="n">
        <v>42840</v>
      </c>
      <c r="Q2479" s="47" t="n">
        <v>789</v>
      </c>
      <c r="R2479" s="47" t="inlineStr">
        <is>
          <t>No Video ID yet</t>
        </is>
      </c>
      <c r="S2479" s="49" t="n"/>
      <c r="T2479" s="49" t="n"/>
      <c r="U2479" s="47" t="inlineStr">
        <is>
          <t>Get 10% Off your first month of LootCrate at: Promo Code: CARLIN J and Ben unbox the PRIMAL Loot Crate - It has all sorts of fun stuff including things from Logan, Overwatch, Predator &amp; Jurassic Park!</t>
        </is>
      </c>
      <c r="V2479" s="47">
        <f>IF(AND(P2479&gt;=Calendar!$K$2,P2479&lt;EDATE(Calendar!$K$2,1),OR(Calendar!$K$4="*",N2479=Calendar!$K$4)),P2479*100+COUNTIFS($P$6:$P$3267,P2479,$Q$6:$Q$3267,"&lt;="&amp;Q2479,$N$6:$N$3267,Calendar!$K$4),"")</f>
        <v/>
      </c>
      <c r="W2479" s="47">
        <f>IF(AND(B2479=Queue!$C$4,OR(Queue!$K$4="*",N2479=Queue!$K$4)),Q2479,"")</f>
        <v/>
      </c>
    </row>
    <row r="2480">
      <c r="A2480" s="38">
        <f>IF(M2480="","",HYPERLINK("https://www.youtube.com/watch?v="&amp;M2480,"▶"))</f>
        <v/>
      </c>
      <c r="B2480" s="39">
        <f>IF(C2480&lt;&gt;"",C2480,IF(P2480&lt;=IFERROR(INDEX(tblChannels[Watched Through],MATCH(N2480,tblChannels[Channel ID],0)),0),"Watched","Unwatched"))</f>
        <v/>
      </c>
      <c r="C2480" s="40" t="n"/>
      <c r="D2480" s="41" t="n"/>
      <c r="E2480" s="42" t="n">
        <v>42839.74444444444</v>
      </c>
      <c r="F2480" s="52" t="inlineStr">
        <is>
          <t>Super Carlin Gaming</t>
        </is>
      </c>
      <c r="G2480" t="inlineStr">
        <is>
          <t>Pokemon Emerald Nuzlocke #30: ENTER THE ELITE 4</t>
        </is>
      </c>
      <c r="H2480" s="44" t="n">
        <v>0.01876157407407407</v>
      </c>
      <c r="I2480" s="45" t="n">
        <v>24853</v>
      </c>
      <c r="J2480" s="45" t="n">
        <v>611</v>
      </c>
      <c r="K2480" s="45" t="n">
        <v>192</v>
      </c>
      <c r="L2480" s="46" t="n"/>
      <c r="M2480" s="47" t="n"/>
      <c r="N2480" s="47" t="inlineStr">
        <is>
          <t>UCor_9jRnNNZVzTuQ92PKsaQ</t>
        </is>
      </c>
      <c r="O2480" s="48" t="n">
        <v>42839.91111111111</v>
      </c>
      <c r="P2480" s="49" t="n">
        <v>42839</v>
      </c>
      <c r="Q2480" s="47" t="n">
        <v>788</v>
      </c>
      <c r="R2480" s="47" t="inlineStr">
        <is>
          <t>No Video ID yet</t>
        </is>
      </c>
      <c r="S2480" s="49" t="n"/>
      <c r="T2480" s="49" t="n"/>
      <c r="U2480" s="47" t="inlineStr">
        <is>
          <t>Today is finally the day, the day we enter the Elite 4 to try and complete our quest to become the Pokemon Champion! Will the team survive the Best Hoenn has to offer??</t>
        </is>
      </c>
      <c r="V2480" s="47">
        <f>IF(AND(P2480&gt;=Calendar!$K$2,P2480&lt;EDATE(Calendar!$K$2,1),OR(Calendar!$K$4="*",N2480=Calendar!$K$4)),P2480*100+COUNTIFS($P$6:$P$3267,P2480,$Q$6:$Q$3267,"&lt;="&amp;Q2480,$N$6:$N$3267,Calendar!$K$4),"")</f>
        <v/>
      </c>
      <c r="W2480" s="47">
        <f>IF(AND(B2480=Queue!$C$4,OR(Queue!$K$4="*",N2480=Queue!$K$4)),Q2480,"")</f>
        <v/>
      </c>
    </row>
    <row r="2481">
      <c r="A2481" s="38">
        <f>IF(M2481="","",HYPERLINK("https://www.youtube.com/watch?v="&amp;M2481,"▶"))</f>
        <v/>
      </c>
      <c r="B2481" s="39">
        <f>IF(C2481&lt;&gt;"",C2481,IF(P2481&lt;=IFERROR(INDEX(tblChannels[Watched Through],MATCH(N2481,tblChannels[Channel ID],0)),0),"Watched","Unwatched"))</f>
        <v/>
      </c>
      <c r="C2481" s="40" t="n"/>
      <c r="D2481" s="41" t="n"/>
      <c r="E2481" s="42" t="n">
        <v>42838.74930555555</v>
      </c>
      <c r="F2481" s="50" t="inlineStr">
        <is>
          <t>Super Carlin Brothers</t>
        </is>
      </c>
      <c r="G2481" t="inlineStr">
        <is>
          <t>Why Are Disney Parents Always So Dead?</t>
        </is>
      </c>
      <c r="H2481" s="44" t="n">
        <v>0.004814814814814815</v>
      </c>
      <c r="I2481" s="45" t="n">
        <v>1229896</v>
      </c>
      <c r="J2481" s="45" t="n">
        <v>31795</v>
      </c>
      <c r="K2481" s="45" t="n">
        <v>4313</v>
      </c>
      <c r="L2481" s="46" t="n"/>
      <c r="M2481" s="47" t="n"/>
      <c r="N2481" s="47" t="inlineStr">
        <is>
          <t>UCKZo4N0lVPccBkSiuyVh4yg</t>
        </is>
      </c>
      <c r="O2481" s="48" t="n">
        <v>42838.91597222222</v>
      </c>
      <c r="P2481" s="49" t="n">
        <v>42838</v>
      </c>
      <c r="Q2481" s="47" t="n">
        <v>787</v>
      </c>
      <c r="R2481" s="47" t="inlineStr">
        <is>
          <t>No Video ID yet</t>
        </is>
      </c>
      <c r="S2481" s="49" t="n"/>
      <c r="T2481" s="49" t="n"/>
      <c r="U2481" s="47" t="inlineStr">
        <is>
          <t>Every wonder why in almost every Disney movie at least one of the parents is dead or missing? Today Ben dives into Disney's history to try and answer this odd question.</t>
        </is>
      </c>
      <c r="V2481" s="47">
        <f>IF(AND(P2481&gt;=Calendar!$K$2,P2481&lt;EDATE(Calendar!$K$2,1),OR(Calendar!$K$4="*",N2481=Calendar!$K$4)),P2481*100+COUNTIFS($P$6:$P$3267,P2481,$Q$6:$Q$3267,"&lt;="&amp;Q2481,$N$6:$N$3267,Calendar!$K$4),"")</f>
        <v/>
      </c>
      <c r="W2481" s="47">
        <f>IF(AND(B2481=Queue!$C$4,OR(Queue!$K$4="*",N2481=Queue!$K$4)),Q2481,"")</f>
        <v/>
      </c>
    </row>
    <row r="2482">
      <c r="A2482" s="38">
        <f>IF(M2482="","",HYPERLINK("https://www.youtube.com/watch?v="&amp;M2482,"▶"))</f>
        <v/>
      </c>
      <c r="B2482" s="39">
        <f>IF(C2482&lt;&gt;"",C2482,IF(P2482&lt;=IFERROR(INDEX(tblChannels[Watched Through],MATCH(N2482,tblChannels[Channel ID],0)),0),"Watched","Unwatched"))</f>
        <v/>
      </c>
      <c r="C2482" s="40" t="n"/>
      <c r="D2482" s="41" t="n"/>
      <c r="E2482" s="42" t="n">
        <v>42837.72013888889</v>
      </c>
      <c r="F2482" s="52" t="inlineStr">
        <is>
          <t>Super Carlin Gaming</t>
        </is>
      </c>
      <c r="G2482" t="inlineStr">
        <is>
          <t>Pokemon Emerald Nuzlocke #29: ONLY 5 SURVIVE</t>
        </is>
      </c>
      <c r="H2482" s="44" t="n">
        <v>0.03540509259259259</v>
      </c>
      <c r="I2482" s="45" t="n">
        <v>26632</v>
      </c>
      <c r="J2482" s="45" t="n">
        <v>621</v>
      </c>
      <c r="K2482" s="45" t="n">
        <v>369</v>
      </c>
      <c r="L2482" s="46" t="n"/>
      <c r="M2482" s="47" t="n"/>
      <c r="N2482" s="47" t="inlineStr">
        <is>
          <t>UCor_9jRnNNZVzTuQ92PKsaQ</t>
        </is>
      </c>
      <c r="O2482" s="48" t="n">
        <v>42837.88680555556</v>
      </c>
      <c r="P2482" s="49" t="n">
        <v>42837</v>
      </c>
      <c r="Q2482" s="47" t="n">
        <v>786</v>
      </c>
      <c r="R2482" s="47" t="inlineStr">
        <is>
          <t>No Video ID yet</t>
        </is>
      </c>
      <c r="S2482" s="49" t="n"/>
      <c r="T2482" s="49" t="n"/>
      <c r="U2482" s="47" t="inlineStr">
        <is>
          <t>Victory Road is the ultimate test for trainers.. its our final step before the Elite 4, J and the team have come a long way, but only 5 will make it out of the cave...</t>
        </is>
      </c>
      <c r="V2482" s="47">
        <f>IF(AND(P2482&gt;=Calendar!$K$2,P2482&lt;EDATE(Calendar!$K$2,1),OR(Calendar!$K$4="*",N2482=Calendar!$K$4)),P2482*100+COUNTIFS($P$6:$P$3267,P2482,$Q$6:$Q$3267,"&lt;="&amp;Q2482,$N$6:$N$3267,Calendar!$K$4),"")</f>
        <v/>
      </c>
      <c r="W2482" s="47">
        <f>IF(AND(B2482=Queue!$C$4,OR(Queue!$K$4="*",N2482=Queue!$K$4)),Q2482,"")</f>
        <v/>
      </c>
    </row>
    <row r="2483">
      <c r="A2483" s="38">
        <f>IF(M2483="","",HYPERLINK("https://www.youtube.com/watch?v="&amp;M2483,"▶"))</f>
        <v/>
      </c>
      <c r="B2483" s="39">
        <f>IF(C2483&lt;&gt;"",C2483,IF(P2483&lt;=IFERROR(INDEX(tblChannels[Watched Through],MATCH(N2483,tblChannels[Channel ID],0)),0),"Watched","Unwatched"))</f>
        <v/>
      </c>
      <c r="C2483" s="40" t="n"/>
      <c r="D2483" s="41" t="n"/>
      <c r="E2483" s="42" t="n">
        <v>42836.69097222222</v>
      </c>
      <c r="F2483" s="50" t="inlineStr">
        <is>
          <t>Super Carlin Brothers</t>
        </is>
      </c>
      <c r="G2483" t="inlineStr">
        <is>
          <t>The Gaston Song Explained</t>
        </is>
      </c>
      <c r="H2483" s="44" t="n">
        <v>0.006099537037037037</v>
      </c>
      <c r="I2483" s="45" t="n">
        <v>1128878</v>
      </c>
      <c r="J2483" s="45" t="n">
        <v>32387</v>
      </c>
      <c r="K2483" s="45" t="n">
        <v>7643</v>
      </c>
      <c r="L2483" s="46" t="n"/>
      <c r="M2483" s="47" t="n"/>
      <c r="N2483" s="47" t="inlineStr">
        <is>
          <t>UCKZo4N0lVPccBkSiuyVh4yg</t>
        </is>
      </c>
      <c r="O2483" s="48" t="n">
        <v>42836.85763888889</v>
      </c>
      <c r="P2483" s="49" t="n">
        <v>42836</v>
      </c>
      <c r="Q2483" s="47" t="n">
        <v>785</v>
      </c>
      <c r="R2483" s="47" t="inlineStr">
        <is>
          <t>No Video ID yet</t>
        </is>
      </c>
      <c r="S2483" s="49" t="n"/>
      <c r="T2483" s="49" t="n"/>
      <c r="U2483" s="47" t="inlineStr">
        <is>
          <t>Why is it that Le Fou knows what “Je ne sais quoi” means but can’t spell Gaston? And what does taking your lumps mean? And What is a Paragon? Yea Beauty and the Beast still doesnt make much sense so today J tries to sort it all out</t>
        </is>
      </c>
      <c r="V2483" s="47">
        <f>IF(AND(P2483&gt;=Calendar!$K$2,P2483&lt;EDATE(Calendar!$K$2,1),OR(Calendar!$K$4="*",N2483=Calendar!$K$4)),P2483*100+COUNTIFS($P$6:$P$3267,P2483,$Q$6:$Q$3267,"&lt;="&amp;Q2483,$N$6:$N$3267,Calendar!$K$4),"")</f>
        <v/>
      </c>
      <c r="W2483" s="47">
        <f>IF(AND(B2483=Queue!$C$4,OR(Queue!$K$4="*",N2483=Queue!$K$4)),Q2483,"")</f>
        <v/>
      </c>
    </row>
    <row r="2484">
      <c r="A2484" s="38">
        <f>IF(M2484="","",HYPERLINK("https://www.youtube.com/watch?v="&amp;M2484,"▶"))</f>
        <v/>
      </c>
      <c r="B2484" s="39">
        <f>IF(C2484&lt;&gt;"",C2484,IF(P2484&lt;=IFERROR(INDEX(tblChannels[Watched Through],MATCH(N2484,tblChannels[Channel ID],0)),0),"Watched","Unwatched"))</f>
        <v/>
      </c>
      <c r="C2484" s="40" t="n"/>
      <c r="D2484" s="41" t="n"/>
      <c r="E2484" s="42" t="n">
        <v>42835.67430555556</v>
      </c>
      <c r="F2484" s="52" t="inlineStr">
        <is>
          <t>Super Carlin Gaming</t>
        </is>
      </c>
      <c r="G2484" t="inlineStr">
        <is>
          <t>Pokemon Emerald Nuzlocke #28: Mayonnaise Surprise!</t>
        </is>
      </c>
      <c r="H2484" s="44" t="n">
        <v>0.01543981481481481</v>
      </c>
      <c r="I2484" s="45" t="n">
        <v>20759</v>
      </c>
      <c r="J2484" s="45" t="n">
        <v>545</v>
      </c>
      <c r="K2484" s="45" t="n">
        <v>225</v>
      </c>
      <c r="L2484" s="46" t="n"/>
      <c r="M2484" s="47" t="n"/>
      <c r="N2484" s="47" t="inlineStr">
        <is>
          <t>UCor_9jRnNNZVzTuQ92PKsaQ</t>
        </is>
      </c>
      <c r="O2484" s="48" t="n">
        <v>42835.84097222222</v>
      </c>
      <c r="P2484" s="49" t="n">
        <v>42835</v>
      </c>
      <c r="Q2484" s="47" t="n">
        <v>784</v>
      </c>
      <c r="R2484" s="47" t="inlineStr">
        <is>
          <t>No Video ID yet</t>
        </is>
      </c>
      <c r="S2484" s="49" t="n"/>
      <c r="T2484" s="49" t="n"/>
      <c r="U2484" s="47" t="inlineStr">
        <is>
          <t>J hems and haws over new team mates before heading to Victory Road, everything is looking great until suddenly.. Mayonnaise Surprise! Mayo is not joking around this time, can the team survive his newly enhanced lineup.</t>
        </is>
      </c>
      <c r="V2484" s="47">
        <f>IF(AND(P2484&gt;=Calendar!$K$2,P2484&lt;EDATE(Calendar!$K$2,1),OR(Calendar!$K$4="*",N2484=Calendar!$K$4)),P2484*100+COUNTIFS($P$6:$P$3267,P2484,$Q$6:$Q$3267,"&lt;="&amp;Q2484,$N$6:$N$3267,Calendar!$K$4),"")</f>
        <v/>
      </c>
      <c r="W2484" s="47">
        <f>IF(AND(B2484=Queue!$C$4,OR(Queue!$K$4="*",N2484=Queue!$K$4)),Q2484,"")</f>
        <v/>
      </c>
    </row>
    <row r="2485">
      <c r="A2485" s="38">
        <f>IF(M2485="","",HYPERLINK("https://www.youtube.com/watch?v="&amp;M2485,"▶"))</f>
        <v/>
      </c>
      <c r="B2485" s="39">
        <f>IF(C2485&lt;&gt;"",C2485,IF(P2485&lt;=IFERROR(INDEX(tblChannels[Watched Through],MATCH(N2485,tblChannels[Channel ID],0)),0),"Watched","Unwatched"))</f>
        <v/>
      </c>
      <c r="C2485" s="40" t="n"/>
      <c r="D2485" s="41" t="n"/>
      <c r="E2485" s="42" t="n">
        <v>42832.72916666666</v>
      </c>
      <c r="F2485" s="52" t="inlineStr">
        <is>
          <t>Super Carlin Gaming</t>
        </is>
      </c>
      <c r="G2485" t="inlineStr">
        <is>
          <t>Pokemon Emerald Nuzlocke #27: Regice Is Hard To Find!</t>
        </is>
      </c>
      <c r="H2485" s="44" t="n">
        <v>0.0162037037037037</v>
      </c>
      <c r="I2485" s="45" t="n">
        <v>20741</v>
      </c>
      <c r="J2485" s="45" t="n">
        <v>582</v>
      </c>
      <c r="K2485" s="45" t="n">
        <v>224</v>
      </c>
      <c r="L2485" s="46" t="n"/>
      <c r="M2485" s="47" t="n"/>
      <c r="N2485" s="47" t="inlineStr">
        <is>
          <t>UCor_9jRnNNZVzTuQ92PKsaQ</t>
        </is>
      </c>
      <c r="O2485" s="48" t="n">
        <v>42832.89583333334</v>
      </c>
      <c r="P2485" s="49" t="n">
        <v>42832</v>
      </c>
      <c r="Q2485" s="47" t="n">
        <v>783</v>
      </c>
      <c r="R2485" s="47" t="inlineStr">
        <is>
          <t>No Video ID yet</t>
        </is>
      </c>
      <c r="S2485" s="49" t="n"/>
      <c r="T2485" s="49" t="n"/>
      <c r="U2485" s="47" t="inlineStr">
        <is>
          <t>With our 8th gym badge in hand J and his Pokemon are feeling confident enough to go after a Legendary pokemon! But finding it might be harder than we thought...</t>
        </is>
      </c>
      <c r="V2485" s="47">
        <f>IF(AND(P2485&gt;=Calendar!$K$2,P2485&lt;EDATE(Calendar!$K$2,1),OR(Calendar!$K$4="*",N2485=Calendar!$K$4)),P2485*100+COUNTIFS($P$6:$P$3267,P2485,$Q$6:$Q$3267,"&lt;="&amp;Q2485,$N$6:$N$3267,Calendar!$K$4),"")</f>
        <v/>
      </c>
      <c r="W2485" s="47">
        <f>IF(AND(B2485=Queue!$C$4,OR(Queue!$K$4="*",N2485=Queue!$K$4)),Q2485,"")</f>
        <v/>
      </c>
    </row>
    <row r="2486">
      <c r="A2486" s="38">
        <f>IF(M2486="","",HYPERLINK("https://www.youtube.com/watch?v="&amp;M2486,"▶"))</f>
        <v/>
      </c>
      <c r="B2486" s="39">
        <f>IF(C2486&lt;&gt;"",C2486,IF(P2486&lt;=IFERROR(INDEX(tblChannels[Watched Through],MATCH(N2486,tblChannels[Channel ID],0)),0),"Watched","Unwatched"))</f>
        <v/>
      </c>
      <c r="C2486" s="40" t="n"/>
      <c r="D2486" s="41" t="n"/>
      <c r="E2486" s="42" t="n">
        <v>42831.72708333333</v>
      </c>
      <c r="F2486" s="50" t="inlineStr">
        <is>
          <t>Super Carlin Brothers</t>
        </is>
      </c>
      <c r="G2486" t="inlineStr">
        <is>
          <t>Who Was Harry's Best Defense Against The Dark Arts Professor?</t>
        </is>
      </c>
      <c r="H2486" s="44" t="n">
        <v>0.0065625</v>
      </c>
      <c r="I2486" s="45" t="n">
        <v>4241857</v>
      </c>
      <c r="J2486" s="45" t="n">
        <v>77597</v>
      </c>
      <c r="K2486" s="45" t="n">
        <v>15693</v>
      </c>
      <c r="L2486" s="46" t="n"/>
      <c r="M2486" s="47" t="n"/>
      <c r="N2486" s="47" t="inlineStr">
        <is>
          <t>UCKZo4N0lVPccBkSiuyVh4yg</t>
        </is>
      </c>
      <c r="O2486" s="48" t="n">
        <v>42831.89375</v>
      </c>
      <c r="P2486" s="49" t="n">
        <v>42831</v>
      </c>
      <c r="Q2486" s="47" t="n">
        <v>782</v>
      </c>
      <c r="R2486" s="47" t="inlineStr">
        <is>
          <t>No Video ID yet</t>
        </is>
      </c>
      <c r="S2486" s="49" t="n"/>
      <c r="T2486" s="49" t="n"/>
      <c r="U2486" s="47" t="inlineStr">
        <is>
          <t>Throughout the years Harry Potter has a lot of Defense Against The Dark Arts teachers, so today Ben gives a full break down of each to determine who was the best and who was the worst!</t>
        </is>
      </c>
      <c r="V2486" s="47">
        <f>IF(AND(P2486&gt;=Calendar!$K$2,P2486&lt;EDATE(Calendar!$K$2,1),OR(Calendar!$K$4="*",N2486=Calendar!$K$4)),P2486*100+COUNTIFS($P$6:$P$3267,P2486,$Q$6:$Q$3267,"&lt;="&amp;Q2486,$N$6:$N$3267,Calendar!$K$4),"")</f>
        <v/>
      </c>
      <c r="W2486" s="47">
        <f>IF(AND(B2486=Queue!$C$4,OR(Queue!$K$4="*",N2486=Queue!$K$4)),Q2486,"")</f>
        <v/>
      </c>
    </row>
    <row r="2487">
      <c r="A2487" s="38">
        <f>IF(M2487="","",HYPERLINK("https://www.youtube.com/watch?v="&amp;M2487,"▶"))</f>
        <v/>
      </c>
      <c r="B2487" s="39">
        <f>IF(C2487&lt;&gt;"",C2487,IF(P2487&lt;=IFERROR(INDEX(tblChannels[Watched Through],MATCH(N2487,tblChannels[Channel ID],0)),0),"Watched","Unwatched"))</f>
        <v/>
      </c>
      <c r="C2487" s="40" t="n"/>
      <c r="D2487" s="41" t="n"/>
      <c r="E2487" s="42" t="n">
        <v>42830.62916666667</v>
      </c>
      <c r="F2487" s="52" t="inlineStr">
        <is>
          <t>Super Carlin Gaming</t>
        </is>
      </c>
      <c r="G2487" t="inlineStr">
        <is>
          <t>Pokemon Emerald Nuzlocke #26: FLO vs JUAN!</t>
        </is>
      </c>
      <c r="H2487" s="44" t="n">
        <v>0.0141087962962963</v>
      </c>
      <c r="I2487" s="45" t="n">
        <v>19926</v>
      </c>
      <c r="J2487" s="45" t="n">
        <v>597</v>
      </c>
      <c r="K2487" s="45" t="n">
        <v>141</v>
      </c>
      <c r="L2487" s="46" t="n"/>
      <c r="M2487" s="47" t="n"/>
      <c r="N2487" s="47" t="inlineStr">
        <is>
          <t>UCor_9jRnNNZVzTuQ92PKsaQ</t>
        </is>
      </c>
      <c r="O2487" s="48" t="n">
        <v>42830.79583333333</v>
      </c>
      <c r="P2487" s="49" t="n">
        <v>42830</v>
      </c>
      <c r="Q2487" s="47" t="n">
        <v>781</v>
      </c>
      <c r="R2487" s="47" t="inlineStr">
        <is>
          <t>No Video ID yet</t>
        </is>
      </c>
      <c r="S2487" s="49" t="n"/>
      <c r="T2487" s="49" t="n"/>
      <c r="U2487" s="47" t="inlineStr">
        <is>
          <t>With the 8th gym on the line it's Juan the Water type gym leader vs the courageous might of Flo, will her immense training and determination pay off or will Juan's tricks cause her to slip?!</t>
        </is>
      </c>
      <c r="V2487" s="47">
        <f>IF(AND(P2487&gt;=Calendar!$K$2,P2487&lt;EDATE(Calendar!$K$2,1),OR(Calendar!$K$4="*",N2487=Calendar!$K$4)),P2487*100+COUNTIFS($P$6:$P$3267,P2487,$Q$6:$Q$3267,"&lt;="&amp;Q2487,$N$6:$N$3267,Calendar!$K$4),"")</f>
        <v/>
      </c>
      <c r="W2487" s="47">
        <f>IF(AND(B2487=Queue!$C$4,OR(Queue!$K$4="*",N2487=Queue!$K$4)),Q2487,"")</f>
        <v/>
      </c>
    </row>
    <row r="2488">
      <c r="A2488" s="38">
        <f>IF(M2488="","",HYPERLINK("https://www.youtube.com/watch?v="&amp;M2488,"▶"))</f>
        <v/>
      </c>
      <c r="B2488" s="39">
        <f>IF(C2488&lt;&gt;"",C2488,IF(P2488&lt;=IFERROR(INDEX(tblChannels[Watched Through],MATCH(N2488,tblChannels[Channel ID],0)),0),"Watched","Unwatched"))</f>
        <v/>
      </c>
      <c r="C2488" s="40" t="n"/>
      <c r="D2488" s="41" t="n"/>
      <c r="E2488" s="42" t="n">
        <v>42829.73194444444</v>
      </c>
      <c r="F2488" s="50" t="inlineStr">
        <is>
          <t>Super Carlin Brothers</t>
        </is>
      </c>
      <c r="G2488" t="inlineStr">
        <is>
          <t>Why Star Wars Is Actually So Popular</t>
        </is>
      </c>
      <c r="H2488" s="44" t="n">
        <v>0.005752314814814815</v>
      </c>
      <c r="I2488" s="45" t="n">
        <v>287957</v>
      </c>
      <c r="J2488" s="45" t="n">
        <v>10963</v>
      </c>
      <c r="K2488" s="45" t="n">
        <v>1271</v>
      </c>
      <c r="L2488" s="46" t="n"/>
      <c r="M2488" s="47" t="n"/>
      <c r="N2488" s="47" t="inlineStr">
        <is>
          <t>UCKZo4N0lVPccBkSiuyVh4yg</t>
        </is>
      </c>
      <c r="O2488" s="48" t="n">
        <v>42829.89861111111</v>
      </c>
      <c r="P2488" s="49" t="n">
        <v>42829</v>
      </c>
      <c r="Q2488" s="47" t="n">
        <v>780</v>
      </c>
      <c r="R2488" s="47" t="inlineStr">
        <is>
          <t>No Video ID yet</t>
        </is>
      </c>
      <c r="S2488" s="49" t="n"/>
      <c r="T2488" s="49" t="n"/>
      <c r="U2488" s="47" t="inlineStr">
        <is>
          <t>Ever wonder why Star Wars is so popular? I mean besides ya know the lightsabers and The Force and Darth Vader and Yoda and well all of it.. Today J, dives into the fabric of the plot itself to unveil the Star Wars Secret formula. The Hero with 1000 Faces :: T. Michael Martin :: Mr. Fahrenheit :: The End Games ::</t>
        </is>
      </c>
      <c r="V2488" s="47">
        <f>IF(AND(P2488&gt;=Calendar!$K$2,P2488&lt;EDATE(Calendar!$K$2,1),OR(Calendar!$K$4="*",N2488=Calendar!$K$4)),P2488*100+COUNTIFS($P$6:$P$3267,P2488,$Q$6:$Q$3267,"&lt;="&amp;Q2488,$N$6:$N$3267,Calendar!$K$4),"")</f>
        <v/>
      </c>
      <c r="W2488" s="47">
        <f>IF(AND(B2488=Queue!$C$4,OR(Queue!$K$4="*",N2488=Queue!$K$4)),Q2488,"")</f>
        <v/>
      </c>
    </row>
    <row r="2489">
      <c r="A2489" s="38">
        <f>IF(M2489="","",HYPERLINK("https://www.youtube.com/watch?v="&amp;M2489,"▶"))</f>
        <v/>
      </c>
      <c r="B2489" s="39">
        <f>IF(C2489&lt;&gt;"",C2489,IF(P2489&lt;=IFERROR(INDEX(tblChannels[Watched Through],MATCH(N2489,tblChannels[Channel ID],0)),0),"Watched","Unwatched"))</f>
        <v/>
      </c>
      <c r="C2489" s="40" t="n"/>
      <c r="D2489" s="41" t="n"/>
      <c r="E2489" s="42" t="n">
        <v>42828.65277777778</v>
      </c>
      <c r="F2489" s="52" t="inlineStr">
        <is>
          <t>Super Carlin Gaming</t>
        </is>
      </c>
      <c r="G2489" t="inlineStr">
        <is>
          <t>Pokemon Emerald Nuzlocke #25: Rayquaza Awakens!</t>
        </is>
      </c>
      <c r="H2489" s="44" t="n">
        <v>0.01868055555555555</v>
      </c>
      <c r="I2489" s="45" t="n">
        <v>21717</v>
      </c>
      <c r="J2489" s="45" t="n">
        <v>550</v>
      </c>
      <c r="K2489" s="45" t="n">
        <v>178</v>
      </c>
      <c r="L2489" s="46" t="n"/>
      <c r="M2489" s="47" t="n"/>
      <c r="N2489" s="47" t="inlineStr">
        <is>
          <t>UCor_9jRnNNZVzTuQ92PKsaQ</t>
        </is>
      </c>
      <c r="O2489" s="48" t="n">
        <v>42828.81944444445</v>
      </c>
      <c r="P2489" s="49" t="n">
        <v>42828</v>
      </c>
      <c r="Q2489" s="47" t="n">
        <v>779</v>
      </c>
      <c r="R2489" s="47" t="inlineStr">
        <is>
          <t>No Video ID yet</t>
        </is>
      </c>
      <c r="S2489" s="49" t="n"/>
      <c r="T2489" s="49" t="n"/>
      <c r="U2489" s="47" t="inlineStr">
        <is>
          <t>With the entire world at stake J and the team surf around raging legendaries for fun and trek to summon a giant green sky snake to save the day but that doesnt mean we dont have time to battle trainers! Can the team survive the trip to the Sky Pillar and save the world?!</t>
        </is>
      </c>
      <c r="V2489" s="47">
        <f>IF(AND(P2489&gt;=Calendar!$K$2,P2489&lt;EDATE(Calendar!$K$2,1),OR(Calendar!$K$4="*",N2489=Calendar!$K$4)),P2489*100+COUNTIFS($P$6:$P$3267,P2489,$Q$6:$Q$3267,"&lt;="&amp;Q2489,$N$6:$N$3267,Calendar!$K$4),"")</f>
        <v/>
      </c>
      <c r="W2489" s="47">
        <f>IF(AND(B2489=Queue!$C$4,OR(Queue!$K$4="*",N2489=Queue!$K$4)),Q2489,"")</f>
        <v/>
      </c>
    </row>
    <row r="2490">
      <c r="A2490" s="38">
        <f>IF(M2490="","",HYPERLINK("https://www.youtube.com/watch?v="&amp;M2490,"▶"))</f>
        <v/>
      </c>
      <c r="B2490" s="39">
        <f>IF(C2490&lt;&gt;"",C2490,IF(P2490&lt;=IFERROR(INDEX(tblChannels[Watched Through],MATCH(N2490,tblChannels[Channel ID],0)),0),"Watched","Unwatched"))</f>
        <v/>
      </c>
      <c r="C2490" s="40" t="n"/>
      <c r="D2490" s="41" t="n"/>
      <c r="E2490" s="42" t="n">
        <v>42825.66527777778</v>
      </c>
      <c r="F2490" s="52" t="inlineStr">
        <is>
          <t>Super Carlin Gaming</t>
        </is>
      </c>
      <c r="G2490" t="inlineStr">
        <is>
          <t>Pokemon Emerald Nuzlocke #24: Showdown w/Maxie and Archie!</t>
        </is>
      </c>
      <c r="H2490" s="44" t="n">
        <v>0.02454861111111111</v>
      </c>
      <c r="I2490" s="45" t="n">
        <v>23685</v>
      </c>
      <c r="J2490" s="45" t="n">
        <v>557</v>
      </c>
      <c r="K2490" s="45" t="n">
        <v>145</v>
      </c>
      <c r="L2490" s="46" t="n"/>
      <c r="M2490" s="47" t="n"/>
      <c r="N2490" s="47" t="inlineStr">
        <is>
          <t>UCor_9jRnNNZVzTuQ92PKsaQ</t>
        </is>
      </c>
      <c r="O2490" s="48" t="n">
        <v>42825.83194444444</v>
      </c>
      <c r="P2490" s="49" t="n">
        <v>42825</v>
      </c>
      <c r="Q2490" s="47" t="n">
        <v>778</v>
      </c>
      <c r="R2490" s="47" t="inlineStr">
        <is>
          <t>No Video ID yet</t>
        </is>
      </c>
      <c r="S2490" s="49" t="n"/>
      <c r="T2490" s="49" t="n"/>
      <c r="U2490" s="47" t="inlineStr">
        <is>
          <t>With their 7th gym badge in hand J and the team pursue Team Magma... AGAIN and face off with Maxie... AGAIN before chasing Team Aqua to the ocean floor where we battle with Archie. Will the team survive both Crime bosses???</t>
        </is>
      </c>
      <c r="V2490" s="47">
        <f>IF(AND(P2490&gt;=Calendar!$K$2,P2490&lt;EDATE(Calendar!$K$2,1),OR(Calendar!$K$4="*",N2490=Calendar!$K$4)),P2490*100+COUNTIFS($P$6:$P$3267,P2490,$Q$6:$Q$3267,"&lt;="&amp;Q2490,$N$6:$N$3267,Calendar!$K$4),"")</f>
        <v/>
      </c>
      <c r="W2490" s="47">
        <f>IF(AND(B2490=Queue!$C$4,OR(Queue!$K$4="*",N2490=Queue!$K$4)),Q2490,"")</f>
        <v/>
      </c>
    </row>
    <row r="2491">
      <c r="A2491" s="38">
        <f>IF(M2491="","",HYPERLINK("https://www.youtube.com/watch?v="&amp;M2491,"▶"))</f>
        <v/>
      </c>
      <c r="B2491" s="39">
        <f>IF(C2491&lt;&gt;"",C2491,IF(P2491&lt;=IFERROR(INDEX(tblChannels[Watched Through],MATCH(N2491,tblChannels[Channel ID],0)),0),"Watched","Unwatched"))</f>
        <v/>
      </c>
      <c r="C2491" s="40" t="n"/>
      <c r="D2491" s="41" t="n"/>
      <c r="E2491" s="42" t="n">
        <v>42824.78888888889</v>
      </c>
      <c r="F2491" s="50" t="inlineStr">
        <is>
          <t>Super Carlin Brothers</t>
        </is>
      </c>
      <c r="G2491" t="inlineStr">
        <is>
          <t>Moana Theory: Why The Ocean Chose Moana</t>
        </is>
      </c>
      <c r="H2491" s="44" t="n">
        <v>0.006527777777777778</v>
      </c>
      <c r="I2491" s="45" t="n">
        <v>2461811</v>
      </c>
      <c r="J2491" s="45" t="n">
        <v>47882</v>
      </c>
      <c r="K2491" s="45" t="n">
        <v>5078</v>
      </c>
      <c r="L2491" s="46" t="n"/>
      <c r="M2491" s="47" t="n"/>
      <c r="N2491" s="47" t="inlineStr">
        <is>
          <t>UCKZo4N0lVPccBkSiuyVh4yg</t>
        </is>
      </c>
      <c r="O2491" s="48" t="n">
        <v>42824.95555555556</v>
      </c>
      <c r="P2491" s="49" t="n">
        <v>42824</v>
      </c>
      <c r="Q2491" s="47" t="n">
        <v>777</v>
      </c>
      <c r="R2491" s="47" t="inlineStr">
        <is>
          <t>No Video ID yet</t>
        </is>
      </c>
      <c r="S2491" s="49" t="n"/>
      <c r="T2491" s="49" t="n"/>
      <c r="U2491" s="47" t="inlineStr">
        <is>
          <t>Today Ben dives into the world of Disney's Moana to figure out why the ocean chose her to deliver Maui across the ocean and restore the Heart of Tafiti and if she was the only person ever chosen!</t>
        </is>
      </c>
      <c r="V2491" s="47">
        <f>IF(AND(P2491&gt;=Calendar!$K$2,P2491&lt;EDATE(Calendar!$K$2,1),OR(Calendar!$K$4="*",N2491=Calendar!$K$4)),P2491*100+COUNTIFS($P$6:$P$3267,P2491,$Q$6:$Q$3267,"&lt;="&amp;Q2491,$N$6:$N$3267,Calendar!$K$4),"")</f>
        <v/>
      </c>
      <c r="W2491" s="47">
        <f>IF(AND(B2491=Queue!$C$4,OR(Queue!$K$4="*",N2491=Queue!$K$4)),Q2491,"")</f>
        <v/>
      </c>
    </row>
    <row r="2492">
      <c r="A2492" s="38">
        <f>IF(M2492="","",HYPERLINK("https://www.youtube.com/watch?v="&amp;M2492,"▶"))</f>
        <v/>
      </c>
      <c r="B2492" s="39">
        <f>IF(C2492&lt;&gt;"",C2492,IF(P2492&lt;=IFERROR(INDEX(tblChannels[Watched Through],MATCH(N2492,tblChannels[Channel ID],0)),0),"Watched","Unwatched"))</f>
        <v/>
      </c>
      <c r="C2492" s="40" t="n"/>
      <c r="D2492" s="41" t="n"/>
      <c r="E2492" s="42" t="n">
        <v>42823.62569444445</v>
      </c>
      <c r="F2492" s="52" t="inlineStr">
        <is>
          <t>Super Carlin Gaming</t>
        </is>
      </c>
      <c r="G2492" t="inlineStr">
        <is>
          <t>Pokemon Emerald Nuzlocke #23: Liza, Tate &amp; Kybou</t>
        </is>
      </c>
      <c r="H2492" s="44" t="n">
        <v>0.01579861111111111</v>
      </c>
      <c r="I2492" s="45" t="n">
        <v>21998</v>
      </c>
      <c r="J2492" s="45" t="n">
        <v>621</v>
      </c>
      <c r="K2492" s="45" t="n">
        <v>149</v>
      </c>
      <c r="L2492" s="46" t="n"/>
      <c r="M2492" s="47" t="n"/>
      <c r="N2492" s="47" t="inlineStr">
        <is>
          <t>UCor_9jRnNNZVzTuQ92PKsaQ</t>
        </is>
      </c>
      <c r="O2492" s="48" t="n">
        <v>42823.79236111111</v>
      </c>
      <c r="P2492" s="49" t="n">
        <v>42823</v>
      </c>
      <c r="Q2492" s="47" t="n">
        <v>776</v>
      </c>
      <c r="R2492" s="47" t="inlineStr">
        <is>
          <t>No Video ID yet</t>
        </is>
      </c>
      <c r="S2492" s="49" t="n"/>
      <c r="T2492" s="49" t="n"/>
      <c r="U2492" s="47" t="inlineStr">
        <is>
          <t>Before we can continue pursuing Team Aqua we must confront our next Gym Battle in Mossdeep city with Liza and Tate. They double battle with Psychic types, which means its Kybou's time to shine - but can his low defenses hold up until the end of the battle??</t>
        </is>
      </c>
      <c r="V2492" s="47">
        <f>IF(AND(P2492&gt;=Calendar!$K$2,P2492&lt;EDATE(Calendar!$K$2,1),OR(Calendar!$K$4="*",N2492=Calendar!$K$4)),P2492*100+COUNTIFS($P$6:$P$3267,P2492,$Q$6:$Q$3267,"&lt;="&amp;Q2492,$N$6:$N$3267,Calendar!$K$4),"")</f>
        <v/>
      </c>
      <c r="W2492" s="47">
        <f>IF(AND(B2492=Queue!$C$4,OR(Queue!$K$4="*",N2492=Queue!$K$4)),Q2492,"")</f>
        <v/>
      </c>
    </row>
    <row r="2493">
      <c r="A2493" s="38">
        <f>IF(M2493="","",HYPERLINK("https://www.youtube.com/watch?v="&amp;M2493,"▶"))</f>
        <v/>
      </c>
      <c r="B2493" s="39">
        <f>IF(C2493&lt;&gt;"",C2493,IF(P2493&lt;=IFERROR(INDEX(tblChannels[Watched Through],MATCH(N2493,tblChannels[Channel ID],0)),0),"Watched","Unwatched"))</f>
        <v/>
      </c>
      <c r="C2493" s="40" t="n"/>
      <c r="D2493" s="41" t="n"/>
      <c r="E2493" s="42" t="n">
        <v>42822.81458333333</v>
      </c>
      <c r="F2493" s="50" t="inlineStr">
        <is>
          <t>Super Carlin Brothers</t>
        </is>
      </c>
      <c r="G2493" t="inlineStr">
        <is>
          <t>Moana Theory: Tamatoa's True Identity</t>
        </is>
      </c>
      <c r="H2493" s="44" t="n">
        <v>0.006782407407407407</v>
      </c>
      <c r="I2493" s="45" t="n">
        <v>4297680</v>
      </c>
      <c r="J2493" s="45" t="n">
        <v>57635</v>
      </c>
      <c r="K2493" s="45" t="n">
        <v>10832</v>
      </c>
      <c r="L2493" s="46" t="n"/>
      <c r="M2493" s="47" t="n"/>
      <c r="N2493" s="47" t="inlineStr">
        <is>
          <t>UCKZo4N0lVPccBkSiuyVh4yg</t>
        </is>
      </c>
      <c r="O2493" s="48" t="n">
        <v>42822.98125</v>
      </c>
      <c r="P2493" s="49" t="n">
        <v>42822</v>
      </c>
      <c r="Q2493" s="47" t="n">
        <v>775</v>
      </c>
      <c r="R2493" s="47" t="inlineStr">
        <is>
          <t>No Video ID yet</t>
        </is>
      </c>
      <c r="S2493" s="49" t="n"/>
      <c r="T2493" s="49" t="n"/>
      <c r="U2493" s="47" t="inlineStr">
        <is>
          <t>Today is the day! The day we answer the long unanswered question from Disney's Moana of Tamatoa's true identity!</t>
        </is>
      </c>
      <c r="V2493" s="47">
        <f>IF(AND(P2493&gt;=Calendar!$K$2,P2493&lt;EDATE(Calendar!$K$2,1),OR(Calendar!$K$4="*",N2493=Calendar!$K$4)),P2493*100+COUNTIFS($P$6:$P$3267,P2493,$Q$6:$Q$3267,"&lt;="&amp;Q2493,$N$6:$N$3267,Calendar!$K$4),"")</f>
        <v/>
      </c>
      <c r="W2493" s="47">
        <f>IF(AND(B2493=Queue!$C$4,OR(Queue!$K$4="*",N2493=Queue!$K$4)),Q2493,"")</f>
        <v/>
      </c>
    </row>
    <row r="2494">
      <c r="A2494" s="38">
        <f>IF(M2494="","",HYPERLINK("https://www.youtube.com/watch?v="&amp;M2494,"▶"))</f>
        <v/>
      </c>
      <c r="B2494" s="39">
        <f>IF(C2494&lt;&gt;"",C2494,IF(P2494&lt;=IFERROR(INDEX(tblChannels[Watched Through],MATCH(N2494,tblChannels[Channel ID],0)),0),"Watched","Unwatched"))</f>
        <v/>
      </c>
      <c r="C2494" s="40" t="n"/>
      <c r="D2494" s="41" t="n"/>
      <c r="E2494" s="42" t="n">
        <v>42821.68125</v>
      </c>
      <c r="F2494" s="52" t="inlineStr">
        <is>
          <t>Super Carlin Gaming</t>
        </is>
      </c>
      <c r="G2494" t="inlineStr">
        <is>
          <t>Pokemon Emerald Nuzlocke #22: The Team Aqua Hideout!</t>
        </is>
      </c>
      <c r="H2494" s="44" t="n">
        <v>0.0175</v>
      </c>
      <c r="I2494" s="45" t="n">
        <v>22069</v>
      </c>
      <c r="J2494" s="45" t="n">
        <v>578</v>
      </c>
      <c r="K2494" s="45" t="n">
        <v>198</v>
      </c>
      <c r="L2494" s="46" t="n"/>
      <c r="M2494" s="47" t="n"/>
      <c r="N2494" s="47" t="inlineStr">
        <is>
          <t>UCor_9jRnNNZVzTuQ92PKsaQ</t>
        </is>
      </c>
      <c r="O2494" s="48" t="n">
        <v>42821.84791666667</v>
      </c>
      <c r="P2494" s="49" t="n">
        <v>42821</v>
      </c>
      <c r="Q2494" s="47" t="n">
        <v>774</v>
      </c>
      <c r="R2494" s="47" t="inlineStr">
        <is>
          <t>No Video ID yet</t>
        </is>
      </c>
      <c r="S2494" s="49" t="n"/>
      <c r="T2494" s="49" t="n"/>
      <c r="U2494" s="47" t="inlineStr">
        <is>
          <t>With Team Magma taken care of it is time to turn our attention to Team Aqua! J and the team pursue them to their "secret" hideout and start taking them down, but have to be careful for their traps!</t>
        </is>
      </c>
      <c r="V2494" s="47">
        <f>IF(AND(P2494&gt;=Calendar!$K$2,P2494&lt;EDATE(Calendar!$K$2,1),OR(Calendar!$K$4="*",N2494=Calendar!$K$4)),P2494*100+COUNTIFS($P$6:$P$3267,P2494,$Q$6:$Q$3267,"&lt;="&amp;Q2494,$N$6:$N$3267,Calendar!$K$4),"")</f>
        <v/>
      </c>
      <c r="W2494" s="47">
        <f>IF(AND(B2494=Queue!$C$4,OR(Queue!$K$4="*",N2494=Queue!$K$4)),Q2494,"")</f>
        <v/>
      </c>
    </row>
    <row r="2495">
      <c r="A2495" s="38">
        <f>IF(M2495="","",HYPERLINK("https://www.youtube.com/watch?v="&amp;M2495,"▶"))</f>
        <v/>
      </c>
      <c r="B2495" s="39">
        <f>IF(C2495&lt;&gt;"",C2495,IF(P2495&lt;=IFERROR(INDEX(tblChannels[Watched Through],MATCH(N2495,tblChannels[Channel ID],0)),0),"Watched","Unwatched"))</f>
        <v/>
      </c>
      <c r="C2495" s="40" t="n"/>
      <c r="D2495" s="41" t="n"/>
      <c r="E2495" s="42" t="n">
        <v>42818.70625</v>
      </c>
      <c r="F2495" s="52" t="inlineStr">
        <is>
          <t>Super Carlin Gaming</t>
        </is>
      </c>
      <c r="G2495" t="inlineStr">
        <is>
          <t>Pokemon Emerald Nuzlocke #21: Rematch with Maxie</t>
        </is>
      </c>
      <c r="H2495" s="44" t="n">
        <v>0.02418981481481481</v>
      </c>
      <c r="I2495" s="45" t="n">
        <v>24981</v>
      </c>
      <c r="J2495" s="45" t="n">
        <v>628</v>
      </c>
      <c r="K2495" s="45" t="n">
        <v>172</v>
      </c>
      <c r="L2495" s="46" t="n"/>
      <c r="M2495" s="47" t="n"/>
      <c r="N2495" s="47" t="inlineStr">
        <is>
          <t>UCor_9jRnNNZVzTuQ92PKsaQ</t>
        </is>
      </c>
      <c r="O2495" s="48" t="n">
        <v>42818.87291666667</v>
      </c>
      <c r="P2495" s="49" t="n">
        <v>42818</v>
      </c>
      <c r="Q2495" s="47" t="n">
        <v>773</v>
      </c>
      <c r="R2495" s="47" t="inlineStr">
        <is>
          <t>No Video ID yet</t>
        </is>
      </c>
      <c r="S2495" s="49" t="n"/>
      <c r="T2495" s="49" t="n"/>
      <c r="U2495" s="47" t="inlineStr">
        <is>
          <t>J and the team pursue Team Magma to the Jagged Pass and face off once more with Maxie - Can we survive another battle with the man who killed Morphin??</t>
        </is>
      </c>
      <c r="V2495" s="47">
        <f>IF(AND(P2495&gt;=Calendar!$K$2,P2495&lt;EDATE(Calendar!$K$2,1),OR(Calendar!$K$4="*",N2495=Calendar!$K$4)),P2495*100+COUNTIFS($P$6:$P$3267,P2495,$Q$6:$Q$3267,"&lt;="&amp;Q2495,$N$6:$N$3267,Calendar!$K$4),"")</f>
        <v/>
      </c>
      <c r="W2495" s="47">
        <f>IF(AND(B2495=Queue!$C$4,OR(Queue!$K$4="*",N2495=Queue!$K$4)),Q2495,"")</f>
        <v/>
      </c>
    </row>
    <row r="2496">
      <c r="A2496" s="38">
        <f>IF(M2496="","",HYPERLINK("https://www.youtube.com/watch?v="&amp;M2496,"▶"))</f>
        <v/>
      </c>
      <c r="B2496" s="39">
        <f>IF(C2496&lt;&gt;"",C2496,IF(P2496&lt;=IFERROR(INDEX(tblChannels[Watched Through],MATCH(N2496,tblChannels[Channel ID],0)),0),"Watched","Unwatched"))</f>
        <v/>
      </c>
      <c r="C2496" s="40" t="n"/>
      <c r="D2496" s="41" t="n"/>
      <c r="E2496" s="42" t="n">
        <v>42818.62638888889</v>
      </c>
      <c r="F2496" s="50" t="inlineStr">
        <is>
          <t>Super Carlin Brothers</t>
        </is>
      </c>
      <c r="G2496" t="inlineStr">
        <is>
          <t>Is Beauty And The Beast The Best Live Action Remake? | REVIEW</t>
        </is>
      </c>
      <c r="H2496" s="44" t="n">
        <v>0.0302662037037037</v>
      </c>
      <c r="I2496" s="45" t="n">
        <v>689793</v>
      </c>
      <c r="J2496" s="45" t="n">
        <v>15140</v>
      </c>
      <c r="K2496" s="45" t="n">
        <v>5896</v>
      </c>
      <c r="L2496" s="46" t="n"/>
      <c r="M2496" s="47" t="n"/>
      <c r="N2496" s="47" t="inlineStr">
        <is>
          <t>UCKZo4N0lVPccBkSiuyVh4yg</t>
        </is>
      </c>
      <c r="O2496" s="48" t="n">
        <v>42818.79305555556</v>
      </c>
      <c r="P2496" s="49" t="n">
        <v>42818</v>
      </c>
      <c r="Q2496" s="47" t="n">
        <v>772</v>
      </c>
      <c r="R2496" s="47" t="inlineStr">
        <is>
          <t>No Video ID yet</t>
        </is>
      </c>
      <c r="S2496" s="49" t="n"/>
      <c r="T2496" s="49" t="n"/>
      <c r="U2496" s="47" t="inlineStr">
        <is>
          <t>Beauty and the Beast is Disney's latest live action remake, but is it as good as all the hype suggests? Today J and Ben give their full SPOILER review of Beauty and the Beast</t>
        </is>
      </c>
      <c r="V2496" s="47">
        <f>IF(AND(P2496&gt;=Calendar!$K$2,P2496&lt;EDATE(Calendar!$K$2,1),OR(Calendar!$K$4="*",N2496=Calendar!$K$4)),P2496*100+COUNTIFS($P$6:$P$3267,P2496,$Q$6:$Q$3267,"&lt;="&amp;Q2496,$N$6:$N$3267,Calendar!$K$4),"")</f>
        <v/>
      </c>
      <c r="W2496" s="47">
        <f>IF(AND(B2496=Queue!$C$4,OR(Queue!$K$4="*",N2496=Queue!$K$4)),Q2496,"")</f>
        <v/>
      </c>
    </row>
    <row r="2497">
      <c r="A2497" s="38">
        <f>IF(M2497="","",HYPERLINK("https://www.youtube.com/watch?v="&amp;M2497,"▶"))</f>
        <v/>
      </c>
      <c r="B2497" s="39">
        <f>IF(C2497&lt;&gt;"",C2497,IF(P2497&lt;=IFERROR(INDEX(tblChannels[Watched Through],MATCH(N2497,tblChannels[Channel ID],0)),0),"Watched","Unwatched"))</f>
        <v/>
      </c>
      <c r="C2497" s="40" t="n"/>
      <c r="D2497" s="41" t="n"/>
      <c r="E2497" s="42" t="n">
        <v>42816.65486111111</v>
      </c>
      <c r="F2497" s="52" t="inlineStr">
        <is>
          <t>Super Carlin Gaming</t>
        </is>
      </c>
      <c r="G2497" t="inlineStr">
        <is>
          <t>Pokemon Emerald Nuzlocke #20: Wobbuffet is the WORST</t>
        </is>
      </c>
      <c r="H2497" s="44" t="n">
        <v>0.02420138888888889</v>
      </c>
      <c r="I2497" s="45" t="n">
        <v>28607</v>
      </c>
      <c r="J2497" s="45" t="n">
        <v>680</v>
      </c>
      <c r="K2497" s="45" t="n">
        <v>291</v>
      </c>
      <c r="L2497" s="46" t="n"/>
      <c r="M2497" s="47" t="n"/>
      <c r="N2497" s="47" t="inlineStr">
        <is>
          <t>UCor_9jRnNNZVzTuQ92PKsaQ</t>
        </is>
      </c>
      <c r="O2497" s="48" t="n">
        <v>42816.82152777778</v>
      </c>
      <c r="P2497" s="49" t="n">
        <v>42816</v>
      </c>
      <c r="Q2497" s="47" t="n">
        <v>771</v>
      </c>
      <c r="R2497" s="47" t="inlineStr">
        <is>
          <t>No Video ID yet</t>
        </is>
      </c>
      <c r="S2497" s="49" t="n"/>
      <c r="T2497" s="49" t="n"/>
      <c r="U2497" s="47" t="inlineStr">
        <is>
          <t>J and the team make their way to Mt. Pyre and begin their ascent by challenging every trainer in sight.. some of them are using Wobbuffet and Wobbuffet is the freaking worst!</t>
        </is>
      </c>
      <c r="V2497" s="47">
        <f>IF(AND(P2497&gt;=Calendar!$K$2,P2497&lt;EDATE(Calendar!$K$2,1),OR(Calendar!$K$4="*",N2497=Calendar!$K$4)),P2497*100+COUNTIFS($P$6:$P$3267,P2497,$Q$6:$Q$3267,"&lt;="&amp;Q2497,$N$6:$N$3267,Calendar!$K$4),"")</f>
        <v/>
      </c>
      <c r="W2497" s="47">
        <f>IF(AND(B2497=Queue!$C$4,OR(Queue!$K$4="*",N2497=Queue!$K$4)),Q2497,"")</f>
        <v/>
      </c>
    </row>
    <row r="2498">
      <c r="A2498" s="38">
        <f>IF(M2498="","",HYPERLINK("https://www.youtube.com/watch?v="&amp;M2498,"▶"))</f>
        <v/>
      </c>
      <c r="B2498" s="39">
        <f>IF(C2498&lt;&gt;"",C2498,IF(P2498&lt;=IFERROR(INDEX(tblChannels[Watched Through],MATCH(N2498,tblChannels[Channel ID],0)),0),"Watched","Unwatched"))</f>
        <v/>
      </c>
      <c r="C2498" s="40" t="n"/>
      <c r="D2498" s="41" t="n"/>
      <c r="E2498" s="42" t="n">
        <v>42815.76597222222</v>
      </c>
      <c r="F2498" s="50" t="inlineStr">
        <is>
          <t>Super Carlin Brothers</t>
        </is>
      </c>
      <c r="G2498" t="inlineStr">
        <is>
          <t>The Truth About Kakamora</t>
        </is>
      </c>
      <c r="H2498" s="44" t="n">
        <v>0.00537037037037037</v>
      </c>
      <c r="I2498" s="45" t="n">
        <v>1861413</v>
      </c>
      <c r="J2498" s="45" t="n">
        <v>31415</v>
      </c>
      <c r="K2498" s="45" t="n">
        <v>3484</v>
      </c>
      <c r="L2498" s="46" t="n"/>
      <c r="M2498" s="47" t="n"/>
      <c r="N2498" s="47" t="inlineStr">
        <is>
          <t>UCKZo4N0lVPccBkSiuyVh4yg</t>
        </is>
      </c>
      <c r="O2498" s="48" t="n">
        <v>42815.93263888889</v>
      </c>
      <c r="P2498" s="49" t="n">
        <v>42815</v>
      </c>
      <c r="Q2498" s="47" t="n">
        <v>770</v>
      </c>
      <c r="R2498" s="47" t="inlineStr">
        <is>
          <t>No Video ID yet</t>
        </is>
      </c>
      <c r="S2498" s="49" t="n"/>
      <c r="T2498" s="49" t="n"/>
      <c r="U2498" s="47" t="inlineStr">
        <is>
          <t>Today J dives into the world of Disney’s Moana and tries to uncover the truth about the unusual little coconut pirates known as Kakamora.</t>
        </is>
      </c>
      <c r="V2498" s="47">
        <f>IF(AND(P2498&gt;=Calendar!$K$2,P2498&lt;EDATE(Calendar!$K$2,1),OR(Calendar!$K$4="*",N2498=Calendar!$K$4)),P2498*100+COUNTIFS($P$6:$P$3267,P2498,$Q$6:$Q$3267,"&lt;="&amp;Q2498,$N$6:$N$3267,Calendar!$K$4),"")</f>
        <v/>
      </c>
      <c r="W2498" s="47">
        <f>IF(AND(B2498=Queue!$C$4,OR(Queue!$K$4="*",N2498=Queue!$K$4)),Q2498,"")</f>
        <v/>
      </c>
    </row>
    <row r="2499">
      <c r="A2499" s="38">
        <f>IF(M2499="","",HYPERLINK("https://www.youtube.com/watch?v="&amp;M2499,"▶"))</f>
        <v/>
      </c>
      <c r="B2499" s="39">
        <f>IF(C2499&lt;&gt;"",C2499,IF(P2499&lt;=IFERROR(INDEX(tblChannels[Watched Through],MATCH(N2499,tblChannels[Channel ID],0)),0),"Watched","Unwatched"))</f>
        <v/>
      </c>
      <c r="C2499" s="40" t="n"/>
      <c r="D2499" s="41" t="n"/>
      <c r="E2499" s="42" t="n">
        <v>42814.71805555555</v>
      </c>
      <c r="F2499" s="52" t="inlineStr">
        <is>
          <t>Super Carlin Gaming</t>
        </is>
      </c>
      <c r="G2499" t="inlineStr">
        <is>
          <t>Pokemon Emerald Nuzlocke #19: Double Dragon</t>
        </is>
      </c>
      <c r="H2499" s="44" t="n">
        <v>0.02778935185185185</v>
      </c>
      <c r="I2499" s="45" t="n">
        <v>28202</v>
      </c>
      <c r="J2499" s="45" t="n">
        <v>648</v>
      </c>
      <c r="K2499" s="45" t="n">
        <v>287</v>
      </c>
      <c r="L2499" s="46" t="n"/>
      <c r="M2499" s="47" t="n"/>
      <c r="N2499" s="47" t="inlineStr">
        <is>
          <t>UCor_9jRnNNZVzTuQ92PKsaQ</t>
        </is>
      </c>
      <c r="O2499" s="48" t="n">
        <v>42814.88472222222</v>
      </c>
      <c r="P2499" s="49" t="n">
        <v>42814</v>
      </c>
      <c r="Q2499" s="47" t="n">
        <v>769</v>
      </c>
      <c r="R2499" s="47" t="inlineStr">
        <is>
          <t>No Video ID yet</t>
        </is>
      </c>
      <c r="S2499" s="49" t="n"/>
      <c r="T2499" s="49" t="n"/>
      <c r="U2499" s="47" t="inlineStr">
        <is>
          <t>In the wake of Belzin's death J adds a new member to the team and spends some time doing a little team bonding whilst we make our way to Mt. Pyre.</t>
        </is>
      </c>
      <c r="V2499" s="47">
        <f>IF(AND(P2499&gt;=Calendar!$K$2,P2499&lt;EDATE(Calendar!$K$2,1),OR(Calendar!$K$4="*",N2499=Calendar!$K$4)),P2499*100+COUNTIFS($P$6:$P$3267,P2499,$Q$6:$Q$3267,"&lt;="&amp;Q2499,$N$6:$N$3267,Calendar!$K$4),"")</f>
        <v/>
      </c>
      <c r="W2499" s="47">
        <f>IF(AND(B2499=Queue!$C$4,OR(Queue!$K$4="*",N2499=Queue!$K$4)),Q2499,"")</f>
        <v/>
      </c>
    </row>
    <row r="2500">
      <c r="A2500" s="38">
        <f>IF(M2500="","",HYPERLINK("https://www.youtube.com/watch?v="&amp;M2500,"▶"))</f>
        <v/>
      </c>
      <c r="B2500" s="39">
        <f>IF(C2500&lt;&gt;"",C2500,IF(P2500&lt;=IFERROR(INDEX(tblChannels[Watched Through],MATCH(N2500,tblChannels[Channel ID],0)),0),"Watched","Unwatched"))</f>
        <v/>
      </c>
      <c r="C2500" s="40" t="n"/>
      <c r="D2500" s="41" t="n"/>
      <c r="E2500" s="42" t="n">
        <v>42811.6625</v>
      </c>
      <c r="F2500" s="52" t="inlineStr">
        <is>
          <t>Super Carlin Gaming</t>
        </is>
      </c>
      <c r="G2500" t="inlineStr">
        <is>
          <t>Pokemon Emerald Nuzlocke #18: EARTHQUAKE</t>
        </is>
      </c>
      <c r="H2500" s="44" t="n">
        <v>0.01625</v>
      </c>
      <c r="I2500" s="45" t="n">
        <v>24331</v>
      </c>
      <c r="J2500" s="45" t="n">
        <v>594</v>
      </c>
      <c r="K2500" s="45" t="n">
        <v>422</v>
      </c>
      <c r="L2500" s="46" t="n"/>
      <c r="M2500" s="47" t="n"/>
      <c r="N2500" s="47" t="inlineStr">
        <is>
          <t>UCor_9jRnNNZVzTuQ92PKsaQ</t>
        </is>
      </c>
      <c r="O2500" s="48" t="n">
        <v>42811.82916666667</v>
      </c>
      <c r="P2500" s="49" t="n">
        <v>42811</v>
      </c>
      <c r="Q2500" s="47" t="n">
        <v>768</v>
      </c>
      <c r="R2500" s="47" t="inlineStr">
        <is>
          <t>No Video ID yet</t>
        </is>
      </c>
      <c r="S2500" s="49" t="n"/>
      <c r="T2500" s="49" t="n"/>
      <c r="U2500" s="47" t="inlineStr">
        <is>
          <t>T-SHIRTS :: The day has finally come for J and the team to take on our 6th Gym Leader: Winona. Her Altaria boasts a nasty earthquake, but J and Belzin have been training hard to avoid it, will the team survive the encounter with the Master of the Skies??</t>
        </is>
      </c>
      <c r="V2500" s="47">
        <f>IF(AND(P2500&gt;=Calendar!$K$2,P2500&lt;EDATE(Calendar!$K$2,1),OR(Calendar!$K$4="*",N2500=Calendar!$K$4)),P2500*100+COUNTIFS($P$6:$P$3267,P2500,$Q$6:$Q$3267,"&lt;="&amp;Q2500,$N$6:$N$3267,Calendar!$K$4),"")</f>
        <v/>
      </c>
      <c r="W2500" s="47">
        <f>IF(AND(B2500=Queue!$C$4,OR(Queue!$K$4="*",N2500=Queue!$K$4)),Q2500,"")</f>
        <v/>
      </c>
    </row>
    <row r="2501">
      <c r="A2501" s="38">
        <f>IF(M2501="","",HYPERLINK("https://www.youtube.com/watch?v="&amp;M2501,"▶"))</f>
        <v/>
      </c>
      <c r="B2501" s="39">
        <f>IF(C2501&lt;&gt;"",C2501,IF(P2501&lt;=IFERROR(INDEX(tblChannels[Watched Through],MATCH(N2501,tblChannels[Channel ID],0)),0),"Watched","Unwatched"))</f>
        <v/>
      </c>
      <c r="C2501" s="40" t="n"/>
      <c r="D2501" s="41" t="n"/>
      <c r="E2501" s="42" t="n">
        <v>42810.81388888889</v>
      </c>
      <c r="F2501" s="50" t="inlineStr">
        <is>
          <t>Super Carlin Brothers</t>
        </is>
      </c>
      <c r="G2501" t="inlineStr">
        <is>
          <t>Why Coco Is Going To Be Amazing</t>
        </is>
      </c>
      <c r="H2501" s="44" t="n">
        <v>0.006180555555555555</v>
      </c>
      <c r="I2501" s="45" t="n">
        <v>573100</v>
      </c>
      <c r="J2501" s="45" t="n">
        <v>17110</v>
      </c>
      <c r="K2501" s="45" t="n">
        <v>3951</v>
      </c>
      <c r="L2501" s="46" t="n"/>
      <c r="M2501" s="47" t="n"/>
      <c r="N2501" s="47" t="inlineStr">
        <is>
          <t>UCKZo4N0lVPccBkSiuyVh4yg</t>
        </is>
      </c>
      <c r="O2501" s="48" t="n">
        <v>42810.98055555556</v>
      </c>
      <c r="P2501" s="49" t="n">
        <v>42810</v>
      </c>
      <c r="Q2501" s="47" t="n">
        <v>767</v>
      </c>
      <c r="R2501" s="47" t="inlineStr">
        <is>
          <t>No Video ID yet</t>
        </is>
      </c>
      <c r="S2501" s="49" t="n"/>
      <c r="T2501" s="49" t="n"/>
      <c r="U2501" s="47" t="inlineStr">
        <is>
          <t>T-SHIRTS :: Pixar just released the first teaser trailer for the next original movie: Coco and it looks to as epic as it is beautifully animated. Today Ben breaks down the trailer and its many nods and references to the Mexican holiday Dia De Los Muertos. Trailer for Coco ::</t>
        </is>
      </c>
      <c r="V2501" s="47">
        <f>IF(AND(P2501&gt;=Calendar!$K$2,P2501&lt;EDATE(Calendar!$K$2,1),OR(Calendar!$K$4="*",N2501=Calendar!$K$4)),P2501*100+COUNTIFS($P$6:$P$3267,P2501,$Q$6:$Q$3267,"&lt;="&amp;Q2501,$N$6:$N$3267,Calendar!$K$4),"")</f>
        <v/>
      </c>
      <c r="W2501" s="47">
        <f>IF(AND(B2501=Queue!$C$4,OR(Queue!$K$4="*",N2501=Queue!$K$4)),Q2501,"")</f>
        <v/>
      </c>
    </row>
    <row r="2502">
      <c r="A2502" s="38">
        <f>IF(M2502="","",HYPERLINK("https://www.youtube.com/watch?v="&amp;M2502,"▶"))</f>
        <v/>
      </c>
      <c r="B2502" s="39">
        <f>IF(C2502&lt;&gt;"",C2502,IF(P2502&lt;=IFERROR(INDEX(tblChannels[Watched Through],MATCH(N2502,tblChannels[Channel ID],0)),0),"Watched","Unwatched"))</f>
        <v/>
      </c>
      <c r="C2502" s="40" t="n"/>
      <c r="D2502" s="41" t="n"/>
      <c r="E2502" s="42" t="n">
        <v>42809.62361111111</v>
      </c>
      <c r="F2502" s="52" t="inlineStr">
        <is>
          <t>Super Carlin Gaming</t>
        </is>
      </c>
      <c r="G2502" t="inlineStr">
        <is>
          <t>Pokemon Emerald Nuzlocke #17: Grapefruit Surprise!</t>
        </is>
      </c>
      <c r="H2502" s="44" t="n">
        <v>0.01679398148148148</v>
      </c>
      <c r="I2502" s="45" t="n">
        <v>24326</v>
      </c>
      <c r="J2502" s="45" t="n">
        <v>606</v>
      </c>
      <c r="K2502" s="45" t="n">
        <v>231</v>
      </c>
      <c r="L2502" s="46" t="n"/>
      <c r="M2502" s="47" t="n"/>
      <c r="N2502" s="47" t="inlineStr">
        <is>
          <t>UCor_9jRnNNZVzTuQ92PKsaQ</t>
        </is>
      </c>
      <c r="O2502" s="48" t="n">
        <v>42809.79027777778</v>
      </c>
      <c r="P2502" s="49" t="n">
        <v>42809</v>
      </c>
      <c r="Q2502" s="47" t="n">
        <v>766</v>
      </c>
      <c r="R2502" s="47" t="inlineStr">
        <is>
          <t>No Video ID yet</t>
        </is>
      </c>
      <c r="S2502" s="49" t="n"/>
      <c r="T2502" s="49" t="n"/>
      <c r="U2502" s="47" t="inlineStr">
        <is>
          <t>J and the team battle Team Aqua at the weather center and then get AMBUSHED by Grapefruit - Can the team survive each challenge unscathed and make it to Fortree City??</t>
        </is>
      </c>
      <c r="V2502" s="47">
        <f>IF(AND(P2502&gt;=Calendar!$K$2,P2502&lt;EDATE(Calendar!$K$2,1),OR(Calendar!$K$4="*",N2502=Calendar!$K$4)),P2502*100+COUNTIFS($P$6:$P$3267,P2502,$Q$6:$Q$3267,"&lt;="&amp;Q2502,$N$6:$N$3267,Calendar!$K$4),"")</f>
        <v/>
      </c>
      <c r="W2502" s="47">
        <f>IF(AND(B2502=Queue!$C$4,OR(Queue!$K$4="*",N2502=Queue!$K$4)),Q2502,"")</f>
        <v/>
      </c>
    </row>
    <row r="2503">
      <c r="A2503" s="38">
        <f>IF(M2503="","",HYPERLINK("https://www.youtube.com/watch?v="&amp;M2503,"▶"))</f>
        <v/>
      </c>
      <c r="B2503" s="39">
        <f>IF(C2503&lt;&gt;"",C2503,IF(P2503&lt;=IFERROR(INDEX(tblChannels[Watched Through],MATCH(N2503,tblChannels[Channel ID],0)),0),"Watched","Unwatched"))</f>
        <v/>
      </c>
      <c r="C2503" s="40" t="n"/>
      <c r="D2503" s="41" t="n"/>
      <c r="E2503" s="42" t="n">
        <v>42808.625</v>
      </c>
      <c r="F2503" s="50" t="inlineStr">
        <is>
          <t>Super Carlin Brothers</t>
        </is>
      </c>
      <c r="G2503" t="inlineStr">
        <is>
          <t>Why Is He Called Winnie the Pooh?</t>
        </is>
      </c>
      <c r="H2503" s="44" t="n">
        <v>0.004583333333333333</v>
      </c>
      <c r="I2503" s="45" t="n">
        <v>1285484</v>
      </c>
      <c r="J2503" s="45" t="n">
        <v>31967</v>
      </c>
      <c r="K2503" s="45" t="n">
        <v>4607</v>
      </c>
      <c r="L2503" s="46" t="n"/>
      <c r="M2503" s="47" t="n"/>
      <c r="N2503" s="47" t="inlineStr">
        <is>
          <t>UCKZo4N0lVPccBkSiuyVh4yg</t>
        </is>
      </c>
      <c r="O2503" s="48" t="n">
        <v>42808.79166666666</v>
      </c>
      <c r="P2503" s="49" t="n">
        <v>42808</v>
      </c>
      <c r="Q2503" s="47" t="n">
        <v>765</v>
      </c>
      <c r="R2503" s="47" t="inlineStr">
        <is>
          <t>No Video ID yet</t>
        </is>
      </c>
      <c r="S2503" s="49" t="n"/>
      <c r="T2503" s="49" t="n"/>
      <c r="U2503" s="47" t="inlineStr">
        <is>
          <t>Finding Winnie :: How did they get away with calling a children's character... Pooh? In fact none of Winnie the Pooh's name seems to make a lot of sense, so J dives into Pooh's past to discover why he is called Winnie the Pooh.</t>
        </is>
      </c>
      <c r="V2503" s="47">
        <f>IF(AND(P2503&gt;=Calendar!$K$2,P2503&lt;EDATE(Calendar!$K$2,1),OR(Calendar!$K$4="*",N2503=Calendar!$K$4)),P2503*100+COUNTIFS($P$6:$P$3267,P2503,$Q$6:$Q$3267,"&lt;="&amp;Q2503,$N$6:$N$3267,Calendar!$K$4),"")</f>
        <v/>
      </c>
      <c r="W2503" s="47">
        <f>IF(AND(B2503=Queue!$C$4,OR(Queue!$K$4="*",N2503=Queue!$K$4)),Q2503,"")</f>
        <v/>
      </c>
    </row>
    <row r="2504">
      <c r="A2504" s="38">
        <f>IF(M2504="","",HYPERLINK("https://www.youtube.com/watch?v="&amp;M2504,"▶"))</f>
        <v/>
      </c>
      <c r="B2504" s="39">
        <f>IF(C2504&lt;&gt;"",C2504,IF(P2504&lt;=IFERROR(INDEX(tblChannels[Watched Through],MATCH(N2504,tblChannels[Channel ID],0)),0),"Watched","Unwatched"))</f>
        <v/>
      </c>
      <c r="C2504" s="40" t="n"/>
      <c r="D2504" s="41" t="n"/>
      <c r="E2504" s="42" t="n">
        <v>42807.65</v>
      </c>
      <c r="F2504" s="52" t="inlineStr">
        <is>
          <t>Super Carlin Gaming</t>
        </is>
      </c>
      <c r="G2504" t="inlineStr">
        <is>
          <t>Pokemon Emerald Nuzlocke #16: CAN'T ESCAPE!</t>
        </is>
      </c>
      <c r="H2504" s="44" t="n">
        <v>0.02076388888888889</v>
      </c>
      <c r="I2504" s="45" t="n">
        <v>26414</v>
      </c>
      <c r="J2504" s="45" t="n">
        <v>630</v>
      </c>
      <c r="K2504" s="45" t="n">
        <v>252</v>
      </c>
      <c r="L2504" s="46" t="n"/>
      <c r="M2504" s="47" t="n"/>
      <c r="N2504" s="47" t="inlineStr">
        <is>
          <t>UCor_9jRnNNZVzTuQ92PKsaQ</t>
        </is>
      </c>
      <c r="O2504" s="48" t="n">
        <v>42807.81666666667</v>
      </c>
      <c r="P2504" s="49" t="n">
        <v>42807</v>
      </c>
      <c r="Q2504" s="47" t="n">
        <v>764</v>
      </c>
      <c r="R2504" s="47" t="inlineStr">
        <is>
          <t>No Video ID yet</t>
        </is>
      </c>
      <c r="S2504" s="49" t="n"/>
      <c r="T2504" s="49" t="n"/>
      <c r="U2504" s="47" t="inlineStr">
        <is>
          <t>J and the team continue their journey to Fortree City for our next gym badge. We try out our new Good Rod and attempt to catch some new friends and of course battle lots of trainers.. will the team survive Route 119 100% in tact? High Tension by Audionautix is licensed under a Creative Commons Attribution license ( Artist:</t>
        </is>
      </c>
      <c r="V2504" s="47">
        <f>IF(AND(P2504&gt;=Calendar!$K$2,P2504&lt;EDATE(Calendar!$K$2,1),OR(Calendar!$K$4="*",N2504=Calendar!$K$4)),P2504*100+COUNTIFS($P$6:$P$3267,P2504,$Q$6:$Q$3267,"&lt;="&amp;Q2504,$N$6:$N$3267,Calendar!$K$4),"")</f>
        <v/>
      </c>
      <c r="W2504" s="47">
        <f>IF(AND(B2504=Queue!$C$4,OR(Queue!$K$4="*",N2504=Queue!$K$4)),Q2504,"")</f>
        <v/>
      </c>
    </row>
    <row r="2505">
      <c r="A2505" s="38">
        <f>IF(M2505="","",HYPERLINK("https://www.youtube.com/watch?v="&amp;M2505,"▶"))</f>
        <v/>
      </c>
      <c r="B2505" s="39">
        <f>IF(C2505&lt;&gt;"",C2505,IF(P2505&lt;=IFERROR(INDEX(tblChannels[Watched Through],MATCH(N2505,tblChannels[Channel ID],0)),0),"Watched","Unwatched"))</f>
        <v/>
      </c>
      <c r="C2505" s="40" t="n"/>
      <c r="D2505" s="41" t="n"/>
      <c r="E2505" s="42" t="n">
        <v>42805.69375</v>
      </c>
      <c r="F2505" s="52" t="inlineStr">
        <is>
          <t>Super Carlin Gaming</t>
        </is>
      </c>
      <c r="G2505" t="inlineStr">
        <is>
          <t>Pokemon Emerald Nuzlocke #15: THUNDER BOLT</t>
        </is>
      </c>
      <c r="H2505" s="44" t="n">
        <v>0.01508101851851852</v>
      </c>
      <c r="I2505" s="45" t="n">
        <v>26157</v>
      </c>
      <c r="J2505" s="45" t="n">
        <v>674</v>
      </c>
      <c r="K2505" s="45" t="n">
        <v>387</v>
      </c>
      <c r="L2505" s="46" t="n"/>
      <c r="M2505" s="47" t="n"/>
      <c r="N2505" s="47" t="inlineStr">
        <is>
          <t>UCor_9jRnNNZVzTuQ92PKsaQ</t>
        </is>
      </c>
      <c r="O2505" s="48" t="n">
        <v>42805.90208333333</v>
      </c>
      <c r="P2505" s="49" t="n">
        <v>42805</v>
      </c>
      <c r="Q2505" s="47" t="n">
        <v>763</v>
      </c>
      <c r="R2505" s="47" t="inlineStr">
        <is>
          <t>No Video ID yet</t>
        </is>
      </c>
      <c r="S2505" s="49" t="n"/>
      <c r="T2505" s="49" t="n"/>
      <c r="U2505" s="47" t="inlineStr">
        <is>
          <t>On our way to Fortree City we get stopped by Wattson who sends us on an new side quest. Can the team handle a new wave of electric shocks?</t>
        </is>
      </c>
      <c r="V2505" s="47">
        <f>IF(AND(P2505&gt;=Calendar!$K$2,P2505&lt;EDATE(Calendar!$K$2,1),OR(Calendar!$K$4="*",N2505=Calendar!$K$4)),P2505*100+COUNTIFS($P$6:$P$3267,P2505,$Q$6:$Q$3267,"&lt;="&amp;Q2505,$N$6:$N$3267,Calendar!$K$4),"")</f>
        <v/>
      </c>
      <c r="W2505" s="47">
        <f>IF(AND(B2505=Queue!$C$4,OR(Queue!$K$4="*",N2505=Queue!$K$4)),Q2505,"")</f>
        <v/>
      </c>
    </row>
    <row r="2506">
      <c r="A2506" s="38">
        <f>IF(M2506="","",HYPERLINK("https://www.youtube.com/watch?v="&amp;M2506,"▶"))</f>
        <v/>
      </c>
      <c r="B2506" s="39">
        <f>IF(C2506&lt;&gt;"",C2506,IF(P2506&lt;=IFERROR(INDEX(tblChannels[Watched Through],MATCH(N2506,tblChannels[Channel ID],0)),0),"Watched","Unwatched"))</f>
        <v/>
      </c>
      <c r="C2506" s="40" t="n"/>
      <c r="D2506" s="41" t="n"/>
      <c r="E2506" s="42" t="n">
        <v>42803.77222222222</v>
      </c>
      <c r="F2506" s="50" t="inlineStr">
        <is>
          <t>Super Carlin Brothers</t>
        </is>
      </c>
      <c r="G2506" t="inlineStr">
        <is>
          <t>Disney Theory: Who is Belle's Mother?</t>
        </is>
      </c>
      <c r="H2506" s="44" t="n">
        <v>0.005543981481481481</v>
      </c>
      <c r="I2506" s="45" t="n">
        <v>1726272</v>
      </c>
      <c r="J2506" s="45" t="n">
        <v>36853</v>
      </c>
      <c r="K2506" s="45" t="n">
        <v>5616</v>
      </c>
      <c r="L2506" s="46" t="n"/>
      <c r="M2506" s="47" t="n"/>
      <c r="N2506" s="47" t="inlineStr">
        <is>
          <t>UCKZo4N0lVPccBkSiuyVh4yg</t>
        </is>
      </c>
      <c r="O2506" s="48" t="n">
        <v>42803.98055555556</v>
      </c>
      <c r="P2506" s="49" t="n">
        <v>42803</v>
      </c>
      <c r="Q2506" s="47" t="n">
        <v>762</v>
      </c>
      <c r="R2506" s="47" t="inlineStr">
        <is>
          <t>No Video ID yet</t>
        </is>
      </c>
      <c r="S2506" s="49" t="n"/>
      <c r="T2506" s="49" t="n"/>
      <c r="U2506" s="47" t="inlineStr">
        <is>
          <t>SCB STICKERS :: One of the longest standing questions we have about Disney's Beauty and the Beast is who is Belle's mother? Today Ben goes over every thing we know about her thus far!</t>
        </is>
      </c>
      <c r="V2506" s="47">
        <f>IF(AND(P2506&gt;=Calendar!$K$2,P2506&lt;EDATE(Calendar!$K$2,1),OR(Calendar!$K$4="*",N2506=Calendar!$K$4)),P2506*100+COUNTIFS($P$6:$P$3267,P2506,$Q$6:$Q$3267,"&lt;="&amp;Q2506,$N$6:$N$3267,Calendar!$K$4),"")</f>
        <v/>
      </c>
      <c r="W2506" s="47">
        <f>IF(AND(B2506=Queue!$C$4,OR(Queue!$K$4="*",N2506=Queue!$K$4)),Q2506,"")</f>
        <v/>
      </c>
    </row>
    <row r="2507">
      <c r="A2507" s="38">
        <f>IF(M2507="","",HYPERLINK("https://www.youtube.com/watch?v="&amp;M2507,"▶"))</f>
        <v/>
      </c>
      <c r="B2507" s="39">
        <f>IF(C2507&lt;&gt;"",C2507,IF(P2507&lt;=IFERROR(INDEX(tblChannels[Watched Through],MATCH(N2507,tblChannels[Channel ID],0)),0),"Watched","Unwatched"))</f>
        <v/>
      </c>
      <c r="C2507" s="40" t="n"/>
      <c r="D2507" s="41" t="n"/>
      <c r="E2507" s="42" t="n">
        <v>42802.62638888889</v>
      </c>
      <c r="F2507" s="52" t="inlineStr">
        <is>
          <t>Super Carlin Gaming</t>
        </is>
      </c>
      <c r="G2507" t="inlineStr">
        <is>
          <t>Pokemon Emerald Nuzlocke #14: Flo vs EVERYTHING!</t>
        </is>
      </c>
      <c r="H2507" s="44" t="n">
        <v>0.0269212962962963</v>
      </c>
      <c r="I2507" s="45" t="n">
        <v>31155</v>
      </c>
      <c r="J2507" s="45" t="n">
        <v>714</v>
      </c>
      <c r="K2507" s="45" t="n">
        <v>376</v>
      </c>
      <c r="L2507" s="46" t="n"/>
      <c r="M2507" s="47" t="n"/>
      <c r="N2507" s="47" t="inlineStr">
        <is>
          <t>UCor_9jRnNNZVzTuQ92PKsaQ</t>
        </is>
      </c>
      <c r="O2507" s="48" t="n">
        <v>42802.83472222222</v>
      </c>
      <c r="P2507" s="49" t="n">
        <v>42802</v>
      </c>
      <c r="Q2507" s="47" t="n">
        <v>761</v>
      </c>
      <c r="R2507" s="47" t="inlineStr">
        <is>
          <t>No Video ID yet</t>
        </is>
      </c>
      <c r="S2507" s="49" t="n"/>
      <c r="T2507" s="49" t="n"/>
      <c r="U2507" s="47" t="inlineStr">
        <is>
          <t>Flo has sat in the back seat for the last 2 gym battles and she is itching to stretch her legs on some new routes! This does mean we need to get someone to surf us there though.. hmmm</t>
        </is>
      </c>
      <c r="V2507" s="47">
        <f>IF(AND(P2507&gt;=Calendar!$K$2,P2507&lt;EDATE(Calendar!$K$2,1),OR(Calendar!$K$4="*",N2507=Calendar!$K$4)),P2507*100+COUNTIFS($P$6:$P$3267,P2507,$Q$6:$Q$3267,"&lt;="&amp;Q2507,$N$6:$N$3267,Calendar!$K$4),"")</f>
        <v/>
      </c>
      <c r="W2507" s="47">
        <f>IF(AND(B2507=Queue!$C$4,OR(Queue!$K$4="*",N2507=Queue!$K$4)),Q2507,"")</f>
        <v/>
      </c>
    </row>
    <row r="2508">
      <c r="A2508" s="38">
        <f>IF(M2508="","",HYPERLINK("https://www.youtube.com/watch?v="&amp;M2508,"▶"))</f>
        <v/>
      </c>
      <c r="B2508" s="39">
        <f>IF(C2508&lt;&gt;"",C2508,IF(P2508&lt;=IFERROR(INDEX(tblChannels[Watched Through],MATCH(N2508,tblChannels[Channel ID],0)),0),"Watched","Unwatched"))</f>
        <v/>
      </c>
      <c r="C2508" s="40" t="n"/>
      <c r="D2508" s="41" t="n"/>
      <c r="E2508" s="42" t="n">
        <v>42801.66666666666</v>
      </c>
      <c r="F2508" s="50" t="inlineStr">
        <is>
          <t>Super Carlin Brothers</t>
        </is>
      </c>
      <c r="G2508" t="inlineStr">
        <is>
          <t>Harry Potter Theory: Why Is Peeves Allowed To Stay At Hogwarts?</t>
        </is>
      </c>
      <c r="H2508" s="44" t="n">
        <v>0.006041666666666667</v>
      </c>
      <c r="I2508" s="45" t="n">
        <v>1884681</v>
      </c>
      <c r="J2508" s="45" t="n">
        <v>40066</v>
      </c>
      <c r="K2508" s="45" t="n">
        <v>6730</v>
      </c>
      <c r="L2508" s="46" t="n"/>
      <c r="M2508" s="47" t="n"/>
      <c r="N2508" s="47" t="inlineStr">
        <is>
          <t>UCKZo4N0lVPccBkSiuyVh4yg</t>
        </is>
      </c>
      <c r="O2508" s="48" t="n">
        <v>42801.875</v>
      </c>
      <c r="P2508" s="49" t="n">
        <v>42801</v>
      </c>
      <c r="Q2508" s="47" t="n">
        <v>760</v>
      </c>
      <c r="R2508" s="47" t="inlineStr">
        <is>
          <t>No Video ID yet</t>
        </is>
      </c>
      <c r="S2508" s="49" t="n"/>
      <c r="T2508" s="49" t="n"/>
      <c r="U2508" s="47" t="inlineStr">
        <is>
          <t>SCB STICKERS! Today J dives into the wizarding world of Harry Potter to discuss Peeves the Poltergeists, Ghosts and ghouls and tries to determine where Peeves came from and why he is allowed to stay at Hogwarts. Short Stories from Hogwarts of Power, Politics and Pesky Poltergeists:</t>
        </is>
      </c>
      <c r="V2508" s="47">
        <f>IF(AND(P2508&gt;=Calendar!$K$2,P2508&lt;EDATE(Calendar!$K$2,1),OR(Calendar!$K$4="*",N2508=Calendar!$K$4)),P2508*100+COUNTIFS($P$6:$P$3267,P2508,$Q$6:$Q$3267,"&lt;="&amp;Q2508,$N$6:$N$3267,Calendar!$K$4),"")</f>
        <v/>
      </c>
      <c r="W2508" s="47">
        <f>IF(AND(B2508=Queue!$C$4,OR(Queue!$K$4="*",N2508=Queue!$K$4)),Q2508,"")</f>
        <v/>
      </c>
    </row>
    <row r="2509">
      <c r="A2509" s="38">
        <f>IF(M2509="","",HYPERLINK("https://www.youtube.com/watch?v="&amp;M2509,"▶"))</f>
        <v/>
      </c>
      <c r="B2509" s="39">
        <f>IF(C2509&lt;&gt;"",C2509,IF(P2509&lt;=IFERROR(INDEX(tblChannels[Watched Through],MATCH(N2509,tblChannels[Channel ID],0)),0),"Watched","Unwatched"))</f>
        <v/>
      </c>
      <c r="C2509" s="40" t="n"/>
      <c r="D2509" s="41" t="n"/>
      <c r="E2509" s="42" t="n">
        <v>42800.625</v>
      </c>
      <c r="F2509" s="52" t="inlineStr">
        <is>
          <t>Super Carlin Gaming</t>
        </is>
      </c>
      <c r="G2509" t="inlineStr">
        <is>
          <t>Pokemon Emerald Nuzlocke #13: Showdown with DAD</t>
        </is>
      </c>
      <c r="H2509" s="44" t="n">
        <v>0.01930555555555555</v>
      </c>
      <c r="I2509" s="45" t="n">
        <v>28740</v>
      </c>
      <c r="J2509" s="45" t="n">
        <v>693</v>
      </c>
      <c r="K2509" s="45" t="n">
        <v>342</v>
      </c>
      <c r="L2509" s="46" t="n"/>
      <c r="M2509" s="47" t="n"/>
      <c r="N2509" s="47" t="inlineStr">
        <is>
          <t>UCor_9jRnNNZVzTuQ92PKsaQ</t>
        </is>
      </c>
      <c r="O2509" s="48" t="n">
        <v>42800.83333333334</v>
      </c>
      <c r="P2509" s="49" t="n">
        <v>42800</v>
      </c>
      <c r="Q2509" s="47" t="n">
        <v>759</v>
      </c>
      <c r="R2509" s="47" t="inlineStr">
        <is>
          <t>No Video ID yet</t>
        </is>
      </c>
      <c r="S2509" s="49" t="n"/>
      <c r="T2509" s="49" t="n"/>
      <c r="U2509" s="47" t="inlineStr">
        <is>
          <t>J and the team are feeling good coming off of their victory at the Fire Gym! Today they head into the dessert in search on new pokemon before returning to Petalburg to face off with Norman for the Balance Badge... Will everyone survive this family showdown?</t>
        </is>
      </c>
      <c r="V2509" s="47">
        <f>IF(AND(P2509&gt;=Calendar!$K$2,P2509&lt;EDATE(Calendar!$K$2,1),OR(Calendar!$K$4="*",N2509=Calendar!$K$4)),P2509*100+COUNTIFS($P$6:$P$3267,P2509,$Q$6:$Q$3267,"&lt;="&amp;Q2509,$N$6:$N$3267,Calendar!$K$4),"")</f>
        <v/>
      </c>
      <c r="W2509" s="47">
        <f>IF(AND(B2509=Queue!$C$4,OR(Queue!$K$4="*",N2509=Queue!$K$4)),Q2509,"")</f>
        <v/>
      </c>
    </row>
    <row r="2510">
      <c r="A2510" s="38">
        <f>IF(M2510="","",HYPERLINK("https://www.youtube.com/watch?v="&amp;M2510,"▶"))</f>
        <v/>
      </c>
      <c r="B2510" s="39">
        <f>IF(C2510&lt;&gt;"",C2510,IF(P2510&lt;=IFERROR(INDEX(tblChannels[Watched Through],MATCH(N2510,tblChannels[Channel ID],0)),0),"Watched","Unwatched"))</f>
        <v/>
      </c>
      <c r="C2510" s="40" t="n"/>
      <c r="D2510" s="41" t="n"/>
      <c r="E2510" s="42" t="n">
        <v>42798.41666666666</v>
      </c>
      <c r="F2510" s="50" t="inlineStr">
        <is>
          <t>Super Carlin Brothers</t>
        </is>
      </c>
      <c r="G2510" t="inlineStr">
        <is>
          <t>Loot Crate Unboxing | BUILD</t>
        </is>
      </c>
      <c r="H2510" s="44" t="n">
        <v>0.01041666666666667</v>
      </c>
      <c r="I2510" s="45" t="n">
        <v>104744</v>
      </c>
      <c r="J2510" s="45" t="n">
        <v>3844</v>
      </c>
      <c r="K2510" s="45" t="n">
        <v>782</v>
      </c>
      <c r="L2510" s="46" t="n"/>
      <c r="M2510" s="47" t="n"/>
      <c r="N2510" s="47" t="inlineStr">
        <is>
          <t>UCKZo4N0lVPccBkSiuyVh4yg</t>
        </is>
      </c>
      <c r="O2510" s="48" t="n">
        <v>42798.625</v>
      </c>
      <c r="P2510" s="49" t="n">
        <v>42798</v>
      </c>
      <c r="Q2510" s="47" t="n">
        <v>758</v>
      </c>
      <c r="R2510" s="47" t="inlineStr">
        <is>
          <t>No Video ID yet</t>
        </is>
      </c>
      <c r="S2510" s="49" t="n"/>
      <c r="T2510" s="49" t="n"/>
      <c r="U2510" s="47" t="inlineStr">
        <is>
          <t>Get 10% Off your first month of LootCrate at: Promo Code: CARLIN J and Ben unbox the BUILD Loot Crate - It has all sorts of fun stuff including things from batman, lego, power rangers and tetris!</t>
        </is>
      </c>
      <c r="V2510" s="47">
        <f>IF(AND(P2510&gt;=Calendar!$K$2,P2510&lt;EDATE(Calendar!$K$2,1),OR(Calendar!$K$4="*",N2510=Calendar!$K$4)),P2510*100+COUNTIFS($P$6:$P$3267,P2510,$Q$6:$Q$3267,"&lt;="&amp;Q2510,$N$6:$N$3267,Calendar!$K$4),"")</f>
        <v/>
      </c>
      <c r="W2510" s="47">
        <f>IF(AND(B2510=Queue!$C$4,OR(Queue!$K$4="*",N2510=Queue!$K$4)),Q2510,"")</f>
        <v/>
      </c>
    </row>
    <row r="2511">
      <c r="A2511" s="38">
        <f>IF(M2511="","",HYPERLINK("https://www.youtube.com/watch?v="&amp;M2511,"▶"))</f>
        <v/>
      </c>
      <c r="B2511" s="39">
        <f>IF(C2511&lt;&gt;"",C2511,IF(P2511&lt;=IFERROR(INDEX(tblChannels[Watched Through],MATCH(N2511,tblChannels[Channel ID],0)),0),"Watched","Unwatched"))</f>
        <v/>
      </c>
      <c r="C2511" s="40" t="n"/>
      <c r="D2511" s="41" t="n"/>
      <c r="E2511" s="42" t="n">
        <v>42797.75972222222</v>
      </c>
      <c r="F2511" s="52" t="inlineStr">
        <is>
          <t>Super Carlin Gaming</t>
        </is>
      </c>
      <c r="G2511" t="inlineStr">
        <is>
          <t>Pokemon Emerald Nuzlocke #12: Heating Up!</t>
        </is>
      </c>
      <c r="H2511" s="44" t="n">
        <v>0.02221064814814815</v>
      </c>
      <c r="I2511" s="45" t="n">
        <v>30506</v>
      </c>
      <c r="J2511" s="45" t="n">
        <v>802</v>
      </c>
      <c r="K2511" s="45" t="n">
        <v>355</v>
      </c>
      <c r="L2511" s="46" t="n"/>
      <c r="M2511" s="47" t="n"/>
      <c r="N2511" s="47" t="inlineStr">
        <is>
          <t>UCor_9jRnNNZVzTuQ92PKsaQ</t>
        </is>
      </c>
      <c r="O2511" s="48" t="n">
        <v>42797.96805555555</v>
      </c>
      <c r="P2511" s="49" t="n">
        <v>42797</v>
      </c>
      <c r="Q2511" s="47" t="n">
        <v>757</v>
      </c>
      <c r="R2511" s="47" t="inlineStr">
        <is>
          <t>No Video ID yet</t>
        </is>
      </c>
      <c r="S2511" s="49" t="n"/>
      <c r="T2511" s="49" t="n"/>
      <c r="U2511" s="47" t="inlineStr">
        <is>
          <t>Things are heating up! In the wake of Morphin's death the team comes together in a massive training session and welcome's a new member before taking on Flannery for our 4th gym battle.. can we survive the heat?</t>
        </is>
      </c>
      <c r="V2511" s="47">
        <f>IF(AND(P2511&gt;=Calendar!$K$2,P2511&lt;EDATE(Calendar!$K$2,1),OR(Calendar!$K$4="*",N2511=Calendar!$K$4)),P2511*100+COUNTIFS($P$6:$P$3267,P2511,$Q$6:$Q$3267,"&lt;="&amp;Q2511,$N$6:$N$3267,Calendar!$K$4),"")</f>
        <v/>
      </c>
      <c r="W2511" s="47">
        <f>IF(AND(B2511=Queue!$C$4,OR(Queue!$K$4="*",N2511=Queue!$K$4)),Q2511,"")</f>
        <v/>
      </c>
    </row>
    <row r="2512">
      <c r="A2512" s="38">
        <f>IF(M2512="","",HYPERLINK("https://www.youtube.com/watch?v="&amp;M2512,"▶"))</f>
        <v/>
      </c>
      <c r="B2512" s="39">
        <f>IF(C2512&lt;&gt;"",C2512,IF(P2512&lt;=IFERROR(INDEX(tblChannels[Watched Through],MATCH(N2512,tblChannels[Channel ID],0)),0),"Watched","Unwatched"))</f>
        <v/>
      </c>
      <c r="C2512" s="40" t="n"/>
      <c r="D2512" s="41" t="n"/>
      <c r="E2512" s="42" t="n">
        <v>42796.89236111111</v>
      </c>
      <c r="F2512" s="50" t="inlineStr">
        <is>
          <t>Super Carlin Brothers</t>
        </is>
      </c>
      <c r="G2512" t="inlineStr">
        <is>
          <t>Disney Theory: What Book Is Belle Actually Reading?</t>
        </is>
      </c>
      <c r="H2512" s="44" t="n">
        <v>0.006053240740740741</v>
      </c>
      <c r="I2512" s="45" t="n">
        <v>2011369</v>
      </c>
      <c r="J2512" s="45" t="n">
        <v>39138</v>
      </c>
      <c r="K2512" s="45" t="n">
        <v>6586</v>
      </c>
      <c r="L2512" s="46" t="n"/>
      <c r="M2512" s="47" t="n"/>
      <c r="N2512" s="47" t="inlineStr">
        <is>
          <t>UCKZo4N0lVPccBkSiuyVh4yg</t>
        </is>
      </c>
      <c r="O2512" s="48" t="n">
        <v>42797.10069444445</v>
      </c>
      <c r="P2512" s="49" t="n">
        <v>42796</v>
      </c>
      <c r="Q2512" s="47" t="n">
        <v>756</v>
      </c>
      <c r="R2512" s="47" t="inlineStr">
        <is>
          <t>No Video ID yet</t>
        </is>
      </c>
      <c r="S2512" s="49" t="n"/>
      <c r="T2512" s="49" t="n"/>
      <c r="U2512" s="47" t="inlineStr">
        <is>
          <t>Today Ben dives into one of Disney’s Beauty and the Beasts biggest mysteries and tries to answer what book is Belle reading? Check out Le Songe d’une femme ::</t>
        </is>
      </c>
      <c r="V2512" s="47">
        <f>IF(AND(P2512&gt;=Calendar!$K$2,P2512&lt;EDATE(Calendar!$K$2,1),OR(Calendar!$K$4="*",N2512=Calendar!$K$4)),P2512*100+COUNTIFS($P$6:$P$3267,P2512,$Q$6:$Q$3267,"&lt;="&amp;Q2512,$N$6:$N$3267,Calendar!$K$4),"")</f>
        <v/>
      </c>
      <c r="W2512" s="47">
        <f>IF(AND(B2512=Queue!$C$4,OR(Queue!$K$4="*",N2512=Queue!$K$4)),Q2512,"")</f>
        <v/>
      </c>
    </row>
    <row r="2513">
      <c r="A2513" s="38">
        <f>IF(M2513="","",HYPERLINK("https://www.youtube.com/watch?v="&amp;M2513,"▶"))</f>
        <v/>
      </c>
      <c r="B2513" s="39">
        <f>IF(C2513&lt;&gt;"",C2513,IF(P2513&lt;=IFERROR(INDEX(tblChannels[Watched Through],MATCH(N2513,tblChannels[Channel ID],0)),0),"Watched","Unwatched"))</f>
        <v/>
      </c>
      <c r="C2513" s="40" t="n"/>
      <c r="D2513" s="41" t="n"/>
      <c r="E2513" s="42" t="n">
        <v>42795.65694444445</v>
      </c>
      <c r="F2513" s="52" t="inlineStr">
        <is>
          <t>Super Carlin Gaming</t>
        </is>
      </c>
      <c r="G2513" t="inlineStr">
        <is>
          <t>Pokemon Emerald Nuzlocke #11: The Imposter</t>
        </is>
      </c>
      <c r="H2513" s="44" t="n">
        <v>0.01701388888888889</v>
      </c>
      <c r="I2513" s="45" t="n">
        <v>29614</v>
      </c>
      <c r="J2513" s="45" t="n">
        <v>705</v>
      </c>
      <c r="K2513" s="45" t="n">
        <v>420</v>
      </c>
      <c r="L2513" s="46" t="n"/>
      <c r="M2513" s="47" t="n"/>
      <c r="N2513" s="47" t="inlineStr">
        <is>
          <t>UCor_9jRnNNZVzTuQ92PKsaQ</t>
        </is>
      </c>
      <c r="O2513" s="48" t="n">
        <v>42795.86527777778</v>
      </c>
      <c r="P2513" s="49" t="n">
        <v>42795</v>
      </c>
      <c r="Q2513" s="47" t="n">
        <v>755</v>
      </c>
      <c r="R2513" s="47" t="inlineStr">
        <is>
          <t>No Video ID yet</t>
        </is>
      </c>
      <c r="S2513" s="49" t="n"/>
      <c r="T2513" s="49" t="n"/>
      <c r="U2513" s="47" t="inlineStr">
        <is>
          <t>J discovers an imposter on the team and deals with a possible mole, before heading to Mt. Chimney to challenge Team Magma - Can the team survives Maxey's might??!</t>
        </is>
      </c>
      <c r="V2513" s="47">
        <f>IF(AND(P2513&gt;=Calendar!$K$2,P2513&lt;EDATE(Calendar!$K$2,1),OR(Calendar!$K$4="*",N2513=Calendar!$K$4)),P2513*100+COUNTIFS($P$6:$P$3267,P2513,$Q$6:$Q$3267,"&lt;="&amp;Q2513,$N$6:$N$3267,Calendar!$K$4),"")</f>
        <v/>
      </c>
      <c r="W2513" s="47">
        <f>IF(AND(B2513=Queue!$C$4,OR(Queue!$K$4="*",N2513=Queue!$K$4)),Q2513,"")</f>
        <v/>
      </c>
    </row>
    <row r="2514">
      <c r="A2514" s="38">
        <f>IF(M2514="","",HYPERLINK("https://www.youtube.com/watch?v="&amp;M2514,"▶"))</f>
        <v/>
      </c>
      <c r="B2514" s="39">
        <f>IF(C2514&lt;&gt;"",C2514,IF(P2514&lt;=IFERROR(INDEX(tblChannels[Watched Through],MATCH(N2514,tblChannels[Channel ID],0)),0),"Watched","Unwatched"))</f>
        <v/>
      </c>
      <c r="C2514" s="40" t="n"/>
      <c r="D2514" s="41" t="n"/>
      <c r="E2514" s="42" t="n">
        <v>42794.84791666667</v>
      </c>
      <c r="F2514" s="50" t="inlineStr">
        <is>
          <t>Super Carlin Brothers</t>
        </is>
      </c>
      <c r="G2514" t="inlineStr">
        <is>
          <t>Cars Theory: How Lightning Will Defeat Jackson Storm</t>
        </is>
      </c>
      <c r="H2514" s="44" t="n">
        <v>0.007164351851851851</v>
      </c>
      <c r="I2514" s="45" t="n">
        <v>618391</v>
      </c>
      <c r="J2514" s="45" t="n">
        <v>14171</v>
      </c>
      <c r="K2514" s="45" t="n">
        <v>2479</v>
      </c>
      <c r="L2514" s="46" t="n"/>
      <c r="M2514" s="47" t="n"/>
      <c r="N2514" s="47" t="inlineStr">
        <is>
          <t>UCKZo4N0lVPccBkSiuyVh4yg</t>
        </is>
      </c>
      <c r="O2514" s="48" t="n">
        <v>42795.05625</v>
      </c>
      <c r="P2514" s="49" t="n">
        <v>42794</v>
      </c>
      <c r="Q2514" s="47" t="n">
        <v>754</v>
      </c>
      <c r="R2514" s="47" t="inlineStr">
        <is>
          <t>No Video ID yet</t>
        </is>
      </c>
      <c r="S2514" s="49" t="n"/>
      <c r="T2514" s="49" t="n"/>
      <c r="U2514" s="47" t="inlineStr">
        <is>
          <t>Pixar just released a new trailer for Cars 3 at the Daytona 500 so today J is going frame by frame to give you his in depth review, analysis and predicts for Cars 3 including how he think Lightning will ultimately defeat Jackson Storm. Full Trailer ::</t>
        </is>
      </c>
      <c r="V2514" s="47">
        <f>IF(AND(P2514&gt;=Calendar!$K$2,P2514&lt;EDATE(Calendar!$K$2,1),OR(Calendar!$K$4="*",N2514=Calendar!$K$4)),P2514*100+COUNTIFS($P$6:$P$3267,P2514,$Q$6:$Q$3267,"&lt;="&amp;Q2514,$N$6:$N$3267,Calendar!$K$4),"")</f>
        <v/>
      </c>
      <c r="W2514" s="47">
        <f>IF(AND(B2514=Queue!$C$4,OR(Queue!$K$4="*",N2514=Queue!$K$4)),Q2514,"")</f>
        <v/>
      </c>
    </row>
    <row r="2515">
      <c r="A2515" s="38">
        <f>IF(M2515="","",HYPERLINK("https://www.youtube.com/watch?v="&amp;M2515,"▶"))</f>
        <v/>
      </c>
      <c r="B2515" s="39">
        <f>IF(C2515&lt;&gt;"",C2515,IF(P2515&lt;=IFERROR(INDEX(tblChannels[Watched Through],MATCH(N2515,tblChannels[Channel ID],0)),0),"Watched","Unwatched"))</f>
        <v/>
      </c>
      <c r="C2515" s="40" t="n"/>
      <c r="D2515" s="41" t="n"/>
      <c r="E2515" s="42" t="n">
        <v>42791.41666666666</v>
      </c>
      <c r="F2515" s="52" t="inlineStr">
        <is>
          <t>Super Carlin Gaming</t>
        </is>
      </c>
      <c r="G2515" t="inlineStr">
        <is>
          <t>Pokemon Emerald Nuzlocke #10: Fang Unit Gamma</t>
        </is>
      </c>
      <c r="H2515" s="44" t="n">
        <v>0.02069444444444445</v>
      </c>
      <c r="I2515" s="45" t="n">
        <v>33829</v>
      </c>
      <c r="J2515" s="45" t="n">
        <v>733</v>
      </c>
      <c r="K2515" s="45" t="n">
        <v>336</v>
      </c>
      <c r="L2515" s="46" t="n"/>
      <c r="M2515" s="47" t="n"/>
      <c r="N2515" s="47" t="inlineStr">
        <is>
          <t>UCor_9jRnNNZVzTuQ92PKsaQ</t>
        </is>
      </c>
      <c r="O2515" s="48" t="n">
        <v>42791.625</v>
      </c>
      <c r="P2515" s="49" t="n">
        <v>42791</v>
      </c>
      <c r="Q2515" s="47" t="n">
        <v>753</v>
      </c>
      <c r="R2515" s="47" t="inlineStr">
        <is>
          <t>No Video ID yet</t>
        </is>
      </c>
      <c r="S2515" s="49" t="n"/>
      <c r="T2515" s="49" t="n"/>
      <c r="U2515" s="47" t="inlineStr">
        <is>
          <t>More double battles ensue on our way to Lavaridge and with it a new Fang Unit emerges! ARI :: I am aware that I caught Ari as the 2nd pokemon on Route 112, this will be addressed in the next episode, this one was recorded before that one was released, and now I'm at NerdCon =D - In the meantime ENJOY!</t>
        </is>
      </c>
      <c r="V2515" s="47">
        <f>IF(AND(P2515&gt;=Calendar!$K$2,P2515&lt;EDATE(Calendar!$K$2,1),OR(Calendar!$K$4="*",N2515=Calendar!$K$4)),P2515*100+COUNTIFS($P$6:$P$3267,P2515,$Q$6:$Q$3267,"&lt;="&amp;Q2515,$N$6:$N$3267,Calendar!$K$4),"")</f>
        <v/>
      </c>
      <c r="W2515" s="47">
        <f>IF(AND(B2515=Queue!$C$4,OR(Queue!$K$4="*",N2515=Queue!$K$4)),Q2515,"")</f>
        <v/>
      </c>
    </row>
    <row r="2516">
      <c r="A2516" s="38">
        <f>IF(M2516="","",HYPERLINK("https://www.youtube.com/watch?v="&amp;M2516,"▶"))</f>
        <v/>
      </c>
      <c r="B2516" s="39">
        <f>IF(C2516&lt;&gt;"",C2516,IF(P2516&lt;=IFERROR(INDEX(tblChannels[Watched Through],MATCH(N2516,tblChannels[Channel ID],0)),0),"Watched","Unwatched"))</f>
        <v/>
      </c>
      <c r="C2516" s="40" t="n"/>
      <c r="D2516" s="41" t="n"/>
      <c r="E2516" s="42" t="n">
        <v>42789.70347222222</v>
      </c>
      <c r="F2516" s="50" t="inlineStr">
        <is>
          <t>Super Carlin Brothers</t>
        </is>
      </c>
      <c r="G2516" t="inlineStr">
        <is>
          <t>Harry Potter Theory: Was Professor Quirrell a Horcrux?</t>
        </is>
      </c>
      <c r="H2516" s="44" t="n">
        <v>0.004918981481481482</v>
      </c>
      <c r="I2516" s="45" t="n">
        <v>1178190</v>
      </c>
      <c r="J2516" s="45" t="n">
        <v>25167</v>
      </c>
      <c r="K2516" s="45" t="n">
        <v>3416</v>
      </c>
      <c r="L2516" s="46" t="n"/>
      <c r="M2516" s="47" t="n"/>
      <c r="N2516" s="47" t="inlineStr">
        <is>
          <t>UCKZo4N0lVPccBkSiuyVh4yg</t>
        </is>
      </c>
      <c r="O2516" s="48" t="n">
        <v>42789.91180555556</v>
      </c>
      <c r="P2516" s="49" t="n">
        <v>42789</v>
      </c>
      <c r="Q2516" s="47" t="n">
        <v>752</v>
      </c>
      <c r="R2516" s="47" t="inlineStr">
        <is>
          <t>No Video ID yet</t>
        </is>
      </c>
      <c r="S2516" s="49" t="n"/>
      <c r="T2516" s="49" t="n"/>
      <c r="U2516" s="47" t="inlineStr">
        <is>
          <t>Today Ben discusses the complex ins and outs of Horcruxes, what it takes to be one. And how maybe even you.... could be a horcrux. Well maybe not that last bit. But we will answer the question as to whether or not Professor Quirrell was a Horcrux.</t>
        </is>
      </c>
      <c r="V2516" s="47">
        <f>IF(AND(P2516&gt;=Calendar!$K$2,P2516&lt;EDATE(Calendar!$K$2,1),OR(Calendar!$K$4="*",N2516=Calendar!$K$4)),P2516*100+COUNTIFS($P$6:$P$3267,P2516,$Q$6:$Q$3267,"&lt;="&amp;Q2516,$N$6:$N$3267,Calendar!$K$4),"")</f>
        <v/>
      </c>
      <c r="W2516" s="47">
        <f>IF(AND(B2516=Queue!$C$4,OR(Queue!$K$4="*",N2516=Queue!$K$4)),Q2516,"")</f>
        <v/>
      </c>
    </row>
    <row r="2517">
      <c r="A2517" s="38">
        <f>IF(M2517="","",HYPERLINK("https://www.youtube.com/watch?v="&amp;M2517,"▶"))</f>
        <v/>
      </c>
      <c r="B2517" s="39">
        <f>IF(C2517&lt;&gt;"",C2517,IF(P2517&lt;=IFERROR(INDEX(tblChannels[Watched Through],MATCH(N2517,tblChannels[Channel ID],0)),0),"Watched","Unwatched"))</f>
        <v/>
      </c>
      <c r="C2517" s="40" t="n"/>
      <c r="D2517" s="41" t="n"/>
      <c r="E2517" s="42" t="n">
        <v>42788.78194444445</v>
      </c>
      <c r="F2517" s="52" t="inlineStr">
        <is>
          <t>Super Carlin Gaming</t>
        </is>
      </c>
      <c r="G2517" t="inlineStr">
        <is>
          <t>Pokemon Emerald Nuzlocke #9: The Long Road</t>
        </is>
      </c>
      <c r="H2517" s="44" t="n">
        <v>0.02320601851851852</v>
      </c>
      <c r="I2517" s="45" t="n">
        <v>32472</v>
      </c>
      <c r="J2517" s="45" t="n">
        <v>709</v>
      </c>
      <c r="K2517" s="45" t="n">
        <v>416</v>
      </c>
      <c r="L2517" s="46" t="n"/>
      <c r="M2517" s="47" t="n"/>
      <c r="N2517" s="47" t="inlineStr">
        <is>
          <t>UCor_9jRnNNZVzTuQ92PKsaQ</t>
        </is>
      </c>
      <c r="O2517" s="48" t="n">
        <v>42788.99027777778</v>
      </c>
      <c r="P2517" s="49" t="n">
        <v>42788</v>
      </c>
      <c r="Q2517" s="47" t="n">
        <v>751</v>
      </c>
      <c r="R2517" s="47" t="inlineStr">
        <is>
          <t>No Video ID yet</t>
        </is>
      </c>
      <c r="S2517" s="49" t="n"/>
      <c r="T2517" s="49" t="n"/>
      <c r="U2517" s="47" t="n"/>
      <c r="V2517" s="47">
        <f>IF(AND(P2517&gt;=Calendar!$K$2,P2517&lt;EDATE(Calendar!$K$2,1),OR(Calendar!$K$4="*",N2517=Calendar!$K$4)),P2517*100+COUNTIFS($P$6:$P$3267,P2517,$Q$6:$Q$3267,"&lt;="&amp;Q2517,$N$6:$N$3267,Calendar!$K$4),"")</f>
        <v/>
      </c>
      <c r="W2517" s="47">
        <f>IF(AND(B2517=Queue!$C$4,OR(Queue!$K$4="*",N2517=Queue!$K$4)),Q2517,"")</f>
        <v/>
      </c>
    </row>
    <row r="2518">
      <c r="A2518" s="38">
        <f>IF(M2518="","",HYPERLINK("https://www.youtube.com/watch?v="&amp;M2518,"▶"))</f>
        <v/>
      </c>
      <c r="B2518" s="39">
        <f>IF(C2518&lt;&gt;"",C2518,IF(P2518&lt;=IFERROR(INDEX(tblChannels[Watched Through],MATCH(N2518,tblChannels[Channel ID],0)),0),"Watched","Unwatched"))</f>
        <v/>
      </c>
      <c r="C2518" s="40" t="n"/>
      <c r="D2518" s="41" t="n"/>
      <c r="E2518" s="42" t="n">
        <v>42786.78263888889</v>
      </c>
      <c r="F2518" s="52" t="inlineStr">
        <is>
          <t>Super Carlin Gaming</t>
        </is>
      </c>
      <c r="G2518" t="inlineStr">
        <is>
          <t>Pokemon Emerald Nuzlocke #8: An Electric Shock</t>
        </is>
      </c>
      <c r="H2518" s="44" t="n">
        <v>0.01908564814814815</v>
      </c>
      <c r="I2518" s="45" t="n">
        <v>34084</v>
      </c>
      <c r="J2518" s="45" t="n">
        <v>760</v>
      </c>
      <c r="K2518" s="45" t="n">
        <v>469</v>
      </c>
      <c r="L2518" s="46" t="n"/>
      <c r="M2518" s="47" t="n"/>
      <c r="N2518" s="47" t="inlineStr">
        <is>
          <t>UCor_9jRnNNZVzTuQ92PKsaQ</t>
        </is>
      </c>
      <c r="O2518" s="48" t="n">
        <v>42786.99097222222</v>
      </c>
      <c r="P2518" s="49" t="n">
        <v>42786</v>
      </c>
      <c r="Q2518" s="47" t="n">
        <v>750</v>
      </c>
      <c r="R2518" s="47" t="inlineStr">
        <is>
          <t>No Video ID yet</t>
        </is>
      </c>
      <c r="S2518" s="49" t="n"/>
      <c r="T2518" s="49" t="n"/>
      <c r="U2518" s="47" t="inlineStr">
        <is>
          <t>On our way to defeat Wattson and receive the Dynamo badge!</t>
        </is>
      </c>
      <c r="V2518" s="47">
        <f>IF(AND(P2518&gt;=Calendar!$K$2,P2518&lt;EDATE(Calendar!$K$2,1),OR(Calendar!$K$4="*",N2518=Calendar!$K$4)),P2518*100+COUNTIFS($P$6:$P$3267,P2518,$Q$6:$Q$3267,"&lt;="&amp;Q2518,$N$6:$N$3267,Calendar!$K$4),"")</f>
        <v/>
      </c>
      <c r="W2518" s="47">
        <f>IF(AND(B2518=Queue!$C$4,OR(Queue!$K$4="*",N2518=Queue!$K$4)),Q2518,"")</f>
        <v/>
      </c>
    </row>
    <row r="2519">
      <c r="A2519" s="38">
        <f>IF(M2519="","",HYPERLINK("https://www.youtube.com/watch?v="&amp;M2519,"▶"))</f>
        <v/>
      </c>
      <c r="B2519" s="39">
        <f>IF(C2519&lt;&gt;"",C2519,IF(P2519&lt;=IFERROR(INDEX(tblChannels[Watched Through],MATCH(N2519,tblChannels[Channel ID],0)),0),"Watched","Unwatched"))</f>
        <v/>
      </c>
      <c r="C2519" s="40" t="n"/>
      <c r="D2519" s="41" t="n"/>
      <c r="E2519" s="42" t="n">
        <v>42786.625</v>
      </c>
      <c r="F2519" s="50" t="inlineStr">
        <is>
          <t>Super Carlin Brothers</t>
        </is>
      </c>
      <c r="G2519" t="inlineStr">
        <is>
          <t>Can Wolverine Google Autofill</t>
        </is>
      </c>
      <c r="H2519" s="44" t="n">
        <v>0.005069444444444444</v>
      </c>
      <c r="I2519" s="45" t="n">
        <v>206789</v>
      </c>
      <c r="J2519" s="45" t="n">
        <v>7143</v>
      </c>
      <c r="K2519" s="45" t="n">
        <v>1817</v>
      </c>
      <c r="L2519" s="46" t="n"/>
      <c r="M2519" s="47" t="n"/>
      <c r="N2519" s="47" t="inlineStr">
        <is>
          <t>UCKZo4N0lVPccBkSiuyVh4yg</t>
        </is>
      </c>
      <c r="O2519" s="48" t="n">
        <v>42786.83333333334</v>
      </c>
      <c r="P2519" s="49" t="n">
        <v>42786</v>
      </c>
      <c r="Q2519" s="47" t="n">
        <v>749</v>
      </c>
      <c r="R2519" s="47" t="inlineStr">
        <is>
          <t>No Video ID yet</t>
        </is>
      </c>
      <c r="S2519" s="49" t="n"/>
      <c r="T2519" s="49" t="n"/>
      <c r="U2519" s="47" t="inlineStr">
        <is>
          <t>With Marvel's latest addition to the Wolverine series "Logan" coming out soon J decided to play the Google Autofill game and ask Can Wolverine Google Autofill?</t>
        </is>
      </c>
      <c r="V2519" s="47">
        <f>IF(AND(P2519&gt;=Calendar!$K$2,P2519&lt;EDATE(Calendar!$K$2,1),OR(Calendar!$K$4="*",N2519=Calendar!$K$4)),P2519*100+COUNTIFS($P$6:$P$3267,P2519,$Q$6:$Q$3267,"&lt;="&amp;Q2519,$N$6:$N$3267,Calendar!$K$4),"")</f>
        <v/>
      </c>
      <c r="W2519" s="47">
        <f>IF(AND(B2519=Queue!$C$4,OR(Queue!$K$4="*",N2519=Queue!$K$4)),Q2519,"")</f>
        <v/>
      </c>
    </row>
    <row r="2520">
      <c r="A2520" s="38">
        <f>IF(M2520="","",HYPERLINK("https://www.youtube.com/watch?v="&amp;M2520,"▶"))</f>
        <v/>
      </c>
      <c r="B2520" s="39">
        <f>IF(C2520&lt;&gt;"",C2520,IF(P2520&lt;=IFERROR(INDEX(tblChannels[Watched Through],MATCH(N2520,tblChannels[Channel ID],0)),0),"Watched","Unwatched"))</f>
        <v/>
      </c>
      <c r="C2520" s="40" t="n"/>
      <c r="D2520" s="41" t="n"/>
      <c r="E2520" s="42" t="n">
        <v>42783.59513888889</v>
      </c>
      <c r="F2520" s="52" t="inlineStr">
        <is>
          <t>Super Carlin Gaming</t>
        </is>
      </c>
      <c r="G2520" t="inlineStr">
        <is>
          <t>Pokemon Emerald Nuzlocke #7: The Dustox Showdown</t>
        </is>
      </c>
      <c r="H2520" s="44" t="n">
        <v>0.01967592592592593</v>
      </c>
      <c r="I2520" s="45" t="n">
        <v>37837</v>
      </c>
      <c r="J2520" s="45" t="n">
        <v>764</v>
      </c>
      <c r="K2520" s="45" t="n">
        <v>383</v>
      </c>
      <c r="L2520" s="46" t="n"/>
      <c r="M2520" s="47" t="n"/>
      <c r="N2520" s="47" t="inlineStr">
        <is>
          <t>UCor_9jRnNNZVzTuQ92PKsaQ</t>
        </is>
      </c>
      <c r="O2520" s="48" t="n">
        <v>42783.80347222222</v>
      </c>
      <c r="P2520" s="49" t="n">
        <v>42783</v>
      </c>
      <c r="Q2520" s="47" t="n">
        <v>748</v>
      </c>
      <c r="R2520" s="47" t="inlineStr">
        <is>
          <t>No Video ID yet</t>
        </is>
      </c>
      <c r="S2520" s="49" t="n"/>
      <c r="T2520" s="49" t="n"/>
      <c r="U2520" s="47" t="inlineStr">
        <is>
          <t>Training continues for our 3rd Gym Battle! Mayonnaise makes another appearance and someone tries to claim Dustox dominance - Will Astro and Siru prevail??</t>
        </is>
      </c>
      <c r="V2520" s="47">
        <f>IF(AND(P2520&gt;=Calendar!$K$2,P2520&lt;EDATE(Calendar!$K$2,1),OR(Calendar!$K$4="*",N2520=Calendar!$K$4)),P2520*100+COUNTIFS($P$6:$P$3267,P2520,$Q$6:$Q$3267,"&lt;="&amp;Q2520,$N$6:$N$3267,Calendar!$K$4),"")</f>
        <v/>
      </c>
      <c r="W2520" s="47">
        <f>IF(AND(B2520=Queue!$C$4,OR(Queue!$K$4="*",N2520=Queue!$K$4)),Q2520,"")</f>
        <v/>
      </c>
    </row>
    <row r="2521">
      <c r="A2521" s="38">
        <f>IF(M2521="","",HYPERLINK("https://www.youtube.com/watch?v="&amp;M2521,"▶"))</f>
        <v/>
      </c>
      <c r="B2521" s="39">
        <f>IF(C2521&lt;&gt;"",C2521,IF(P2521&lt;=IFERROR(INDEX(tblChannels[Watched Through],MATCH(N2521,tblChannels[Channel ID],0)),0),"Watched","Unwatched"))</f>
        <v/>
      </c>
      <c r="C2521" s="40" t="n"/>
      <c r="D2521" s="41" t="n"/>
      <c r="E2521" s="42" t="n">
        <v>42782.80416666667</v>
      </c>
      <c r="F2521" s="50" t="inlineStr">
        <is>
          <t>Super Carlin Brothers</t>
        </is>
      </c>
      <c r="G2521" t="inlineStr">
        <is>
          <t>Is LEGO Batman The Best Batman Movie? | REVIEW</t>
        </is>
      </c>
      <c r="H2521" s="44" t="n">
        <v>0.01760416666666667</v>
      </c>
      <c r="I2521" s="45" t="n">
        <v>232912</v>
      </c>
      <c r="J2521" s="45" t="n">
        <v>5902</v>
      </c>
      <c r="K2521" s="45" t="n">
        <v>1515</v>
      </c>
      <c r="L2521" s="46" t="n"/>
      <c r="M2521" s="47" t="n"/>
      <c r="N2521" s="47" t="inlineStr">
        <is>
          <t>UCKZo4N0lVPccBkSiuyVh4yg</t>
        </is>
      </c>
      <c r="O2521" s="48" t="n">
        <v>42783.0125</v>
      </c>
      <c r="P2521" s="49" t="n">
        <v>42782</v>
      </c>
      <c r="Q2521" s="47" t="n">
        <v>747</v>
      </c>
      <c r="R2521" s="47" t="inlineStr">
        <is>
          <t>No Video ID yet</t>
        </is>
      </c>
      <c r="S2521" s="49" t="n"/>
      <c r="T2521" s="49" t="n"/>
      <c r="U2521" s="47" t="inlineStr">
        <is>
          <t>J and Ben review the LEGO Batman movie to determine if it is in fact the BEST Batman movie? What were you're thoughts? Better or worse than The LEGO Movie?</t>
        </is>
      </c>
      <c r="V2521" s="47">
        <f>IF(AND(P2521&gt;=Calendar!$K$2,P2521&lt;EDATE(Calendar!$K$2,1),OR(Calendar!$K$4="*",N2521=Calendar!$K$4)),P2521*100+COUNTIFS($P$6:$P$3267,P2521,$Q$6:$Q$3267,"&lt;="&amp;Q2521,$N$6:$N$3267,Calendar!$K$4),"")</f>
        <v/>
      </c>
      <c r="W2521" s="47">
        <f>IF(AND(B2521=Queue!$C$4,OR(Queue!$K$4="*",N2521=Queue!$K$4)),Q2521,"")</f>
        <v/>
      </c>
    </row>
    <row r="2522">
      <c r="A2522" s="38">
        <f>IF(M2522="","",HYPERLINK("https://www.youtube.com/watch?v="&amp;M2522,"▶"))</f>
        <v/>
      </c>
      <c r="B2522" s="39">
        <f>IF(C2522&lt;&gt;"",C2522,IF(P2522&lt;=IFERROR(INDEX(tblChannels[Watched Through],MATCH(N2522,tblChannels[Channel ID],0)),0),"Watched","Unwatched"))</f>
        <v/>
      </c>
      <c r="C2522" s="40" t="n"/>
      <c r="D2522" s="41" t="n"/>
      <c r="E2522" s="42" t="n">
        <v>42781.625</v>
      </c>
      <c r="F2522" s="52" t="inlineStr">
        <is>
          <t>Super Carlin Gaming</t>
        </is>
      </c>
      <c r="G2522" t="inlineStr">
        <is>
          <t>Pokemon Emerald Nuzlocke #6: Grapefruit Returns!</t>
        </is>
      </c>
      <c r="H2522" s="44" t="n">
        <v>0.01476851851851852</v>
      </c>
      <c r="I2522" s="45" t="n">
        <v>35280</v>
      </c>
      <c r="J2522" s="45" t="n">
        <v>766</v>
      </c>
      <c r="K2522" s="45" t="n">
        <v>313</v>
      </c>
      <c r="L2522" s="46" t="n"/>
      <c r="M2522" s="47" t="n"/>
      <c r="N2522" s="47" t="inlineStr">
        <is>
          <t>UCor_9jRnNNZVzTuQ92PKsaQ</t>
        </is>
      </c>
      <c r="O2522" s="48" t="n">
        <v>42781.83333333334</v>
      </c>
      <c r="P2522" s="49" t="n">
        <v>42781</v>
      </c>
      <c r="Q2522" s="47" t="n">
        <v>746</v>
      </c>
      <c r="R2522" s="47" t="inlineStr">
        <is>
          <t>No Video ID yet</t>
        </is>
      </c>
      <c r="S2522" s="49" t="n"/>
      <c r="T2522" s="49" t="n"/>
      <c r="U2522" s="47" t="inlineStr">
        <is>
          <t>A new member joins the team, and we face off once more with our hated rival GRAPEFRUIT! We gotten a lot stronger since our last encounter.. but is it enough to survive?</t>
        </is>
      </c>
      <c r="V2522" s="47">
        <f>IF(AND(P2522&gt;=Calendar!$K$2,P2522&lt;EDATE(Calendar!$K$2,1),OR(Calendar!$K$4="*",N2522=Calendar!$K$4)),P2522*100+COUNTIFS($P$6:$P$3267,P2522,$Q$6:$Q$3267,"&lt;="&amp;Q2522,$N$6:$N$3267,Calendar!$K$4),"")</f>
        <v/>
      </c>
      <c r="W2522" s="47">
        <f>IF(AND(B2522=Queue!$C$4,OR(Queue!$K$4="*",N2522=Queue!$K$4)),Q2522,"")</f>
        <v/>
      </c>
    </row>
    <row r="2523">
      <c r="A2523" s="38">
        <f>IF(M2523="","",HYPERLINK("https://www.youtube.com/watch?v="&amp;M2523,"▶"))</f>
        <v/>
      </c>
      <c r="B2523" s="39">
        <f>IF(C2523&lt;&gt;"",C2523,IF(P2523&lt;=IFERROR(INDEX(tblChannels[Watched Through],MATCH(N2523,tblChannels[Channel ID],0)),0),"Watched","Unwatched"))</f>
        <v/>
      </c>
      <c r="C2523" s="40" t="n"/>
      <c r="D2523" s="41" t="n"/>
      <c r="E2523" s="42" t="n">
        <v>42780.66527777778</v>
      </c>
      <c r="F2523" s="50" t="inlineStr">
        <is>
          <t>Super Carlin Brothers</t>
        </is>
      </c>
      <c r="G2523" t="inlineStr">
        <is>
          <t>Top 10 Most Romantic Moments In Pixar</t>
        </is>
      </c>
      <c r="H2523" s="44" t="n">
        <v>0.006585648148148148</v>
      </c>
      <c r="I2523" s="45" t="n">
        <v>453423</v>
      </c>
      <c r="J2523" s="45" t="n">
        <v>15653</v>
      </c>
      <c r="K2523" s="45" t="n">
        <v>2238</v>
      </c>
      <c r="L2523" s="46" t="n"/>
      <c r="M2523" s="47" t="n"/>
      <c r="N2523" s="47" t="inlineStr">
        <is>
          <t>UCKZo4N0lVPccBkSiuyVh4yg</t>
        </is>
      </c>
      <c r="O2523" s="48" t="n">
        <v>42780.87361111111</v>
      </c>
      <c r="P2523" s="49" t="n">
        <v>42780</v>
      </c>
      <c r="Q2523" s="47" t="n">
        <v>745</v>
      </c>
      <c r="R2523" s="47" t="inlineStr">
        <is>
          <t>No Video ID yet</t>
        </is>
      </c>
      <c r="S2523" s="49" t="n"/>
      <c r="T2523" s="49" t="n"/>
      <c r="U2523" s="47" t="inlineStr">
        <is>
          <t>Happy Valentines Day! Ah the holiday of Love and here and Super Carlin Brothers we love Pixar, so today we are counting down the Top 10 Most Romantic Moments in Pixar. Pizza Planet Shirt ::</t>
        </is>
      </c>
      <c r="V2523" s="47">
        <f>IF(AND(P2523&gt;=Calendar!$K$2,P2523&lt;EDATE(Calendar!$K$2,1),OR(Calendar!$K$4="*",N2523=Calendar!$K$4)),P2523*100+COUNTIFS($P$6:$P$3267,P2523,$Q$6:$Q$3267,"&lt;="&amp;Q2523,$N$6:$N$3267,Calendar!$K$4),"")</f>
        <v/>
      </c>
      <c r="W2523" s="47">
        <f>IF(AND(B2523=Queue!$C$4,OR(Queue!$K$4="*",N2523=Queue!$K$4)),Q2523,"")</f>
        <v/>
      </c>
    </row>
    <row r="2524">
      <c r="A2524" s="38">
        <f>IF(M2524="","",HYPERLINK("https://www.youtube.com/watch?v="&amp;M2524,"▶"))</f>
        <v/>
      </c>
      <c r="B2524" s="39">
        <f>IF(C2524&lt;&gt;"",C2524,IF(P2524&lt;=IFERROR(INDEX(tblChannels[Watched Through],MATCH(N2524,tblChannels[Channel ID],0)),0),"Watched","Unwatched"))</f>
        <v/>
      </c>
      <c r="C2524" s="40" t="n"/>
      <c r="D2524" s="41" t="n"/>
      <c r="E2524" s="42" t="n">
        <v>42779.625</v>
      </c>
      <c r="F2524" s="52" t="inlineStr">
        <is>
          <t>Super Carlin Gaming</t>
        </is>
      </c>
      <c r="G2524" t="inlineStr">
        <is>
          <t>Pokemon Emerald Nuzlocke #5: Journey to Slateport</t>
        </is>
      </c>
      <c r="H2524" s="44" t="n">
        <v>0.02141203703703704</v>
      </c>
      <c r="I2524" s="45" t="n">
        <v>41554</v>
      </c>
      <c r="J2524" s="45" t="n">
        <v>805</v>
      </c>
      <c r="K2524" s="45" t="n">
        <v>552</v>
      </c>
      <c r="L2524" s="46" t="n"/>
      <c r="M2524" s="47" t="n"/>
      <c r="N2524" s="47" t="inlineStr">
        <is>
          <t>UCor_9jRnNNZVzTuQ92PKsaQ</t>
        </is>
      </c>
      <c r="O2524" s="48" t="n">
        <v>42779.83333333334</v>
      </c>
      <c r="P2524" s="49" t="n">
        <v>42779</v>
      </c>
      <c r="Q2524" s="47" t="n">
        <v>744</v>
      </c>
      <c r="R2524" s="47" t="inlineStr">
        <is>
          <t>No Video ID yet</t>
        </is>
      </c>
      <c r="S2524" s="49" t="n"/>
      <c r="T2524" s="49" t="n"/>
      <c r="U2524" s="47" t="inlineStr">
        <is>
          <t>J and the team are recovering to from the tragic loss of Yarden and moving on by.. running errands? Geez, why do all of the adults in this game dump all of their responsibilities on us? At least we get to continue our journey by heading to Slateport!</t>
        </is>
      </c>
      <c r="V2524" s="47">
        <f>IF(AND(P2524&gt;=Calendar!$K$2,P2524&lt;EDATE(Calendar!$K$2,1),OR(Calendar!$K$4="*",N2524=Calendar!$K$4)),P2524*100+COUNTIFS($P$6:$P$3267,P2524,$Q$6:$Q$3267,"&lt;="&amp;Q2524,$N$6:$N$3267,Calendar!$K$4),"")</f>
        <v/>
      </c>
      <c r="W2524" s="47">
        <f>IF(AND(B2524=Queue!$C$4,OR(Queue!$K$4="*",N2524=Queue!$K$4)),Q2524,"")</f>
        <v/>
      </c>
    </row>
    <row r="2525">
      <c r="A2525" s="38">
        <f>IF(M2525="","",HYPERLINK("https://www.youtube.com/watch?v="&amp;M2525,"▶"))</f>
        <v/>
      </c>
      <c r="B2525" s="39">
        <f>IF(C2525&lt;&gt;"",C2525,IF(P2525&lt;=IFERROR(INDEX(tblChannels[Watched Through],MATCH(N2525,tblChannels[Channel ID],0)),0),"Watched","Unwatched"))</f>
        <v/>
      </c>
      <c r="C2525" s="40" t="n"/>
      <c r="D2525" s="41" t="n"/>
      <c r="E2525" s="42" t="n">
        <v>42776.625</v>
      </c>
      <c r="F2525" s="52" t="inlineStr">
        <is>
          <t>Super Carlin Gaming</t>
        </is>
      </c>
      <c r="G2525" t="inlineStr">
        <is>
          <t>Pokemon Emerald Nuzlocke #4: It's Time To Brawly</t>
        </is>
      </c>
      <c r="H2525" s="44" t="n">
        <v>0.02518518518518519</v>
      </c>
      <c r="I2525" s="45" t="n">
        <v>49197</v>
      </c>
      <c r="J2525" s="45" t="n">
        <v>1111</v>
      </c>
      <c r="K2525" s="45" t="n">
        <v>492</v>
      </c>
      <c r="L2525" s="46" t="n"/>
      <c r="M2525" s="47" t="n"/>
      <c r="N2525" s="47" t="inlineStr">
        <is>
          <t>UCor_9jRnNNZVzTuQ92PKsaQ</t>
        </is>
      </c>
      <c r="O2525" s="48" t="n">
        <v>42776.83333333334</v>
      </c>
      <c r="P2525" s="49" t="n">
        <v>42776</v>
      </c>
      <c r="Q2525" s="47" t="n">
        <v>743</v>
      </c>
      <c r="R2525" s="47" t="inlineStr">
        <is>
          <t>No Video ID yet</t>
        </is>
      </c>
      <c r="S2525" s="49" t="n"/>
      <c r="T2525" s="49" t="n"/>
      <c r="U2525" s="47" t="inlineStr">
        <is>
          <t>J, Flo and Co. head to Dewford to deliver a letter and show down with the next gym leader: Brawly. His fighting types are hard hitting, can the team survive the battle?</t>
        </is>
      </c>
      <c r="V2525" s="47">
        <f>IF(AND(P2525&gt;=Calendar!$K$2,P2525&lt;EDATE(Calendar!$K$2,1),OR(Calendar!$K$4="*",N2525=Calendar!$K$4)),P2525*100+COUNTIFS($P$6:$P$3267,P2525,$Q$6:$Q$3267,"&lt;="&amp;Q2525,$N$6:$N$3267,Calendar!$K$4),"")</f>
        <v/>
      </c>
      <c r="W2525" s="47">
        <f>IF(AND(B2525=Queue!$C$4,OR(Queue!$K$4="*",N2525=Queue!$K$4)),Q2525,"")</f>
        <v/>
      </c>
    </row>
    <row r="2526">
      <c r="A2526" s="38">
        <f>IF(M2526="","",HYPERLINK("https://www.youtube.com/watch?v="&amp;M2526,"▶"))</f>
        <v/>
      </c>
      <c r="B2526" s="39">
        <f>IF(C2526&lt;&gt;"",C2526,IF(P2526&lt;=IFERROR(INDEX(tblChannels[Watched Through],MATCH(N2526,tblChannels[Channel ID],0)),0),"Watched","Unwatched"))</f>
        <v/>
      </c>
      <c r="C2526" s="40" t="n"/>
      <c r="D2526" s="41" t="n"/>
      <c r="E2526" s="42" t="n">
        <v>42775.76458333333</v>
      </c>
      <c r="F2526" s="50" t="inlineStr">
        <is>
          <t>Super Carlin Brothers</t>
        </is>
      </c>
      <c r="G2526" t="inlineStr">
        <is>
          <t>Star Wars Theory: Did Han Solo Commit Suicide?</t>
        </is>
      </c>
      <c r="H2526" s="44" t="n">
        <v>0.004444444444444444</v>
      </c>
      <c r="I2526" s="45" t="n">
        <v>587318</v>
      </c>
      <c r="J2526" s="45" t="n">
        <v>19467</v>
      </c>
      <c r="K2526" s="45" t="n">
        <v>3245</v>
      </c>
      <c r="L2526" s="46" t="n"/>
      <c r="M2526" s="47" t="n"/>
      <c r="N2526" s="47" t="inlineStr">
        <is>
          <t>UCKZo4N0lVPccBkSiuyVh4yg</t>
        </is>
      </c>
      <c r="O2526" s="48" t="n">
        <v>42775.97291666667</v>
      </c>
      <c r="P2526" s="49" t="n">
        <v>42775</v>
      </c>
      <c r="Q2526" s="47" t="n">
        <v>742</v>
      </c>
      <c r="R2526" s="47" t="inlineStr">
        <is>
          <t>No Video ID yet</t>
        </is>
      </c>
      <c r="S2526" s="49" t="n"/>
      <c r="T2526" s="49" t="n"/>
      <c r="U2526" s="47" t="inlineStr">
        <is>
          <t>Today Ben dives into the Star Wars universe to tackle a much debated topic - How and Why did Han Solo die? Did he know Kylo Ren was going to kill him? Did he kill himself?</t>
        </is>
      </c>
      <c r="V2526" s="47">
        <f>IF(AND(P2526&gt;=Calendar!$K$2,P2526&lt;EDATE(Calendar!$K$2,1),OR(Calendar!$K$4="*",N2526=Calendar!$K$4)),P2526*100+COUNTIFS($P$6:$P$3267,P2526,$Q$6:$Q$3267,"&lt;="&amp;Q2526,$N$6:$N$3267,Calendar!$K$4),"")</f>
        <v/>
      </c>
      <c r="W2526" s="47">
        <f>IF(AND(B2526=Queue!$C$4,OR(Queue!$K$4="*",N2526=Queue!$K$4)),Q2526,"")</f>
        <v/>
      </c>
    </row>
    <row r="2527">
      <c r="A2527" s="38">
        <f>IF(M2527="","",HYPERLINK("https://www.youtube.com/watch?v="&amp;M2527,"▶"))</f>
        <v/>
      </c>
      <c r="B2527" s="39">
        <f>IF(C2527&lt;&gt;"",C2527,IF(P2527&lt;=IFERROR(INDEX(tblChannels[Watched Through],MATCH(N2527,tblChannels[Channel ID],0)),0),"Watched","Unwatched"))</f>
        <v/>
      </c>
      <c r="C2527" s="40" t="n"/>
      <c r="D2527" s="41" t="n"/>
      <c r="E2527" s="42" t="n">
        <v>42774.625</v>
      </c>
      <c r="F2527" s="52" t="inlineStr">
        <is>
          <t>Super Carlin Gaming</t>
        </is>
      </c>
      <c r="G2527" t="inlineStr">
        <is>
          <t>Pokemon Emerald Nuzlocke #3: A Shiny New Badge</t>
        </is>
      </c>
      <c r="H2527" s="44" t="n">
        <v>0.02074074074074074</v>
      </c>
      <c r="I2527" s="45" t="n">
        <v>52250</v>
      </c>
      <c r="J2527" s="45" t="n">
        <v>1073</v>
      </c>
      <c r="K2527" s="45" t="n">
        <v>645</v>
      </c>
      <c r="L2527" s="46" t="n"/>
      <c r="M2527" s="47" t="n"/>
      <c r="N2527" s="47" t="inlineStr">
        <is>
          <t>UCor_9jRnNNZVzTuQ92PKsaQ</t>
        </is>
      </c>
      <c r="O2527" s="48" t="n">
        <v>42774.83333333334</v>
      </c>
      <c r="P2527" s="49" t="n">
        <v>42774</v>
      </c>
      <c r="Q2527" s="47" t="n">
        <v>741</v>
      </c>
      <c r="R2527" s="47" t="inlineStr">
        <is>
          <t>No Video ID yet</t>
        </is>
      </c>
      <c r="S2527" s="49" t="n"/>
      <c r="T2527" s="49" t="n"/>
      <c r="U2527" s="47" t="inlineStr">
        <is>
          <t>J and the Team are ready for their first Gym battle, but can they handle Roxanne's Nosepass without any casualties and earn a shiny new badge?</t>
        </is>
      </c>
      <c r="V2527" s="47">
        <f>IF(AND(P2527&gt;=Calendar!$K$2,P2527&lt;EDATE(Calendar!$K$2,1),OR(Calendar!$K$4="*",N2527=Calendar!$K$4)),P2527*100+COUNTIFS($P$6:$P$3267,P2527,$Q$6:$Q$3267,"&lt;="&amp;Q2527,$N$6:$N$3267,Calendar!$K$4),"")</f>
        <v/>
      </c>
      <c r="W2527" s="47">
        <f>IF(AND(B2527=Queue!$C$4,OR(Queue!$K$4="*",N2527=Queue!$K$4)),Q2527,"")</f>
        <v/>
      </c>
    </row>
    <row r="2528">
      <c r="A2528" s="38">
        <f>IF(M2528="","",HYPERLINK("https://www.youtube.com/watch?v="&amp;M2528,"▶"))</f>
        <v/>
      </c>
      <c r="B2528" s="39">
        <f>IF(C2528&lt;&gt;"",C2528,IF(P2528&lt;=IFERROR(INDEX(tblChannels[Watched Through],MATCH(N2528,tblChannels[Channel ID],0)),0),"Watched","Unwatched"))</f>
        <v/>
      </c>
      <c r="C2528" s="40" t="n"/>
      <c r="D2528" s="41" t="n"/>
      <c r="E2528" s="42" t="n">
        <v>42773.83472222222</v>
      </c>
      <c r="F2528" s="50" t="inlineStr">
        <is>
          <t>Super Carlin Brothers</t>
        </is>
      </c>
      <c r="G2528" t="inlineStr">
        <is>
          <t>Is Radiator Springs A Real Town?</t>
        </is>
      </c>
      <c r="H2528" s="44" t="n">
        <v>0.005844907407407407</v>
      </c>
      <c r="I2528" s="45" t="n">
        <v>757410</v>
      </c>
      <c r="J2528" s="45" t="n">
        <v>19128</v>
      </c>
      <c r="K2528" s="45" t="n">
        <v>2806</v>
      </c>
      <c r="L2528" s="46" t="n"/>
      <c r="M2528" s="47" t="n"/>
      <c r="N2528" s="47" t="inlineStr">
        <is>
          <t>UCKZo4N0lVPccBkSiuyVh4yg</t>
        </is>
      </c>
      <c r="O2528" s="48" t="n">
        <v>42774.04305555556</v>
      </c>
      <c r="P2528" s="49" t="n">
        <v>42773</v>
      </c>
      <c r="Q2528" s="47" t="n">
        <v>740</v>
      </c>
      <c r="R2528" s="47" t="inlineStr">
        <is>
          <t>No Video ID yet</t>
        </is>
      </c>
      <c r="S2528" s="49" t="n"/>
      <c r="T2528" s="49" t="n"/>
      <c r="U2528" s="47" t="inlineStr">
        <is>
          <t>Today J dives into the world of Disney Pixar's Cars and takes a trip down Historic Route 66 to determine: Is Radiator Springs a Real Town? Nuzlocke Challenge ::</t>
        </is>
      </c>
      <c r="V2528" s="47">
        <f>IF(AND(P2528&gt;=Calendar!$K$2,P2528&lt;EDATE(Calendar!$K$2,1),OR(Calendar!$K$4="*",N2528=Calendar!$K$4)),P2528*100+COUNTIFS($P$6:$P$3267,P2528,$Q$6:$Q$3267,"&lt;="&amp;Q2528,$N$6:$N$3267,Calendar!$K$4),"")</f>
        <v/>
      </c>
      <c r="W2528" s="47">
        <f>IF(AND(B2528=Queue!$C$4,OR(Queue!$K$4="*",N2528=Queue!$K$4)),Q2528,"")</f>
        <v/>
      </c>
    </row>
    <row r="2529">
      <c r="A2529" s="38">
        <f>IF(M2529="","",HYPERLINK("https://www.youtube.com/watch?v="&amp;M2529,"▶"))</f>
        <v/>
      </c>
      <c r="B2529" s="39">
        <f>IF(C2529&lt;&gt;"",C2529,IF(P2529&lt;=IFERROR(INDEX(tblChannels[Watched Through],MATCH(N2529,tblChannels[Channel ID],0)),0),"Watched","Unwatched"))</f>
        <v/>
      </c>
      <c r="C2529" s="40" t="n"/>
      <c r="D2529" s="41" t="n"/>
      <c r="E2529" s="42" t="n">
        <v>42772.625</v>
      </c>
      <c r="F2529" s="52" t="inlineStr">
        <is>
          <t>Super Carlin Gaming</t>
        </is>
      </c>
      <c r="G2529" t="inlineStr">
        <is>
          <t>Pokemon Emerald Nuzlocke #2: Team Building</t>
        </is>
      </c>
      <c r="H2529" s="44" t="n">
        <v>0.02224537037037037</v>
      </c>
      <c r="I2529" s="45" t="n">
        <v>59674</v>
      </c>
      <c r="J2529" s="45" t="n">
        <v>1172</v>
      </c>
      <c r="K2529" s="45" t="n">
        <v>667</v>
      </c>
      <c r="L2529" s="46" t="n"/>
      <c r="M2529" s="47" t="n"/>
      <c r="N2529" s="47" t="inlineStr">
        <is>
          <t>UCor_9jRnNNZVzTuQ92PKsaQ</t>
        </is>
      </c>
      <c r="O2529" s="48" t="n">
        <v>42772.83333333334</v>
      </c>
      <c r="P2529" s="49" t="n">
        <v>42772</v>
      </c>
      <c r="Q2529" s="47" t="n">
        <v>739</v>
      </c>
      <c r="R2529" s="47" t="inlineStr">
        <is>
          <t>No Video ID yet</t>
        </is>
      </c>
      <c r="S2529" s="49" t="n"/>
      <c r="T2529" s="49" t="n"/>
      <c r="U2529" s="47" t="inlineStr">
        <is>
          <t>J and Flo head out of Verdanturf town towards their first Gym, but first we need to a little team building.. hopefully none get away...</t>
        </is>
      </c>
      <c r="V2529" s="47">
        <f>IF(AND(P2529&gt;=Calendar!$K$2,P2529&lt;EDATE(Calendar!$K$2,1),OR(Calendar!$K$4="*",N2529=Calendar!$K$4)),P2529*100+COUNTIFS($P$6:$P$3267,P2529,$Q$6:$Q$3267,"&lt;="&amp;Q2529,$N$6:$N$3267,Calendar!$K$4),"")</f>
        <v/>
      </c>
      <c r="W2529" s="47">
        <f>IF(AND(B2529=Queue!$C$4,OR(Queue!$K$4="*",N2529=Queue!$K$4)),Q2529,"")</f>
        <v/>
      </c>
    </row>
    <row r="2530">
      <c r="A2530" s="38">
        <f>IF(M2530="","",HYPERLINK("https://www.youtube.com/watch?v="&amp;M2530,"▶"))</f>
        <v/>
      </c>
      <c r="B2530" s="39">
        <f>IF(C2530&lt;&gt;"",C2530,IF(P2530&lt;=IFERROR(INDEX(tblChannels[Watched Through],MATCH(N2530,tblChannels[Channel ID],0)),0),"Watched","Unwatched"))</f>
        <v/>
      </c>
      <c r="C2530" s="40" t="n"/>
      <c r="D2530" s="41" t="n"/>
      <c r="E2530" s="42" t="n">
        <v>42770.41666666666</v>
      </c>
      <c r="F2530" s="50" t="inlineStr">
        <is>
          <t>Super Carlin Brothers</t>
        </is>
      </c>
      <c r="G2530" t="inlineStr">
        <is>
          <t>Loot Crate Unboxing | ORIGINS</t>
        </is>
      </c>
      <c r="H2530" s="44" t="n">
        <v>0.007592592592592593</v>
      </c>
      <c r="I2530" s="45" t="n">
        <v>106528</v>
      </c>
      <c r="J2530" s="45" t="n">
        <v>4334</v>
      </c>
      <c r="K2530" s="45" t="n">
        <v>1524</v>
      </c>
      <c r="L2530" s="46" t="n"/>
      <c r="M2530" s="47" t="n"/>
      <c r="N2530" s="47" t="inlineStr">
        <is>
          <t>UCKZo4N0lVPccBkSiuyVh4yg</t>
        </is>
      </c>
      <c r="O2530" s="48" t="n">
        <v>42770.625</v>
      </c>
      <c r="P2530" s="49" t="n">
        <v>42770</v>
      </c>
      <c r="Q2530" s="47" t="n">
        <v>738</v>
      </c>
      <c r="R2530" s="47" t="inlineStr">
        <is>
          <t>No Video ID yet</t>
        </is>
      </c>
      <c r="S2530" s="49" t="n"/>
      <c r="T2530" s="49" t="n"/>
      <c r="U2530" s="47" t="inlineStr">
        <is>
          <t>Get 10% Off your Loot Crate order at: Promo Code: CARLIN J and Ben are unboxing another Loot Crate and this months theme is Origins! They uncover all sorts of awesome stuff from Super Mario Brothers, Captain America, Teenage Mutant Ninja Turtles and Super Man!</t>
        </is>
      </c>
      <c r="V2530" s="47">
        <f>IF(AND(P2530&gt;=Calendar!$K$2,P2530&lt;EDATE(Calendar!$K$2,1),OR(Calendar!$K$4="*",N2530=Calendar!$K$4)),P2530*100+COUNTIFS($P$6:$P$3267,P2530,$Q$6:$Q$3267,"&lt;="&amp;Q2530,$N$6:$N$3267,Calendar!$K$4),"")</f>
        <v/>
      </c>
      <c r="W2530" s="47">
        <f>IF(AND(B2530=Queue!$C$4,OR(Queue!$K$4="*",N2530=Queue!$K$4)),Q2530,"")</f>
        <v/>
      </c>
    </row>
    <row r="2531">
      <c r="A2531" s="38">
        <f>IF(M2531="","",HYPERLINK("https://www.youtube.com/watch?v="&amp;M2531,"▶"))</f>
        <v/>
      </c>
      <c r="B2531" s="39">
        <f>IF(C2531&lt;&gt;"",C2531,IF(P2531&lt;=IFERROR(INDEX(tblChannels[Watched Through],MATCH(N2531,tblChannels[Channel ID],0)),0),"Watched","Unwatched"))</f>
        <v/>
      </c>
      <c r="C2531" s="40" t="n"/>
      <c r="D2531" s="41" t="n"/>
      <c r="E2531" s="42" t="n">
        <v>42769.625</v>
      </c>
      <c r="F2531" s="52" t="inlineStr">
        <is>
          <t>Super Carlin Gaming</t>
        </is>
      </c>
      <c r="G2531" t="inlineStr">
        <is>
          <t>Pokemon Emerald Nuzlocke #1: Our Journey Begins!</t>
        </is>
      </c>
      <c r="H2531" s="44" t="n">
        <v>0.0112962962962963</v>
      </c>
      <c r="I2531" s="45" t="n">
        <v>107841</v>
      </c>
      <c r="J2531" s="45" t="n">
        <v>2062</v>
      </c>
      <c r="K2531" s="45" t="n">
        <v>1206</v>
      </c>
      <c r="L2531" s="46" t="n"/>
      <c r="M2531" s="47" t="n"/>
      <c r="N2531" s="47" t="inlineStr">
        <is>
          <t>UCor_9jRnNNZVzTuQ92PKsaQ</t>
        </is>
      </c>
      <c r="O2531" s="48" t="n">
        <v>42769.83333333334</v>
      </c>
      <c r="P2531" s="49" t="n">
        <v>42769</v>
      </c>
      <c r="Q2531" s="47" t="n">
        <v>737</v>
      </c>
      <c r="R2531" s="47" t="inlineStr">
        <is>
          <t>No Video ID yet</t>
        </is>
      </c>
      <c r="S2531" s="49" t="n"/>
      <c r="T2531" s="49" t="n"/>
      <c r="U2531" s="47" t="inlineStr">
        <is>
          <t>We are back! J starts his next Nuzlocke adventure in the Hoenn region as he takes on Pokemon Emerald - What will his starter pokemon be?? 5. Shiny Clause - Any shiny pokemon at all is catchable regardless of when you run into it.</t>
        </is>
      </c>
      <c r="V2531" s="47">
        <f>IF(AND(P2531&gt;=Calendar!$K$2,P2531&lt;EDATE(Calendar!$K$2,1),OR(Calendar!$K$4="*",N2531=Calendar!$K$4)),P2531*100+COUNTIFS($P$6:$P$3267,P2531,$Q$6:$Q$3267,"&lt;="&amp;Q2531,$N$6:$N$3267,Calendar!$K$4),"")</f>
        <v/>
      </c>
      <c r="W2531" s="47">
        <f>IF(AND(B2531=Queue!$C$4,OR(Queue!$K$4="*",N2531=Queue!$K$4)),Q2531,"")</f>
        <v/>
      </c>
    </row>
    <row r="2532">
      <c r="A2532" s="38">
        <f>IF(M2532="","",HYPERLINK("https://www.youtube.com/watch?v="&amp;M2532,"▶"))</f>
        <v/>
      </c>
      <c r="B2532" s="39">
        <f>IF(C2532&lt;&gt;"",C2532,IF(P2532&lt;=IFERROR(INDEX(tblChannels[Watched Through],MATCH(N2532,tblChannels[Channel ID],0)),0),"Watched","Unwatched"))</f>
        <v/>
      </c>
      <c r="C2532" s="40" t="n"/>
      <c r="D2532" s="41" t="n"/>
      <c r="E2532" s="42" t="n">
        <v>42768.74097222222</v>
      </c>
      <c r="F2532" s="50" t="inlineStr">
        <is>
          <t>Super Carlin Brothers</t>
        </is>
      </c>
      <c r="G2532" t="inlineStr">
        <is>
          <t>Harry Potter Theory: Golden Flames Explained</t>
        </is>
      </c>
      <c r="H2532" s="44" t="n">
        <v>0.005972222222222223</v>
      </c>
      <c r="I2532" s="45" t="n">
        <v>1562964</v>
      </c>
      <c r="J2532" s="45" t="n">
        <v>34720</v>
      </c>
      <c r="K2532" s="45" t="n">
        <v>3713</v>
      </c>
      <c r="L2532" s="46" t="n"/>
      <c r="M2532" s="47" t="n"/>
      <c r="N2532" s="47" t="inlineStr">
        <is>
          <t>UCKZo4N0lVPccBkSiuyVh4yg</t>
        </is>
      </c>
      <c r="O2532" s="48" t="n">
        <v>42768.94930555556</v>
      </c>
      <c r="P2532" s="49" t="n">
        <v>42768</v>
      </c>
      <c r="Q2532" s="47" t="n">
        <v>736</v>
      </c>
      <c r="R2532" s="47" t="inlineStr">
        <is>
          <t>No Video ID yet</t>
        </is>
      </c>
      <c r="S2532" s="49" t="n"/>
      <c r="T2532" s="49" t="n"/>
      <c r="U2532" s="47" t="inlineStr">
        <is>
          <t>Today Ben dives into the wizarding world of Harry Potter with a new theory to explain how Harry ACTUALLY created the golden flames he uses against Voldemort in the Deathly Hallows.</t>
        </is>
      </c>
      <c r="V2532" s="47">
        <f>IF(AND(P2532&gt;=Calendar!$K$2,P2532&lt;EDATE(Calendar!$K$2,1),OR(Calendar!$K$4="*",N2532=Calendar!$K$4)),P2532*100+COUNTIFS($P$6:$P$3267,P2532,$Q$6:$Q$3267,"&lt;="&amp;Q2532,$N$6:$N$3267,Calendar!$K$4),"")</f>
        <v/>
      </c>
      <c r="W2532" s="47">
        <f>IF(AND(B2532=Queue!$C$4,OR(Queue!$K$4="*",N2532=Queue!$K$4)),Q2532,"")</f>
        <v/>
      </c>
    </row>
    <row r="2533">
      <c r="A2533" s="38">
        <f>IF(M2533="","",HYPERLINK("https://www.youtube.com/watch?v="&amp;M2533,"▶"))</f>
        <v/>
      </c>
      <c r="B2533" s="39">
        <f>IF(C2533&lt;&gt;"",C2533,IF(P2533&lt;=IFERROR(INDEX(tblChannels[Watched Through],MATCH(N2533,tblChannels[Channel ID],0)),0),"Watched","Unwatched"))</f>
        <v/>
      </c>
      <c r="C2533" s="40" t="n"/>
      <c r="D2533" s="41" t="n"/>
      <c r="E2533" s="42" t="n">
        <v>42768.41666666666</v>
      </c>
      <c r="F2533" s="52" t="inlineStr">
        <is>
          <t>Super Carlin Gaming</t>
        </is>
      </c>
      <c r="G2533" t="inlineStr">
        <is>
          <t>Castle Crashers #9: THE FINAL BATTLE</t>
        </is>
      </c>
      <c r="H2533" s="44" t="n">
        <v>0.01943287037037037</v>
      </c>
      <c r="I2533" s="45" t="n">
        <v>7642</v>
      </c>
      <c r="J2533" s="45" t="n">
        <v>186</v>
      </c>
      <c r="K2533" s="45" t="n">
        <v>86</v>
      </c>
      <c r="L2533" s="46" t="n"/>
      <c r="M2533" s="47" t="n"/>
      <c r="N2533" s="47" t="inlineStr">
        <is>
          <t>UCor_9jRnNNZVzTuQ92PKsaQ</t>
        </is>
      </c>
      <c r="O2533" s="48" t="n">
        <v>42768.625</v>
      </c>
      <c r="P2533" s="49" t="n">
        <v>42768</v>
      </c>
      <c r="Q2533" s="47" t="n">
        <v>735</v>
      </c>
      <c r="R2533" s="47" t="inlineStr">
        <is>
          <t>No Video ID yet</t>
        </is>
      </c>
      <c r="S2533" s="49" t="n"/>
      <c r="T2533" s="49" t="n"/>
      <c r="U2533" s="47" t="inlineStr">
        <is>
          <t>J and the Iron Peach continue their Castle Crasher adventure and take on the final boss of the game as well as a gauntlet of big bosses, can they succeed and win the heart of the orange princess??</t>
        </is>
      </c>
      <c r="V2533" s="47">
        <f>IF(AND(P2533&gt;=Calendar!$K$2,P2533&lt;EDATE(Calendar!$K$2,1),OR(Calendar!$K$4="*",N2533=Calendar!$K$4)),P2533*100+COUNTIFS($P$6:$P$3267,P2533,$Q$6:$Q$3267,"&lt;="&amp;Q2533,$N$6:$N$3267,Calendar!$K$4),"")</f>
        <v/>
      </c>
      <c r="W2533" s="47">
        <f>IF(AND(B2533=Queue!$C$4,OR(Queue!$K$4="*",N2533=Queue!$K$4)),Q2533,"")</f>
        <v/>
      </c>
    </row>
    <row r="2534">
      <c r="A2534" s="38">
        <f>IF(M2534="","",HYPERLINK("https://www.youtube.com/watch?v="&amp;M2534,"▶"))</f>
        <v/>
      </c>
      <c r="B2534" s="39">
        <f>IF(C2534&lt;&gt;"",C2534,IF(P2534&lt;=IFERROR(INDEX(tblChannels[Watched Through],MATCH(N2534,tblChannels[Channel ID],0)),0),"Watched","Unwatched"))</f>
        <v/>
      </c>
      <c r="C2534" s="40" t="n"/>
      <c r="D2534" s="41" t="n"/>
      <c r="E2534" s="42" t="n">
        <v>42766.625</v>
      </c>
      <c r="F2534" s="50" t="inlineStr">
        <is>
          <t>Super Carlin Brothers</t>
        </is>
      </c>
      <c r="G2534" t="inlineStr">
        <is>
          <t>Who Is The Last Jedi?</t>
        </is>
      </c>
      <c r="H2534" s="44" t="n">
        <v>0.005590277777777777</v>
      </c>
      <c r="I2534" s="45" t="n">
        <v>362078</v>
      </c>
      <c r="J2534" s="45" t="n">
        <v>11204</v>
      </c>
      <c r="K2534" s="45" t="n">
        <v>2706</v>
      </c>
      <c r="L2534" s="46" t="n"/>
      <c r="M2534" s="47" t="n"/>
      <c r="N2534" s="47" t="inlineStr">
        <is>
          <t>UCKZo4N0lVPccBkSiuyVh4yg</t>
        </is>
      </c>
      <c r="O2534" s="48" t="n">
        <v>42766.83333333334</v>
      </c>
      <c r="P2534" s="49" t="n">
        <v>42766</v>
      </c>
      <c r="Q2534" s="47" t="n">
        <v>734</v>
      </c>
      <c r="R2534" s="47" t="inlineStr">
        <is>
          <t>No Video ID yet</t>
        </is>
      </c>
      <c r="S2534" s="49" t="n"/>
      <c r="T2534" s="49" t="n"/>
      <c r="U2534" s="47" t="inlineStr">
        <is>
          <t>Star Wars just released the new name for Episode VIII: The Last Jedi, which means today we are going to try and figure out who is the last jedi? Luke? Rey? Kylo Ren? Someone else????</t>
        </is>
      </c>
      <c r="V2534" s="47">
        <f>IF(AND(P2534&gt;=Calendar!$K$2,P2534&lt;EDATE(Calendar!$K$2,1),OR(Calendar!$K$4="*",N2534=Calendar!$K$4)),P2534*100+COUNTIFS($P$6:$P$3267,P2534,$Q$6:$Q$3267,"&lt;="&amp;Q2534,$N$6:$N$3267,Calendar!$K$4),"")</f>
        <v/>
      </c>
      <c r="W2534" s="47">
        <f>IF(AND(B2534=Queue!$C$4,OR(Queue!$K$4="*",N2534=Queue!$K$4)),Q2534,"")</f>
        <v/>
      </c>
    </row>
    <row r="2535">
      <c r="A2535" s="38">
        <f>IF(M2535="","",HYPERLINK("https://www.youtube.com/watch?v="&amp;M2535,"▶"))</f>
        <v/>
      </c>
      <c r="B2535" s="39">
        <f>IF(C2535&lt;&gt;"",C2535,IF(P2535&lt;=IFERROR(INDEX(tblChannels[Watched Through],MATCH(N2535,tblChannels[Channel ID],0)),0),"Watched","Unwatched"))</f>
        <v/>
      </c>
      <c r="C2535" s="40" t="n"/>
      <c r="D2535" s="41" t="n"/>
      <c r="E2535" s="42" t="n">
        <v>42765.77222222222</v>
      </c>
      <c r="F2535" s="52" t="inlineStr">
        <is>
          <t>Super Carlin Gaming</t>
        </is>
      </c>
      <c r="G2535" t="inlineStr">
        <is>
          <t>Castle Crashers #8: J vs Iron Peach Round 3!</t>
        </is>
      </c>
      <c r="H2535" s="44" t="n">
        <v>0.0166087962962963</v>
      </c>
      <c r="I2535" s="45" t="n">
        <v>5790</v>
      </c>
      <c r="J2535" s="45" t="n">
        <v>145</v>
      </c>
      <c r="K2535" s="45" t="n">
        <v>82</v>
      </c>
      <c r="L2535" s="46" t="n"/>
      <c r="M2535" s="47" t="n"/>
      <c r="N2535" s="47" t="inlineStr">
        <is>
          <t>UCor_9jRnNNZVzTuQ92PKsaQ</t>
        </is>
      </c>
      <c r="O2535" s="48" t="n">
        <v>42765.98055555556</v>
      </c>
      <c r="P2535" s="49" t="n">
        <v>42765</v>
      </c>
      <c r="Q2535" s="47" t="n">
        <v>733</v>
      </c>
      <c r="R2535" s="47" t="inlineStr">
        <is>
          <t>No Video ID yet</t>
        </is>
      </c>
      <c r="S2535" s="49" t="n"/>
      <c r="T2535" s="49" t="n"/>
      <c r="U2535" s="47" t="inlineStr">
        <is>
          <t>Today J and the Iron Peach continue their Castle Crashers adventure by battling and Ice King and also EACH OTHER for the love of another princess, but who will come out on top??</t>
        </is>
      </c>
      <c r="V2535" s="47">
        <f>IF(AND(P2535&gt;=Calendar!$K$2,P2535&lt;EDATE(Calendar!$K$2,1),OR(Calendar!$K$4="*",N2535=Calendar!$K$4)),P2535*100+COUNTIFS($P$6:$P$3267,P2535,$Q$6:$Q$3267,"&lt;="&amp;Q2535,$N$6:$N$3267,Calendar!$K$4),"")</f>
        <v/>
      </c>
      <c r="W2535" s="47">
        <f>IF(AND(B2535=Queue!$C$4,OR(Queue!$K$4="*",N2535=Queue!$K$4)),Q2535,"")</f>
        <v/>
      </c>
    </row>
    <row r="2536">
      <c r="A2536" s="38">
        <f>IF(M2536="","",HYPERLINK("https://www.youtube.com/watch?v="&amp;M2536,"▶"))</f>
        <v/>
      </c>
      <c r="B2536" s="39">
        <f>IF(C2536&lt;&gt;"",C2536,IF(P2536&lt;=IFERROR(INDEX(tblChannels[Watched Through],MATCH(N2536,tblChannels[Channel ID],0)),0),"Watched","Unwatched"))</f>
        <v/>
      </c>
      <c r="C2536" s="40" t="n"/>
      <c r="D2536" s="41" t="n"/>
      <c r="E2536" s="42" t="n">
        <v>42762.70833333334</v>
      </c>
      <c r="F2536" s="52" t="inlineStr">
        <is>
          <t>Super Carlin Gaming</t>
        </is>
      </c>
      <c r="G2536" t="inlineStr">
        <is>
          <t>Castle Crashers #7: Super Corny</t>
        </is>
      </c>
      <c r="H2536" s="44" t="n">
        <v>0.01356481481481481</v>
      </c>
      <c r="I2536" s="45" t="n">
        <v>5537</v>
      </c>
      <c r="J2536" s="45" t="n">
        <v>144</v>
      </c>
      <c r="K2536" s="45" t="n">
        <v>34</v>
      </c>
      <c r="L2536" s="46" t="n"/>
      <c r="M2536" s="47" t="n"/>
      <c r="N2536" s="47" t="inlineStr">
        <is>
          <t>UCor_9jRnNNZVzTuQ92PKsaQ</t>
        </is>
      </c>
      <c r="O2536" s="48" t="n">
        <v>42762.91666666666</v>
      </c>
      <c r="P2536" s="49" t="n">
        <v>42762</v>
      </c>
      <c r="Q2536" s="47" t="n">
        <v>732</v>
      </c>
      <c r="R2536" s="47" t="inlineStr">
        <is>
          <t>No Video ID yet</t>
        </is>
      </c>
      <c r="S2536" s="49" t="n"/>
      <c r="T2536" s="49" t="n"/>
      <c r="U2536" s="47" t="inlineStr">
        <is>
          <t>Today on Castle Crashers J and the Iron Peach work their way through another 'maise' of enemies and keep and 'ear' out for todays' big boss and make lots of 'Super Corny' jokes =P.</t>
        </is>
      </c>
      <c r="V2536" s="47">
        <f>IF(AND(P2536&gt;=Calendar!$K$2,P2536&lt;EDATE(Calendar!$K$2,1),OR(Calendar!$K$4="*",N2536=Calendar!$K$4)),P2536*100+COUNTIFS($P$6:$P$3267,P2536,$Q$6:$Q$3267,"&lt;="&amp;Q2536,$N$6:$N$3267,Calendar!$K$4),"")</f>
        <v/>
      </c>
      <c r="W2536" s="47">
        <f>IF(AND(B2536=Queue!$C$4,OR(Queue!$K$4="*",N2536=Queue!$K$4)),Q2536,"")</f>
        <v/>
      </c>
    </row>
    <row r="2537">
      <c r="A2537" s="38">
        <f>IF(M2537="","",HYPERLINK("https://www.youtube.com/watch?v="&amp;M2537,"▶"))</f>
        <v/>
      </c>
      <c r="B2537" s="39">
        <f>IF(C2537&lt;&gt;"",C2537,IF(P2537&lt;=IFERROR(INDEX(tblChannels[Watched Through],MATCH(N2537,tblChannels[Channel ID],0)),0),"Watched","Unwatched"))</f>
        <v/>
      </c>
      <c r="C2537" s="40" t="n"/>
      <c r="D2537" s="41" t="n"/>
      <c r="E2537" s="42" t="n">
        <v>42761.74236111111</v>
      </c>
      <c r="F2537" s="50" t="inlineStr">
        <is>
          <t>Super Carlin Brothers</t>
        </is>
      </c>
      <c r="G2537" t="inlineStr">
        <is>
          <t>Did Pixar Confirm The Pixar Theory?!</t>
        </is>
      </c>
      <c r="H2537" s="44" t="n">
        <v>0.0046875</v>
      </c>
      <c r="I2537" s="45" t="n">
        <v>1232357</v>
      </c>
      <c r="J2537" s="45" t="n">
        <v>34137</v>
      </c>
      <c r="K2537" s="45" t="n">
        <v>2867</v>
      </c>
      <c r="L2537" s="46" t="n"/>
      <c r="M2537" s="47" t="n"/>
      <c r="N2537" s="47" t="inlineStr">
        <is>
          <t>UCKZo4N0lVPccBkSiuyVh4yg</t>
        </is>
      </c>
      <c r="O2537" s="48" t="n">
        <v>42761.95069444444</v>
      </c>
      <c r="P2537" s="49" t="n">
        <v>42761</v>
      </c>
      <c r="Q2537" s="47" t="n">
        <v>731</v>
      </c>
      <c r="R2537" s="47" t="inlineStr">
        <is>
          <t>No Video ID yet</t>
        </is>
      </c>
      <c r="S2537" s="49" t="n"/>
      <c r="T2537" s="49" t="n"/>
      <c r="U2537" s="47" t="inlineStr">
        <is>
          <t>Pixar's New Vid :: Read Jon Negroni's Pixar Theory :: We have heard the tweets! Pixar recently released a video showcasing some of their best easter eggs from across all of their movies, but did this video CONFIRM the Pixar Theory?</t>
        </is>
      </c>
      <c r="V2537" s="47">
        <f>IF(AND(P2537&gt;=Calendar!$K$2,P2537&lt;EDATE(Calendar!$K$2,1),OR(Calendar!$K$4="*",N2537=Calendar!$K$4)),P2537*100+COUNTIFS($P$6:$P$3267,P2537,$Q$6:$Q$3267,"&lt;="&amp;Q2537,$N$6:$N$3267,Calendar!$K$4),"")</f>
        <v/>
      </c>
      <c r="W2537" s="47">
        <f>IF(AND(B2537=Queue!$C$4,OR(Queue!$K$4="*",N2537=Queue!$K$4)),Q2537,"")</f>
        <v/>
      </c>
    </row>
    <row r="2538">
      <c r="A2538" s="38">
        <f>IF(M2538="","",HYPERLINK("https://www.youtube.com/watch?v="&amp;M2538,"▶"))</f>
        <v/>
      </c>
      <c r="B2538" s="39">
        <f>IF(C2538&lt;&gt;"",C2538,IF(P2538&lt;=IFERROR(INDEX(tblChannels[Watched Through],MATCH(N2538,tblChannels[Channel ID],0)),0),"Watched","Unwatched"))</f>
        <v/>
      </c>
      <c r="C2538" s="40" t="n"/>
      <c r="D2538" s="41" t="n"/>
      <c r="E2538" s="42" t="n">
        <v>42760.70833333334</v>
      </c>
      <c r="F2538" s="52" t="inlineStr">
        <is>
          <t>Super Carlin Gaming</t>
        </is>
      </c>
      <c r="G2538" t="inlineStr">
        <is>
          <t>Castle Crashers #6: TEAM GIRAFFALENT!</t>
        </is>
      </c>
      <c r="H2538" s="44" t="n">
        <v>0.01461805555555556</v>
      </c>
      <c r="I2538" s="45" t="n">
        <v>5997</v>
      </c>
      <c r="J2538" s="45" t="n">
        <v>146</v>
      </c>
      <c r="K2538" s="45" t="n">
        <v>117</v>
      </c>
      <c r="L2538" s="46" t="n"/>
      <c r="M2538" s="47" t="n"/>
      <c r="N2538" s="47" t="inlineStr">
        <is>
          <t>UCor_9jRnNNZVzTuQ92PKsaQ</t>
        </is>
      </c>
      <c r="O2538" s="48" t="n">
        <v>42760.91666666666</v>
      </c>
      <c r="P2538" s="49" t="n">
        <v>42760</v>
      </c>
      <c r="Q2538" s="47" t="n">
        <v>730</v>
      </c>
      <c r="R2538" s="47" t="inlineStr">
        <is>
          <t>No Video ID yet</t>
        </is>
      </c>
      <c r="S2538" s="49" t="n"/>
      <c r="T2538" s="49" t="n"/>
      <c r="U2538" s="47" t="inlineStr">
        <is>
          <t>In today's episode of Castle Crashers J and the Iron Peach are abducted by Alien Homind's... can they escape their ship in time??? Also we recruit a Giraffe.. uh oh..</t>
        </is>
      </c>
      <c r="V2538" s="47">
        <f>IF(AND(P2538&gt;=Calendar!$K$2,P2538&lt;EDATE(Calendar!$K$2,1),OR(Calendar!$K$4="*",N2538=Calendar!$K$4)),P2538*100+COUNTIFS($P$6:$P$3267,P2538,$Q$6:$Q$3267,"&lt;="&amp;Q2538,$N$6:$N$3267,Calendar!$K$4),"")</f>
        <v/>
      </c>
      <c r="W2538" s="47">
        <f>IF(AND(B2538=Queue!$C$4,OR(Queue!$K$4="*",N2538=Queue!$K$4)),Q2538,"")</f>
        <v/>
      </c>
    </row>
    <row r="2539">
      <c r="A2539" s="38">
        <f>IF(M2539="","",HYPERLINK("https://www.youtube.com/watch?v="&amp;M2539,"▶"))</f>
        <v/>
      </c>
      <c r="B2539" s="39">
        <f>IF(C2539&lt;&gt;"",C2539,IF(P2539&lt;=IFERROR(INDEX(tblChannels[Watched Through],MATCH(N2539,tblChannels[Channel ID],0)),0),"Watched","Unwatched"))</f>
        <v/>
      </c>
      <c r="C2539" s="40" t="n"/>
      <c r="D2539" s="41" t="n"/>
      <c r="E2539" s="42" t="n">
        <v>42759.67638888889</v>
      </c>
      <c r="F2539" s="50" t="inlineStr">
        <is>
          <t>Super Carlin Brothers</t>
        </is>
      </c>
      <c r="G2539" t="inlineStr">
        <is>
          <t>Top 5 Snubbed Disney Princes</t>
        </is>
      </c>
      <c r="H2539" s="44" t="n">
        <v>0.006111111111111111</v>
      </c>
      <c r="I2539" s="45" t="n">
        <v>880961</v>
      </c>
      <c r="J2539" s="45" t="n">
        <v>23808</v>
      </c>
      <c r="K2539" s="45" t="n">
        <v>5516</v>
      </c>
      <c r="L2539" s="46" t="n"/>
      <c r="M2539" s="47" t="n"/>
      <c r="N2539" s="47" t="inlineStr">
        <is>
          <t>UCKZo4N0lVPccBkSiuyVh4yg</t>
        </is>
      </c>
      <c r="O2539" s="48" t="n">
        <v>42759.88472222222</v>
      </c>
      <c r="P2539" s="49" t="n">
        <v>42759</v>
      </c>
      <c r="Q2539" s="47" t="n">
        <v>729</v>
      </c>
      <c r="R2539" s="47" t="inlineStr">
        <is>
          <t>No Video ID yet</t>
        </is>
      </c>
      <c r="S2539" s="49" t="n"/>
      <c r="T2539" s="49" t="n"/>
      <c r="U2539" s="47" t="inlineStr">
        <is>
          <t>You guys know how much we love Disney Princesses, but what about their significant others the Disney Princes? YES, there is an official list and that means there are characters being left off the list, so today J is counting down the Top 5 Snubbed Disney Princes.</t>
        </is>
      </c>
      <c r="V2539" s="47">
        <f>IF(AND(P2539&gt;=Calendar!$K$2,P2539&lt;EDATE(Calendar!$K$2,1),OR(Calendar!$K$4="*",N2539=Calendar!$K$4)),P2539*100+COUNTIFS($P$6:$P$3267,P2539,$Q$6:$Q$3267,"&lt;="&amp;Q2539,$N$6:$N$3267,Calendar!$K$4),"")</f>
        <v/>
      </c>
      <c r="W2539" s="47">
        <f>IF(AND(B2539=Queue!$C$4,OR(Queue!$K$4="*",N2539=Queue!$K$4)),Q2539,"")</f>
        <v/>
      </c>
    </row>
    <row r="2540">
      <c r="A2540" s="38">
        <f>IF(M2540="","",HYPERLINK("https://www.youtube.com/watch?v="&amp;M2540,"▶"))</f>
        <v/>
      </c>
      <c r="B2540" s="39">
        <f>IF(C2540&lt;&gt;"",C2540,IF(P2540&lt;=IFERROR(INDEX(tblChannels[Watched Through],MATCH(N2540,tblChannels[Channel ID],0)),0),"Watched","Unwatched"))</f>
        <v/>
      </c>
      <c r="C2540" s="40" t="n"/>
      <c r="D2540" s="41" t="n"/>
      <c r="E2540" s="42" t="n">
        <v>42758.70833333334</v>
      </c>
      <c r="F2540" s="52" t="inlineStr">
        <is>
          <t>Super Carlin Gaming</t>
        </is>
      </c>
      <c r="G2540" t="inlineStr">
        <is>
          <t>Castle Crashers #5: BOOBY TRAPPED!</t>
        </is>
      </c>
      <c r="H2540" s="44" t="n">
        <v>0.01125</v>
      </c>
      <c r="I2540" s="45" t="n">
        <v>5990</v>
      </c>
      <c r="J2540" s="45" t="n">
        <v>151</v>
      </c>
      <c r="K2540" s="45" t="n">
        <v>45</v>
      </c>
      <c r="L2540" s="46" t="n"/>
      <c r="M2540" s="47" t="n"/>
      <c r="N2540" s="47" t="inlineStr">
        <is>
          <t>UCor_9jRnNNZVzTuQ92PKsaQ</t>
        </is>
      </c>
      <c r="O2540" s="48" t="n">
        <v>42758.91666666666</v>
      </c>
      <c r="P2540" s="49" t="n">
        <v>42758</v>
      </c>
      <c r="Q2540" s="47" t="n">
        <v>728</v>
      </c>
      <c r="R2540" s="47" t="inlineStr">
        <is>
          <t>No Video ID yet</t>
        </is>
      </c>
      <c r="S2540" s="49" t="n"/>
      <c r="T2540" s="49" t="n"/>
      <c r="U2540" s="47" t="inlineStr">
        <is>
          <t>Full of Sandwiches J and the Iron Peach continue their quest through Castle Crashers and take on a booby trapped factory, depth perception and a giant hand.</t>
        </is>
      </c>
      <c r="V2540" s="47">
        <f>IF(AND(P2540&gt;=Calendar!$K$2,P2540&lt;EDATE(Calendar!$K$2,1),OR(Calendar!$K$4="*",N2540=Calendar!$K$4)),P2540*100+COUNTIFS($P$6:$P$3267,P2540,$Q$6:$Q$3267,"&lt;="&amp;Q2540,$N$6:$N$3267,Calendar!$K$4),"")</f>
        <v/>
      </c>
      <c r="W2540" s="47">
        <f>IF(AND(B2540=Queue!$C$4,OR(Queue!$K$4="*",N2540=Queue!$K$4)),Q2540,"")</f>
        <v/>
      </c>
    </row>
    <row r="2541">
      <c r="A2541" s="38">
        <f>IF(M2541="","",HYPERLINK("https://www.youtube.com/watch?v="&amp;M2541,"▶"))</f>
        <v/>
      </c>
      <c r="B2541" s="39">
        <f>IF(C2541&lt;&gt;"",C2541,IF(P2541&lt;=IFERROR(INDEX(tblChannels[Watched Through],MATCH(N2541,tblChannels[Channel ID],0)),0),"Watched","Unwatched"))</f>
        <v/>
      </c>
      <c r="C2541" s="40" t="n"/>
      <c r="D2541" s="41" t="n"/>
      <c r="E2541" s="42" t="n">
        <v>42754.81319444445</v>
      </c>
      <c r="F2541" s="50" t="inlineStr">
        <is>
          <t>Super Carlin Brothers</t>
        </is>
      </c>
      <c r="G2541" t="inlineStr">
        <is>
          <t>Star Wars Theory: The Truth About Captain Phasma</t>
        </is>
      </c>
      <c r="H2541" s="44" t="n">
        <v>0.006273148148148148</v>
      </c>
      <c r="I2541" s="45" t="n">
        <v>702201</v>
      </c>
      <c r="J2541" s="45" t="n">
        <v>18263</v>
      </c>
      <c r="K2541" s="45" t="n">
        <v>2883</v>
      </c>
      <c r="L2541" s="46" t="n"/>
      <c r="M2541" s="47" t="n"/>
      <c r="N2541" s="47" t="inlineStr">
        <is>
          <t>UCKZo4N0lVPccBkSiuyVh4yg</t>
        </is>
      </c>
      <c r="O2541" s="48" t="n">
        <v>42755.02152777778</v>
      </c>
      <c r="P2541" s="49" t="n">
        <v>42754</v>
      </c>
      <c r="Q2541" s="47" t="n">
        <v>727</v>
      </c>
      <c r="R2541" s="47" t="inlineStr">
        <is>
          <t>No Video ID yet</t>
        </is>
      </c>
      <c r="S2541" s="49" t="n"/>
      <c r="T2541" s="49" t="n"/>
      <c r="U2541" s="47" t="inlineStr">
        <is>
          <t>One of our biggest questions from Star Wars The Force Awakens was… Why is Captain Phasma so lame?? Well, upon my latest viewing I noticed something that may explain everything and reveal the truth about Captain Phasma!</t>
        </is>
      </c>
      <c r="V2541" s="47">
        <f>IF(AND(P2541&gt;=Calendar!$K$2,P2541&lt;EDATE(Calendar!$K$2,1),OR(Calendar!$K$4="*",N2541=Calendar!$K$4)),P2541*100+COUNTIFS($P$6:$P$3267,P2541,$Q$6:$Q$3267,"&lt;="&amp;Q2541,$N$6:$N$3267,Calendar!$K$4),"")</f>
        <v/>
      </c>
      <c r="W2541" s="47">
        <f>IF(AND(B2541=Queue!$C$4,OR(Queue!$K$4="*",N2541=Queue!$K$4)),Q2541,"")</f>
        <v/>
      </c>
    </row>
    <row r="2542">
      <c r="A2542" s="38">
        <f>IF(M2542="","",HYPERLINK("https://www.youtube.com/watch?v="&amp;M2542,"▶"))</f>
        <v/>
      </c>
      <c r="B2542" s="39">
        <f>IF(C2542&lt;&gt;"",C2542,IF(P2542&lt;=IFERROR(INDEX(tblChannels[Watched Through],MATCH(N2542,tblChannels[Channel ID],0)),0),"Watched","Unwatched"))</f>
        <v/>
      </c>
      <c r="C2542" s="40" t="n"/>
      <c r="D2542" s="41" t="n"/>
      <c r="E2542" s="42" t="n">
        <v>42752.78333333333</v>
      </c>
      <c r="F2542" s="50" t="inlineStr">
        <is>
          <t>Super Carlin Brothers</t>
        </is>
      </c>
      <c r="G2542" t="inlineStr">
        <is>
          <t>Do I Deserve Google Autofill</t>
        </is>
      </c>
      <c r="H2542" s="44" t="n">
        <v>0.004398148148148148</v>
      </c>
      <c r="I2542" s="45" t="n">
        <v>355822</v>
      </c>
      <c r="J2542" s="45" t="n">
        <v>11614</v>
      </c>
      <c r="K2542" s="45" t="n">
        <v>2015</v>
      </c>
      <c r="L2542" s="46" t="n"/>
      <c r="M2542" s="47" t="n"/>
      <c r="N2542" s="47" t="inlineStr">
        <is>
          <t>UCKZo4N0lVPccBkSiuyVh4yg</t>
        </is>
      </c>
      <c r="O2542" s="48" t="n">
        <v>42752.99166666667</v>
      </c>
      <c r="P2542" s="49" t="n">
        <v>42752</v>
      </c>
      <c r="Q2542" s="47" t="n">
        <v>726</v>
      </c>
      <c r="R2542" s="47" t="inlineStr">
        <is>
          <t>No Video ID yet</t>
        </is>
      </c>
      <c r="S2542" s="49" t="n"/>
      <c r="T2542" s="49" t="n"/>
      <c r="U2542" s="47" t="inlineStr">
        <is>
          <t>Today J plays everyone's favorite game and asks: Do I Deserve Google Autofill? Quotes Answers :: 1. Empire Strikes Back 2. Catch Me If You Can 3. Wall-E 4. The Emperor's New Groove 5. The Incredibles</t>
        </is>
      </c>
      <c r="V2542" s="47">
        <f>IF(AND(P2542&gt;=Calendar!$K$2,P2542&lt;EDATE(Calendar!$K$2,1),OR(Calendar!$K$4="*",N2542=Calendar!$K$4)),P2542*100+COUNTIFS($P$6:$P$3267,P2542,$Q$6:$Q$3267,"&lt;="&amp;Q2542,$N$6:$N$3267,Calendar!$K$4),"")</f>
        <v/>
      </c>
      <c r="W2542" s="47">
        <f>IF(AND(B2542=Queue!$C$4,OR(Queue!$K$4="*",N2542=Queue!$K$4)),Q2542,"")</f>
        <v/>
      </c>
    </row>
    <row r="2543">
      <c r="A2543" s="38">
        <f>IF(M2543="","",HYPERLINK("https://www.youtube.com/watch?v="&amp;M2543,"▶"))</f>
        <v/>
      </c>
      <c r="B2543" s="39">
        <f>IF(C2543&lt;&gt;"",C2543,IF(P2543&lt;=IFERROR(INDEX(tblChannels[Watched Through],MATCH(N2543,tblChannels[Channel ID],0)),0),"Watched","Unwatched"))</f>
        <v/>
      </c>
      <c r="C2543" s="40" t="n"/>
      <c r="D2543" s="41" t="n"/>
      <c r="E2543" s="42" t="n">
        <v>42747.78125</v>
      </c>
      <c r="F2543" s="50" t="inlineStr">
        <is>
          <t>Super Carlin Brothers</t>
        </is>
      </c>
      <c r="G2543" t="inlineStr">
        <is>
          <t>Will Cars 3 Be The Sequel We Deserve?</t>
        </is>
      </c>
      <c r="H2543" s="44" t="n">
        <v>0.00693287037037037</v>
      </c>
      <c r="I2543" s="45" t="n">
        <v>610863</v>
      </c>
      <c r="J2543" s="45" t="n">
        <v>14837</v>
      </c>
      <c r="K2543" s="45" t="n">
        <v>2689</v>
      </c>
      <c r="L2543" s="46" t="n"/>
      <c r="M2543" s="47" t="n"/>
      <c r="N2543" s="47" t="inlineStr">
        <is>
          <t>UCKZo4N0lVPccBkSiuyVh4yg</t>
        </is>
      </c>
      <c r="O2543" s="48" t="n">
        <v>42747.98958333334</v>
      </c>
      <c r="P2543" s="49" t="n">
        <v>42747</v>
      </c>
      <c r="Q2543" s="47" t="n">
        <v>725</v>
      </c>
      <c r="R2543" s="47" t="inlineStr">
        <is>
          <t>No Video ID yet</t>
        </is>
      </c>
      <c r="S2543" s="49" t="n"/>
      <c r="T2543" s="49" t="n"/>
      <c r="U2543" s="47" t="inlineStr">
        <is>
          <t>Watch the Trailer here :: Pixar just dropped the Extended Cars 3 Teaser Trailer to today we are going frame by frame to give you our review, analysis and predictions to determine if Cars 3 is the sequel we deserve!</t>
        </is>
      </c>
      <c r="V2543" s="47">
        <f>IF(AND(P2543&gt;=Calendar!$K$2,P2543&lt;EDATE(Calendar!$K$2,1),OR(Calendar!$K$4="*",N2543=Calendar!$K$4)),P2543*100+COUNTIFS($P$6:$P$3267,P2543,$Q$6:$Q$3267,"&lt;="&amp;Q2543,$N$6:$N$3267,Calendar!$K$4),"")</f>
        <v/>
      </c>
      <c r="W2543" s="47">
        <f>IF(AND(B2543=Queue!$C$4,OR(Queue!$K$4="*",N2543=Queue!$K$4)),Q2543,"")</f>
        <v/>
      </c>
    </row>
    <row r="2544">
      <c r="A2544" s="38">
        <f>IF(M2544="","",HYPERLINK("https://www.youtube.com/watch?v="&amp;M2544,"▶"))</f>
        <v/>
      </c>
      <c r="B2544" s="39">
        <f>IF(C2544&lt;&gt;"",C2544,IF(P2544&lt;=IFERROR(INDEX(tblChannels[Watched Through],MATCH(N2544,tblChannels[Channel ID],0)),0),"Watched","Unwatched"))</f>
        <v/>
      </c>
      <c r="C2544" s="40" t="n"/>
      <c r="D2544" s="41" t="n"/>
      <c r="E2544" s="42" t="n">
        <v>42745.58888888889</v>
      </c>
      <c r="F2544" s="50" t="inlineStr">
        <is>
          <t>Super Carlin Brothers</t>
        </is>
      </c>
      <c r="G2544" t="inlineStr">
        <is>
          <t>Anna and Elsa Are NOT Disney Princesses?!</t>
        </is>
      </c>
      <c r="H2544" s="44" t="n">
        <v>0.004953703703703704</v>
      </c>
      <c r="I2544" s="45" t="n">
        <v>783795</v>
      </c>
      <c r="J2544" s="45" t="n">
        <v>21958</v>
      </c>
      <c r="K2544" s="45" t="n">
        <v>3525</v>
      </c>
      <c r="L2544" s="46" t="n"/>
      <c r="M2544" s="47" t="n"/>
      <c r="N2544" s="47" t="inlineStr">
        <is>
          <t>UCKZo4N0lVPccBkSiuyVh4yg</t>
        </is>
      </c>
      <c r="O2544" s="48" t="n">
        <v>42745.79722222222</v>
      </c>
      <c r="P2544" s="49" t="n">
        <v>42745</v>
      </c>
      <c r="Q2544" s="47" t="n">
        <v>724</v>
      </c>
      <c r="R2544" s="47" t="inlineStr">
        <is>
          <t>No Video ID yet</t>
        </is>
      </c>
      <c r="S2544" s="49" t="n"/>
      <c r="T2544" s="49" t="n"/>
      <c r="U2544" s="47" t="inlineStr">
        <is>
          <t>Here at Super Carlin Brothers we love Disney Princesses but were recently alarmed to find out that Frozen's Anna and Elsa are NOT on the official list! How did we miss this? What's the story? Today J gets to the bottom this weird discovery.</t>
        </is>
      </c>
      <c r="V2544" s="47">
        <f>IF(AND(P2544&gt;=Calendar!$K$2,P2544&lt;EDATE(Calendar!$K$2,1),OR(Calendar!$K$4="*",N2544=Calendar!$K$4)),P2544*100+COUNTIFS($P$6:$P$3267,P2544,$Q$6:$Q$3267,"&lt;="&amp;Q2544,$N$6:$N$3267,Calendar!$K$4),"")</f>
        <v/>
      </c>
      <c r="W2544" s="47">
        <f>IF(AND(B2544=Queue!$C$4,OR(Queue!$K$4="*",N2544=Queue!$K$4)),Q2544,"")</f>
        <v/>
      </c>
    </row>
    <row r="2545">
      <c r="A2545" s="38">
        <f>IF(M2545="","",HYPERLINK("https://www.youtube.com/watch?v="&amp;M2545,"▶"))</f>
        <v/>
      </c>
      <c r="B2545" s="39">
        <f>IF(C2545&lt;&gt;"",C2545,IF(P2545&lt;=IFERROR(INDEX(tblChannels[Watched Through],MATCH(N2545,tblChannels[Channel ID],0)),0),"Watched","Unwatched"))</f>
        <v/>
      </c>
      <c r="C2545" s="40" t="n"/>
      <c r="D2545" s="41" t="n"/>
      <c r="E2545" s="42" t="n">
        <v>42740.76736111111</v>
      </c>
      <c r="F2545" s="50" t="inlineStr">
        <is>
          <t>Super Carlin Brothers</t>
        </is>
      </c>
      <c r="G2545" t="inlineStr">
        <is>
          <t>Why Does Yoda Use A Cane?</t>
        </is>
      </c>
      <c r="H2545" s="44" t="n">
        <v>0.004467592592592592</v>
      </c>
      <c r="I2545" s="45" t="n">
        <v>906806</v>
      </c>
      <c r="J2545" s="45" t="n">
        <v>18812</v>
      </c>
      <c r="K2545" s="45" t="n">
        <v>4014</v>
      </c>
      <c r="L2545" s="46" t="n"/>
      <c r="M2545" s="47" t="n"/>
      <c r="N2545" s="47" t="inlineStr">
        <is>
          <t>UCKZo4N0lVPccBkSiuyVh4yg</t>
        </is>
      </c>
      <c r="O2545" s="48" t="n">
        <v>42740.97569444445</v>
      </c>
      <c r="P2545" s="49" t="n">
        <v>42740</v>
      </c>
      <c r="Q2545" s="47" t="n">
        <v>723</v>
      </c>
      <c r="R2545" s="47" t="inlineStr">
        <is>
          <t>No Video ID yet</t>
        </is>
      </c>
      <c r="S2545" s="49" t="n"/>
      <c r="T2545" s="49" t="n"/>
      <c r="U2545" s="47" t="inlineStr">
        <is>
          <t>You know what has always bothered me? In the Star Wars prequels we learn Yoda can jump around and do all of the acrobatics so.... Why does Yoda use a cane?</t>
        </is>
      </c>
      <c r="V2545" s="47">
        <f>IF(AND(P2545&gt;=Calendar!$K$2,P2545&lt;EDATE(Calendar!$K$2,1),OR(Calendar!$K$4="*",N2545=Calendar!$K$4)),P2545*100+COUNTIFS($P$6:$P$3267,P2545,$Q$6:$Q$3267,"&lt;="&amp;Q2545,$N$6:$N$3267,Calendar!$K$4),"")</f>
        <v/>
      </c>
      <c r="W2545" s="47">
        <f>IF(AND(B2545=Queue!$C$4,OR(Queue!$K$4="*",N2545=Queue!$K$4)),Q2545,"")</f>
        <v/>
      </c>
    </row>
    <row r="2546">
      <c r="A2546" s="38">
        <f>IF(M2546="","",HYPERLINK("https://www.youtube.com/watch?v="&amp;M2546,"▶"))</f>
        <v/>
      </c>
      <c r="B2546" s="39">
        <f>IF(C2546&lt;&gt;"",C2546,IF(P2546&lt;=IFERROR(INDEX(tblChannels[Watched Through],MATCH(N2546,tblChannels[Channel ID],0)),0),"Watched","Unwatched"))</f>
        <v/>
      </c>
      <c r="C2546" s="40" t="n"/>
      <c r="D2546" s="41" t="n"/>
      <c r="E2546" s="42" t="n">
        <v>42738.66527777778</v>
      </c>
      <c r="F2546" s="50" t="inlineStr">
        <is>
          <t>Super Carlin Brothers</t>
        </is>
      </c>
      <c r="G2546" t="inlineStr">
        <is>
          <t>Should Vanellope Be A Disney Princess?</t>
        </is>
      </c>
      <c r="H2546" s="44" t="n">
        <v>0.006203703703703703</v>
      </c>
      <c r="I2546" s="45" t="n">
        <v>1472289</v>
      </c>
      <c r="J2546" s="45" t="n">
        <v>27312</v>
      </c>
      <c r="K2546" s="45" t="n">
        <v>6133</v>
      </c>
      <c r="L2546" s="46" t="n"/>
      <c r="M2546" s="47" t="n"/>
      <c r="N2546" s="47" t="inlineStr">
        <is>
          <t>UCKZo4N0lVPccBkSiuyVh4yg</t>
        </is>
      </c>
      <c r="O2546" s="48" t="n">
        <v>42738.87361111111</v>
      </c>
      <c r="P2546" s="49" t="n">
        <v>42738</v>
      </c>
      <c r="Q2546" s="47" t="n">
        <v>722</v>
      </c>
      <c r="R2546" s="47" t="inlineStr">
        <is>
          <t>No Video ID yet</t>
        </is>
      </c>
      <c r="S2546" s="49" t="n"/>
      <c r="T2546" s="49" t="n"/>
      <c r="U2546" s="47" t="inlineStr">
        <is>
          <t>Just being a Princess in a Disney movie doesn't guarantee a characters status as a Disney Princess. Today J asks Should Vanellope von Schweetz from Wreck It Ralph be a Disney Princess?</t>
        </is>
      </c>
      <c r="V2546" s="47">
        <f>IF(AND(P2546&gt;=Calendar!$K$2,P2546&lt;EDATE(Calendar!$K$2,1),OR(Calendar!$K$4="*",N2546=Calendar!$K$4)),P2546*100+COUNTIFS($P$6:$P$3267,P2546,$Q$6:$Q$3267,"&lt;="&amp;Q2546,$N$6:$N$3267,Calendar!$K$4),"")</f>
        <v/>
      </c>
      <c r="W2546" s="47">
        <f>IF(AND(B2546=Queue!$C$4,OR(Queue!$K$4="*",N2546=Queue!$K$4)),Q2546,"")</f>
        <v/>
      </c>
    </row>
    <row r="2547">
      <c r="A2547" s="38">
        <f>IF(M2547="","",HYPERLINK("https://www.youtube.com/watch?v="&amp;M2547,"▶"))</f>
        <v/>
      </c>
      <c r="B2547" s="39">
        <f>IF(C2547&lt;&gt;"",C2547,IF(P2547&lt;=IFERROR(INDEX(tblChannels[Watched Through],MATCH(N2547,tblChannels[Channel ID],0)),0),"Watched","Unwatched"))</f>
        <v/>
      </c>
      <c r="C2547" s="40" t="n"/>
      <c r="D2547" s="41" t="n"/>
      <c r="E2547" s="42" t="n">
        <v>42735.53402777778</v>
      </c>
      <c r="F2547" s="50" t="inlineStr">
        <is>
          <t>Super Carlin Brothers</t>
        </is>
      </c>
      <c r="G2547" t="inlineStr">
        <is>
          <t>Loot Crate Unboxing | REVOLUTION</t>
        </is>
      </c>
      <c r="H2547" s="44" t="n">
        <v>0.005219907407407407</v>
      </c>
      <c r="I2547" s="45" t="n">
        <v>89193</v>
      </c>
      <c r="J2547" s="45" t="n">
        <v>3015</v>
      </c>
      <c r="K2547" s="45" t="n">
        <v>809</v>
      </c>
      <c r="L2547" s="46" t="n"/>
      <c r="M2547" s="47" t="n"/>
      <c r="N2547" s="47" t="inlineStr">
        <is>
          <t>UCKZo4N0lVPccBkSiuyVh4yg</t>
        </is>
      </c>
      <c r="O2547" s="48" t="n">
        <v>42735.74236111111</v>
      </c>
      <c r="P2547" s="49" t="n">
        <v>42735</v>
      </c>
      <c r="Q2547" s="47" t="n">
        <v>721</v>
      </c>
      <c r="R2547" s="47" t="inlineStr">
        <is>
          <t>No Video ID yet</t>
        </is>
      </c>
      <c r="S2547" s="49" t="n"/>
      <c r="T2547" s="49" t="n"/>
      <c r="U2547" s="47" t="inlineStr">
        <is>
          <t>Get 10% Off your Loot Crate order at: Promo Code: CARLIN This week Ben and J are unboxing the latest Loot Crate - the theme is REVOLUTION and includes all sorts of cool things from Assassins Creed, Mr. Robot, Star Wars: Rogue One and Firefly!</t>
        </is>
      </c>
      <c r="V2547" s="47">
        <f>IF(AND(P2547&gt;=Calendar!$K$2,P2547&lt;EDATE(Calendar!$K$2,1),OR(Calendar!$K$4="*",N2547=Calendar!$K$4)),P2547*100+COUNTIFS($P$6:$P$3267,P2547,$Q$6:$Q$3267,"&lt;="&amp;Q2547,$N$6:$N$3267,Calendar!$K$4),"")</f>
        <v/>
      </c>
      <c r="W2547" s="47">
        <f>IF(AND(B2547=Queue!$C$4,OR(Queue!$K$4="*",N2547=Queue!$K$4)),Q2547,"")</f>
        <v/>
      </c>
    </row>
    <row r="2548">
      <c r="A2548" s="38">
        <f>IF(M2548="","",HYPERLINK("https://www.youtube.com/watch?v="&amp;M2548,"▶"))</f>
        <v/>
      </c>
      <c r="B2548" s="39">
        <f>IF(C2548&lt;&gt;"",C2548,IF(P2548&lt;=IFERROR(INDEX(tblChannels[Watched Through],MATCH(N2548,tblChannels[Channel ID],0)),0),"Watched","Unwatched"))</f>
        <v/>
      </c>
      <c r="C2548" s="40" t="n"/>
      <c r="D2548" s="41" t="n"/>
      <c r="E2548" s="42" t="n">
        <v>42733.73819444444</v>
      </c>
      <c r="F2548" s="50" t="inlineStr">
        <is>
          <t>Super Carlin Brothers</t>
        </is>
      </c>
      <c r="G2548" t="inlineStr">
        <is>
          <t>Harry Potter Theory: Why Harry Wasn't An Obscurial</t>
        </is>
      </c>
      <c r="H2548" s="44" t="n">
        <v>0.004282407407407408</v>
      </c>
      <c r="I2548" s="45" t="n">
        <v>2144014</v>
      </c>
      <c r="J2548" s="45" t="n">
        <v>39426</v>
      </c>
      <c r="K2548" s="45" t="n">
        <v>4794</v>
      </c>
      <c r="L2548" s="46" t="n"/>
      <c r="M2548" s="47" t="n"/>
      <c r="N2548" s="47" t="inlineStr">
        <is>
          <t>UCKZo4N0lVPccBkSiuyVh4yg</t>
        </is>
      </c>
      <c r="O2548" s="48" t="n">
        <v>42733.94652777778</v>
      </c>
      <c r="P2548" s="49" t="n">
        <v>42733</v>
      </c>
      <c r="Q2548" s="47" t="n">
        <v>720</v>
      </c>
      <c r="R2548" s="47" t="inlineStr">
        <is>
          <t>No Video ID yet</t>
        </is>
      </c>
      <c r="S2548" s="49" t="n"/>
      <c r="T2548" s="49" t="n"/>
      <c r="U2548" s="47" t="inlineStr">
        <is>
          <t>One of the most common questions we have received since Fantastic Beasts and Where to Find Them came out is Why wasn't Harry an obscurial? Today Ben goes over our own Harry Potter Theory as to why this was the case.</t>
        </is>
      </c>
      <c r="V2548" s="47">
        <f>IF(AND(P2548&gt;=Calendar!$K$2,P2548&lt;EDATE(Calendar!$K$2,1),OR(Calendar!$K$4="*",N2548=Calendar!$K$4)),P2548*100+COUNTIFS($P$6:$P$3267,P2548,$Q$6:$Q$3267,"&lt;="&amp;Q2548,$N$6:$N$3267,Calendar!$K$4),"")</f>
        <v/>
      </c>
      <c r="W2548" s="47">
        <f>IF(AND(B2548=Queue!$C$4,OR(Queue!$K$4="*",N2548=Queue!$K$4)),Q2548,"")</f>
        <v/>
      </c>
    </row>
    <row r="2549">
      <c r="A2549" s="38">
        <f>IF(M2549="","",HYPERLINK("https://www.youtube.com/watch?v="&amp;M2549,"▶"))</f>
        <v/>
      </c>
      <c r="B2549" s="39">
        <f>IF(C2549&lt;&gt;"",C2549,IF(P2549&lt;=IFERROR(INDEX(tblChannels[Watched Through],MATCH(N2549,tblChannels[Channel ID],0)),0),"Watched","Unwatched"))</f>
        <v/>
      </c>
      <c r="C2549" s="40" t="n"/>
      <c r="D2549" s="41" t="n"/>
      <c r="E2549" s="42" t="n">
        <v>42729.5</v>
      </c>
      <c r="F2549" s="50" t="inlineStr">
        <is>
          <t>Super Carlin Brothers</t>
        </is>
      </c>
      <c r="G2549" t="inlineStr">
        <is>
          <t>Wall-E and the Meaning of Christmas</t>
        </is>
      </c>
      <c r="H2549" s="44" t="n">
        <v>0.005891203703703704</v>
      </c>
      <c r="I2549" s="45" t="n">
        <v>266342</v>
      </c>
      <c r="J2549" s="45" t="n">
        <v>9812</v>
      </c>
      <c r="K2549" s="45" t="n">
        <v>1997</v>
      </c>
      <c r="L2549" s="46" t="n"/>
      <c r="M2549" s="47" t="n"/>
      <c r="N2549" s="47" t="inlineStr">
        <is>
          <t>UCKZo4N0lVPccBkSiuyVh4yg</t>
        </is>
      </c>
      <c r="O2549" s="48" t="n">
        <v>42729.70833333334</v>
      </c>
      <c r="P2549" s="49" t="n">
        <v>42729</v>
      </c>
      <c r="Q2549" s="47" t="n">
        <v>719</v>
      </c>
      <c r="R2549" s="47" t="inlineStr">
        <is>
          <t>No Video ID yet</t>
        </is>
      </c>
      <c r="S2549" s="49" t="n"/>
      <c r="T2549" s="49" t="n"/>
      <c r="U2549" s="47" t="inlineStr">
        <is>
          <t>Merry Christmas! Massive thanks to Andy Herndon from the D-Cast and Tim Henderson from Church of the Holy Spirit for helping us research this video, could not have done it without you guys! Check out the D-Cast here :: We have talked a lot about Wall-E this year, is he good? Is he Evil? Is he alive?! Today we are looking once more at Disney Pixar's Wall-E to determine if it is in fact a Christmas Movie. What is your favorite Christmas movie?</t>
        </is>
      </c>
      <c r="V2549" s="47">
        <f>IF(AND(P2549&gt;=Calendar!$K$2,P2549&lt;EDATE(Calendar!$K$2,1),OR(Calendar!$K$4="*",N2549=Calendar!$K$4)),P2549*100+COUNTIFS($P$6:$P$3267,P2549,$Q$6:$Q$3267,"&lt;="&amp;Q2549,$N$6:$N$3267,Calendar!$K$4),"")</f>
        <v/>
      </c>
      <c r="W2549" s="47">
        <f>IF(AND(B2549=Queue!$C$4,OR(Queue!$K$4="*",N2549=Queue!$K$4)),Q2549,"")</f>
        <v/>
      </c>
    </row>
    <row r="2550">
      <c r="A2550" s="38">
        <f>IF(M2550="","",HYPERLINK("https://www.youtube.com/watch?v="&amp;M2550,"▶"))</f>
        <v/>
      </c>
      <c r="B2550" s="39">
        <f>IF(C2550&lt;&gt;"",C2550,IF(P2550&lt;=IFERROR(INDEX(tblChannels[Watched Through],MATCH(N2550,tblChannels[Channel ID],0)),0),"Watched","Unwatched"))</f>
        <v/>
      </c>
      <c r="C2550" s="40" t="n"/>
      <c r="D2550" s="41" t="n"/>
      <c r="E2550" s="42" t="n">
        <v>42726.6625</v>
      </c>
      <c r="F2550" s="50" t="inlineStr">
        <is>
          <t>Super Carlin Brothers</t>
        </is>
      </c>
      <c r="G2550" t="inlineStr">
        <is>
          <t>Rogue One: A Star Wars Story | REVIEW</t>
        </is>
      </c>
      <c r="H2550" s="44" t="n">
        <v>0.03587962962962963</v>
      </c>
      <c r="I2550" s="45" t="n">
        <v>271397</v>
      </c>
      <c r="J2550" s="45" t="n">
        <v>7047</v>
      </c>
      <c r="K2550" s="45" t="n">
        <v>3056</v>
      </c>
      <c r="L2550" s="46" t="n"/>
      <c r="M2550" s="47" t="n"/>
      <c r="N2550" s="47" t="inlineStr">
        <is>
          <t>UCKZo4N0lVPccBkSiuyVh4yg</t>
        </is>
      </c>
      <c r="O2550" s="48" t="n">
        <v>42726.87083333333</v>
      </c>
      <c r="P2550" s="49" t="n">
        <v>42726</v>
      </c>
      <c r="Q2550" s="47" t="n">
        <v>718</v>
      </c>
      <c r="R2550" s="47" t="inlineStr">
        <is>
          <t>No Video ID yet</t>
        </is>
      </c>
      <c r="S2550" s="49" t="n"/>
      <c r="T2550" s="49" t="n"/>
      <c r="U2550" s="47" t="inlineStr">
        <is>
          <t>Today J and Ben give their full in depth SPOILER review of Rogue One: A Star Wars Story. We cover everything from Jyn Erso to Darth Vader to the blue milk and every other easter egg we spotted! What did you think of Rogue One? Where does it rank amongst other Star Wars movies for you?</t>
        </is>
      </c>
      <c r="V2550" s="47">
        <f>IF(AND(P2550&gt;=Calendar!$K$2,P2550&lt;EDATE(Calendar!$K$2,1),OR(Calendar!$K$4="*",N2550=Calendar!$K$4)),P2550*100+COUNTIFS($P$6:$P$3267,P2550,$Q$6:$Q$3267,"&lt;="&amp;Q2550,$N$6:$N$3267,Calendar!$K$4),"")</f>
        <v/>
      </c>
      <c r="W2550" s="47">
        <f>IF(AND(B2550=Queue!$C$4,OR(Queue!$K$4="*",N2550=Queue!$K$4)),Q2550,"")</f>
        <v/>
      </c>
    </row>
    <row r="2551">
      <c r="A2551" s="38">
        <f>IF(M2551="","",HYPERLINK("https://www.youtube.com/watch?v="&amp;M2551,"▶"))</f>
        <v/>
      </c>
      <c r="B2551" s="39">
        <f>IF(C2551&lt;&gt;"",C2551,IF(P2551&lt;=IFERROR(INDEX(tblChannels[Watched Through],MATCH(N2551,tblChannels[Channel ID],0)),0),"Watched","Unwatched"))</f>
        <v/>
      </c>
      <c r="C2551" s="40" t="n"/>
      <c r="D2551" s="41" t="n"/>
      <c r="E2551" s="42" t="n">
        <v>42724.83055555556</v>
      </c>
      <c r="F2551" s="50" t="inlineStr">
        <is>
          <t>Super Carlin Brothers</t>
        </is>
      </c>
      <c r="G2551" t="inlineStr">
        <is>
          <t>Star Wars: Lightsaber Colors Explained</t>
        </is>
      </c>
      <c r="H2551" s="44" t="n">
        <v>0.006643518518518518</v>
      </c>
      <c r="I2551" s="45" t="n">
        <v>5179787</v>
      </c>
      <c r="J2551" s="45" t="n">
        <v>69914</v>
      </c>
      <c r="K2551" s="45" t="n">
        <v>22850</v>
      </c>
      <c r="L2551" s="46" t="n"/>
      <c r="M2551" s="47" t="n"/>
      <c r="N2551" s="47" t="inlineStr">
        <is>
          <t>UCKZo4N0lVPccBkSiuyVh4yg</t>
        </is>
      </c>
      <c r="O2551" s="48" t="n">
        <v>42725.03888888889</v>
      </c>
      <c r="P2551" s="49" t="n">
        <v>42724</v>
      </c>
      <c r="Q2551" s="47" t="n">
        <v>717</v>
      </c>
      <c r="R2551" s="47" t="inlineStr">
        <is>
          <t>No Video ID yet</t>
        </is>
      </c>
      <c r="S2551" s="49" t="n"/>
      <c r="T2551" s="49" t="n"/>
      <c r="U2551" s="47" t="inlineStr">
        <is>
          <t>Ever wondered by lightsaber colors vary from Jedi to Jedi but not from Sith to Sith? Today J dives into the world of Star Wars and explains why everyones favorite weapon has so many different shades.</t>
        </is>
      </c>
      <c r="V2551" s="47">
        <f>IF(AND(P2551&gt;=Calendar!$K$2,P2551&lt;EDATE(Calendar!$K$2,1),OR(Calendar!$K$4="*",N2551=Calendar!$K$4)),P2551*100+COUNTIFS($P$6:$P$3267,P2551,$Q$6:$Q$3267,"&lt;="&amp;Q2551,$N$6:$N$3267,Calendar!$K$4),"")</f>
        <v/>
      </c>
      <c r="W2551" s="47">
        <f>IF(AND(B2551=Queue!$C$4,OR(Queue!$K$4="*",N2551=Queue!$K$4)),Q2551,"")</f>
        <v/>
      </c>
    </row>
    <row r="2552">
      <c r="A2552" s="38">
        <f>IF(M2552="","",HYPERLINK("https://www.youtube.com/watch?v="&amp;M2552,"▶"))</f>
        <v/>
      </c>
      <c r="B2552" s="39">
        <f>IF(C2552&lt;&gt;"",C2552,IF(P2552&lt;=IFERROR(INDEX(tblChannels[Watched Through],MATCH(N2552,tblChannels[Channel ID],0)),0),"Watched","Unwatched"))</f>
        <v/>
      </c>
      <c r="C2552" s="40" t="n"/>
      <c r="D2552" s="41" t="n"/>
      <c r="E2552" s="42" t="n">
        <v>42719.80625</v>
      </c>
      <c r="F2552" s="50" t="inlineStr">
        <is>
          <t>Super Carlin Brothers</t>
        </is>
      </c>
      <c r="G2552" t="inlineStr">
        <is>
          <t>Tamatoa is REAL?!?</t>
        </is>
      </c>
      <c r="H2552" s="44" t="n">
        <v>0.004224537037037037</v>
      </c>
      <c r="I2552" s="45" t="n">
        <v>2624082</v>
      </c>
      <c r="J2552" s="45" t="n">
        <v>36855</v>
      </c>
      <c r="K2552" s="45" t="n">
        <v>7123</v>
      </c>
      <c r="L2552" s="46" t="n"/>
      <c r="M2552" s="47" t="n"/>
      <c r="N2552" s="47" t="inlineStr">
        <is>
          <t>UCKZo4N0lVPccBkSiuyVh4yg</t>
        </is>
      </c>
      <c r="O2552" s="48" t="n">
        <v>42720.01458333333</v>
      </c>
      <c r="P2552" s="49" t="n">
        <v>42719</v>
      </c>
      <c r="Q2552" s="47" t="n">
        <v>716</v>
      </c>
      <c r="R2552" s="47" t="inlineStr">
        <is>
          <t>No Video ID yet</t>
        </is>
      </c>
      <c r="S2552" s="49" t="n"/>
      <c r="T2552" s="49" t="n"/>
      <c r="U2552" s="47" t="inlineStr">
        <is>
          <t>Today we ask: Is Tamatoa real?! Ben dives into Disney's Moana to reveal the startling truth about the villainous 50-foot crab Tamatoa and if he actually exists!</t>
        </is>
      </c>
      <c r="V2552" s="47">
        <f>IF(AND(P2552&gt;=Calendar!$K$2,P2552&lt;EDATE(Calendar!$K$2,1),OR(Calendar!$K$4="*",N2552=Calendar!$K$4)),P2552*100+COUNTIFS($P$6:$P$3267,P2552,$Q$6:$Q$3267,"&lt;="&amp;Q2552,$N$6:$N$3267,Calendar!$K$4),"")</f>
        <v/>
      </c>
      <c r="W2552" s="47">
        <f>IF(AND(B2552=Queue!$C$4,OR(Queue!$K$4="*",N2552=Queue!$K$4)),Q2552,"")</f>
        <v/>
      </c>
    </row>
    <row r="2553">
      <c r="A2553" s="38">
        <f>IF(M2553="","",HYPERLINK("https://www.youtube.com/watch?v="&amp;M2553,"▶"))</f>
        <v/>
      </c>
      <c r="B2553" s="39">
        <f>IF(C2553&lt;&gt;"",C2553,IF(P2553&lt;=IFERROR(INDEX(tblChannels[Watched Through],MATCH(N2553,tblChannels[Channel ID],0)),0),"Watched","Unwatched"))</f>
        <v/>
      </c>
      <c r="C2553" s="40" t="n"/>
      <c r="D2553" s="41" t="n"/>
      <c r="E2553" s="42" t="n">
        <v>42717.68472222222</v>
      </c>
      <c r="F2553" s="50" t="inlineStr">
        <is>
          <t>Super Carlin Brothers</t>
        </is>
      </c>
      <c r="G2553" t="inlineStr">
        <is>
          <t>Is Olaf Google Autofill</t>
        </is>
      </c>
      <c r="H2553" s="44" t="n">
        <v>0.004976851851851852</v>
      </c>
      <c r="I2553" s="45" t="n">
        <v>448043</v>
      </c>
      <c r="J2553" s="45" t="n">
        <v>11588</v>
      </c>
      <c r="K2553" s="45" t="n">
        <v>3045</v>
      </c>
      <c r="L2553" s="46" t="n"/>
      <c r="M2553" s="47" t="n"/>
      <c r="N2553" s="47" t="inlineStr">
        <is>
          <t>UCKZo4N0lVPccBkSiuyVh4yg</t>
        </is>
      </c>
      <c r="O2553" s="48" t="n">
        <v>42717.89305555556</v>
      </c>
      <c r="P2553" s="49" t="n">
        <v>42717</v>
      </c>
      <c r="Q2553" s="47" t="n">
        <v>715</v>
      </c>
      <c r="R2553" s="47" t="inlineStr">
        <is>
          <t>No Video ID yet</t>
        </is>
      </c>
      <c r="S2553" s="49" t="n"/>
      <c r="T2553" s="49" t="n"/>
      <c r="U2553" s="47" t="inlineStr">
        <is>
          <t>Today we are playing the Google Autofill game with Disney's Frozen and asking Is Olaf Google Autofill?!</t>
        </is>
      </c>
      <c r="V2553" s="47">
        <f>IF(AND(P2553&gt;=Calendar!$K$2,P2553&lt;EDATE(Calendar!$K$2,1),OR(Calendar!$K$4="*",N2553=Calendar!$K$4)),P2553*100+COUNTIFS($P$6:$P$3267,P2553,$Q$6:$Q$3267,"&lt;="&amp;Q2553,$N$6:$N$3267,Calendar!$K$4),"")</f>
        <v/>
      </c>
      <c r="W2553" s="47">
        <f>IF(AND(B2553=Queue!$C$4,OR(Queue!$K$4="*",N2553=Queue!$K$4)),Q2553,"")</f>
        <v/>
      </c>
    </row>
    <row r="2554">
      <c r="A2554" s="38">
        <f>IF(M2554="","",HYPERLINK("https://www.youtube.com/watch?v="&amp;M2554,"▶"))</f>
        <v/>
      </c>
      <c r="B2554" s="39">
        <f>IF(C2554&lt;&gt;"",C2554,IF(P2554&lt;=IFERROR(INDEX(tblChannels[Watched Through],MATCH(N2554,tblChannels[Channel ID],0)),0),"Watched","Unwatched"))</f>
        <v/>
      </c>
      <c r="C2554" s="40" t="n"/>
      <c r="D2554" s="41" t="n"/>
      <c r="E2554" s="42" t="n">
        <v>42712.83541666667</v>
      </c>
      <c r="F2554" s="50" t="inlineStr">
        <is>
          <t>Super Carlin Brothers</t>
        </is>
      </c>
      <c r="G2554" t="inlineStr">
        <is>
          <t>Star Wars Theory: Could Jyn Be Rey's Mother?!</t>
        </is>
      </c>
      <c r="H2554" s="44" t="n">
        <v>0.005497685185185185</v>
      </c>
      <c r="I2554" s="45" t="n">
        <v>322137</v>
      </c>
      <c r="J2554" s="45" t="n">
        <v>8353</v>
      </c>
      <c r="K2554" s="45" t="n">
        <v>2601</v>
      </c>
      <c r="L2554" s="46" t="n"/>
      <c r="M2554" s="47" t="n"/>
      <c r="N2554" s="47" t="inlineStr">
        <is>
          <t>UCKZo4N0lVPccBkSiuyVh4yg</t>
        </is>
      </c>
      <c r="O2554" s="48" t="n">
        <v>42713.04375</v>
      </c>
      <c r="P2554" s="49" t="n">
        <v>42712</v>
      </c>
      <c r="Q2554" s="47" t="n">
        <v>714</v>
      </c>
      <c r="R2554" s="47" t="inlineStr">
        <is>
          <t>No Video ID yet</t>
        </is>
      </c>
      <c r="S2554" s="49" t="n"/>
      <c r="T2554" s="49" t="n"/>
      <c r="U2554" s="47" t="inlineStr">
        <is>
          <t>Star Wars Rogue One comes out in just next weeks and today we are discussing if Jyn Erso could in fact be Rey's mother! Also do you guys think Ben has a shot with Daisy Ridley?? 😍 Roanoke, Va, 24015</t>
        </is>
      </c>
      <c r="V2554" s="47">
        <f>IF(AND(P2554&gt;=Calendar!$K$2,P2554&lt;EDATE(Calendar!$K$2,1),OR(Calendar!$K$4="*",N2554=Calendar!$K$4)),P2554*100+COUNTIFS($P$6:$P$3267,P2554,$Q$6:$Q$3267,"&lt;="&amp;Q2554,$N$6:$N$3267,Calendar!$K$4),"")</f>
        <v/>
      </c>
      <c r="W2554" s="47">
        <f>IF(AND(B2554=Queue!$C$4,OR(Queue!$K$4="*",N2554=Queue!$K$4)),Q2554,"")</f>
        <v/>
      </c>
    </row>
    <row r="2555">
      <c r="A2555" s="38">
        <f>IF(M2555="","",HYPERLINK("https://www.youtube.com/watch?v="&amp;M2555,"▶"))</f>
        <v/>
      </c>
      <c r="B2555" s="39">
        <f>IF(C2555&lt;&gt;"",C2555,IF(P2555&lt;=IFERROR(INDEX(tblChannels[Watched Through],MATCH(N2555,tblChannels[Channel ID],0)),0),"Watched","Unwatched"))</f>
        <v/>
      </c>
      <c r="C2555" s="40" t="n"/>
      <c r="D2555" s="41" t="n"/>
      <c r="E2555" s="42" t="n">
        <v>42710.82013888889</v>
      </c>
      <c r="F2555" s="50" t="inlineStr">
        <is>
          <t>Super Carlin Brothers</t>
        </is>
      </c>
      <c r="G2555" t="inlineStr">
        <is>
          <t>Top 10 Things To Look For In Star Wars Rogue One</t>
        </is>
      </c>
      <c r="H2555" s="44" t="n">
        <v>0.007685185185185186</v>
      </c>
      <c r="I2555" s="45" t="n">
        <v>237029</v>
      </c>
      <c r="J2555" s="45" t="n">
        <v>6644</v>
      </c>
      <c r="K2555" s="45" t="n">
        <v>2303</v>
      </c>
      <c r="L2555" s="46" t="n"/>
      <c r="M2555" s="47" t="n"/>
      <c r="N2555" s="47" t="inlineStr">
        <is>
          <t>UCKZo4N0lVPccBkSiuyVh4yg</t>
        </is>
      </c>
      <c r="O2555" s="48" t="n">
        <v>42711.02847222222</v>
      </c>
      <c r="P2555" s="49" t="n">
        <v>42710</v>
      </c>
      <c r="Q2555" s="47" t="n">
        <v>713</v>
      </c>
      <c r="R2555" s="47" t="inlineStr">
        <is>
          <t>No Video ID yet</t>
        </is>
      </c>
      <c r="S2555" s="49" t="n"/>
      <c r="T2555" s="49" t="n"/>
      <c r="U2555" s="47" t="inlineStr">
        <is>
          <t>Star Wars Rogue One comes out in just 2 weeks! Today we are going over our Top 10 Things and easter eggs to look out for when you see it!</t>
        </is>
      </c>
      <c r="V2555" s="47">
        <f>IF(AND(P2555&gt;=Calendar!$K$2,P2555&lt;EDATE(Calendar!$K$2,1),OR(Calendar!$K$4="*",N2555=Calendar!$K$4)),P2555*100+COUNTIFS($P$6:$P$3267,P2555,$Q$6:$Q$3267,"&lt;="&amp;Q2555,$N$6:$N$3267,Calendar!$K$4),"")</f>
        <v/>
      </c>
      <c r="W2555" s="47">
        <f>IF(AND(B2555=Queue!$C$4,OR(Queue!$K$4="*",N2555=Queue!$K$4)),Q2555,"")</f>
        <v/>
      </c>
    </row>
    <row r="2556">
      <c r="A2556" s="38">
        <f>IF(M2556="","",HYPERLINK("https://www.youtube.com/watch?v="&amp;M2556,"▶"))</f>
        <v/>
      </c>
      <c r="B2556" s="39">
        <f>IF(C2556&lt;&gt;"",C2556,IF(P2556&lt;=IFERROR(INDEX(tblChannels[Watched Through],MATCH(N2556,tblChannels[Channel ID],0)),0),"Watched","Unwatched"))</f>
        <v/>
      </c>
      <c r="C2556" s="40" t="n"/>
      <c r="D2556" s="41" t="n"/>
      <c r="E2556" s="42" t="n">
        <v>42710.53194444445</v>
      </c>
      <c r="F2556" s="52" t="inlineStr">
        <is>
          <t>Super Carlin Gaming</t>
        </is>
      </c>
      <c r="G2556" t="inlineStr">
        <is>
          <t>Pokemon HeartGold Nuzlocke #31: THE FINAL BATTLE</t>
        </is>
      </c>
      <c r="H2556" s="44" t="n">
        <v>0.01260416666666667</v>
      </c>
      <c r="I2556" s="45" t="n">
        <v>26169</v>
      </c>
      <c r="J2556" s="45" t="n">
        <v>616</v>
      </c>
      <c r="K2556" s="45" t="n">
        <v>149</v>
      </c>
      <c r="L2556" s="46" t="n"/>
      <c r="M2556" s="47" t="n"/>
      <c r="N2556" s="47" t="inlineStr">
        <is>
          <t>UCor_9jRnNNZVzTuQ92PKsaQ</t>
        </is>
      </c>
      <c r="O2556" s="48" t="n">
        <v>42710.74027777778</v>
      </c>
      <c r="P2556" s="49" t="n">
        <v>42710</v>
      </c>
      <c r="Q2556" s="47" t="n">
        <v>712</v>
      </c>
      <c r="R2556" s="47" t="inlineStr">
        <is>
          <t>No Video ID yet</t>
        </is>
      </c>
      <c r="S2556" s="49" t="n"/>
      <c r="T2556" s="49" t="n"/>
      <c r="U2556" s="47" t="inlineStr">
        <is>
          <t>Just one battle left in the Pokemon HeartGold Nuzlocke Challenge! Today we face off against Lance and his Dragons.. can the team prevail against its toughest opponent yet???</t>
        </is>
      </c>
      <c r="V2556" s="47">
        <f>IF(AND(P2556&gt;=Calendar!$K$2,P2556&lt;EDATE(Calendar!$K$2,1),OR(Calendar!$K$4="*",N2556=Calendar!$K$4)),P2556*100+COUNTIFS($P$6:$P$3267,P2556,$Q$6:$Q$3267,"&lt;="&amp;Q2556,$N$6:$N$3267,Calendar!$K$4),"")</f>
        <v/>
      </c>
      <c r="W2556" s="47">
        <f>IF(AND(B2556=Queue!$C$4,OR(Queue!$K$4="*",N2556=Queue!$K$4)),Q2556,"")</f>
        <v/>
      </c>
    </row>
    <row r="2557">
      <c r="A2557" s="38">
        <f>IF(M2557="","",HYPERLINK("https://www.youtube.com/watch?v="&amp;M2557,"▶"))</f>
        <v/>
      </c>
      <c r="B2557" s="39">
        <f>IF(C2557&lt;&gt;"",C2557,IF(P2557&lt;=IFERROR(INDEX(tblChannels[Watched Through],MATCH(N2557,tblChannels[Channel ID],0)),0),"Watched","Unwatched"))</f>
        <v/>
      </c>
      <c r="C2557" s="40" t="n"/>
      <c r="D2557" s="41" t="n"/>
      <c r="E2557" s="42" t="n">
        <v>42707.625</v>
      </c>
      <c r="F2557" s="50" t="inlineStr">
        <is>
          <t>Super Carlin Brothers</t>
        </is>
      </c>
      <c r="G2557" t="inlineStr">
        <is>
          <t>Loot Crate Unboxing | MAGICAL</t>
        </is>
      </c>
      <c r="H2557" s="44" t="n">
        <v>0.005011574074074074</v>
      </c>
      <c r="I2557" s="45" t="n">
        <v>152533</v>
      </c>
      <c r="J2557" s="45" t="n">
        <v>5194</v>
      </c>
      <c r="K2557" s="45" t="n">
        <v>927</v>
      </c>
      <c r="L2557" s="46" t="n"/>
      <c r="M2557" s="47" t="n"/>
      <c r="N2557" s="47" t="inlineStr">
        <is>
          <t>UCKZo4N0lVPccBkSiuyVh4yg</t>
        </is>
      </c>
      <c r="O2557" s="48" t="n">
        <v>42707.83333333334</v>
      </c>
      <c r="P2557" s="49" t="n">
        <v>42707</v>
      </c>
      <c r="Q2557" s="47" t="n">
        <v>711</v>
      </c>
      <c r="R2557" s="47" t="inlineStr">
        <is>
          <t>No Video ID yet</t>
        </is>
      </c>
      <c r="S2557" s="49" t="n"/>
      <c r="T2557" s="49" t="n"/>
      <c r="U2557" s="47" t="inlineStr">
        <is>
          <t>Get 10% Off your Loot Crate order at: Promo Code: CARLIN This week Ben and J are unboxing the latest Loot Crate - the theme is MAGICAL and includes all sorts of cool things from Fantastic Beasts, Doctor Strange, Game of Thrones &amp; more! Every time you give us a thumbs up a Narwhal gets its horn! (maybe..) PO BOX 4339 Roanoke, Va, 24015 =D</t>
        </is>
      </c>
      <c r="V2557" s="47">
        <f>IF(AND(P2557&gt;=Calendar!$K$2,P2557&lt;EDATE(Calendar!$K$2,1),OR(Calendar!$K$4="*",N2557=Calendar!$K$4)),P2557*100+COUNTIFS($P$6:$P$3267,P2557,$Q$6:$Q$3267,"&lt;="&amp;Q2557,$N$6:$N$3267,Calendar!$K$4),"")</f>
        <v/>
      </c>
      <c r="W2557" s="47">
        <f>IF(AND(B2557=Queue!$C$4,OR(Queue!$K$4="*",N2557=Queue!$K$4)),Q2557,"")</f>
        <v/>
      </c>
    </row>
    <row r="2558">
      <c r="A2558" s="38">
        <f>IF(M2558="","",HYPERLINK("https://www.youtube.com/watch?v="&amp;M2558,"▶"))</f>
        <v/>
      </c>
      <c r="B2558" s="39">
        <f>IF(C2558&lt;&gt;"",C2558,IF(P2558&lt;=IFERROR(INDEX(tblChannels[Watched Through],MATCH(N2558,tblChannels[Channel ID],0)),0),"Watched","Unwatched"))</f>
        <v/>
      </c>
      <c r="C2558" s="40" t="n"/>
      <c r="D2558" s="41" t="n"/>
      <c r="E2558" s="42" t="n">
        <v>42706.02013888889</v>
      </c>
      <c r="F2558" s="50" t="inlineStr">
        <is>
          <t>Super Carlin Brothers</t>
        </is>
      </c>
      <c r="G2558" t="inlineStr">
        <is>
          <t>EVERY PIXAR MOVIE RANKED</t>
        </is>
      </c>
      <c r="H2558" s="44" t="n">
        <v>0.02390046296296296</v>
      </c>
      <c r="I2558" s="45" t="n">
        <v>1761327</v>
      </c>
      <c r="J2558" s="45" t="n">
        <v>45774</v>
      </c>
      <c r="K2558" s="45" t="n">
        <v>14291</v>
      </c>
      <c r="L2558" s="46" t="n"/>
      <c r="M2558" s="47" t="n"/>
      <c r="N2558" s="47" t="inlineStr">
        <is>
          <t>UCKZo4N0lVPccBkSiuyVh4yg</t>
        </is>
      </c>
      <c r="O2558" s="48" t="n">
        <v>42706.22847222222</v>
      </c>
      <c r="P2558" s="49" t="n">
        <v>42706</v>
      </c>
      <c r="Q2558" s="47" t="n">
        <v>710</v>
      </c>
      <c r="R2558" s="47" t="inlineStr">
        <is>
          <t>No Video ID yet</t>
        </is>
      </c>
      <c r="S2558" s="49" t="n"/>
      <c r="T2558" s="49" t="n"/>
      <c r="U2558" s="47" t="inlineStr">
        <is>
          <t>OMG TODAY WE HIT 1,000,000 MILLION SUBSCRIBERS!!!! To celebrate we are finally revealing our personal rankings of all the Pixar movies! What is your favorite Pixar Movie? Thank you guys all so much for watching us for the past 4.5 years, and making YouTube possible for us, as long as you keep watching we'll keep making vids! Every time you give us a thumbs up a Narwhal gets its horn! (maybe..) PO BOX 4339 Roanoke, Va, 24015 =D</t>
        </is>
      </c>
      <c r="V2558" s="47">
        <f>IF(AND(P2558&gt;=Calendar!$K$2,P2558&lt;EDATE(Calendar!$K$2,1),OR(Calendar!$K$4="*",N2558=Calendar!$K$4)),P2558*100+COUNTIFS($P$6:$P$3267,P2558,$Q$6:$Q$3267,"&lt;="&amp;Q2558,$N$6:$N$3267,Calendar!$K$4),"")</f>
        <v/>
      </c>
      <c r="W2558" s="47">
        <f>IF(AND(B2558=Queue!$C$4,OR(Queue!$K$4="*",N2558=Queue!$K$4)),Q2558,"")</f>
        <v/>
      </c>
    </row>
    <row r="2559">
      <c r="A2559" s="38">
        <f>IF(M2559="","",HYPERLINK("https://www.youtube.com/watch?v="&amp;M2559,"▶"))</f>
        <v/>
      </c>
      <c r="B2559" s="39">
        <f>IF(C2559&lt;&gt;"",C2559,IF(P2559&lt;=IFERROR(INDEX(tblChannels[Watched Through],MATCH(N2559,tblChannels[Channel ID],0)),0),"Watched","Unwatched"))</f>
        <v/>
      </c>
      <c r="C2559" s="40" t="n"/>
      <c r="D2559" s="41" t="n"/>
      <c r="E2559" s="42" t="n">
        <v>42704.86458333334</v>
      </c>
      <c r="F2559" s="52" t="inlineStr">
        <is>
          <t>Super Carlin Gaming</t>
        </is>
      </c>
      <c r="G2559" t="inlineStr">
        <is>
          <t>Pokemon HeartGold Nuzlocke #30: ELITE 4 (Part 2)</t>
        </is>
      </c>
      <c r="H2559" s="44" t="n">
        <v>0.01608796296296296</v>
      </c>
      <c r="I2559" s="45" t="n">
        <v>16958</v>
      </c>
      <c r="J2559" s="45" t="n">
        <v>431</v>
      </c>
      <c r="K2559" s="45" t="n">
        <v>104</v>
      </c>
      <c r="L2559" s="46" t="n"/>
      <c r="M2559" s="47" t="n"/>
      <c r="N2559" s="47" t="inlineStr">
        <is>
          <t>UCor_9jRnNNZVzTuQ92PKsaQ</t>
        </is>
      </c>
      <c r="O2559" s="48" t="n">
        <v>42705.07291666666</v>
      </c>
      <c r="P2559" s="49" t="n">
        <v>42704</v>
      </c>
      <c r="Q2559" s="47" t="n">
        <v>709</v>
      </c>
      <c r="R2559" s="47" t="inlineStr">
        <is>
          <t>No Video ID yet</t>
        </is>
      </c>
      <c r="S2559" s="49" t="n"/>
      <c r="T2559" s="49" t="n"/>
      <c r="U2559" s="47" t="inlineStr">
        <is>
          <t>Will and Koga are defeated.. can the team survive the next 2 members of the Elite 4, or will Bruno and Karen take us out?!</t>
        </is>
      </c>
      <c r="V2559" s="47">
        <f>IF(AND(P2559&gt;=Calendar!$K$2,P2559&lt;EDATE(Calendar!$K$2,1),OR(Calendar!$K$4="*",N2559=Calendar!$K$4)),P2559*100+COUNTIFS($P$6:$P$3267,P2559,$Q$6:$Q$3267,"&lt;="&amp;Q2559,$N$6:$N$3267,Calendar!$K$4),"")</f>
        <v/>
      </c>
      <c r="W2559" s="47">
        <f>IF(AND(B2559=Queue!$C$4,OR(Queue!$K$4="*",N2559=Queue!$K$4)),Q2559,"")</f>
        <v/>
      </c>
    </row>
    <row r="2560">
      <c r="A2560" s="38">
        <f>IF(M2560="","",HYPERLINK("https://www.youtube.com/watch?v="&amp;M2560,"▶"))</f>
        <v/>
      </c>
      <c r="B2560" s="39">
        <f>IF(C2560&lt;&gt;"",C2560,IF(P2560&lt;=IFERROR(INDEX(tblChannels[Watched Through],MATCH(N2560,tblChannels[Channel ID],0)),0),"Watched","Unwatched"))</f>
        <v/>
      </c>
      <c r="C2560" s="40" t="n"/>
      <c r="D2560" s="41" t="n"/>
      <c r="E2560" s="42" t="n">
        <v>42704.69652777778</v>
      </c>
      <c r="F2560" s="50" t="inlineStr">
        <is>
          <t>Super Carlin Brothers</t>
        </is>
      </c>
      <c r="G2560" t="inlineStr">
        <is>
          <t>SCB December GIVE-A-THON Announcement!</t>
        </is>
      </c>
      <c r="H2560" s="44" t="n">
        <v>0.00287037037037037</v>
      </c>
      <c r="I2560" s="45" t="n">
        <v>75445</v>
      </c>
      <c r="J2560" s="45" t="n">
        <v>5340</v>
      </c>
      <c r="K2560" s="45" t="n">
        <v>1128</v>
      </c>
      <c r="L2560" s="46" t="n"/>
      <c r="M2560" s="47" t="n"/>
      <c r="N2560" s="47" t="inlineStr">
        <is>
          <t>UCKZo4N0lVPccBkSiuyVh4yg</t>
        </is>
      </c>
      <c r="O2560" s="48" t="n">
        <v>42704.90486111111</v>
      </c>
      <c r="P2560" s="49" t="n">
        <v>42704</v>
      </c>
      <c r="Q2560" s="47" t="n">
        <v>708</v>
      </c>
      <c r="R2560" s="47" t="inlineStr">
        <is>
          <t>No Video ID yet</t>
        </is>
      </c>
      <c r="S2560" s="49" t="n"/>
      <c r="T2560" s="49" t="n"/>
      <c r="U2560" s="47" t="inlineStr">
        <is>
          <t>We are doing giveaways everyday for the first 25 days of December! To enter each day all you have to do is follow each of us on instagram and like the photo of the day! We are donating 10 cents to our local chapter of Big Brothers Big Sisters for each follower we get up to 20,000 followers!</t>
        </is>
      </c>
      <c r="V2560" s="47">
        <f>IF(AND(P2560&gt;=Calendar!$K$2,P2560&lt;EDATE(Calendar!$K$2,1),OR(Calendar!$K$4="*",N2560=Calendar!$K$4)),P2560*100+COUNTIFS($P$6:$P$3267,P2560,$Q$6:$Q$3267,"&lt;="&amp;Q2560,$N$6:$N$3267,Calendar!$K$4),"")</f>
        <v/>
      </c>
      <c r="W2560" s="47">
        <f>IF(AND(B2560=Queue!$C$4,OR(Queue!$K$4="*",N2560=Queue!$K$4)),Q2560,"")</f>
        <v/>
      </c>
    </row>
    <row r="2561">
      <c r="A2561" s="38">
        <f>IF(M2561="","",HYPERLINK("https://www.youtube.com/watch?v="&amp;M2561,"▶"))</f>
        <v/>
      </c>
      <c r="B2561" s="39">
        <f>IF(C2561&lt;&gt;"",C2561,IF(P2561&lt;=IFERROR(INDEX(tblChannels[Watched Through],MATCH(N2561,tblChannels[Channel ID],0)),0),"Watched","Unwatched"))</f>
        <v/>
      </c>
      <c r="C2561" s="40" t="n"/>
      <c r="D2561" s="41" t="n"/>
      <c r="E2561" s="42" t="n">
        <v>42703.85347222222</v>
      </c>
      <c r="F2561" s="50" t="inlineStr">
        <is>
          <t>Super Carlin Brothers</t>
        </is>
      </c>
      <c r="G2561" t="inlineStr">
        <is>
          <t>Could Cars 3 Actually Be Awesome?!</t>
        </is>
      </c>
      <c r="H2561" s="44" t="n">
        <v>0.007789351851851852</v>
      </c>
      <c r="I2561" s="45" t="n">
        <v>1086509</v>
      </c>
      <c r="J2561" s="45" t="n">
        <v>25151</v>
      </c>
      <c r="K2561" s="45" t="n">
        <v>5481</v>
      </c>
      <c r="L2561" s="46" t="n"/>
      <c r="M2561" s="47" t="n"/>
      <c r="N2561" s="47" t="inlineStr">
        <is>
          <t>UCKZo4N0lVPccBkSiuyVh4yg</t>
        </is>
      </c>
      <c r="O2561" s="48" t="n">
        <v>42704.06180555555</v>
      </c>
      <c r="P2561" s="49" t="n">
        <v>42703</v>
      </c>
      <c r="Q2561" s="47" t="n">
        <v>707</v>
      </c>
      <c r="R2561" s="47" t="inlineStr">
        <is>
          <t>No Video ID yet</t>
        </is>
      </c>
      <c r="S2561" s="49" t="n"/>
      <c r="T2561" s="49" t="n"/>
      <c r="U2561" s="47" t="inlineStr">
        <is>
          <t>...and they said we couldn't make an 11 min video about a 57 sec trailer HAHAHA! Disney Pixar's first teaser trailer for Cars 3 just came out so today we are giving our in depth analysis, review and predictions for the upcoming movie! Full Trailer ::</t>
        </is>
      </c>
      <c r="V2561" s="47">
        <f>IF(AND(P2561&gt;=Calendar!$K$2,P2561&lt;EDATE(Calendar!$K$2,1),OR(Calendar!$K$4="*",N2561=Calendar!$K$4)),P2561*100+COUNTIFS($P$6:$P$3267,P2561,$Q$6:$Q$3267,"&lt;="&amp;Q2561,$N$6:$N$3267,Calendar!$K$4),"")</f>
        <v/>
      </c>
      <c r="W2561" s="47">
        <f>IF(AND(B2561=Queue!$C$4,OR(Queue!$K$4="*",N2561=Queue!$K$4)),Q2561,"")</f>
        <v/>
      </c>
    </row>
    <row r="2562">
      <c r="A2562" s="38">
        <f>IF(M2562="","",HYPERLINK("https://www.youtube.com/watch?v="&amp;M2562,"▶"))</f>
        <v/>
      </c>
      <c r="B2562" s="39">
        <f>IF(C2562&lt;&gt;"",C2562,IF(P2562&lt;=IFERROR(INDEX(tblChannels[Watched Through],MATCH(N2562,tblChannels[Channel ID],0)),0),"Watched","Unwatched"))</f>
        <v/>
      </c>
      <c r="C2562" s="40" t="n"/>
      <c r="D2562" s="41" t="n"/>
      <c r="E2562" s="42" t="n">
        <v>42703.66666666666</v>
      </c>
      <c r="F2562" s="52" t="inlineStr">
        <is>
          <t>Super Carlin Gaming</t>
        </is>
      </c>
      <c r="G2562" t="inlineStr">
        <is>
          <t>Pokemon HeartGold Nuzlocke #29: ENTER THE ELITE 4</t>
        </is>
      </c>
      <c r="H2562" s="44" t="n">
        <v>0.01538194444444444</v>
      </c>
      <c r="I2562" s="45" t="n">
        <v>17417</v>
      </c>
      <c r="J2562" s="45" t="n">
        <v>423</v>
      </c>
      <c r="K2562" s="45" t="n">
        <v>78</v>
      </c>
      <c r="L2562" s="46" t="n"/>
      <c r="M2562" s="47" t="n"/>
      <c r="N2562" s="47" t="inlineStr">
        <is>
          <t>UCor_9jRnNNZVzTuQ92PKsaQ</t>
        </is>
      </c>
      <c r="O2562" s="48" t="n">
        <v>42703.875</v>
      </c>
      <c r="P2562" s="49" t="n">
        <v>42703</v>
      </c>
      <c r="Q2562" s="47" t="n">
        <v>706</v>
      </c>
      <c r="R2562" s="47" t="inlineStr">
        <is>
          <t>No Video ID yet</t>
        </is>
      </c>
      <c r="S2562" s="49" t="n"/>
      <c r="T2562" s="49" t="n"/>
      <c r="U2562" s="47" t="inlineStr">
        <is>
          <t>We have trained hard and lost many friends along the way, but at last we have arrived at the Elite 4! Are we ready for the best of the best?</t>
        </is>
      </c>
      <c r="V2562" s="47">
        <f>IF(AND(P2562&gt;=Calendar!$K$2,P2562&lt;EDATE(Calendar!$K$2,1),OR(Calendar!$K$4="*",N2562=Calendar!$K$4)),P2562*100+COUNTIFS($P$6:$P$3267,P2562,$Q$6:$Q$3267,"&lt;="&amp;Q2562,$N$6:$N$3267,Calendar!$K$4),"")</f>
        <v/>
      </c>
      <c r="W2562" s="47">
        <f>IF(AND(B2562=Queue!$C$4,OR(Queue!$K$4="*",N2562=Queue!$K$4)),Q2562,"")</f>
        <v/>
      </c>
    </row>
    <row r="2563">
      <c r="A2563" s="38">
        <f>IF(M2563="","",HYPERLINK("https://www.youtube.com/watch?v="&amp;M2563,"▶"))</f>
        <v/>
      </c>
      <c r="B2563" s="39">
        <f>IF(C2563&lt;&gt;"",C2563,IF(P2563&lt;=IFERROR(INDEX(tblChannels[Watched Through],MATCH(N2563,tblChannels[Channel ID],0)),0),"Watched","Unwatched"))</f>
        <v/>
      </c>
      <c r="C2563" s="40" t="n"/>
      <c r="D2563" s="41" t="n"/>
      <c r="E2563" s="42" t="n">
        <v>42698.5</v>
      </c>
      <c r="F2563" s="50" t="inlineStr">
        <is>
          <t>Super Carlin Brothers</t>
        </is>
      </c>
      <c r="G2563" t="inlineStr">
        <is>
          <t>Harry Potter Theory: Ariana Dumbledore Was An Obscurial</t>
        </is>
      </c>
      <c r="H2563" s="44" t="n">
        <v>0.005196759259259259</v>
      </c>
      <c r="I2563" s="45" t="n">
        <v>1112530</v>
      </c>
      <c r="J2563" s="45" t="n">
        <v>28015</v>
      </c>
      <c r="K2563" s="45" t="n">
        <v>2918</v>
      </c>
      <c r="L2563" s="46" t="n"/>
      <c r="M2563" s="47" t="n"/>
      <c r="N2563" s="47" t="inlineStr">
        <is>
          <t>UCKZo4N0lVPccBkSiuyVh4yg</t>
        </is>
      </c>
      <c r="O2563" s="48" t="n">
        <v>42698.70833333334</v>
      </c>
      <c r="P2563" s="49" t="n">
        <v>42698</v>
      </c>
      <c r="Q2563" s="47" t="n">
        <v>705</v>
      </c>
      <c r="R2563" s="47" t="inlineStr">
        <is>
          <t>No Video ID yet</t>
        </is>
      </c>
      <c r="S2563" s="49" t="n"/>
      <c r="T2563" s="49" t="n"/>
      <c r="U2563" s="47" t="inlineStr">
        <is>
          <t>Our biggest question from Fantastic Beasts and Where To Find Them was if Ariana Dumbledore was an obscurial like Credence! Could it be true??</t>
        </is>
      </c>
      <c r="V2563" s="47">
        <f>IF(AND(P2563&gt;=Calendar!$K$2,P2563&lt;EDATE(Calendar!$K$2,1),OR(Calendar!$K$4="*",N2563=Calendar!$K$4)),P2563*100+COUNTIFS($P$6:$P$3267,P2563,$Q$6:$Q$3267,"&lt;="&amp;Q2563,$N$6:$N$3267,Calendar!$K$4),"")</f>
        <v/>
      </c>
      <c r="W2563" s="47">
        <f>IF(AND(B2563=Queue!$C$4,OR(Queue!$K$4="*",N2563=Queue!$K$4)),Q2563,"")</f>
        <v/>
      </c>
    </row>
    <row r="2564">
      <c r="A2564" s="38">
        <f>IF(M2564="","",HYPERLINK("https://www.youtube.com/watch?v="&amp;M2564,"▶"))</f>
        <v/>
      </c>
      <c r="B2564" s="39">
        <f>IF(C2564&lt;&gt;"",C2564,IF(P2564&lt;=IFERROR(INDEX(tblChannels[Watched Through],MATCH(N2564,tblChannels[Channel ID],0)),0),"Watched","Unwatched"))</f>
        <v/>
      </c>
      <c r="C2564" s="40" t="n"/>
      <c r="D2564" s="41" t="n"/>
      <c r="E2564" s="42" t="n">
        <v>42696.80208333334</v>
      </c>
      <c r="F2564" s="50" t="inlineStr">
        <is>
          <t>Super Carlin Brothers</t>
        </is>
      </c>
      <c r="G2564" t="inlineStr">
        <is>
          <t>Top 7 Unanswered Questions From Fantastic Beasts</t>
        </is>
      </c>
      <c r="H2564" s="44" t="n">
        <v>0.008599537037037037</v>
      </c>
      <c r="I2564" s="45" t="n">
        <v>1636441</v>
      </c>
      <c r="J2564" s="45" t="n">
        <v>32541</v>
      </c>
      <c r="K2564" s="45" t="n">
        <v>6831</v>
      </c>
      <c r="L2564" s="46" t="n"/>
      <c r="M2564" s="47" t="n"/>
      <c r="N2564" s="47" t="inlineStr">
        <is>
          <t>UCKZo4N0lVPccBkSiuyVh4yg</t>
        </is>
      </c>
      <c r="O2564" s="48" t="n">
        <v>42697.01041666666</v>
      </c>
      <c r="P2564" s="49" t="n">
        <v>42696</v>
      </c>
      <c r="Q2564" s="47" t="n">
        <v>704</v>
      </c>
      <c r="R2564" s="47" t="inlineStr">
        <is>
          <t>No Video ID yet</t>
        </is>
      </c>
      <c r="S2564" s="49" t="n"/>
      <c r="T2564" s="49" t="n"/>
      <c r="U2564" s="47" t="inlineStr">
        <is>
          <t>We have seen Fantastic Beasts and Where To Find Them twice now and have to say.. pretty much the best Harry Potter film to date! It does leave us with a few mysteries though to today we are running down the Top 7 Unanswered Questions from Fantastic Beasts.</t>
        </is>
      </c>
      <c r="V2564" s="47">
        <f>IF(AND(P2564&gt;=Calendar!$K$2,P2564&lt;EDATE(Calendar!$K$2,1),OR(Calendar!$K$4="*",N2564=Calendar!$K$4)),P2564*100+COUNTIFS($P$6:$P$3267,P2564,$Q$6:$Q$3267,"&lt;="&amp;Q2564,$N$6:$N$3267,Calendar!$K$4),"")</f>
        <v/>
      </c>
      <c r="W2564" s="47">
        <f>IF(AND(B2564=Queue!$C$4,OR(Queue!$K$4="*",N2564=Queue!$K$4)),Q2564,"")</f>
        <v/>
      </c>
    </row>
    <row r="2565">
      <c r="A2565" s="38">
        <f>IF(M2565="","",HYPERLINK("https://www.youtube.com/watch?v="&amp;M2565,"▶"))</f>
        <v/>
      </c>
      <c r="B2565" s="39">
        <f>IF(C2565&lt;&gt;"",C2565,IF(P2565&lt;=IFERROR(INDEX(tblChannels[Watched Through],MATCH(N2565,tblChannels[Channel ID],0)),0),"Watched","Unwatched"))</f>
        <v/>
      </c>
      <c r="C2565" s="40" t="n"/>
      <c r="D2565" s="41" t="n"/>
      <c r="E2565" s="42" t="n">
        <v>42696.57222222222</v>
      </c>
      <c r="F2565" s="52" t="inlineStr">
        <is>
          <t>Super Carlin Gaming</t>
        </is>
      </c>
      <c r="G2565" t="inlineStr">
        <is>
          <t>Castle Crashers #4: LAVA WORLD</t>
        </is>
      </c>
      <c r="H2565" s="44" t="n">
        <v>0.01534722222222222</v>
      </c>
      <c r="I2565" s="45" t="n">
        <v>8060</v>
      </c>
      <c r="J2565" s="45" t="n">
        <v>174</v>
      </c>
      <c r="K2565" s="45" t="n">
        <v>37</v>
      </c>
      <c r="L2565" s="46" t="n"/>
      <c r="M2565" s="47" t="n"/>
      <c r="N2565" s="47" t="inlineStr">
        <is>
          <t>UCor_9jRnNNZVzTuQ92PKsaQ</t>
        </is>
      </c>
      <c r="O2565" s="48" t="n">
        <v>42696.78055555555</v>
      </c>
      <c r="P2565" s="49" t="n">
        <v>42696</v>
      </c>
      <c r="Q2565" s="47" t="n">
        <v>703</v>
      </c>
      <c r="R2565" s="47" t="inlineStr">
        <is>
          <t>No Video ID yet</t>
        </is>
      </c>
      <c r="S2565" s="49" t="n"/>
      <c r="T2565" s="49" t="n"/>
      <c r="U2565" s="47" t="inlineStr">
        <is>
          <t>Now with understandable words! Today J and the Iron Peach continue their quest through Castle Crashers retrieve their kidnapped princesses by taking on Lava World... and a sock monster? This should be interesting..</t>
        </is>
      </c>
      <c r="V2565" s="47">
        <f>IF(AND(P2565&gt;=Calendar!$K$2,P2565&lt;EDATE(Calendar!$K$2,1),OR(Calendar!$K$4="*",N2565=Calendar!$K$4)),P2565*100+COUNTIFS($P$6:$P$3267,P2565,$Q$6:$Q$3267,"&lt;="&amp;Q2565,$N$6:$N$3267,Calendar!$K$4),"")</f>
        <v/>
      </c>
      <c r="W2565" s="47">
        <f>IF(AND(B2565=Queue!$C$4,OR(Queue!$K$4="*",N2565=Queue!$K$4)),Q2565,"")</f>
        <v/>
      </c>
    </row>
    <row r="2566">
      <c r="A2566" s="38">
        <f>IF(M2566="","",HYPERLINK("https://www.youtube.com/watch?v="&amp;M2566,"▶"))</f>
        <v/>
      </c>
      <c r="B2566" s="39">
        <f>IF(C2566&lt;&gt;"",C2566,IF(P2566&lt;=IFERROR(INDEX(tblChannels[Watched Through],MATCH(N2566,tblChannels[Channel ID],0)),0),"Watched","Unwatched"))</f>
        <v/>
      </c>
      <c r="C2566" s="40" t="n"/>
      <c r="D2566" s="41" t="n"/>
      <c r="E2566" s="42" t="n">
        <v>42691.72013888889</v>
      </c>
      <c r="F2566" s="50" t="inlineStr">
        <is>
          <t>Super Carlin Brothers</t>
        </is>
      </c>
      <c r="G2566" t="inlineStr">
        <is>
          <t>What You Need To Know Before Seeing Fantastic Beasts And Where To Find Them</t>
        </is>
      </c>
      <c r="H2566" s="44" t="n">
        <v>0.005949074074074075</v>
      </c>
      <c r="I2566" s="45" t="n">
        <v>696196</v>
      </c>
      <c r="J2566" s="45" t="n">
        <v>15189</v>
      </c>
      <c r="K2566" s="45" t="n">
        <v>4685</v>
      </c>
      <c r="L2566" s="46" t="n"/>
      <c r="M2566" s="47" t="n"/>
      <c r="N2566" s="47" t="inlineStr">
        <is>
          <t>UCKZo4N0lVPccBkSiuyVh4yg</t>
        </is>
      </c>
      <c r="O2566" s="48" t="n">
        <v>42691.92847222222</v>
      </c>
      <c r="P2566" s="49" t="n">
        <v>42691</v>
      </c>
      <c r="Q2566" s="47" t="n">
        <v>702</v>
      </c>
      <c r="R2566" s="47" t="inlineStr">
        <is>
          <t>No Video ID yet</t>
        </is>
      </c>
      <c r="S2566" s="49" t="n"/>
      <c r="T2566" s="49" t="n"/>
      <c r="U2566" s="47" t="inlineStr">
        <is>
          <t>The latest addition to the wizarding world of Harry Potter premiers today in Fantastic Beasts and Where To Find Them! Today Ben goes everything you may want to know before you see the movie! Roanoke, Virginia 24015 =D</t>
        </is>
      </c>
      <c r="V2566" s="47">
        <f>IF(AND(P2566&gt;=Calendar!$K$2,P2566&lt;EDATE(Calendar!$K$2,1),OR(Calendar!$K$4="*",N2566=Calendar!$K$4)),P2566*100+COUNTIFS($P$6:$P$3267,P2566,$Q$6:$Q$3267,"&lt;="&amp;Q2566,$N$6:$N$3267,Calendar!$K$4),"")</f>
        <v/>
      </c>
      <c r="W2566" s="47">
        <f>IF(AND(B2566=Queue!$C$4,OR(Queue!$K$4="*",N2566=Queue!$K$4)),Q2566,"")</f>
        <v/>
      </c>
    </row>
    <row r="2567">
      <c r="A2567" s="38">
        <f>IF(M2567="","",HYPERLINK("https://www.youtube.com/watch?v="&amp;M2567,"▶"))</f>
        <v/>
      </c>
      <c r="B2567" s="39">
        <f>IF(C2567&lt;&gt;"",C2567,IF(P2567&lt;=IFERROR(INDEX(tblChannels[Watched Through],MATCH(N2567,tblChannels[Channel ID],0)),0),"Watched","Unwatched"))</f>
        <v/>
      </c>
      <c r="C2567" s="40" t="n"/>
      <c r="D2567" s="41" t="n"/>
      <c r="E2567" s="42" t="n">
        <v>42689.73055555556</v>
      </c>
      <c r="F2567" s="50" t="inlineStr">
        <is>
          <t>Super Carlin Brothers</t>
        </is>
      </c>
      <c r="G2567" t="inlineStr">
        <is>
          <t>Top 10 Things To Look For In Moana</t>
        </is>
      </c>
      <c r="H2567" s="44" t="n">
        <v>0.008206018518518519</v>
      </c>
      <c r="I2567" s="45" t="n">
        <v>699346</v>
      </c>
      <c r="J2567" s="45" t="n">
        <v>14075</v>
      </c>
      <c r="K2567" s="45" t="n">
        <v>4074</v>
      </c>
      <c r="L2567" s="46" t="n"/>
      <c r="M2567" s="47" t="n"/>
      <c r="N2567" s="47" t="inlineStr">
        <is>
          <t>UCKZo4N0lVPccBkSiuyVh4yg</t>
        </is>
      </c>
      <c r="O2567" s="48" t="n">
        <v>42689.93888888889</v>
      </c>
      <c r="P2567" s="49" t="n">
        <v>42689</v>
      </c>
      <c r="Q2567" s="47" t="n">
        <v>701</v>
      </c>
      <c r="R2567" s="47" t="inlineStr">
        <is>
          <t>No Video ID yet</t>
        </is>
      </c>
      <c r="S2567" s="49" t="n"/>
      <c r="T2567" s="49" t="n"/>
      <c r="U2567" s="47" t="inlineStr">
        <is>
          <t>Disney's Moana comes out in just 2 weeks and it is sure to be full of all new easter eggs! Today we are running down our top 1o things to look for in Moana!</t>
        </is>
      </c>
      <c r="V2567" s="47">
        <f>IF(AND(P2567&gt;=Calendar!$K$2,P2567&lt;EDATE(Calendar!$K$2,1),OR(Calendar!$K$4="*",N2567=Calendar!$K$4)),P2567*100+COUNTIFS($P$6:$P$3267,P2567,$Q$6:$Q$3267,"&lt;="&amp;Q2567,$N$6:$N$3267,Calendar!$K$4),"")</f>
        <v/>
      </c>
      <c r="W2567" s="47">
        <f>IF(AND(B2567=Queue!$C$4,OR(Queue!$K$4="*",N2567=Queue!$K$4)),Q2567,"")</f>
        <v/>
      </c>
    </row>
    <row r="2568">
      <c r="A2568" s="38">
        <f>IF(M2568="","",HYPERLINK("https://www.youtube.com/watch?v="&amp;M2568,"▶"))</f>
        <v/>
      </c>
      <c r="B2568" s="39">
        <f>IF(C2568&lt;&gt;"",C2568,IF(P2568&lt;=IFERROR(INDEX(tblChannels[Watched Through],MATCH(N2568,tblChannels[Channel ID],0)),0),"Watched","Unwatched"))</f>
        <v/>
      </c>
      <c r="C2568" s="40" t="n"/>
      <c r="D2568" s="41" t="n"/>
      <c r="E2568" s="42" t="n">
        <v>42684.89166666667</v>
      </c>
      <c r="F2568" s="50" t="inlineStr">
        <is>
          <t>Super Carlin Brothers</t>
        </is>
      </c>
      <c r="G2568" t="inlineStr">
        <is>
          <t>Everything We Know About Boo</t>
        </is>
      </c>
      <c r="H2568" s="44" t="n">
        <v>0.007199074074074074</v>
      </c>
      <c r="I2568" s="45" t="n">
        <v>1372938</v>
      </c>
      <c r="J2568" s="45" t="n">
        <v>28981</v>
      </c>
      <c r="K2568" s="45" t="n">
        <v>6501</v>
      </c>
      <c r="L2568" s="46" t="n"/>
      <c r="M2568" s="47" t="n"/>
      <c r="N2568" s="47" t="inlineStr">
        <is>
          <t>UCKZo4N0lVPccBkSiuyVh4yg</t>
        </is>
      </c>
      <c r="O2568" s="48" t="n">
        <v>42685.1</v>
      </c>
      <c r="P2568" s="49" t="n">
        <v>42684</v>
      </c>
      <c r="Q2568" s="47" t="n">
        <v>700</v>
      </c>
      <c r="R2568" s="47" t="inlineStr">
        <is>
          <t>No Video ID yet</t>
        </is>
      </c>
      <c r="S2568" s="49" t="n"/>
      <c r="T2568" s="49" t="n"/>
      <c r="U2568" s="47" t="inlineStr">
        <is>
          <t>Today we examine everything we know about Boo from Disney Pixar's Monsters Inc. We are constantly getting questions about her origins and her future and if she is making appearances anywhere else in the pixar universe and today we are going to find out!</t>
        </is>
      </c>
      <c r="V2568" s="47">
        <f>IF(AND(P2568&gt;=Calendar!$K$2,P2568&lt;EDATE(Calendar!$K$2,1),OR(Calendar!$K$4="*",N2568=Calendar!$K$4)),P2568*100+COUNTIFS($P$6:$P$3267,P2568,$Q$6:$Q$3267,"&lt;="&amp;Q2568,$N$6:$N$3267,Calendar!$K$4),"")</f>
        <v/>
      </c>
      <c r="W2568" s="47">
        <f>IF(AND(B2568=Queue!$C$4,OR(Queue!$K$4="*",N2568=Queue!$K$4)),Q2568,"")</f>
        <v/>
      </c>
    </row>
    <row r="2569">
      <c r="A2569" s="38">
        <f>IF(M2569="","",HYPERLINK("https://www.youtube.com/watch?v="&amp;M2569,"▶"))</f>
        <v/>
      </c>
      <c r="B2569" s="39">
        <f>IF(C2569&lt;&gt;"",C2569,IF(P2569&lt;=IFERROR(INDEX(tblChannels[Watched Through],MATCH(N2569,tblChannels[Channel ID],0)),0),"Watched","Unwatched"))</f>
        <v/>
      </c>
      <c r="C2569" s="40" t="n"/>
      <c r="D2569" s="41" t="n"/>
      <c r="E2569" s="42" t="n">
        <v>42682.61319444444</v>
      </c>
      <c r="F2569" s="50" t="inlineStr">
        <is>
          <t>Super Carlin Brothers</t>
        </is>
      </c>
      <c r="G2569" t="inlineStr">
        <is>
          <t>Harry Potter Theory: The True Path Of The Elder Wand</t>
        </is>
      </c>
      <c r="H2569" s="44" t="n">
        <v>0.006631944444444445</v>
      </c>
      <c r="I2569" s="45" t="n">
        <v>1941882</v>
      </c>
      <c r="J2569" s="45" t="n">
        <v>42899</v>
      </c>
      <c r="K2569" s="45" t="n">
        <v>6030</v>
      </c>
      <c r="L2569" s="46" t="n"/>
      <c r="M2569" s="47" t="n"/>
      <c r="N2569" s="47" t="inlineStr">
        <is>
          <t>UCKZo4N0lVPccBkSiuyVh4yg</t>
        </is>
      </c>
      <c r="O2569" s="48" t="n">
        <v>42682.82152777778</v>
      </c>
      <c r="P2569" s="49" t="n">
        <v>42682</v>
      </c>
      <c r="Q2569" s="47" t="n">
        <v>699</v>
      </c>
      <c r="R2569" s="47" t="inlineStr">
        <is>
          <t>No Video ID yet</t>
        </is>
      </c>
      <c r="S2569" s="49" t="n"/>
      <c r="T2569" s="49" t="n"/>
      <c r="U2569" s="47" t="inlineStr">
        <is>
          <t>Original Reddit Post :: Harry defeats Voldemort by being the true master of the Elder Wand.. or does he? Was Voldemort actually the wands master?? What was the true path of the Elder Wand?</t>
        </is>
      </c>
      <c r="V2569" s="47">
        <f>IF(AND(P2569&gt;=Calendar!$K$2,P2569&lt;EDATE(Calendar!$K$2,1),OR(Calendar!$K$4="*",N2569=Calendar!$K$4)),P2569*100+COUNTIFS($P$6:$P$3267,P2569,$Q$6:$Q$3267,"&lt;="&amp;Q2569,$N$6:$N$3267,Calendar!$K$4),"")</f>
        <v/>
      </c>
      <c r="W2569" s="47">
        <f>IF(AND(B2569=Queue!$C$4,OR(Queue!$K$4="*",N2569=Queue!$K$4)),Q2569,"")</f>
        <v/>
      </c>
    </row>
    <row r="2570">
      <c r="A2570" s="38">
        <f>IF(M2570="","",HYPERLINK("https://www.youtube.com/watch?v="&amp;M2570,"▶"))</f>
        <v/>
      </c>
      <c r="B2570" s="39">
        <f>IF(C2570&lt;&gt;"",C2570,IF(P2570&lt;=IFERROR(INDEX(tblChannels[Watched Through],MATCH(N2570,tblChannels[Channel ID],0)),0),"Watched","Unwatched"))</f>
        <v/>
      </c>
      <c r="C2570" s="40" t="n"/>
      <c r="D2570" s="41" t="n"/>
      <c r="E2570" s="42" t="n">
        <v>42678.00833333333</v>
      </c>
      <c r="F2570" s="50" t="inlineStr">
        <is>
          <t>Super Carlin Brothers</t>
        </is>
      </c>
      <c r="G2570" t="inlineStr">
        <is>
          <t>Harry Potter Theory: The Veil Explained</t>
        </is>
      </c>
      <c r="H2570" s="44" t="n">
        <v>0.007268518518518519</v>
      </c>
      <c r="I2570" s="45" t="n">
        <v>3281859</v>
      </c>
      <c r="J2570" s="45" t="n">
        <v>69065</v>
      </c>
      <c r="K2570" s="45" t="n">
        <v>6994</v>
      </c>
      <c r="L2570" s="46" t="n"/>
      <c r="M2570" s="47" t="n"/>
      <c r="N2570" s="47" t="inlineStr">
        <is>
          <t>UCKZo4N0lVPccBkSiuyVh4yg</t>
        </is>
      </c>
      <c r="O2570" s="48" t="n">
        <v>42678.175</v>
      </c>
      <c r="P2570" s="49" t="n">
        <v>42678</v>
      </c>
      <c r="Q2570" s="47" t="n">
        <v>698</v>
      </c>
      <c r="R2570" s="47" t="inlineStr">
        <is>
          <t>No Video ID yet</t>
        </is>
      </c>
      <c r="S2570" s="49" t="n"/>
      <c r="T2570" s="49" t="n"/>
      <c r="U2570" s="47" t="inlineStr">
        <is>
          <t>In Harry Potter and the Order of the Pheonix Harry and friends come across a mysterious veil in the Department of Mysteries. We know Sirius dies when he passes through it, but we never get a good explanation for what the Veil really is... UNTIL NOW!</t>
        </is>
      </c>
      <c r="V2570" s="47">
        <f>IF(AND(P2570&gt;=Calendar!$K$2,P2570&lt;EDATE(Calendar!$K$2,1),OR(Calendar!$K$4="*",N2570=Calendar!$K$4)),P2570*100+COUNTIFS($P$6:$P$3267,P2570,$Q$6:$Q$3267,"&lt;="&amp;Q2570,$N$6:$N$3267,Calendar!$K$4),"")</f>
        <v/>
      </c>
      <c r="W2570" s="47">
        <f>IF(AND(B2570=Queue!$C$4,OR(Queue!$K$4="*",N2570=Queue!$K$4)),Q2570,"")</f>
        <v/>
      </c>
    </row>
    <row r="2571">
      <c r="A2571" s="38">
        <f>IF(M2571="","",HYPERLINK("https://www.youtube.com/watch?v="&amp;M2571,"▶"))</f>
        <v/>
      </c>
      <c r="B2571" s="39">
        <f>IF(C2571&lt;&gt;"",C2571,IF(P2571&lt;=IFERROR(INDEX(tblChannels[Watched Through],MATCH(N2571,tblChannels[Channel ID],0)),0),"Watched","Unwatched"))</f>
        <v/>
      </c>
      <c r="C2571" s="40" t="n"/>
      <c r="D2571" s="41" t="n"/>
      <c r="E2571" s="42" t="n">
        <v>42676.64236111111</v>
      </c>
      <c r="F2571" s="52" t="inlineStr">
        <is>
          <t>Super Carlin Gaming</t>
        </is>
      </c>
      <c r="G2571" t="inlineStr">
        <is>
          <t>Castle Crashers #3 - Bee Stings and Lightsabers</t>
        </is>
      </c>
      <c r="H2571" s="44" t="n">
        <v>0.0147337962962963</v>
      </c>
      <c r="I2571" s="45" t="n">
        <v>9742</v>
      </c>
      <c r="J2571" s="45" t="n">
        <v>253</v>
      </c>
      <c r="K2571" s="45" t="n">
        <v>36</v>
      </c>
      <c r="L2571" s="46" t="n"/>
      <c r="M2571" s="47" t="n"/>
      <c r="N2571" s="47" t="inlineStr">
        <is>
          <t>UCor_9jRnNNZVzTuQ92PKsaQ</t>
        </is>
      </c>
      <c r="O2571" s="48" t="n">
        <v>42676.80902777778</v>
      </c>
      <c r="P2571" s="49" t="n">
        <v>42676</v>
      </c>
      <c r="Q2571" s="47" t="n">
        <v>697</v>
      </c>
      <c r="R2571" s="47" t="inlineStr">
        <is>
          <t>No Video ID yet</t>
        </is>
      </c>
      <c r="S2571" s="49" t="n"/>
      <c r="T2571" s="49" t="n"/>
      <c r="U2571" s="47" t="inlineStr">
        <is>
          <t>J and the Iron Peach continue their quest to rescue the princesses, but are held up by some lightsaber wielding knights, bees and a Cyclops.. just another day of Castle Crashers.</t>
        </is>
      </c>
      <c r="V2571" s="47">
        <f>IF(AND(P2571&gt;=Calendar!$K$2,P2571&lt;EDATE(Calendar!$K$2,1),OR(Calendar!$K$4="*",N2571=Calendar!$K$4)),P2571*100+COUNTIFS($P$6:$P$3267,P2571,$Q$6:$Q$3267,"&lt;="&amp;Q2571,$N$6:$N$3267,Calendar!$K$4),"")</f>
        <v/>
      </c>
      <c r="W2571" s="47">
        <f>IF(AND(B2571=Queue!$C$4,OR(Queue!$K$4="*",N2571=Queue!$K$4)),Q2571,"")</f>
        <v/>
      </c>
    </row>
    <row r="2572">
      <c r="A2572" s="38">
        <f>IF(M2572="","",HYPERLINK("https://www.youtube.com/watch?v="&amp;M2572,"▶"))</f>
        <v/>
      </c>
      <c r="B2572" s="39">
        <f>IF(C2572&lt;&gt;"",C2572,IF(P2572&lt;=IFERROR(INDEX(tblChannels[Watched Through],MATCH(N2572,tblChannels[Channel ID],0)),0),"Watched","Unwatched"))</f>
        <v/>
      </c>
      <c r="C2572" s="40" t="n"/>
      <c r="D2572" s="41" t="n"/>
      <c r="E2572" s="42" t="n">
        <v>42675.75208333333</v>
      </c>
      <c r="F2572" s="50" t="inlineStr">
        <is>
          <t>Super Carlin Brothers</t>
        </is>
      </c>
      <c r="G2572" t="inlineStr">
        <is>
          <t>Marvel's Strange Use of the Number 12 Explained</t>
        </is>
      </c>
      <c r="H2572" s="44" t="n">
        <v>0.005659722222222222</v>
      </c>
      <c r="I2572" s="45" t="n">
        <v>634793</v>
      </c>
      <c r="J2572" s="45" t="n">
        <v>16092</v>
      </c>
      <c r="K2572" s="45" t="n">
        <v>2698</v>
      </c>
      <c r="L2572" s="46" t="n"/>
      <c r="M2572" s="47" t="n"/>
      <c r="N2572" s="47" t="inlineStr">
        <is>
          <t>UCKZo4N0lVPccBkSiuyVh4yg</t>
        </is>
      </c>
      <c r="O2572" s="48" t="n">
        <v>42675.91875</v>
      </c>
      <c r="P2572" s="49" t="n">
        <v>42675</v>
      </c>
      <c r="Q2572" s="47" t="n">
        <v>696</v>
      </c>
      <c r="R2572" s="47" t="inlineStr">
        <is>
          <t>No Video ID yet</t>
        </is>
      </c>
      <c r="S2572" s="49" t="n"/>
      <c r="T2572" s="49" t="n"/>
      <c r="U2572" s="47" t="inlineStr">
        <is>
          <t>You may have missed it, but Marvel has been sneaking in the number 12 into almost EVERY one of their movies. With Doctor Strange coming out this week the question is: What does it mean??</t>
        </is>
      </c>
      <c r="V2572" s="47">
        <f>IF(AND(P2572&gt;=Calendar!$K$2,P2572&lt;EDATE(Calendar!$K$2,1),OR(Calendar!$K$4="*",N2572=Calendar!$K$4)),P2572*100+COUNTIFS($P$6:$P$3267,P2572,$Q$6:$Q$3267,"&lt;="&amp;Q2572,$N$6:$N$3267,Calendar!$K$4),"")</f>
        <v/>
      </c>
      <c r="W2572" s="47">
        <f>IF(AND(B2572=Queue!$C$4,OR(Queue!$K$4="*",N2572=Queue!$K$4)),Q2572,"")</f>
        <v/>
      </c>
    </row>
    <row r="2573">
      <c r="A2573" s="38">
        <f>IF(M2573="","",HYPERLINK("https://www.youtube.com/watch?v="&amp;M2573,"▶"))</f>
        <v/>
      </c>
      <c r="B2573" s="39">
        <f>IF(C2573&lt;&gt;"",C2573,IF(P2573&lt;=IFERROR(INDEX(tblChannels[Watched Through],MATCH(N2573,tblChannels[Channel ID],0)),0),"Watched","Unwatched"))</f>
        <v/>
      </c>
      <c r="C2573" s="40" t="n"/>
      <c r="D2573" s="41" t="n"/>
      <c r="E2573" s="42" t="n">
        <v>42670.79861111111</v>
      </c>
      <c r="F2573" s="50" t="inlineStr">
        <is>
          <t>Super Carlin Brothers</t>
        </is>
      </c>
      <c r="G2573" t="inlineStr">
        <is>
          <t>Tangled Theory: How Rapunzel Got Her Powers</t>
        </is>
      </c>
      <c r="H2573" s="44" t="n">
        <v>0.005914351851851852</v>
      </c>
      <c r="I2573" s="45" t="n">
        <v>1217578</v>
      </c>
      <c r="J2573" s="45" t="n">
        <v>44345</v>
      </c>
      <c r="K2573" s="45" t="n">
        <v>7391</v>
      </c>
      <c r="L2573" s="46" t="n"/>
      <c r="M2573" s="47" t="n"/>
      <c r="N2573" s="47" t="inlineStr">
        <is>
          <t>UCKZo4N0lVPccBkSiuyVh4yg</t>
        </is>
      </c>
      <c r="O2573" s="48" t="n">
        <v>42670.96527777778</v>
      </c>
      <c r="P2573" s="49" t="n">
        <v>42670</v>
      </c>
      <c r="Q2573" s="47" t="n">
        <v>695</v>
      </c>
      <c r="R2573" s="47" t="inlineStr">
        <is>
          <t>No Video ID yet</t>
        </is>
      </c>
      <c r="S2573" s="49" t="n"/>
      <c r="T2573" s="49" t="n"/>
      <c r="U2573" s="47" t="inlineStr">
        <is>
          <t>Today Ben explores the world of Disney's Tangled to discover how Rapunzel got her powers, the mystery of the golden flower and Mother Gothel's origins</t>
        </is>
      </c>
      <c r="V2573" s="47">
        <f>IF(AND(P2573&gt;=Calendar!$K$2,P2573&lt;EDATE(Calendar!$K$2,1),OR(Calendar!$K$4="*",N2573=Calendar!$K$4)),P2573*100+COUNTIFS($P$6:$P$3267,P2573,$Q$6:$Q$3267,"&lt;="&amp;Q2573,$N$6:$N$3267,Calendar!$K$4),"")</f>
        <v/>
      </c>
      <c r="W2573" s="47">
        <f>IF(AND(B2573=Queue!$C$4,OR(Queue!$K$4="*",N2573=Queue!$K$4)),Q2573,"")</f>
        <v/>
      </c>
    </row>
    <row r="2574">
      <c r="A2574" s="38">
        <f>IF(M2574="","",HYPERLINK("https://www.youtube.com/watch?v="&amp;M2574,"▶"))</f>
        <v/>
      </c>
      <c r="B2574" s="39">
        <f>IF(C2574&lt;&gt;"",C2574,IF(P2574&lt;=IFERROR(INDEX(tblChannels[Watched Through],MATCH(N2574,tblChannels[Channel ID],0)),0),"Watched","Unwatched"))</f>
        <v/>
      </c>
      <c r="C2574" s="40" t="n"/>
      <c r="D2574" s="41" t="n"/>
      <c r="E2574" s="42" t="n">
        <v>42669.625</v>
      </c>
      <c r="F2574" s="52" t="inlineStr">
        <is>
          <t>Super Carlin Gaming</t>
        </is>
      </c>
      <c r="G2574" t="inlineStr">
        <is>
          <t>Castle Crashers #2 - FLAG BEAR!</t>
        </is>
      </c>
      <c r="H2574" s="44" t="n">
        <v>0.01402777777777778</v>
      </c>
      <c r="I2574" s="45" t="n">
        <v>10916</v>
      </c>
      <c r="J2574" s="45" t="n">
        <v>281</v>
      </c>
      <c r="K2574" s="45" t="n">
        <v>59</v>
      </c>
      <c r="L2574" s="46" t="n"/>
      <c r="M2574" s="47" t="n"/>
      <c r="N2574" s="47" t="inlineStr">
        <is>
          <t>UCor_9jRnNNZVzTuQ92PKsaQ</t>
        </is>
      </c>
      <c r="O2574" s="48" t="n">
        <v>42669.79166666666</v>
      </c>
      <c r="P2574" s="49" t="n">
        <v>42669</v>
      </c>
      <c r="Q2574" s="47" t="n">
        <v>694</v>
      </c>
      <c r="R2574" s="47" t="inlineStr">
        <is>
          <t>No Video ID yet</t>
        </is>
      </c>
      <c r="S2574" s="49" t="n"/>
      <c r="T2574" s="49" t="n"/>
      <c r="U2574" s="47" t="inlineStr">
        <is>
          <t>J and the Iron Peach continue their Castle Crashers adventure, today we fight bears, bears, bears, and a FLAG BEAR! ...Also a Giant Bat!</t>
        </is>
      </c>
      <c r="V2574" s="47">
        <f>IF(AND(P2574&gt;=Calendar!$K$2,P2574&lt;EDATE(Calendar!$K$2,1),OR(Calendar!$K$4="*",N2574=Calendar!$K$4)),P2574*100+COUNTIFS($P$6:$P$3267,P2574,$Q$6:$Q$3267,"&lt;="&amp;Q2574,$N$6:$N$3267,Calendar!$K$4),"")</f>
        <v/>
      </c>
      <c r="W2574" s="47">
        <f>IF(AND(B2574=Queue!$C$4,OR(Queue!$K$4="*",N2574=Queue!$K$4)),Q2574,"")</f>
        <v/>
      </c>
    </row>
    <row r="2575">
      <c r="A2575" s="38">
        <f>IF(M2575="","",HYPERLINK("https://www.youtube.com/watch?v="&amp;M2575,"▶"))</f>
        <v/>
      </c>
      <c r="B2575" s="39">
        <f>IF(C2575&lt;&gt;"",C2575,IF(P2575&lt;=IFERROR(INDEX(tblChannels[Watched Through],MATCH(N2575,tblChannels[Channel ID],0)),0),"Watched","Unwatched"))</f>
        <v/>
      </c>
      <c r="C2575" s="40" t="n"/>
      <c r="D2575" s="41" t="n"/>
      <c r="E2575" s="42" t="n">
        <v>42668.72708333333</v>
      </c>
      <c r="F2575" s="50" t="inlineStr">
        <is>
          <t>Super Carlin Brothers</t>
        </is>
      </c>
      <c r="G2575" t="inlineStr">
        <is>
          <t>How to Find A Google Autofill</t>
        </is>
      </c>
      <c r="H2575" s="44" t="n">
        <v>0.00537037037037037</v>
      </c>
      <c r="I2575" s="45" t="n">
        <v>461412</v>
      </c>
      <c r="J2575" s="45" t="n">
        <v>13054</v>
      </c>
      <c r="K2575" s="45" t="n">
        <v>4599</v>
      </c>
      <c r="L2575" s="46" t="n"/>
      <c r="M2575" s="47" t="n"/>
      <c r="N2575" s="47" t="inlineStr">
        <is>
          <t>UCKZo4N0lVPccBkSiuyVh4yg</t>
        </is>
      </c>
      <c r="O2575" s="48" t="n">
        <v>42668.89375</v>
      </c>
      <c r="P2575" s="49" t="n">
        <v>42668</v>
      </c>
      <c r="Q2575" s="47" t="n">
        <v>693</v>
      </c>
      <c r="R2575" s="47" t="inlineStr">
        <is>
          <t>No Video ID yet</t>
        </is>
      </c>
      <c r="S2575" s="49" t="n"/>
      <c r="T2575" s="49" t="n"/>
      <c r="U2575" s="47" t="inlineStr">
        <is>
          <t>I love being a Slytherin but undeniably there is one thing the Hufflepuff's have us on.... Finding. If you are a Hufflepuff you may already know all of this, but if not then buckle up because today we are playing: How to Find A Google Autofill! What hobby would you like to turn into a career?</t>
        </is>
      </c>
      <c r="V2575" s="47">
        <f>IF(AND(P2575&gt;=Calendar!$K$2,P2575&lt;EDATE(Calendar!$K$2,1),OR(Calendar!$K$4="*",N2575=Calendar!$K$4)),P2575*100+COUNTIFS($P$6:$P$3267,P2575,$Q$6:$Q$3267,"&lt;="&amp;Q2575,$N$6:$N$3267,Calendar!$K$4),"")</f>
        <v/>
      </c>
      <c r="W2575" s="47">
        <f>IF(AND(B2575=Queue!$C$4,OR(Queue!$K$4="*",N2575=Queue!$K$4)),Q2575,"")</f>
        <v/>
      </c>
    </row>
    <row r="2576">
      <c r="A2576" s="38">
        <f>IF(M2576="","",HYPERLINK("https://www.youtube.com/watch?v="&amp;M2576,"▶"))</f>
        <v/>
      </c>
      <c r="B2576" s="39">
        <f>IF(C2576&lt;&gt;"",C2576,IF(P2576&lt;=IFERROR(INDEX(tblChannels[Watched Through],MATCH(N2576,tblChannels[Channel ID],0)),0),"Watched","Unwatched"))</f>
        <v/>
      </c>
      <c r="C2576" s="40" t="n"/>
      <c r="D2576" s="41" t="n"/>
      <c r="E2576" s="42" t="n">
        <v>42664.70833333334</v>
      </c>
      <c r="F2576" s="52" t="inlineStr">
        <is>
          <t>Super Carlin Gaming</t>
        </is>
      </c>
      <c r="G2576" t="inlineStr">
        <is>
          <t>Castle Crashers #1 - J and the Iron Peach</t>
        </is>
      </c>
      <c r="H2576" s="44" t="n">
        <v>0.02079861111111111</v>
      </c>
      <c r="I2576" s="45" t="n">
        <v>30830</v>
      </c>
      <c r="J2576" s="45" t="n">
        <v>621</v>
      </c>
      <c r="K2576" s="45" t="n">
        <v>124</v>
      </c>
      <c r="L2576" s="46" t="n"/>
      <c r="M2576" s="47" t="n"/>
      <c r="N2576" s="47" t="inlineStr">
        <is>
          <t>UCor_9jRnNNZVzTuQ92PKsaQ</t>
        </is>
      </c>
      <c r="O2576" s="48" t="n">
        <v>42664.875</v>
      </c>
      <c r="P2576" s="49" t="n">
        <v>42664</v>
      </c>
      <c r="Q2576" s="47" t="n">
        <v>692</v>
      </c>
      <c r="R2576" s="47" t="inlineStr">
        <is>
          <t>No Video ID yet</t>
        </is>
      </c>
      <c r="S2576" s="49" t="n"/>
      <c r="T2576" s="49" t="n"/>
      <c r="U2576" s="47" t="inlineStr">
        <is>
          <t>J and Peaches are finally together on an epic quest through Behemoth's Castle Crashers! This is one of our favorite games ever and we need your help naming our knights! J is Red. Peaches is Orange.</t>
        </is>
      </c>
      <c r="V2576" s="47">
        <f>IF(AND(P2576&gt;=Calendar!$K$2,P2576&lt;EDATE(Calendar!$K$2,1),OR(Calendar!$K$4="*",N2576=Calendar!$K$4)),P2576*100+COUNTIFS($P$6:$P$3267,P2576,$Q$6:$Q$3267,"&lt;="&amp;Q2576,$N$6:$N$3267,Calendar!$K$4),"")</f>
        <v/>
      </c>
      <c r="W2576" s="47">
        <f>IF(AND(B2576=Queue!$C$4,OR(Queue!$K$4="*",N2576=Queue!$K$4)),Q2576,"")</f>
        <v/>
      </c>
    </row>
    <row r="2577">
      <c r="A2577" s="38">
        <f>IF(M2577="","",HYPERLINK("https://www.youtube.com/watch?v="&amp;M2577,"▶"))</f>
        <v/>
      </c>
      <c r="B2577" s="39">
        <f>IF(C2577&lt;&gt;"",C2577,IF(P2577&lt;=IFERROR(INDEX(tblChannels[Watched Through],MATCH(N2577,tblChannels[Channel ID],0)),0),"Watched","Unwatched"))</f>
        <v/>
      </c>
      <c r="C2577" s="40" t="n"/>
      <c r="D2577" s="41" t="n"/>
      <c r="E2577" s="42" t="n">
        <v>42663.64375</v>
      </c>
      <c r="F2577" s="50" t="inlineStr">
        <is>
          <t>Super Carlin Brothers</t>
        </is>
      </c>
      <c r="G2577" t="inlineStr">
        <is>
          <t>Frozen's Wood Stacking Scene Explained</t>
        </is>
      </c>
      <c r="H2577" s="44" t="n">
        <v>0.004780092592592593</v>
      </c>
      <c r="I2577" s="45" t="n">
        <v>953364</v>
      </c>
      <c r="J2577" s="45" t="n">
        <v>24851</v>
      </c>
      <c r="K2577" s="45" t="n">
        <v>3875</v>
      </c>
      <c r="L2577" s="46" t="n"/>
      <c r="M2577" s="47" t="n"/>
      <c r="N2577" s="47" t="inlineStr">
        <is>
          <t>UCKZo4N0lVPccBkSiuyVh4yg</t>
        </is>
      </c>
      <c r="O2577" s="48" t="n">
        <v>42663.81041666667</v>
      </c>
      <c r="P2577" s="49" t="n">
        <v>42663</v>
      </c>
      <c r="Q2577" s="47" t="n">
        <v>691</v>
      </c>
      <c r="R2577" s="47" t="inlineStr">
        <is>
          <t>No Video ID yet</t>
        </is>
      </c>
      <c r="S2577" s="49" t="n"/>
      <c r="T2577" s="49" t="n"/>
      <c r="U2577" s="47" t="inlineStr">
        <is>
          <t>Remember that 2 second scene in Disney's Frozen where the two guys are arguing over whether to stack the firewood bark side up or bark side down? Well today we are going to get to the bottom of this argument and find out who was right!</t>
        </is>
      </c>
      <c r="V2577" s="47">
        <f>IF(AND(P2577&gt;=Calendar!$K$2,P2577&lt;EDATE(Calendar!$K$2,1),OR(Calendar!$K$4="*",N2577=Calendar!$K$4)),P2577*100+COUNTIFS($P$6:$P$3267,P2577,$Q$6:$Q$3267,"&lt;="&amp;Q2577,$N$6:$N$3267,Calendar!$K$4),"")</f>
        <v/>
      </c>
      <c r="W2577" s="47">
        <f>IF(AND(B2577=Queue!$C$4,OR(Queue!$K$4="*",N2577=Queue!$K$4)),Q2577,"")</f>
        <v/>
      </c>
    </row>
    <row r="2578">
      <c r="A2578" s="38">
        <f>IF(M2578="","",HYPERLINK("https://www.youtube.com/watch?v="&amp;M2578,"▶"))</f>
        <v/>
      </c>
      <c r="B2578" s="39">
        <f>IF(C2578&lt;&gt;"",C2578,IF(P2578&lt;=IFERROR(INDEX(tblChannels[Watched Through],MATCH(N2578,tblChannels[Channel ID],0)),0),"Watched","Unwatched"))</f>
        <v/>
      </c>
      <c r="C2578" s="40" t="n"/>
      <c r="D2578" s="41" t="n"/>
      <c r="E2578" s="42" t="n">
        <v>42661.72777777778</v>
      </c>
      <c r="F2578" s="50" t="inlineStr">
        <is>
          <t>Super Carlin Brothers</t>
        </is>
      </c>
      <c r="G2578" t="inlineStr">
        <is>
          <t>Goofy vs Pluto Explained</t>
        </is>
      </c>
      <c r="H2578" s="44" t="n">
        <v>0.005949074074074075</v>
      </c>
      <c r="I2578" s="45" t="n">
        <v>1419559</v>
      </c>
      <c r="J2578" s="45" t="n">
        <v>35448</v>
      </c>
      <c r="K2578" s="45" t="n">
        <v>5660</v>
      </c>
      <c r="L2578" s="46" t="n"/>
      <c r="M2578" s="47" t="n"/>
      <c r="N2578" s="47" t="inlineStr">
        <is>
          <t>UCKZo4N0lVPccBkSiuyVh4yg</t>
        </is>
      </c>
      <c r="O2578" s="48" t="n">
        <v>42661.89444444444</v>
      </c>
      <c r="P2578" s="49" t="n">
        <v>42661</v>
      </c>
      <c r="Q2578" s="47" t="n">
        <v>690</v>
      </c>
      <c r="R2578" s="47" t="inlineStr">
        <is>
          <t>No Video ID yet</t>
        </is>
      </c>
      <c r="S2578" s="49" t="n"/>
      <c r="T2578" s="49" t="n"/>
      <c r="U2578" s="47" t="inlineStr">
        <is>
          <t>Something that always used to bother me was: If Pluto and Goofy are both dogs, why is one of them Mickey Mouse's friend and the other one his pet?</t>
        </is>
      </c>
      <c r="V2578" s="47">
        <f>IF(AND(P2578&gt;=Calendar!$K$2,P2578&lt;EDATE(Calendar!$K$2,1),OR(Calendar!$K$4="*",N2578=Calendar!$K$4)),P2578*100+COUNTIFS($P$6:$P$3267,P2578,$Q$6:$Q$3267,"&lt;="&amp;Q2578,$N$6:$N$3267,Calendar!$K$4),"")</f>
        <v/>
      </c>
      <c r="W2578" s="47">
        <f>IF(AND(B2578=Queue!$C$4,OR(Queue!$K$4="*",N2578=Queue!$K$4)),Q2578,"")</f>
        <v/>
      </c>
    </row>
    <row r="2579">
      <c r="A2579" s="38">
        <f>IF(M2579="","",HYPERLINK("https://www.youtube.com/watch?v="&amp;M2579,"▶"))</f>
        <v/>
      </c>
      <c r="B2579" s="39">
        <f>IF(C2579&lt;&gt;"",C2579,IF(P2579&lt;=IFERROR(INDEX(tblChannels[Watched Through],MATCH(N2579,tblChannels[Channel ID],0)),0),"Watched","Unwatched"))</f>
        <v/>
      </c>
      <c r="C2579" s="40" t="n"/>
      <c r="D2579" s="41" t="n"/>
      <c r="E2579" s="42" t="n">
        <v>42656.69097222222</v>
      </c>
      <c r="F2579" s="50" t="inlineStr">
        <is>
          <t>Super Carlin Brothers</t>
        </is>
      </c>
      <c r="G2579" t="inlineStr">
        <is>
          <t>Frozen Theory:  Hans Is A Mirror</t>
        </is>
      </c>
      <c r="H2579" s="44" t="n">
        <v>0.005474537037037037</v>
      </c>
      <c r="I2579" s="45" t="n">
        <v>2517951</v>
      </c>
      <c r="J2579" s="45" t="n">
        <v>60319</v>
      </c>
      <c r="K2579" s="45" t="n">
        <v>7293</v>
      </c>
      <c r="L2579" s="46" t="n"/>
      <c r="M2579" s="47" t="n"/>
      <c r="N2579" s="47" t="inlineStr">
        <is>
          <t>UCKZo4N0lVPccBkSiuyVh4yg</t>
        </is>
      </c>
      <c r="O2579" s="48" t="n">
        <v>42656.85763888889</v>
      </c>
      <c r="P2579" s="49" t="n">
        <v>42656</v>
      </c>
      <c r="Q2579" s="47" t="n">
        <v>689</v>
      </c>
      <c r="R2579" s="47" t="inlineStr">
        <is>
          <t>No Video ID yet</t>
        </is>
      </c>
      <c r="S2579" s="49" t="n"/>
      <c r="T2579" s="49" t="n"/>
      <c r="U2579" s="47" t="inlineStr">
        <is>
          <t>Today Ben continues his love of Disney's Frozen with a new Frozen Theory that reveals how Hans is actually a mirror!</t>
        </is>
      </c>
      <c r="V2579" s="47">
        <f>IF(AND(P2579&gt;=Calendar!$K$2,P2579&lt;EDATE(Calendar!$K$2,1),OR(Calendar!$K$4="*",N2579=Calendar!$K$4)),P2579*100+COUNTIFS($P$6:$P$3267,P2579,$Q$6:$Q$3267,"&lt;="&amp;Q2579,$N$6:$N$3267,Calendar!$K$4),"")</f>
        <v/>
      </c>
      <c r="W2579" s="47">
        <f>IF(AND(B2579=Queue!$C$4,OR(Queue!$K$4="*",N2579=Queue!$K$4)),Q2579,"")</f>
        <v/>
      </c>
    </row>
    <row r="2580">
      <c r="A2580" s="38">
        <f>IF(M2580="","",HYPERLINK("https://www.youtube.com/watch?v="&amp;M2580,"▶"))</f>
        <v/>
      </c>
      <c r="B2580" s="39">
        <f>IF(C2580&lt;&gt;"",C2580,IF(P2580&lt;=IFERROR(INDEX(tblChannels[Watched Through],MATCH(N2580,tblChannels[Channel ID],0)),0),"Watched","Unwatched"))</f>
        <v/>
      </c>
      <c r="C2580" s="40" t="n"/>
      <c r="D2580" s="41" t="n"/>
      <c r="E2580" s="42" t="n">
        <v>42654.71805555555</v>
      </c>
      <c r="F2580" s="50" t="inlineStr">
        <is>
          <t>Super Carlin Brothers</t>
        </is>
      </c>
      <c r="G2580" t="inlineStr">
        <is>
          <t>Wizard Money Makes No Sense! | Harry Potter Film Theory</t>
        </is>
      </c>
      <c r="H2580" s="44" t="n">
        <v>0.006087962962962963</v>
      </c>
      <c r="I2580" s="45" t="n">
        <v>4389121</v>
      </c>
      <c r="J2580" s="45" t="n">
        <v>66940</v>
      </c>
      <c r="K2580" s="45" t="n">
        <v>8995</v>
      </c>
      <c r="L2580" s="46" t="n"/>
      <c r="M2580" s="47" t="n"/>
      <c r="N2580" s="47" t="inlineStr">
        <is>
          <t>UCKZo4N0lVPccBkSiuyVh4yg</t>
        </is>
      </c>
      <c r="O2580" s="48" t="n">
        <v>42654.88472222222</v>
      </c>
      <c r="P2580" s="49" t="n">
        <v>42654</v>
      </c>
      <c r="Q2580" s="47" t="n">
        <v>688</v>
      </c>
      <c r="R2580" s="47" t="inlineStr">
        <is>
          <t>No Video ID yet</t>
        </is>
      </c>
      <c r="S2580" s="49" t="n"/>
      <c r="T2580" s="49" t="n"/>
      <c r="U2580" s="47" t="inlineStr">
        <is>
          <t>Today J discusses how money in the wizarding world of Harry Potter makes no sense, how money works and why we value gold? Have you ever spent way to much money on something?! Wizarding Currency :: Harry's Family History :: Why We Use Gold ::</t>
        </is>
      </c>
      <c r="V2580" s="47">
        <f>IF(AND(P2580&gt;=Calendar!$K$2,P2580&lt;EDATE(Calendar!$K$2,1),OR(Calendar!$K$4="*",N2580=Calendar!$K$4)),P2580*100+COUNTIFS($P$6:$P$3267,P2580,$Q$6:$Q$3267,"&lt;="&amp;Q2580,$N$6:$N$3267,Calendar!$K$4),"")</f>
        <v/>
      </c>
      <c r="W2580" s="47">
        <f>IF(AND(B2580=Queue!$C$4,OR(Queue!$K$4="*",N2580=Queue!$K$4)),Q2580,"")</f>
        <v/>
      </c>
    </row>
    <row r="2581">
      <c r="A2581" s="38">
        <f>IF(M2581="","",HYPERLINK("https://www.youtube.com/watch?v="&amp;M2581,"▶"))</f>
        <v/>
      </c>
      <c r="B2581" s="39">
        <f>IF(C2581&lt;&gt;"",C2581,IF(P2581&lt;=IFERROR(INDEX(tblChannels[Watched Through],MATCH(N2581,tblChannels[Channel ID],0)),0),"Watched","Unwatched"))</f>
        <v/>
      </c>
      <c r="C2581" s="40" t="n"/>
      <c r="D2581" s="41" t="n"/>
      <c r="E2581" s="42" t="n">
        <v>42649.77152777778</v>
      </c>
      <c r="F2581" s="50" t="inlineStr">
        <is>
          <t>Super Carlin Brothers</t>
        </is>
      </c>
      <c r="G2581" t="inlineStr">
        <is>
          <t>Who Performed Frozen's Act of True Love?</t>
        </is>
      </c>
      <c r="H2581" s="44" t="n">
        <v>0.004270833333333333</v>
      </c>
      <c r="I2581" s="45" t="n">
        <v>1330929</v>
      </c>
      <c r="J2581" s="45" t="n">
        <v>27624</v>
      </c>
      <c r="K2581" s="45" t="n">
        <v>7412</v>
      </c>
      <c r="L2581" s="46" t="n"/>
      <c r="M2581" s="47" t="n"/>
      <c r="N2581" s="47" t="inlineStr">
        <is>
          <t>UCKZo4N0lVPccBkSiuyVh4yg</t>
        </is>
      </c>
      <c r="O2581" s="48" t="n">
        <v>42649.93819444445</v>
      </c>
      <c r="P2581" s="49" t="n">
        <v>42649</v>
      </c>
      <c r="Q2581" s="47" t="n">
        <v>687</v>
      </c>
      <c r="R2581" s="47" t="inlineStr">
        <is>
          <t>No Video ID yet</t>
        </is>
      </c>
      <c r="S2581" s="49" t="n"/>
      <c r="T2581" s="49" t="n"/>
      <c r="U2581" s="47" t="inlineStr">
        <is>
          <t>In today's video Ben discusses who actually performed the act of true love to save Anna in Disney's Frozen? Who do you think deserves the credit??</t>
        </is>
      </c>
      <c r="V2581" s="47">
        <f>IF(AND(P2581&gt;=Calendar!$K$2,P2581&lt;EDATE(Calendar!$K$2,1),OR(Calendar!$K$4="*",N2581=Calendar!$K$4)),P2581*100+COUNTIFS($P$6:$P$3267,P2581,$Q$6:$Q$3267,"&lt;="&amp;Q2581,$N$6:$N$3267,Calendar!$K$4),"")</f>
        <v/>
      </c>
      <c r="W2581" s="47">
        <f>IF(AND(B2581=Queue!$C$4,OR(Queue!$K$4="*",N2581=Queue!$K$4)),Q2581,"")</f>
        <v/>
      </c>
    </row>
    <row r="2582">
      <c r="A2582" s="38">
        <f>IF(M2582="","",HYPERLINK("https://www.youtube.com/watch?v="&amp;M2582,"▶"))</f>
        <v/>
      </c>
      <c r="B2582" s="39">
        <f>IF(C2582&lt;&gt;"",C2582,IF(P2582&lt;=IFERROR(INDEX(tblChannels[Watched Through],MATCH(N2582,tblChannels[Channel ID],0)),0),"Watched","Unwatched"))</f>
        <v/>
      </c>
      <c r="C2582" s="40" t="n"/>
      <c r="D2582" s="41" t="n"/>
      <c r="E2582" s="42" t="n">
        <v>42647.625</v>
      </c>
      <c r="F2582" s="50" t="inlineStr">
        <is>
          <t>Super Carlin Brothers</t>
        </is>
      </c>
      <c r="G2582" t="inlineStr">
        <is>
          <t>Aladdin Theory: Genie Owes Aladdin A Wish</t>
        </is>
      </c>
      <c r="H2582" s="44" t="n">
        <v>0.005474537037037037</v>
      </c>
      <c r="I2582" s="45" t="n">
        <v>3318886</v>
      </c>
      <c r="J2582" s="45" t="n">
        <v>56684</v>
      </c>
      <c r="K2582" s="45" t="n">
        <v>11448</v>
      </c>
      <c r="L2582" s="46" t="n"/>
      <c r="M2582" s="47" t="n"/>
      <c r="N2582" s="47" t="inlineStr">
        <is>
          <t>UCKZo4N0lVPccBkSiuyVh4yg</t>
        </is>
      </c>
      <c r="O2582" s="48" t="n">
        <v>42647.79166666666</v>
      </c>
      <c r="P2582" s="49" t="n">
        <v>42647</v>
      </c>
      <c r="Q2582" s="47" t="n">
        <v>686</v>
      </c>
      <c r="R2582" s="47" t="inlineStr">
        <is>
          <t>No Video ID yet</t>
        </is>
      </c>
      <c r="S2582" s="49" t="n"/>
      <c r="T2582" s="49" t="n"/>
      <c r="U2582" s="47" t="inlineStr">
        <is>
          <t>Original Article :: Does the genie owe Aladdin a Wish? What would you wish for??</t>
        </is>
      </c>
      <c r="V2582" s="47">
        <f>IF(AND(P2582&gt;=Calendar!$K$2,P2582&lt;EDATE(Calendar!$K$2,1),OR(Calendar!$K$4="*",N2582=Calendar!$K$4)),P2582*100+COUNTIFS($P$6:$P$3267,P2582,$Q$6:$Q$3267,"&lt;="&amp;Q2582,$N$6:$N$3267,Calendar!$K$4),"")</f>
        <v/>
      </c>
      <c r="W2582" s="47">
        <f>IF(AND(B2582=Queue!$C$4,OR(Queue!$K$4="*",N2582=Queue!$K$4)),Q2582,"")</f>
        <v/>
      </c>
    </row>
    <row r="2583">
      <c r="A2583" s="38">
        <f>IF(M2583="","",HYPERLINK("https://www.youtube.com/watch?v="&amp;M2583,"▶"))</f>
        <v/>
      </c>
      <c r="B2583" s="39">
        <f>IF(C2583&lt;&gt;"",C2583,IF(P2583&lt;=IFERROR(INDEX(tblChannels[Watched Through],MATCH(N2583,tblChannels[Channel ID],0)),0),"Watched","Unwatched"))</f>
        <v/>
      </c>
      <c r="C2583" s="40" t="n"/>
      <c r="D2583" s="41" t="n"/>
      <c r="E2583" s="42" t="n">
        <v>42642.78333333333</v>
      </c>
      <c r="F2583" s="50" t="inlineStr">
        <is>
          <t>Super Carlin Brothers</t>
        </is>
      </c>
      <c r="G2583" t="inlineStr">
        <is>
          <t>Is The Live-Action Lion King A Good Idea?</t>
        </is>
      </c>
      <c r="H2583" s="44" t="n">
        <v>0.005011574074074074</v>
      </c>
      <c r="I2583" s="45" t="n">
        <v>607095</v>
      </c>
      <c r="J2583" s="45" t="n">
        <v>15625</v>
      </c>
      <c r="K2583" s="45" t="n">
        <v>3273</v>
      </c>
      <c r="L2583" s="46" t="n"/>
      <c r="M2583" s="47" t="n"/>
      <c r="N2583" s="47" t="inlineStr">
        <is>
          <t>UCKZo4N0lVPccBkSiuyVh4yg</t>
        </is>
      </c>
      <c r="O2583" s="48" t="n">
        <v>42642.95</v>
      </c>
      <c r="P2583" s="49" t="n">
        <v>42642</v>
      </c>
      <c r="Q2583" s="47" t="n">
        <v>685</v>
      </c>
      <c r="R2583" s="47" t="inlineStr">
        <is>
          <t>No Video ID yet</t>
        </is>
      </c>
      <c r="S2583" s="49" t="n"/>
      <c r="T2583" s="49" t="n"/>
      <c r="U2583" s="47" t="inlineStr">
        <is>
          <t>Disney just announced a live action Lion King to be directed by Jon Favreau! Today Ben discusses the merits of remaking old beloved animated classics in to live action films - Does it breathe new life into an old movie, or is it just a cash grab?</t>
        </is>
      </c>
      <c r="V2583" s="47">
        <f>IF(AND(P2583&gt;=Calendar!$K$2,P2583&lt;EDATE(Calendar!$K$2,1),OR(Calendar!$K$4="*",N2583=Calendar!$K$4)),P2583*100+COUNTIFS($P$6:$P$3267,P2583,$Q$6:$Q$3267,"&lt;="&amp;Q2583,$N$6:$N$3267,Calendar!$K$4),"")</f>
        <v/>
      </c>
      <c r="W2583" s="47">
        <f>IF(AND(B2583=Queue!$C$4,OR(Queue!$K$4="*",N2583=Queue!$K$4)),Q2583,"")</f>
        <v/>
      </c>
    </row>
    <row r="2584">
      <c r="A2584" s="38">
        <f>IF(M2584="","",HYPERLINK("https://www.youtube.com/watch?v="&amp;M2584,"▶"))</f>
        <v/>
      </c>
      <c r="B2584" s="39">
        <f>IF(C2584&lt;&gt;"",C2584,IF(P2584&lt;=IFERROR(INDEX(tblChannels[Watched Through],MATCH(N2584,tblChannels[Channel ID],0)),0),"Watched","Unwatched"))</f>
        <v/>
      </c>
      <c r="C2584" s="40" t="n"/>
      <c r="D2584" s="41" t="n"/>
      <c r="E2584" s="42" t="n">
        <v>42640.74791666667</v>
      </c>
      <c r="F2584" s="50" t="inlineStr">
        <is>
          <t>Super Carlin Brothers</t>
        </is>
      </c>
      <c r="G2584" t="inlineStr">
        <is>
          <t>The Mouse Who Saved Disney</t>
        </is>
      </c>
      <c r="H2584" s="44" t="n">
        <v>0.006516203703703704</v>
      </c>
      <c r="I2584" s="45" t="n">
        <v>1290454</v>
      </c>
      <c r="J2584" s="45" t="n">
        <v>22329</v>
      </c>
      <c r="K2584" s="45" t="n">
        <v>6416</v>
      </c>
      <c r="L2584" s="46" t="n"/>
      <c r="M2584" s="47" t="n"/>
      <c r="N2584" s="47" t="inlineStr">
        <is>
          <t>UCKZo4N0lVPccBkSiuyVh4yg</t>
        </is>
      </c>
      <c r="O2584" s="48" t="n">
        <v>42640.91458333333</v>
      </c>
      <c r="P2584" s="49" t="n">
        <v>42640</v>
      </c>
      <c r="Q2584" s="47" t="n">
        <v>684</v>
      </c>
      <c r="R2584" s="47" t="inlineStr">
        <is>
          <t>No Video ID yet</t>
        </is>
      </c>
      <c r="S2584" s="49" t="n"/>
      <c r="T2584" s="49" t="n"/>
      <c r="U2584" s="47" t="inlineStr">
        <is>
          <t>Today J dives into Disney's past to discover the identity of the mouse that saved the animation studio from its own Dark Age and launched the Disney Renaissance. (Hint: It's not Mickey!)</t>
        </is>
      </c>
      <c r="V2584" s="47">
        <f>IF(AND(P2584&gt;=Calendar!$K$2,P2584&lt;EDATE(Calendar!$K$2,1),OR(Calendar!$K$4="*",N2584=Calendar!$K$4)),P2584*100+COUNTIFS($P$6:$P$3267,P2584,$Q$6:$Q$3267,"&lt;="&amp;Q2584,$N$6:$N$3267,Calendar!$K$4),"")</f>
        <v/>
      </c>
      <c r="W2584" s="47">
        <f>IF(AND(B2584=Queue!$C$4,OR(Queue!$K$4="*",N2584=Queue!$K$4)),Q2584,"")</f>
        <v/>
      </c>
    </row>
    <row r="2585">
      <c r="A2585" s="38">
        <f>IF(M2585="","",HYPERLINK("https://www.youtube.com/watch?v="&amp;M2585,"▶"))</f>
        <v/>
      </c>
      <c r="B2585" s="39">
        <f>IF(C2585&lt;&gt;"",C2585,IF(P2585&lt;=IFERROR(INDEX(tblChannels[Watched Through],MATCH(N2585,tblChannels[Channel ID],0)),0),"Watched","Unwatched"))</f>
        <v/>
      </c>
      <c r="C2585" s="40" t="n"/>
      <c r="D2585" s="41" t="n"/>
      <c r="E2585" s="42" t="n">
        <v>42635.79930555556</v>
      </c>
      <c r="F2585" s="50" t="inlineStr">
        <is>
          <t>Super Carlin Brothers</t>
        </is>
      </c>
      <c r="G2585" t="inlineStr">
        <is>
          <t>The Real Threat To Zootopia</t>
        </is>
      </c>
      <c r="H2585" s="44" t="n">
        <v>0.005324074074074074</v>
      </c>
      <c r="I2585" s="45" t="n">
        <v>989029</v>
      </c>
      <c r="J2585" s="45" t="n">
        <v>23458</v>
      </c>
      <c r="K2585" s="45" t="n">
        <v>3133</v>
      </c>
      <c r="L2585" s="46" t="n"/>
      <c r="M2585" s="47" t="n"/>
      <c r="N2585" s="47" t="inlineStr">
        <is>
          <t>UCKZo4N0lVPccBkSiuyVh4yg</t>
        </is>
      </c>
      <c r="O2585" s="48" t="n">
        <v>42635.96597222222</v>
      </c>
      <c r="P2585" s="49" t="n">
        <v>42635</v>
      </c>
      <c r="Q2585" s="47" t="n">
        <v>683</v>
      </c>
      <c r="R2585" s="47" t="inlineStr">
        <is>
          <t>No Video ID yet</t>
        </is>
      </c>
      <c r="S2585" s="49" t="n"/>
      <c r="T2585" s="49" t="n"/>
      <c r="U2585" s="47" t="inlineStr">
        <is>
          <t>Mastermind sheep and savage predators are one thing, but today Ben uncovers the true threat facing the citizens of Disney's Zootopia</t>
        </is>
      </c>
      <c r="V2585" s="47">
        <f>IF(AND(P2585&gt;=Calendar!$K$2,P2585&lt;EDATE(Calendar!$K$2,1),OR(Calendar!$K$4="*",N2585=Calendar!$K$4)),P2585*100+COUNTIFS($P$6:$P$3267,P2585,$Q$6:$Q$3267,"&lt;="&amp;Q2585,$N$6:$N$3267,Calendar!$K$4),"")</f>
        <v/>
      </c>
      <c r="W2585" s="47">
        <f>IF(AND(B2585=Queue!$C$4,OR(Queue!$K$4="*",N2585=Queue!$K$4)),Q2585,"")</f>
        <v/>
      </c>
    </row>
    <row r="2586">
      <c r="A2586" s="38">
        <f>IF(M2586="","",HYPERLINK("https://www.youtube.com/watch?v="&amp;M2586,"▶"))</f>
        <v/>
      </c>
      <c r="B2586" s="39">
        <f>IF(C2586&lt;&gt;"",C2586,IF(P2586&lt;=IFERROR(INDEX(tblChannels[Watched Through],MATCH(N2586,tblChannels[Channel ID],0)),0),"Watched","Unwatched"))</f>
        <v/>
      </c>
      <c r="C2586" s="40" t="n"/>
      <c r="D2586" s="41" t="n"/>
      <c r="E2586" s="42" t="n">
        <v>42634.38472222222</v>
      </c>
      <c r="F2586" s="52" t="inlineStr">
        <is>
          <t>Super Carlin Gaming</t>
        </is>
      </c>
      <c r="G2586" t="inlineStr">
        <is>
          <t>Pokemon HeartGold Nuzlocke #28: Celery's Final Stand</t>
        </is>
      </c>
      <c r="H2586" s="44" t="n">
        <v>0.01863425925925926</v>
      </c>
      <c r="I2586" s="45" t="n">
        <v>19433</v>
      </c>
      <c r="J2586" s="45" t="n">
        <v>465</v>
      </c>
      <c r="K2586" s="45" t="n">
        <v>154</v>
      </c>
      <c r="L2586" s="46" t="n"/>
      <c r="M2586" s="47" t="n"/>
      <c r="N2586" s="47" t="inlineStr">
        <is>
          <t>UCor_9jRnNNZVzTuQ92PKsaQ</t>
        </is>
      </c>
      <c r="O2586" s="48" t="n">
        <v>42634.55138888889</v>
      </c>
      <c r="P2586" s="49" t="n">
        <v>42634</v>
      </c>
      <c r="Q2586" s="47" t="n">
        <v>682</v>
      </c>
      <c r="R2586" s="47" t="inlineStr">
        <is>
          <t>No Video ID yet</t>
        </is>
      </c>
      <c r="S2586" s="49" t="n"/>
      <c r="T2586" s="49" t="n"/>
      <c r="U2586" s="47" t="inlineStr">
        <is>
          <t>Today we add a new member to the team and face our most hated rival: Celery! Can the team survive its final encounter with one of the toughest trainers in the game?</t>
        </is>
      </c>
      <c r="V2586" s="47">
        <f>IF(AND(P2586&gt;=Calendar!$K$2,P2586&lt;EDATE(Calendar!$K$2,1),OR(Calendar!$K$4="*",N2586=Calendar!$K$4)),P2586*100+COUNTIFS($P$6:$P$3267,P2586,$Q$6:$Q$3267,"&lt;="&amp;Q2586,$N$6:$N$3267,Calendar!$K$4),"")</f>
        <v/>
      </c>
      <c r="W2586" s="47">
        <f>IF(AND(B2586=Queue!$C$4,OR(Queue!$K$4="*",N2586=Queue!$K$4)),Q2586,"")</f>
        <v/>
      </c>
    </row>
    <row r="2587">
      <c r="A2587" s="38">
        <f>IF(M2587="","",HYPERLINK("https://www.youtube.com/watch?v="&amp;M2587,"▶"))</f>
        <v/>
      </c>
      <c r="B2587" s="39">
        <f>IF(C2587&lt;&gt;"",C2587,IF(P2587&lt;=IFERROR(INDEX(tblChannels[Watched Through],MATCH(N2587,tblChannels[Channel ID],0)),0),"Watched","Unwatched"))</f>
        <v/>
      </c>
      <c r="C2587" s="40" t="n"/>
      <c r="D2587" s="41" t="n"/>
      <c r="E2587" s="42" t="n">
        <v>42633.625</v>
      </c>
      <c r="F2587" s="50" t="inlineStr">
        <is>
          <t>Super Carlin Brothers</t>
        </is>
      </c>
      <c r="G2587" t="inlineStr">
        <is>
          <t>Do Monsters Google Autofill</t>
        </is>
      </c>
      <c r="H2587" s="44" t="n">
        <v>0.004988425925925926</v>
      </c>
      <c r="I2587" s="45" t="n">
        <v>347986</v>
      </c>
      <c r="J2587" s="45" t="n">
        <v>8976</v>
      </c>
      <c r="K2587" s="45" t="n">
        <v>1569</v>
      </c>
      <c r="L2587" s="46" t="n"/>
      <c r="M2587" s="47" t="n"/>
      <c r="N2587" s="47" t="inlineStr">
        <is>
          <t>UCKZo4N0lVPccBkSiuyVh4yg</t>
        </is>
      </c>
      <c r="O2587" s="48" t="n">
        <v>42633.79166666666</v>
      </c>
      <c r="P2587" s="49" t="n">
        <v>42633</v>
      </c>
      <c r="Q2587" s="47" t="n">
        <v>681</v>
      </c>
      <c r="R2587" s="47" t="inlineStr">
        <is>
          <t>No Video ID yet</t>
        </is>
      </c>
      <c r="S2587" s="49" t="n"/>
      <c r="T2587" s="49" t="n"/>
      <c r="U2587" s="47" t="inlineStr">
        <is>
          <t>Thank you everyone for asking "Who is Moana's Monster?" I am not sure of that (yet!), but in the meantime here is the answer to everything else about Disney Pixar's Monsters Inc., it's Do Monsters Google Autofill</t>
        </is>
      </c>
      <c r="V2587" s="47">
        <f>IF(AND(P2587&gt;=Calendar!$K$2,P2587&lt;EDATE(Calendar!$K$2,1),OR(Calendar!$K$4="*",N2587=Calendar!$K$4)),P2587*100+COUNTIFS($P$6:$P$3267,P2587,$Q$6:$Q$3267,"&lt;="&amp;Q2587,$N$6:$N$3267,Calendar!$K$4),"")</f>
        <v/>
      </c>
      <c r="W2587" s="47">
        <f>IF(AND(B2587=Queue!$C$4,OR(Queue!$K$4="*",N2587=Queue!$K$4)),Q2587,"")</f>
        <v/>
      </c>
    </row>
    <row r="2588">
      <c r="A2588" s="38">
        <f>IF(M2588="","",HYPERLINK("https://www.youtube.com/watch?v="&amp;M2588,"▶"))</f>
        <v/>
      </c>
      <c r="B2588" s="39">
        <f>IF(C2588&lt;&gt;"",C2588,IF(P2588&lt;=IFERROR(INDEX(tblChannels[Watched Through],MATCH(N2588,tblChannels[Channel ID],0)),0),"Watched","Unwatched"))</f>
        <v/>
      </c>
      <c r="C2588" s="40" t="n"/>
      <c r="D2588" s="41" t="n"/>
      <c r="E2588" s="42" t="n">
        <v>42628.81527777778</v>
      </c>
      <c r="F2588" s="50" t="inlineStr">
        <is>
          <t>Super Carlin Brothers</t>
        </is>
      </c>
      <c r="G2588" t="inlineStr">
        <is>
          <t>Moana Trailer Review, Analysis &amp; Predictions</t>
        </is>
      </c>
      <c r="H2588" s="44" t="n">
        <v>0.006354166666666667</v>
      </c>
      <c r="I2588" s="45" t="n">
        <v>655592</v>
      </c>
      <c r="J2588" s="45" t="n">
        <v>10579</v>
      </c>
      <c r="K2588" s="45" t="n">
        <v>1931</v>
      </c>
      <c r="L2588" s="46" t="n"/>
      <c r="M2588" s="47" t="n"/>
      <c r="N2588" s="47" t="inlineStr">
        <is>
          <t>UCKZo4N0lVPccBkSiuyVh4yg</t>
        </is>
      </c>
      <c r="O2588" s="48" t="n">
        <v>42628.98194444444</v>
      </c>
      <c r="P2588" s="49" t="n">
        <v>42628</v>
      </c>
      <c r="Q2588" s="47" t="n">
        <v>680</v>
      </c>
      <c r="R2588" s="47" t="inlineStr">
        <is>
          <t>No Video ID yet</t>
        </is>
      </c>
      <c r="S2588" s="49" t="n"/>
      <c r="T2588" s="49" t="n"/>
      <c r="U2588" s="47" t="inlineStr">
        <is>
          <t>The first full length trailer for Disney's Moana dropped today and we have examined every frame in excruciating detail to bring our review, analysis &amp; predictions. Watch the full trailer here:</t>
        </is>
      </c>
      <c r="V2588" s="47">
        <f>IF(AND(P2588&gt;=Calendar!$K$2,P2588&lt;EDATE(Calendar!$K$2,1),OR(Calendar!$K$4="*",N2588=Calendar!$K$4)),P2588*100+COUNTIFS($P$6:$P$3267,P2588,$Q$6:$Q$3267,"&lt;="&amp;Q2588,$N$6:$N$3267,Calendar!$K$4),"")</f>
        <v/>
      </c>
      <c r="W2588" s="47">
        <f>IF(AND(B2588=Queue!$C$4,OR(Queue!$K$4="*",N2588=Queue!$K$4)),Q2588,"")</f>
        <v/>
      </c>
    </row>
    <row r="2589">
      <c r="A2589" s="38">
        <f>IF(M2589="","",HYPERLINK("https://www.youtube.com/watch?v="&amp;M2589,"▶"))</f>
        <v/>
      </c>
      <c r="B2589" s="39">
        <f>IF(C2589&lt;&gt;"",C2589,IF(P2589&lt;=IFERROR(INDEX(tblChannels[Watched Through],MATCH(N2589,tblChannels[Channel ID],0)),0),"Watched","Unwatched"))</f>
        <v/>
      </c>
      <c r="C2589" s="40" t="n"/>
      <c r="D2589" s="41" t="n"/>
      <c r="E2589" s="42" t="n">
        <v>42626.70625</v>
      </c>
      <c r="F2589" s="50" t="inlineStr">
        <is>
          <t>Super Carlin Brothers</t>
        </is>
      </c>
      <c r="G2589" t="inlineStr">
        <is>
          <t>Who is Simba's Grandfather?</t>
        </is>
      </c>
      <c r="H2589" s="44" t="n">
        <v>0.004594907407407408</v>
      </c>
      <c r="I2589" s="45" t="n">
        <v>2100996</v>
      </c>
      <c r="J2589" s="45" t="n">
        <v>36083</v>
      </c>
      <c r="K2589" s="45" t="n">
        <v>6173</v>
      </c>
      <c r="L2589" s="46" t="n"/>
      <c r="M2589" s="47" t="n"/>
      <c r="N2589" s="47" t="inlineStr">
        <is>
          <t>UCKZo4N0lVPccBkSiuyVh4yg</t>
        </is>
      </c>
      <c r="O2589" s="48" t="n">
        <v>42626.87291666667</v>
      </c>
      <c r="P2589" s="49" t="n">
        <v>42626</v>
      </c>
      <c r="Q2589" s="47" t="n">
        <v>679</v>
      </c>
      <c r="R2589" s="47" t="inlineStr">
        <is>
          <t>No Video ID yet</t>
        </is>
      </c>
      <c r="S2589" s="49" t="n"/>
      <c r="T2589" s="49" t="n"/>
      <c r="U2589" s="47" t="inlineStr">
        <is>
          <t>In Disney's The Lion King, Mufasa tells Simba that the great kings of the past are in the stars, but who are the great kings of the past and who is Simba's Grandfather? Turns out he makes an appearance in another disney movie....</t>
        </is>
      </c>
      <c r="V2589" s="47">
        <f>IF(AND(P2589&gt;=Calendar!$K$2,P2589&lt;EDATE(Calendar!$K$2,1),OR(Calendar!$K$4="*",N2589=Calendar!$K$4)),P2589*100+COUNTIFS($P$6:$P$3267,P2589,$Q$6:$Q$3267,"&lt;="&amp;Q2589,$N$6:$N$3267,Calendar!$K$4),"")</f>
        <v/>
      </c>
      <c r="W2589" s="47">
        <f>IF(AND(B2589=Queue!$C$4,OR(Queue!$K$4="*",N2589=Queue!$K$4)),Q2589,"")</f>
        <v/>
      </c>
    </row>
    <row r="2590">
      <c r="A2590" s="38">
        <f>IF(M2590="","",HYPERLINK("https://www.youtube.com/watch?v="&amp;M2590,"▶"))</f>
        <v/>
      </c>
      <c r="B2590" s="39">
        <f>IF(C2590&lt;&gt;"",C2590,IF(P2590&lt;=IFERROR(INDEX(tblChannels[Watched Through],MATCH(N2590,tblChannels[Channel ID],0)),0),"Watched","Unwatched"))</f>
        <v/>
      </c>
      <c r="C2590" s="40" t="n"/>
      <c r="D2590" s="41" t="n"/>
      <c r="E2590" s="42" t="n">
        <v>42621.625</v>
      </c>
      <c r="F2590" s="50" t="inlineStr">
        <is>
          <t>Super Carlin Brothers</t>
        </is>
      </c>
      <c r="G2590" t="inlineStr">
        <is>
          <t>How To Fix Quidditch</t>
        </is>
      </c>
      <c r="H2590" s="44" t="n">
        <v>0.004467592592592592</v>
      </c>
      <c r="I2590" s="45" t="n">
        <v>1276940</v>
      </c>
      <c r="J2590" s="45" t="n">
        <v>26709</v>
      </c>
      <c r="K2590" s="45" t="n">
        <v>3760</v>
      </c>
      <c r="L2590" s="46" t="n"/>
      <c r="M2590" s="47" t="n"/>
      <c r="N2590" s="47" t="inlineStr">
        <is>
          <t>UCKZo4N0lVPccBkSiuyVh4yg</t>
        </is>
      </c>
      <c r="O2590" s="48" t="n">
        <v>42621.79166666666</v>
      </c>
      <c r="P2590" s="49" t="n">
        <v>42621</v>
      </c>
      <c r="Q2590" s="47" t="n">
        <v>678</v>
      </c>
      <c r="R2590" s="47" t="inlineStr">
        <is>
          <t>No Video ID yet</t>
        </is>
      </c>
      <c r="S2590" s="49" t="n"/>
      <c r="T2590" s="49" t="n"/>
      <c r="U2590" s="47" t="inlineStr">
        <is>
          <t>Quidditch basically makes no sense, but FEAR NOT! Ben has been thinking on the matter and come up with a fool proof plan to fix it!</t>
        </is>
      </c>
      <c r="V2590" s="47">
        <f>IF(AND(P2590&gt;=Calendar!$K$2,P2590&lt;EDATE(Calendar!$K$2,1),OR(Calendar!$K$4="*",N2590=Calendar!$K$4)),P2590*100+COUNTIFS($P$6:$P$3267,P2590,$Q$6:$Q$3267,"&lt;="&amp;Q2590,$N$6:$N$3267,Calendar!$K$4),"")</f>
        <v/>
      </c>
      <c r="W2590" s="47">
        <f>IF(AND(B2590=Queue!$C$4,OR(Queue!$K$4="*",N2590=Queue!$K$4)),Q2590,"")</f>
        <v/>
      </c>
    </row>
    <row r="2591">
      <c r="A2591" s="38">
        <f>IF(M2591="","",HYPERLINK("https://www.youtube.com/watch?v="&amp;M2591,"▶"))</f>
        <v/>
      </c>
      <c r="B2591" s="39">
        <f>IF(C2591&lt;&gt;"",C2591,IF(P2591&lt;=IFERROR(INDEX(tblChannels[Watched Through],MATCH(N2591,tblChannels[Channel ID],0)),0),"Watched","Unwatched"))</f>
        <v/>
      </c>
      <c r="C2591" s="40" t="n"/>
      <c r="D2591" s="41" t="n"/>
      <c r="E2591" s="42" t="n">
        <v>42619.82013888889</v>
      </c>
      <c r="F2591" s="50" t="inlineStr">
        <is>
          <t>Super Carlin Brothers</t>
        </is>
      </c>
      <c r="G2591" t="inlineStr">
        <is>
          <t>Why Kevin Is Actually Mickey Mouse</t>
        </is>
      </c>
      <c r="H2591" s="44" t="n">
        <v>0.005092592592592593</v>
      </c>
      <c r="I2591" s="45" t="n">
        <v>1881269</v>
      </c>
      <c r="J2591" s="45" t="n">
        <v>35275</v>
      </c>
      <c r="K2591" s="45" t="n">
        <v>5292</v>
      </c>
      <c r="L2591" s="46" t="n"/>
      <c r="M2591" s="47" t="n"/>
      <c r="N2591" s="47" t="inlineStr">
        <is>
          <t>UCKZo4N0lVPccBkSiuyVh4yg</t>
        </is>
      </c>
      <c r="O2591" s="48" t="n">
        <v>42619.98680555556</v>
      </c>
      <c r="P2591" s="49" t="n">
        <v>42619</v>
      </c>
      <c r="Q2591" s="47" t="n">
        <v>677</v>
      </c>
      <c r="R2591" s="47" t="inlineStr">
        <is>
          <t>No Video ID yet</t>
        </is>
      </c>
      <c r="S2591" s="49" t="n"/>
      <c r="T2591" s="49" t="n"/>
      <c r="U2591" s="47" t="inlineStr">
        <is>
          <t>After examining the history of Mickey Mouse, J discovers an interesting easter egg that ties Disney's most iconic character to Pixar's Up.</t>
        </is>
      </c>
      <c r="V2591" s="47">
        <f>IF(AND(P2591&gt;=Calendar!$K$2,P2591&lt;EDATE(Calendar!$K$2,1),OR(Calendar!$K$4="*",N2591=Calendar!$K$4)),P2591*100+COUNTIFS($P$6:$P$3267,P2591,$Q$6:$Q$3267,"&lt;="&amp;Q2591,$N$6:$N$3267,Calendar!$K$4),"")</f>
        <v/>
      </c>
      <c r="W2591" s="47">
        <f>IF(AND(B2591=Queue!$C$4,OR(Queue!$K$4="*",N2591=Queue!$K$4)),Q2591,"")</f>
        <v/>
      </c>
    </row>
    <row r="2592">
      <c r="A2592" s="38">
        <f>IF(M2592="","",HYPERLINK("https://www.youtube.com/watch?v="&amp;M2592,"▶"))</f>
        <v/>
      </c>
      <c r="B2592" s="39">
        <f>IF(C2592&lt;&gt;"",C2592,IF(P2592&lt;=IFERROR(INDEX(tblChannels[Watched Through],MATCH(N2592,tblChannels[Channel ID],0)),0),"Watched","Unwatched"))</f>
        <v/>
      </c>
      <c r="C2592" s="40" t="n"/>
      <c r="D2592" s="41" t="n"/>
      <c r="E2592" s="42" t="n">
        <v>42615.46875</v>
      </c>
      <c r="F2592" s="52" t="inlineStr">
        <is>
          <t>Super Carlin Gaming</t>
        </is>
      </c>
      <c r="G2592" t="inlineStr">
        <is>
          <t>Pokemon HeartGold Nuzlocke #27: Raikou Returns!</t>
        </is>
      </c>
      <c r="H2592" s="44" t="n">
        <v>0.0237037037037037</v>
      </c>
      <c r="I2592" s="45" t="n">
        <v>20290</v>
      </c>
      <c r="J2592" s="45" t="n">
        <v>502</v>
      </c>
      <c r="K2592" s="45" t="n">
        <v>345</v>
      </c>
      <c r="L2592" s="46" t="n"/>
      <c r="M2592" s="47" t="n"/>
      <c r="N2592" s="47" t="inlineStr">
        <is>
          <t>UCor_9jRnNNZVzTuQ92PKsaQ</t>
        </is>
      </c>
      <c r="O2592" s="48" t="n">
        <v>42615.63541666666</v>
      </c>
      <c r="P2592" s="49" t="n">
        <v>42615</v>
      </c>
      <c r="Q2592" s="47" t="n">
        <v>676</v>
      </c>
      <c r="R2592" s="47" t="inlineStr">
        <is>
          <t>No Video ID yet</t>
        </is>
      </c>
      <c r="S2592" s="49" t="n"/>
      <c r="T2592" s="49" t="n"/>
      <c r="U2592" s="47" t="inlineStr">
        <is>
          <t>Today we begin our journey towards victory road and encounter an old friend, who's coming could change everything! Pokemon HeartGold Nuzlocke Rules:</t>
        </is>
      </c>
      <c r="V2592" s="47">
        <f>IF(AND(P2592&gt;=Calendar!$K$2,P2592&lt;EDATE(Calendar!$K$2,1),OR(Calendar!$K$4="*",N2592=Calendar!$K$4)),P2592*100+COUNTIFS($P$6:$P$3267,P2592,$Q$6:$Q$3267,"&lt;="&amp;Q2592,$N$6:$N$3267,Calendar!$K$4),"")</f>
        <v/>
      </c>
      <c r="W2592" s="47">
        <f>IF(AND(B2592=Queue!$C$4,OR(Queue!$K$4="*",N2592=Queue!$K$4)),Q2592,"")</f>
        <v/>
      </c>
    </row>
    <row r="2593">
      <c r="A2593" s="38">
        <f>IF(M2593="","",HYPERLINK("https://www.youtube.com/watch?v="&amp;M2593,"▶"))</f>
        <v/>
      </c>
      <c r="B2593" s="39">
        <f>IF(C2593&lt;&gt;"",C2593,IF(P2593&lt;=IFERROR(INDEX(tblChannels[Watched Through],MATCH(N2593,tblChannels[Channel ID],0)),0),"Watched","Unwatched"))</f>
        <v/>
      </c>
      <c r="C2593" s="40" t="n"/>
      <c r="D2593" s="41" t="n"/>
      <c r="E2593" s="42" t="n">
        <v>42614.75347222222</v>
      </c>
      <c r="F2593" s="50" t="inlineStr">
        <is>
          <t>Super Carlin Brothers</t>
        </is>
      </c>
      <c r="G2593" t="inlineStr">
        <is>
          <t>Finding Dory's Gerald Explained</t>
        </is>
      </c>
      <c r="H2593" s="44" t="n">
        <v>0.003854166666666667</v>
      </c>
      <c r="I2593" s="45" t="n">
        <v>1942283</v>
      </c>
      <c r="J2593" s="45" t="n">
        <v>31458</v>
      </c>
      <c r="K2593" s="45" t="n">
        <v>6258</v>
      </c>
      <c r="L2593" s="46" t="n"/>
      <c r="M2593" s="47" t="n"/>
      <c r="N2593" s="47" t="inlineStr">
        <is>
          <t>UCKZo4N0lVPccBkSiuyVh4yg</t>
        </is>
      </c>
      <c r="O2593" s="48" t="n">
        <v>42614.92013888889</v>
      </c>
      <c r="P2593" s="49" t="n">
        <v>42614</v>
      </c>
      <c r="Q2593" s="47" t="n">
        <v>675</v>
      </c>
      <c r="R2593" s="47" t="inlineStr">
        <is>
          <t>No Video ID yet</t>
        </is>
      </c>
      <c r="S2593" s="49" t="n"/>
      <c r="T2593" s="49" t="n"/>
      <c r="U2593" s="47" t="inlineStr">
        <is>
          <t>Today we examine one of the best characters from Disney Pixar's Finding Dory: Gerald. Ben discusses a unique but endearing character archetype known as the Cloudcuckoolander. Yes, that is really what they are called. More about Cloudcuckoolanders:</t>
        </is>
      </c>
      <c r="V2593" s="47">
        <f>IF(AND(P2593&gt;=Calendar!$K$2,P2593&lt;EDATE(Calendar!$K$2,1),OR(Calendar!$K$4="*",N2593=Calendar!$K$4)),P2593*100+COUNTIFS($P$6:$P$3267,P2593,$Q$6:$Q$3267,"&lt;="&amp;Q2593,$N$6:$N$3267,Calendar!$K$4),"")</f>
        <v/>
      </c>
      <c r="W2593" s="47">
        <f>IF(AND(B2593=Queue!$C$4,OR(Queue!$K$4="*",N2593=Queue!$K$4)),Q2593,"")</f>
        <v/>
      </c>
    </row>
    <row r="2594">
      <c r="A2594" s="38">
        <f>IF(M2594="","",HYPERLINK("https://www.youtube.com/watch?v="&amp;M2594,"▶"))</f>
        <v/>
      </c>
      <c r="B2594" s="39">
        <f>IF(C2594&lt;&gt;"",C2594,IF(P2594&lt;=IFERROR(INDEX(tblChannels[Watched Through],MATCH(N2594,tblChannels[Channel ID],0)),0),"Watched","Unwatched"))</f>
        <v/>
      </c>
      <c r="C2594" s="40" t="n"/>
      <c r="D2594" s="41" t="n"/>
      <c r="E2594" s="42" t="n">
        <v>42613.66875</v>
      </c>
      <c r="F2594" s="52" t="inlineStr">
        <is>
          <t>Super Carlin Gaming</t>
        </is>
      </c>
      <c r="G2594" t="inlineStr">
        <is>
          <t>Pokemon HeartGold Nuzlocke #26: The Phoenix Returns</t>
        </is>
      </c>
      <c r="H2594" s="44" t="n">
        <v>0.01641203703703704</v>
      </c>
      <c r="I2594" s="45" t="n">
        <v>18827</v>
      </c>
      <c r="J2594" s="45" t="n">
        <v>608</v>
      </c>
      <c r="K2594" s="45" t="n">
        <v>329</v>
      </c>
      <c r="L2594" s="46" t="n"/>
      <c r="M2594" s="47" t="n"/>
      <c r="N2594" s="47" t="inlineStr">
        <is>
          <t>UCor_9jRnNNZVzTuQ92PKsaQ</t>
        </is>
      </c>
      <c r="O2594" s="48" t="n">
        <v>42613.83541666667</v>
      </c>
      <c r="P2594" s="49" t="n">
        <v>42613</v>
      </c>
      <c r="Q2594" s="47" t="n">
        <v>674</v>
      </c>
      <c r="R2594" s="47" t="inlineStr">
        <is>
          <t>No Video ID yet</t>
        </is>
      </c>
      <c r="S2594" s="49" t="n"/>
      <c r="T2594" s="49" t="n"/>
      <c r="U2594" s="47" t="inlineStr">
        <is>
          <t>Like a HO-OH from the ashes.. we're back! Apologies for the loooooong delay but at last the journey through Johto continues, today we add a new member and ascend Bell Tower, what what awaits us at the top?</t>
        </is>
      </c>
      <c r="V2594" s="47">
        <f>IF(AND(P2594&gt;=Calendar!$K$2,P2594&lt;EDATE(Calendar!$K$2,1),OR(Calendar!$K$4="*",N2594=Calendar!$K$4)),P2594*100+COUNTIFS($P$6:$P$3267,P2594,$Q$6:$Q$3267,"&lt;="&amp;Q2594,$N$6:$N$3267,Calendar!$K$4),"")</f>
        <v/>
      </c>
      <c r="W2594" s="47">
        <f>IF(AND(B2594=Queue!$C$4,OR(Queue!$K$4="*",N2594=Queue!$K$4)),Q2594,"")</f>
        <v/>
      </c>
    </row>
    <row r="2595">
      <c r="A2595" s="38">
        <f>IF(M2595="","",HYPERLINK("https://www.youtube.com/watch?v="&amp;M2595,"▶"))</f>
        <v/>
      </c>
      <c r="B2595" s="39">
        <f>IF(C2595&lt;&gt;"",C2595,IF(P2595&lt;=IFERROR(INDEX(tblChannels[Watched Through],MATCH(N2595,tblChannels[Channel ID],0)),0),"Watched","Unwatched"))</f>
        <v/>
      </c>
      <c r="C2595" s="40" t="n"/>
      <c r="D2595" s="41" t="n"/>
      <c r="E2595" s="42" t="n">
        <v>42612.59027777778</v>
      </c>
      <c r="F2595" s="50" t="inlineStr">
        <is>
          <t>Super Carlin Brothers</t>
        </is>
      </c>
      <c r="G2595" t="inlineStr">
        <is>
          <t>Pixar Theory: Anton Ego's Origins</t>
        </is>
      </c>
      <c r="H2595" s="44" t="n">
        <v>0.006469907407407408</v>
      </c>
      <c r="I2595" s="45" t="n">
        <v>1069260</v>
      </c>
      <c r="J2595" s="45" t="n">
        <v>30170</v>
      </c>
      <c r="K2595" s="45" t="n">
        <v>2926</v>
      </c>
      <c r="L2595" s="46" t="n"/>
      <c r="M2595" s="47" t="n"/>
      <c r="N2595" s="47" t="inlineStr">
        <is>
          <t>UCKZo4N0lVPccBkSiuyVh4yg</t>
        </is>
      </c>
      <c r="O2595" s="48" t="n">
        <v>42612.75694444445</v>
      </c>
      <c r="P2595" s="49" t="n">
        <v>42612</v>
      </c>
      <c r="Q2595" s="47" t="n">
        <v>673</v>
      </c>
      <c r="R2595" s="47" t="inlineStr">
        <is>
          <t>No Video ID yet</t>
        </is>
      </c>
      <c r="S2595" s="49" t="n"/>
      <c r="T2595" s="49" t="n"/>
      <c r="U2595" s="47" t="inlineStr">
        <is>
          <t>Today J examines one of his favorite characters in Pixar, Ratatouille's Anton Ego, and tries to determine his origin story based on what little screen time he has.</t>
        </is>
      </c>
      <c r="V2595" s="47">
        <f>IF(AND(P2595&gt;=Calendar!$K$2,P2595&lt;EDATE(Calendar!$K$2,1),OR(Calendar!$K$4="*",N2595=Calendar!$K$4)),P2595*100+COUNTIFS($P$6:$P$3267,P2595,$Q$6:$Q$3267,"&lt;="&amp;Q2595,$N$6:$N$3267,Calendar!$K$4),"")</f>
        <v/>
      </c>
      <c r="W2595" s="47">
        <f>IF(AND(B2595=Queue!$C$4,OR(Queue!$K$4="*",N2595=Queue!$K$4)),Q2595,"")</f>
        <v/>
      </c>
    </row>
    <row r="2596">
      <c r="A2596" s="38">
        <f>IF(M2596="","",HYPERLINK("https://www.youtube.com/watch?v="&amp;M2596,"▶"))</f>
        <v/>
      </c>
      <c r="B2596" s="39">
        <f>IF(C2596&lt;&gt;"",C2596,IF(P2596&lt;=IFERROR(INDEX(tblChannels[Watched Through],MATCH(N2596,tblChannels[Channel ID],0)),0),"Watched","Unwatched"))</f>
        <v/>
      </c>
      <c r="C2596" s="40" t="n"/>
      <c r="D2596" s="41" t="n"/>
      <c r="E2596" s="42" t="n">
        <v>42607.79305555556</v>
      </c>
      <c r="F2596" s="50" t="inlineStr">
        <is>
          <t>Super Carlin Brothers</t>
        </is>
      </c>
      <c r="G2596" t="inlineStr">
        <is>
          <t>Pixar Theory: Toy Story's True Villain</t>
        </is>
      </c>
      <c r="H2596" s="44" t="n">
        <v>0.004236111111111112</v>
      </c>
      <c r="I2596" s="45" t="n">
        <v>1232377</v>
      </c>
      <c r="J2596" s="45" t="n">
        <v>27906</v>
      </c>
      <c r="K2596" s="45" t="n">
        <v>2925</v>
      </c>
      <c r="L2596" s="46" t="n"/>
      <c r="M2596" s="47" t="n"/>
      <c r="N2596" s="47" t="inlineStr">
        <is>
          <t>UCKZo4N0lVPccBkSiuyVh4yg</t>
        </is>
      </c>
      <c r="O2596" s="48" t="n">
        <v>42607.95972222222</v>
      </c>
      <c r="P2596" s="49" t="n">
        <v>42607</v>
      </c>
      <c r="Q2596" s="47" t="n">
        <v>672</v>
      </c>
      <c r="R2596" s="47" t="inlineStr">
        <is>
          <t>No Video ID yet</t>
        </is>
      </c>
      <c r="S2596" s="49" t="n"/>
      <c r="T2596" s="49" t="n"/>
      <c r="U2596" s="47" t="inlineStr">
        <is>
          <t>We have defended who everyone thinks is the villain in Disney Pixar's Toy Story, but now its time to reveal who it actually is: Mr. Potato Head!</t>
        </is>
      </c>
      <c r="V2596" s="47">
        <f>IF(AND(P2596&gt;=Calendar!$K$2,P2596&lt;EDATE(Calendar!$K$2,1),OR(Calendar!$K$4="*",N2596=Calendar!$K$4)),P2596*100+COUNTIFS($P$6:$P$3267,P2596,$Q$6:$Q$3267,"&lt;="&amp;Q2596,$N$6:$N$3267,Calendar!$K$4),"")</f>
        <v/>
      </c>
      <c r="W2596" s="47">
        <f>IF(AND(B2596=Queue!$C$4,OR(Queue!$K$4="*",N2596=Queue!$K$4)),Q2596,"")</f>
        <v/>
      </c>
    </row>
    <row r="2597">
      <c r="A2597" s="38">
        <f>IF(M2597="","",HYPERLINK("https://www.youtube.com/watch?v="&amp;M2597,"▶"))</f>
        <v/>
      </c>
      <c r="B2597" s="39">
        <f>IF(C2597&lt;&gt;"",C2597,IF(P2597&lt;=IFERROR(INDEX(tblChannels[Watched Through],MATCH(N2597,tblChannels[Channel ID],0)),0),"Watched","Unwatched"))</f>
        <v/>
      </c>
      <c r="C2597" s="40" t="n"/>
      <c r="D2597" s="41" t="n"/>
      <c r="E2597" s="42" t="n">
        <v>42605.69305555556</v>
      </c>
      <c r="F2597" s="50" t="inlineStr">
        <is>
          <t>Super Carlin Brothers</t>
        </is>
      </c>
      <c r="G2597" t="inlineStr">
        <is>
          <t>Harry Potter Theory: Who Is The Cursed Child?</t>
        </is>
      </c>
      <c r="H2597" s="44" t="n">
        <v>0.007858796296296296</v>
      </c>
      <c r="I2597" s="45" t="n">
        <v>1810620</v>
      </c>
      <c r="J2597" s="45" t="n">
        <v>34314</v>
      </c>
      <c r="K2597" s="45" t="n">
        <v>8648</v>
      </c>
      <c r="L2597" s="46" t="n"/>
      <c r="M2597" s="47" t="n"/>
      <c r="N2597" s="47" t="inlineStr">
        <is>
          <t>UCKZo4N0lVPccBkSiuyVh4yg</t>
        </is>
      </c>
      <c r="O2597" s="48" t="n">
        <v>42605.85972222222</v>
      </c>
      <c r="P2597" s="49" t="n">
        <v>42605</v>
      </c>
      <c r="Q2597" s="47" t="n">
        <v>671</v>
      </c>
      <c r="R2597" s="47" t="inlineStr">
        <is>
          <t>No Video ID yet</t>
        </is>
      </c>
      <c r="S2597" s="49" t="n"/>
      <c r="T2597" s="49" t="n"/>
      <c r="U2597" s="47" t="inlineStr">
        <is>
          <t>At long last the wizarding world of Harry Potter has expanded in the form of Harry Potter and The Cursed Child, the only problem is... Who is the cursed child? Today J dives into the play and find out!</t>
        </is>
      </c>
      <c r="V2597" s="47">
        <f>IF(AND(P2597&gt;=Calendar!$K$2,P2597&lt;EDATE(Calendar!$K$2,1),OR(Calendar!$K$4="*",N2597=Calendar!$K$4)),P2597*100+COUNTIFS($P$6:$P$3267,P2597,$Q$6:$Q$3267,"&lt;="&amp;Q2597,$N$6:$N$3267,Calendar!$K$4),"")</f>
        <v/>
      </c>
      <c r="W2597" s="47">
        <f>IF(AND(B2597=Queue!$C$4,OR(Queue!$K$4="*",N2597=Queue!$K$4)),Q2597,"")</f>
        <v/>
      </c>
    </row>
    <row r="2598">
      <c r="A2598" s="38">
        <f>IF(M2598="","",HYPERLINK("https://www.youtube.com/watch?v="&amp;M2598,"▶"))</f>
        <v/>
      </c>
      <c r="B2598" s="39">
        <f>IF(C2598&lt;&gt;"",C2598,IF(P2598&lt;=IFERROR(INDEX(tblChannels[Watched Through],MATCH(N2598,tblChannels[Channel ID],0)),0),"Watched","Unwatched"))</f>
        <v/>
      </c>
      <c r="C2598" s="40" t="n"/>
      <c r="D2598" s="41" t="n"/>
      <c r="E2598" s="42" t="n">
        <v>42600.79236111111</v>
      </c>
      <c r="F2598" s="50" t="inlineStr">
        <is>
          <t>Super Carlin Brothers</t>
        </is>
      </c>
      <c r="G2598" t="inlineStr">
        <is>
          <t>Voldemort's Horcruxes Ranked</t>
        </is>
      </c>
      <c r="H2598" s="44" t="n">
        <v>0.005567129629629629</v>
      </c>
      <c r="I2598" s="45" t="n">
        <v>2000959</v>
      </c>
      <c r="J2598" s="45" t="n">
        <v>35918</v>
      </c>
      <c r="K2598" s="45" t="n">
        <v>5471</v>
      </c>
      <c r="L2598" s="46" t="n"/>
      <c r="M2598" s="47" t="n"/>
      <c r="N2598" s="47" t="inlineStr">
        <is>
          <t>UCKZo4N0lVPccBkSiuyVh4yg</t>
        </is>
      </c>
      <c r="O2598" s="48" t="n">
        <v>42600.95902777778</v>
      </c>
      <c r="P2598" s="49" t="n">
        <v>42600</v>
      </c>
      <c r="Q2598" s="47" t="n">
        <v>670</v>
      </c>
      <c r="R2598" s="47" t="inlineStr">
        <is>
          <t>No Video ID yet</t>
        </is>
      </c>
      <c r="S2598" s="49" t="n"/>
      <c r="T2598" s="49" t="n"/>
      <c r="U2598" s="47" t="inlineStr">
        <is>
          <t>Seriously, Voldemort could have done a much better job hiding and/or protecting these things. Today Ben reveals his official ranking of the Horcruxes and how Voldemort could have prevented Harry Potter from destroying them.</t>
        </is>
      </c>
      <c r="V2598" s="47">
        <f>IF(AND(P2598&gt;=Calendar!$K$2,P2598&lt;EDATE(Calendar!$K$2,1),OR(Calendar!$K$4="*",N2598=Calendar!$K$4)),P2598*100+COUNTIFS($P$6:$P$3267,P2598,$Q$6:$Q$3267,"&lt;="&amp;Q2598,$N$6:$N$3267,Calendar!$K$4),"")</f>
        <v/>
      </c>
      <c r="W2598" s="47">
        <f>IF(AND(B2598=Queue!$C$4,OR(Queue!$K$4="*",N2598=Queue!$K$4)),Q2598,"")</f>
        <v/>
      </c>
    </row>
    <row r="2599">
      <c r="A2599" s="38">
        <f>IF(M2599="","",HYPERLINK("https://www.youtube.com/watch?v="&amp;M2599,"▶"))</f>
        <v/>
      </c>
      <c r="B2599" s="39">
        <f>IF(C2599&lt;&gt;"",C2599,IF(P2599&lt;=IFERROR(INDEX(tblChannels[Watched Through],MATCH(N2599,tblChannels[Channel ID],0)),0),"Watched","Unwatched"))</f>
        <v/>
      </c>
      <c r="C2599" s="40" t="n"/>
      <c r="D2599" s="41" t="n"/>
      <c r="E2599" s="42" t="n">
        <v>42598.8375</v>
      </c>
      <c r="F2599" s="50" t="inlineStr">
        <is>
          <t>Super Carlin Brothers</t>
        </is>
      </c>
      <c r="G2599" t="inlineStr">
        <is>
          <t>Are Pokemon Google Autofill</t>
        </is>
      </c>
      <c r="H2599" s="44" t="n">
        <v>0.006481481481481481</v>
      </c>
      <c r="I2599" s="45" t="n">
        <v>375612</v>
      </c>
      <c r="J2599" s="45" t="n">
        <v>9986</v>
      </c>
      <c r="K2599" s="45" t="n">
        <v>5062</v>
      </c>
      <c r="L2599" s="46" t="n"/>
      <c r="M2599" s="47" t="n"/>
      <c r="N2599" s="47" t="inlineStr">
        <is>
          <t>UCKZo4N0lVPccBkSiuyVh4yg</t>
        </is>
      </c>
      <c r="O2599" s="48" t="n">
        <v>42599.00416666667</v>
      </c>
      <c r="P2599" s="49" t="n">
        <v>42598</v>
      </c>
      <c r="Q2599" s="47" t="n">
        <v>669</v>
      </c>
      <c r="R2599" s="47" t="inlineStr">
        <is>
          <t>No Video ID yet</t>
        </is>
      </c>
      <c r="S2599" s="49" t="n"/>
      <c r="T2599" s="49" t="n"/>
      <c r="U2599" s="47" t="inlineStr">
        <is>
          <t>J is still loving Pokemon GO and so today he plays the Google Autofill game and asks Are Pokemon Google Autofill? Who is your favorite Pokemon??</t>
        </is>
      </c>
      <c r="V2599" s="47">
        <f>IF(AND(P2599&gt;=Calendar!$K$2,P2599&lt;EDATE(Calendar!$K$2,1),OR(Calendar!$K$4="*",N2599=Calendar!$K$4)),P2599*100+COUNTIFS($P$6:$P$3267,P2599,$Q$6:$Q$3267,"&lt;="&amp;Q2599,$N$6:$N$3267,Calendar!$K$4),"")</f>
        <v/>
      </c>
      <c r="W2599" s="47">
        <f>IF(AND(B2599=Queue!$C$4,OR(Queue!$K$4="*",N2599=Queue!$K$4)),Q2599,"")</f>
        <v/>
      </c>
    </row>
    <row r="2600">
      <c r="A2600" s="38">
        <f>IF(M2600="","",HYPERLINK("https://www.youtube.com/watch?v="&amp;M2600,"▶"))</f>
        <v/>
      </c>
      <c r="B2600" s="39">
        <f>IF(C2600&lt;&gt;"",C2600,IF(P2600&lt;=IFERROR(INDEX(tblChannels[Watched Through],MATCH(N2600,tblChannels[Channel ID],0)),0),"Watched","Unwatched"))</f>
        <v/>
      </c>
      <c r="C2600" s="40" t="n"/>
      <c r="D2600" s="41" t="n"/>
      <c r="E2600" s="42" t="n">
        <v>42593.56180555555</v>
      </c>
      <c r="F2600" s="50" t="inlineStr">
        <is>
          <t>Super Carlin Brothers</t>
        </is>
      </c>
      <c r="G2600" t="inlineStr">
        <is>
          <t>100 LAYERS of Clothes Challenge!</t>
        </is>
      </c>
      <c r="H2600" s="44" t="n">
        <v>0.008113425925925927</v>
      </c>
      <c r="I2600" s="45" t="n">
        <v>655286</v>
      </c>
      <c r="J2600" s="45" t="n">
        <v>23623</v>
      </c>
      <c r="K2600" s="45" t="n">
        <v>2732</v>
      </c>
      <c r="L2600" s="46" t="n"/>
      <c r="M2600" s="47" t="n"/>
      <c r="N2600" s="47" t="inlineStr">
        <is>
          <t>UCKZo4N0lVPccBkSiuyVh4yg</t>
        </is>
      </c>
      <c r="O2600" s="48" t="n">
        <v>42593.72847222222</v>
      </c>
      <c r="P2600" s="49" t="n">
        <v>42593</v>
      </c>
      <c r="Q2600" s="47" t="n">
        <v>668</v>
      </c>
      <c r="R2600" s="47" t="inlineStr">
        <is>
          <t>No Video ID yet</t>
        </is>
      </c>
      <c r="S2600" s="49" t="n"/>
      <c r="T2600" s="49" t="n"/>
      <c r="U2600" s="47" t="inlineStr">
        <is>
          <t>Today Ben takes on the 100 Layers of shirts challenge, can he make it all the way?! (or at least beat Tracy and Stefanie?!) We were inspired by our good friends over at ElevethGorgeous check out their vid here ::</t>
        </is>
      </c>
      <c r="V2600" s="47">
        <f>IF(AND(P2600&gt;=Calendar!$K$2,P2600&lt;EDATE(Calendar!$K$2,1),OR(Calendar!$K$4="*",N2600=Calendar!$K$4)),P2600*100+COUNTIFS($P$6:$P$3267,P2600,$Q$6:$Q$3267,"&lt;="&amp;Q2600,$N$6:$N$3267,Calendar!$K$4),"")</f>
        <v/>
      </c>
      <c r="W2600" s="47">
        <f>IF(AND(B2600=Queue!$C$4,OR(Queue!$K$4="*",N2600=Queue!$K$4)),Q2600,"")</f>
        <v/>
      </c>
    </row>
    <row r="2601">
      <c r="A2601" s="38">
        <f>IF(M2601="","",HYPERLINK("https://www.youtube.com/watch?v="&amp;M2601,"▶"))</f>
        <v/>
      </c>
      <c r="B2601" s="39">
        <f>IF(C2601&lt;&gt;"",C2601,IF(P2601&lt;=IFERROR(INDEX(tblChannels[Watched Through],MATCH(N2601,tblChannels[Channel ID],0)),0),"Watched","Unwatched"))</f>
        <v/>
      </c>
      <c r="C2601" s="40" t="n"/>
      <c r="D2601" s="41" t="n"/>
      <c r="E2601" s="42" t="n">
        <v>42591.41666666666</v>
      </c>
      <c r="F2601" s="50" t="inlineStr">
        <is>
          <t>Super Carlin Brothers</t>
        </is>
      </c>
      <c r="G2601" t="inlineStr">
        <is>
          <t>Why Does Woody Have A Holster?</t>
        </is>
      </c>
      <c r="H2601" s="44" t="n">
        <v>0.004930555555555555</v>
      </c>
      <c r="I2601" s="45" t="n">
        <v>4112978</v>
      </c>
      <c r="J2601" s="45" t="n">
        <v>63533</v>
      </c>
      <c r="K2601" s="45" t="n">
        <v>12002</v>
      </c>
      <c r="L2601" s="46" t="n"/>
      <c r="M2601" s="47" t="n"/>
      <c r="N2601" s="47" t="inlineStr">
        <is>
          <t>UCKZo4N0lVPccBkSiuyVh4yg</t>
        </is>
      </c>
      <c r="O2601" s="48" t="n">
        <v>42591.58333333334</v>
      </c>
      <c r="P2601" s="49" t="n">
        <v>42591</v>
      </c>
      <c r="Q2601" s="47" t="n">
        <v>667</v>
      </c>
      <c r="R2601" s="47" t="inlineStr">
        <is>
          <t>No Video ID yet</t>
        </is>
      </c>
      <c r="S2601" s="49" t="n"/>
      <c r="T2601" s="49" t="n"/>
      <c r="U2601" s="47" t="inlineStr">
        <is>
          <t>Today J dives into one of Toy Story's oldest mysteries: Why Does Woody Have a Holster? Seriously, where's the gun???</t>
        </is>
      </c>
      <c r="V2601" s="47">
        <f>IF(AND(P2601&gt;=Calendar!$K$2,P2601&lt;EDATE(Calendar!$K$2,1),OR(Calendar!$K$4="*",N2601=Calendar!$K$4)),P2601*100+COUNTIFS($P$6:$P$3267,P2601,$Q$6:$Q$3267,"&lt;="&amp;Q2601,$N$6:$N$3267,Calendar!$K$4),"")</f>
        <v/>
      </c>
      <c r="W2601" s="47">
        <f>IF(AND(B2601=Queue!$C$4,OR(Queue!$K$4="*",N2601=Queue!$K$4)),Q2601,"")</f>
        <v/>
      </c>
    </row>
    <row r="2602">
      <c r="A2602" s="38">
        <f>IF(M2602="","",HYPERLINK("https://www.youtube.com/watch?v="&amp;M2602,"▶"))</f>
        <v/>
      </c>
      <c r="B2602" s="39">
        <f>IF(C2602&lt;&gt;"",C2602,IF(P2602&lt;=IFERROR(INDEX(tblChannels[Watched Through],MATCH(N2602,tblChannels[Channel ID],0)),0),"Watched","Unwatched"))</f>
        <v/>
      </c>
      <c r="C2602" s="40" t="n"/>
      <c r="D2602" s="41" t="n"/>
      <c r="E2602" s="42" t="n">
        <v>42586.67013888889</v>
      </c>
      <c r="F2602" s="50" t="inlineStr">
        <is>
          <t>Super Carlin Brothers</t>
        </is>
      </c>
      <c r="G2602" t="inlineStr">
        <is>
          <t>Do Emotions Have Emotions?</t>
        </is>
      </c>
      <c r="H2602" s="44" t="n">
        <v>0.00337962962962963</v>
      </c>
      <c r="I2602" s="45" t="n">
        <v>3614213</v>
      </c>
      <c r="J2602" s="45" t="n">
        <v>45902</v>
      </c>
      <c r="K2602" s="45" t="n">
        <v>11236</v>
      </c>
      <c r="L2602" s="46" t="n"/>
      <c r="M2602" s="47" t="n"/>
      <c r="N2602" s="47" t="inlineStr">
        <is>
          <t>UCKZo4N0lVPccBkSiuyVh4yg</t>
        </is>
      </c>
      <c r="O2602" s="48" t="n">
        <v>42586.83680555555</v>
      </c>
      <c r="P2602" s="49" t="n">
        <v>42586</v>
      </c>
      <c r="Q2602" s="47" t="n">
        <v>666</v>
      </c>
      <c r="R2602" s="47" t="inlineStr">
        <is>
          <t>No Video ID yet</t>
        </is>
      </c>
      <c r="S2602" s="49" t="n"/>
      <c r="T2602" s="49" t="n"/>
      <c r="U2602" s="47" t="inlineStr">
        <is>
          <t>Today Ben tries to answer one of the most common questions we receive about Disney Pixar's Inside Out: Do the emotions have emotions?</t>
        </is>
      </c>
      <c r="V2602" s="47">
        <f>IF(AND(P2602&gt;=Calendar!$K$2,P2602&lt;EDATE(Calendar!$K$2,1),OR(Calendar!$K$4="*",N2602=Calendar!$K$4)),P2602*100+COUNTIFS($P$6:$P$3267,P2602,$Q$6:$Q$3267,"&lt;="&amp;Q2602,$N$6:$N$3267,Calendar!$K$4),"")</f>
        <v/>
      </c>
      <c r="W2602" s="47">
        <f>IF(AND(B2602=Queue!$C$4,OR(Queue!$K$4="*",N2602=Queue!$K$4)),Q2602,"")</f>
        <v/>
      </c>
    </row>
    <row r="2603">
      <c r="A2603" s="38">
        <f>IF(M2603="","",HYPERLINK("https://www.youtube.com/watch?v="&amp;M2603,"▶"))</f>
        <v/>
      </c>
      <c r="B2603" s="39">
        <f>IF(C2603&lt;&gt;"",C2603,IF(P2603&lt;=IFERROR(INDEX(tblChannels[Watched Through],MATCH(N2603,tblChannels[Channel ID],0)),0),"Watched","Unwatched"))</f>
        <v/>
      </c>
      <c r="C2603" s="40" t="n"/>
      <c r="D2603" s="41" t="n"/>
      <c r="E2603" s="42" t="n">
        <v>42584.80208333334</v>
      </c>
      <c r="F2603" s="50" t="inlineStr">
        <is>
          <t>Super Carlin Brothers</t>
        </is>
      </c>
      <c r="G2603" t="inlineStr">
        <is>
          <t>Pixar Theory: Cars Are Alive?</t>
        </is>
      </c>
      <c r="H2603" s="44" t="n">
        <v>0.006608796296296297</v>
      </c>
      <c r="I2603" s="45" t="n">
        <v>3555966</v>
      </c>
      <c r="J2603" s="45" t="n">
        <v>51664</v>
      </c>
      <c r="K2603" s="45" t="n">
        <v>11275</v>
      </c>
      <c r="L2603" s="46" t="n"/>
      <c r="M2603" s="47" t="n"/>
      <c r="N2603" s="47" t="inlineStr">
        <is>
          <t>UCKZo4N0lVPccBkSiuyVh4yg</t>
        </is>
      </c>
      <c r="O2603" s="48" t="n">
        <v>42584.96875</v>
      </c>
      <c r="P2603" s="49" t="n">
        <v>42584</v>
      </c>
      <c r="Q2603" s="47" t="n">
        <v>665</v>
      </c>
      <c r="R2603" s="47" t="inlineStr">
        <is>
          <t>No Video ID yet</t>
        </is>
      </c>
      <c r="S2603" s="49" t="n"/>
      <c r="T2603" s="49" t="n"/>
      <c r="U2603" s="47" t="inlineStr">
        <is>
          <t>Today J dives in the world of Disney Pixar's Cars and tries to figure out if they are alive and where they come from! Special thanks to these Patreon Supporters :: Ruthlyn, Scott Ripberger, Imogen Van der Meer, Niclas Lund, Hillary Bevens, Dave J, Evan Hill, Brandon Kaiser, The Noble Pine, Trisha, Lesley Koch, Alobear, Kira Bixby, Ryan Smith Thumbnail Art provided by Jake Parker ::</t>
        </is>
      </c>
      <c r="V2603" s="47">
        <f>IF(AND(P2603&gt;=Calendar!$K$2,P2603&lt;EDATE(Calendar!$K$2,1),OR(Calendar!$K$4="*",N2603=Calendar!$K$4)),P2603*100+COUNTIFS($P$6:$P$3267,P2603,$Q$6:$Q$3267,"&lt;="&amp;Q2603,$N$6:$N$3267,Calendar!$K$4),"")</f>
        <v/>
      </c>
      <c r="W2603" s="47">
        <f>IF(AND(B2603=Queue!$C$4,OR(Queue!$K$4="*",N2603=Queue!$K$4)),Q2603,"")</f>
        <v/>
      </c>
    </row>
    <row r="2604">
      <c r="A2604" s="38">
        <f>IF(M2604="","",HYPERLINK("https://www.youtube.com/watch?v="&amp;M2604,"▶"))</f>
        <v/>
      </c>
      <c r="B2604" s="39">
        <f>IF(C2604&lt;&gt;"",C2604,IF(P2604&lt;=IFERROR(INDEX(tblChannels[Watched Through],MATCH(N2604,tblChannels[Channel ID],0)),0),"Watched","Unwatched"))</f>
        <v/>
      </c>
      <c r="C2604" s="40" t="n"/>
      <c r="D2604" s="41" t="n"/>
      <c r="E2604" s="42" t="n">
        <v>42579.85138888889</v>
      </c>
      <c r="F2604" s="50" t="inlineStr">
        <is>
          <t>Super Carlin Brothers</t>
        </is>
      </c>
      <c r="G2604" t="inlineStr">
        <is>
          <t>Top 10 Saddest Moments in Pixar Movies</t>
        </is>
      </c>
      <c r="H2604" s="44" t="n">
        <v>0.007395833333333333</v>
      </c>
      <c r="I2604" s="45" t="n">
        <v>1471313</v>
      </c>
      <c r="J2604" s="45" t="n">
        <v>31420</v>
      </c>
      <c r="K2604" s="45" t="n">
        <v>8369</v>
      </c>
      <c r="L2604" s="46" t="n"/>
      <c r="M2604" s="47" t="n"/>
      <c r="N2604" s="47" t="inlineStr">
        <is>
          <t>UCKZo4N0lVPccBkSiuyVh4yg</t>
        </is>
      </c>
      <c r="O2604" s="48" t="n">
        <v>42580.01805555556</v>
      </c>
      <c r="P2604" s="49" t="n">
        <v>42579</v>
      </c>
      <c r="Q2604" s="47" t="n">
        <v>664</v>
      </c>
      <c r="R2604" s="47" t="inlineStr">
        <is>
          <t>No Video ID yet</t>
        </is>
      </c>
      <c r="S2604" s="49" t="n"/>
      <c r="T2604" s="49" t="n"/>
      <c r="U2604" s="47" t="inlineStr">
        <is>
          <t>Correction: Finding Dory isn't out.... On DVD*** (we didn't have actual movie footage to use) Hope everyone is in a good mood because today Ben is diving into the Top 10 Saddest moments in Pixar movies. Hope you brought your ice cream... What is your favorite sad moment in Pixar???</t>
        </is>
      </c>
      <c r="V2604" s="47">
        <f>IF(AND(P2604&gt;=Calendar!$K$2,P2604&lt;EDATE(Calendar!$K$2,1),OR(Calendar!$K$4="*",N2604=Calendar!$K$4)),P2604*100+COUNTIFS($P$6:$P$3267,P2604,$Q$6:$Q$3267,"&lt;="&amp;Q2604,$N$6:$N$3267,Calendar!$K$4),"")</f>
        <v/>
      </c>
      <c r="W2604" s="47">
        <f>IF(AND(B2604=Queue!$C$4,OR(Queue!$K$4="*",N2604=Queue!$K$4)),Q2604,"")</f>
        <v/>
      </c>
    </row>
    <row r="2605">
      <c r="A2605" s="38">
        <f>IF(M2605="","",HYPERLINK("https://www.youtube.com/watch?v="&amp;M2605,"▶"))</f>
        <v/>
      </c>
      <c r="B2605" s="39">
        <f>IF(C2605&lt;&gt;"",C2605,IF(P2605&lt;=IFERROR(INDEX(tblChannels[Watched Through],MATCH(N2605,tblChannels[Channel ID],0)),0),"Watched","Unwatched"))</f>
        <v/>
      </c>
      <c r="C2605" s="40" t="n"/>
      <c r="D2605" s="41" t="n"/>
      <c r="E2605" s="42" t="n">
        <v>42577.75208333333</v>
      </c>
      <c r="F2605" s="50" t="inlineStr">
        <is>
          <t>Super Carlin Brothers</t>
        </is>
      </c>
      <c r="G2605" t="inlineStr">
        <is>
          <t>Ilvermorny Houses Explained</t>
        </is>
      </c>
      <c r="H2605" s="44" t="n">
        <v>0.007199074074074074</v>
      </c>
      <c r="I2605" s="45" t="n">
        <v>2971653</v>
      </c>
      <c r="J2605" s="45" t="n">
        <v>60980</v>
      </c>
      <c r="K2605" s="45" t="n">
        <v>26950</v>
      </c>
      <c r="L2605" s="46" t="n"/>
      <c r="M2605" s="47" t="n"/>
      <c r="N2605" s="47" t="inlineStr">
        <is>
          <t>UCKZo4N0lVPccBkSiuyVh4yg</t>
        </is>
      </c>
      <c r="O2605" s="48" t="n">
        <v>42577.91875</v>
      </c>
      <c r="P2605" s="49" t="n">
        <v>42577</v>
      </c>
      <c r="Q2605" s="47" t="n">
        <v>663</v>
      </c>
      <c r="R2605" s="47" t="inlineStr">
        <is>
          <t>No Video ID yet</t>
        </is>
      </c>
      <c r="S2605" s="49" t="n"/>
      <c r="T2605" s="49" t="n"/>
      <c r="U2605" s="47" t="inlineStr">
        <is>
          <t>Today J dives into the new world of Harry Potter: AMERICA and discuses the backstory of the American School of Witchcraft and Wizardry: Ilvermorny. Which House are you in? Ilvermorny History :: Ilvermorny House quiz ::</t>
        </is>
      </c>
      <c r="V2605" s="47">
        <f>IF(AND(P2605&gt;=Calendar!$K$2,P2605&lt;EDATE(Calendar!$K$2,1),OR(Calendar!$K$4="*",N2605=Calendar!$K$4)),P2605*100+COUNTIFS($P$6:$P$3267,P2605,$Q$6:$Q$3267,"&lt;="&amp;Q2605,$N$6:$N$3267,Calendar!$K$4),"")</f>
        <v/>
      </c>
      <c r="W2605" s="47">
        <f>IF(AND(B2605=Queue!$C$4,OR(Queue!$K$4="*",N2605=Queue!$K$4)),Q2605,"")</f>
        <v/>
      </c>
    </row>
    <row r="2606">
      <c r="A2606" s="38">
        <f>IF(M2606="","",HYPERLINK("https://www.youtube.com/watch?v="&amp;M2606,"▶"))</f>
        <v/>
      </c>
      <c r="B2606" s="39">
        <f>IF(C2606&lt;&gt;"",C2606,IF(P2606&lt;=IFERROR(INDEX(tblChannels[Watched Through],MATCH(N2606,tblChannels[Channel ID],0)),0),"Watched","Unwatched"))</f>
        <v/>
      </c>
      <c r="C2606" s="40" t="n"/>
      <c r="D2606" s="41" t="n"/>
      <c r="E2606" s="42" t="n">
        <v>42572.71736111111</v>
      </c>
      <c r="F2606" s="50" t="inlineStr">
        <is>
          <t>Super Carlin Brothers</t>
        </is>
      </c>
      <c r="G2606" t="inlineStr">
        <is>
          <t>Super Carlin Brothers Channel Trailer</t>
        </is>
      </c>
      <c r="H2606" s="44" t="n">
        <v>0.001342592592592592</v>
      </c>
      <c r="I2606" s="45" t="n">
        <v>728549</v>
      </c>
      <c r="J2606" s="45" t="n">
        <v>11809</v>
      </c>
      <c r="K2606" s="45" t="n">
        <v>1859</v>
      </c>
      <c r="L2606" s="46" t="n"/>
      <c r="M2606" s="47" t="n"/>
      <c r="N2606" s="47" t="inlineStr">
        <is>
          <t>UCKZo4N0lVPccBkSiuyVh4yg</t>
        </is>
      </c>
      <c r="O2606" s="48" t="n">
        <v>42572.88402777778</v>
      </c>
      <c r="P2606" s="49" t="n">
        <v>42572</v>
      </c>
      <c r="Q2606" s="47" t="n">
        <v>662</v>
      </c>
      <c r="R2606" s="47" t="inlineStr">
        <is>
          <t>No Video ID yet</t>
        </is>
      </c>
      <c r="S2606" s="49" t="n"/>
      <c r="T2606" s="49" t="n"/>
      <c r="U2606" s="47" t="inlineStr">
        <is>
          <t>We are J and B aka the Super Carlin Brothers! We love Pixar, Disney, Marvel, Star Wars, Harry Potter and lots of other stuff. We upload new videos every Tuesday and Thursday! Hope to see you in the towel section! =D</t>
        </is>
      </c>
      <c r="V2606" s="47">
        <f>IF(AND(P2606&gt;=Calendar!$K$2,P2606&lt;EDATE(Calendar!$K$2,1),OR(Calendar!$K$4="*",N2606=Calendar!$K$4)),P2606*100+COUNTIFS($P$6:$P$3267,P2606,$Q$6:$Q$3267,"&lt;="&amp;Q2606,$N$6:$N$3267,Calendar!$K$4),"")</f>
        <v/>
      </c>
      <c r="W2606" s="47">
        <f>IF(AND(B2606=Queue!$C$4,OR(Queue!$K$4="*",N2606=Queue!$K$4)),Q2606,"")</f>
        <v/>
      </c>
    </row>
    <row r="2607">
      <c r="A2607" s="38">
        <f>IF(M2607="","",HYPERLINK("https://www.youtube.com/watch?v="&amp;M2607,"▶"))</f>
        <v/>
      </c>
      <c r="B2607" s="39">
        <f>IF(C2607&lt;&gt;"",C2607,IF(P2607&lt;=IFERROR(INDEX(tblChannels[Watched Through],MATCH(N2607,tblChannels[Channel ID],0)),0),"Watched","Unwatched"))</f>
        <v/>
      </c>
      <c r="C2607" s="40" t="n"/>
      <c r="D2607" s="41" t="n"/>
      <c r="E2607" s="42" t="n">
        <v>42570.78611111111</v>
      </c>
      <c r="F2607" s="50" t="inlineStr">
        <is>
          <t>Super Carlin Brothers</t>
        </is>
      </c>
      <c r="G2607" t="inlineStr">
        <is>
          <t>A Message For Pokemon GO Haters</t>
        </is>
      </c>
      <c r="H2607" s="44" t="n">
        <v>0.00775462962962963</v>
      </c>
      <c r="I2607" s="45" t="n">
        <v>362265</v>
      </c>
      <c r="J2607" s="45" t="n">
        <v>16825</v>
      </c>
      <c r="K2607" s="45" t="n">
        <v>11163</v>
      </c>
      <c r="L2607" s="46" t="n"/>
      <c r="M2607" s="47" t="n"/>
      <c r="N2607" s="47" t="inlineStr">
        <is>
          <t>UCKZo4N0lVPccBkSiuyVh4yg</t>
        </is>
      </c>
      <c r="O2607" s="48" t="n">
        <v>42570.95277777778</v>
      </c>
      <c r="P2607" s="49" t="n">
        <v>42570</v>
      </c>
      <c r="Q2607" s="47" t="n">
        <v>661</v>
      </c>
      <c r="R2607" s="47" t="inlineStr">
        <is>
          <t>No Video ID yet</t>
        </is>
      </c>
      <c r="S2607" s="49" t="n"/>
      <c r="T2607" s="49" t="n"/>
      <c r="U2607" s="47" t="inlineStr">
        <is>
          <t>J discusses his views on the haters of Nintendo's new smash hit global phenomenon: Pokemon GO! What team are you on?!!? #MysticMight</t>
        </is>
      </c>
      <c r="V2607" s="47">
        <f>IF(AND(P2607&gt;=Calendar!$K$2,P2607&lt;EDATE(Calendar!$K$2,1),OR(Calendar!$K$4="*",N2607=Calendar!$K$4)),P2607*100+COUNTIFS($P$6:$P$3267,P2607,$Q$6:$Q$3267,"&lt;="&amp;Q2607,$N$6:$N$3267,Calendar!$K$4),"")</f>
        <v/>
      </c>
      <c r="W2607" s="47">
        <f>IF(AND(B2607=Queue!$C$4,OR(Queue!$K$4="*",N2607=Queue!$K$4)),Q2607,"")</f>
        <v/>
      </c>
    </row>
    <row r="2608">
      <c r="A2608" s="38">
        <f>IF(M2608="","",HYPERLINK("https://www.youtube.com/watch?v="&amp;M2608,"▶"))</f>
        <v/>
      </c>
      <c r="B2608" s="39">
        <f>IF(C2608&lt;&gt;"",C2608,IF(P2608&lt;=IFERROR(INDEX(tblChannels[Watched Through],MATCH(N2608,tblChannels[Channel ID],0)),0),"Watched","Unwatched"))</f>
        <v/>
      </c>
      <c r="C2608" s="40" t="n"/>
      <c r="D2608" s="41" t="n"/>
      <c r="E2608" s="42" t="n">
        <v>42567.86319444444</v>
      </c>
      <c r="F2608" s="52" t="inlineStr">
        <is>
          <t>Super Carlin Gaming</t>
        </is>
      </c>
      <c r="G2608" t="inlineStr">
        <is>
          <t>Knights of the Old Republic #30 - LOL BYE BASTILICIA</t>
        </is>
      </c>
      <c r="H2608" s="44" t="n">
        <v>0.04096064814814815</v>
      </c>
      <c r="I2608" s="45" t="n">
        <v>5403</v>
      </c>
      <c r="J2608" s="45" t="n">
        <v>79</v>
      </c>
      <c r="K2608" s="45" t="n">
        <v>56</v>
      </c>
      <c r="L2608" s="46" t="n"/>
      <c r="M2608" s="47" t="n"/>
      <c r="N2608" s="47" t="inlineStr">
        <is>
          <t>UCor_9jRnNNZVzTuQ92PKsaQ</t>
        </is>
      </c>
      <c r="O2608" s="48" t="n">
        <v>42568.02986111111</v>
      </c>
      <c r="P2608" s="49" t="n">
        <v>42567</v>
      </c>
      <c r="Q2608" s="47" t="n">
        <v>660</v>
      </c>
      <c r="R2608" s="47" t="inlineStr">
        <is>
          <t>No Video ID yet</t>
        </is>
      </c>
      <c r="S2608" s="49" t="n"/>
      <c r="T2608" s="49" t="n"/>
      <c r="U2608" s="47" t="inlineStr">
        <is>
          <t>Oh, hello Malak... Guess what? as this game wraps up, we are working diligently on new content! stay tuned, great things are coming to SCG</t>
        </is>
      </c>
      <c r="V2608" s="47">
        <f>IF(AND(P2608&gt;=Calendar!$K$2,P2608&lt;EDATE(Calendar!$K$2,1),OR(Calendar!$K$4="*",N2608=Calendar!$K$4)),P2608*100+COUNTIFS($P$6:$P$3267,P2608,$Q$6:$Q$3267,"&lt;="&amp;Q2608,$N$6:$N$3267,Calendar!$K$4),"")</f>
        <v/>
      </c>
      <c r="W2608" s="47">
        <f>IF(AND(B2608=Queue!$C$4,OR(Queue!$K$4="*",N2608=Queue!$K$4)),Q2608,"")</f>
        <v/>
      </c>
    </row>
    <row r="2609">
      <c r="A2609" s="38">
        <f>IF(M2609="","",HYPERLINK("https://www.youtube.com/watch?v="&amp;M2609,"▶"))</f>
        <v/>
      </c>
      <c r="B2609" s="39">
        <f>IF(C2609&lt;&gt;"",C2609,IF(P2609&lt;=IFERROR(INDEX(tblChannels[Watched Through],MATCH(N2609,tblChannels[Channel ID],0)),0),"Watched","Unwatched"))</f>
        <v/>
      </c>
      <c r="C2609" s="40" t="n"/>
      <c r="D2609" s="41" t="n"/>
      <c r="E2609" s="42" t="n">
        <v>42565.79375</v>
      </c>
      <c r="F2609" s="50" t="inlineStr">
        <is>
          <t>Super Carlin Brothers</t>
        </is>
      </c>
      <c r="G2609" t="inlineStr">
        <is>
          <t>Top 5 Potential Villains for The Incredibles 2</t>
        </is>
      </c>
      <c r="H2609" s="44" t="n">
        <v>0.007048611111111111</v>
      </c>
      <c r="I2609" s="45" t="n">
        <v>1403576</v>
      </c>
      <c r="J2609" s="45" t="n">
        <v>27893</v>
      </c>
      <c r="K2609" s="45" t="n">
        <v>5593</v>
      </c>
      <c r="L2609" s="46" t="n"/>
      <c r="M2609" s="47" t="n"/>
      <c r="N2609" s="47" t="inlineStr">
        <is>
          <t>UCKZo4N0lVPccBkSiuyVh4yg</t>
        </is>
      </c>
      <c r="O2609" s="48" t="n">
        <v>42565.96041666667</v>
      </c>
      <c r="P2609" s="49" t="n">
        <v>42565</v>
      </c>
      <c r="Q2609" s="47" t="n">
        <v>659</v>
      </c>
      <c r="R2609" s="47" t="inlineStr">
        <is>
          <t>No Video ID yet</t>
        </is>
      </c>
      <c r="S2609" s="49" t="n"/>
      <c r="T2609" s="49" t="n"/>
      <c r="U2609" s="47" t="inlineStr">
        <is>
          <t>Today Ben looks 1,072 days into the future and speculates about the identity of the villain in Disney Pixar's The Incredibles 2! Who do you think it will be??</t>
        </is>
      </c>
      <c r="V2609" s="47">
        <f>IF(AND(P2609&gt;=Calendar!$K$2,P2609&lt;EDATE(Calendar!$K$2,1),OR(Calendar!$K$4="*",N2609=Calendar!$K$4)),P2609*100+COUNTIFS($P$6:$P$3267,P2609,$Q$6:$Q$3267,"&lt;="&amp;Q2609,$N$6:$N$3267,Calendar!$K$4),"")</f>
        <v/>
      </c>
      <c r="W2609" s="47">
        <f>IF(AND(B2609=Queue!$C$4,OR(Queue!$K$4="*",N2609=Queue!$K$4)),Q2609,"")</f>
        <v/>
      </c>
    </row>
    <row r="2610">
      <c r="A2610" s="38">
        <f>IF(M2610="","",HYPERLINK("https://www.youtube.com/watch?v="&amp;M2610,"▶"))</f>
        <v/>
      </c>
      <c r="B2610" s="39">
        <f>IF(C2610&lt;&gt;"",C2610,IF(P2610&lt;=IFERROR(INDEX(tblChannels[Watched Through],MATCH(N2610,tblChannels[Channel ID],0)),0),"Watched","Unwatched"))</f>
        <v/>
      </c>
      <c r="C2610" s="40" t="n"/>
      <c r="D2610" s="41" t="n"/>
      <c r="E2610" s="42" t="n">
        <v>42563.7875</v>
      </c>
      <c r="F2610" s="50" t="inlineStr">
        <is>
          <t>Super Carlin Brothers</t>
        </is>
      </c>
      <c r="G2610" t="inlineStr">
        <is>
          <t>Top 10 Reasons Syndrome Is The Best Pixar Villain Ever</t>
        </is>
      </c>
      <c r="H2610" s="44" t="n">
        <v>0.007627314814814815</v>
      </c>
      <c r="I2610" s="45" t="n">
        <v>1099660</v>
      </c>
      <c r="J2610" s="45" t="n">
        <v>26094</v>
      </c>
      <c r="K2610" s="45" t="n">
        <v>3265</v>
      </c>
      <c r="L2610" s="46" t="n"/>
      <c r="M2610" s="47" t="n"/>
      <c r="N2610" s="47" t="inlineStr">
        <is>
          <t>UCKZo4N0lVPccBkSiuyVh4yg</t>
        </is>
      </c>
      <c r="O2610" s="48" t="n">
        <v>42563.95416666667</v>
      </c>
      <c r="P2610" s="49" t="n">
        <v>42563</v>
      </c>
      <c r="Q2610" s="47" t="n">
        <v>658</v>
      </c>
      <c r="R2610" s="47" t="inlineStr">
        <is>
          <t>No Video ID yet</t>
        </is>
      </c>
      <c r="S2610" s="49" t="n"/>
      <c r="T2610" s="49" t="n"/>
      <c r="U2610" s="47" t="inlineStr">
        <is>
          <t>Today J discusses why Syndrome from Disney Pixar's The Incredibles is the best Pixar Villain of all time. Who do you think is the best Villain? John Donne Poem - No Man Is An Island ::</t>
        </is>
      </c>
      <c r="V2610" s="47">
        <f>IF(AND(P2610&gt;=Calendar!$K$2,P2610&lt;EDATE(Calendar!$K$2,1),OR(Calendar!$K$4="*",N2610=Calendar!$K$4)),P2610*100+COUNTIFS($P$6:$P$3267,P2610,$Q$6:$Q$3267,"&lt;="&amp;Q2610,$N$6:$N$3267,Calendar!$K$4),"")</f>
        <v/>
      </c>
      <c r="W2610" s="47">
        <f>IF(AND(B2610=Queue!$C$4,OR(Queue!$K$4="*",N2610=Queue!$K$4)),Q2610,"")</f>
        <v/>
      </c>
    </row>
    <row r="2611">
      <c r="A2611" s="38">
        <f>IF(M2611="","",HYPERLINK("https://www.youtube.com/watch?v="&amp;M2611,"▶"))</f>
        <v/>
      </c>
      <c r="B2611" s="39">
        <f>IF(C2611&lt;&gt;"",C2611,IF(P2611&lt;=IFERROR(INDEX(tblChannels[Watched Through],MATCH(N2611,tblChannels[Channel ID],0)),0),"Watched","Unwatched"))</f>
        <v/>
      </c>
      <c r="C2611" s="40" t="n"/>
      <c r="D2611" s="41" t="n"/>
      <c r="E2611" s="42" t="n">
        <v>42560.59722222222</v>
      </c>
      <c r="F2611" s="52" t="inlineStr">
        <is>
          <t>Super Carlin Gaming</t>
        </is>
      </c>
      <c r="G2611" t="inlineStr">
        <is>
          <t>Knights of the Old Republic #29 - TO WHERE?!</t>
        </is>
      </c>
      <c r="H2611" s="44" t="n">
        <v>0.02895833333333333</v>
      </c>
      <c r="I2611" s="45" t="n">
        <v>1614</v>
      </c>
      <c r="J2611" s="45" t="n">
        <v>42</v>
      </c>
      <c r="K2611" s="45" t="n">
        <v>18</v>
      </c>
      <c r="L2611" s="46" t="n"/>
      <c r="M2611" s="47" t="n"/>
      <c r="N2611" s="47" t="inlineStr">
        <is>
          <t>UCor_9jRnNNZVzTuQ92PKsaQ</t>
        </is>
      </c>
      <c r="O2611" s="48" t="n">
        <v>42560.76388888889</v>
      </c>
      <c r="P2611" s="49" t="n">
        <v>42560</v>
      </c>
      <c r="Q2611" s="47" t="n">
        <v>657</v>
      </c>
      <c r="R2611" s="47" t="inlineStr">
        <is>
          <t>No Video ID yet</t>
        </is>
      </c>
      <c r="S2611" s="49" t="n"/>
      <c r="T2611" s="49" t="n"/>
      <c r="U2611" s="47" t="inlineStr">
        <is>
          <t>TODAY WE TAKE A TRIP TO YAVIN ONLY TO BE SO RUUUUDELY INTERRUPTED</t>
        </is>
      </c>
      <c r="V2611" s="47">
        <f>IF(AND(P2611&gt;=Calendar!$K$2,P2611&lt;EDATE(Calendar!$K$2,1),OR(Calendar!$K$4="*",N2611=Calendar!$K$4)),P2611*100+COUNTIFS($P$6:$P$3267,P2611,$Q$6:$Q$3267,"&lt;="&amp;Q2611,$N$6:$N$3267,Calendar!$K$4),"")</f>
        <v/>
      </c>
      <c r="W2611" s="47">
        <f>IF(AND(B2611=Queue!$C$4,OR(Queue!$K$4="*",N2611=Queue!$K$4)),Q2611,"")</f>
        <v/>
      </c>
    </row>
    <row r="2612">
      <c r="A2612" s="38">
        <f>IF(M2612="","",HYPERLINK("https://www.youtube.com/watch?v="&amp;M2612,"▶"))</f>
        <v/>
      </c>
      <c r="B2612" s="39">
        <f>IF(C2612&lt;&gt;"",C2612,IF(P2612&lt;=IFERROR(INDEX(tblChannels[Watched Through],MATCH(N2612,tblChannels[Channel ID],0)),0),"Watched","Unwatched"))</f>
        <v/>
      </c>
      <c r="C2612" s="40" t="n"/>
      <c r="D2612" s="41" t="n"/>
      <c r="E2612" s="42" t="n">
        <v>42559.50347222222</v>
      </c>
      <c r="F2612" s="50" t="inlineStr">
        <is>
          <t>Super Carlin Brothers</t>
        </is>
      </c>
      <c r="G2612" t="inlineStr">
        <is>
          <t>Should Dory Be A Disney Princess?</t>
        </is>
      </c>
      <c r="H2612" s="44" t="n">
        <v>0.005694444444444445</v>
      </c>
      <c r="I2612" s="45" t="n">
        <v>790642</v>
      </c>
      <c r="J2612" s="45" t="n">
        <v>19999</v>
      </c>
      <c r="K2612" s="45" t="n">
        <v>6192</v>
      </c>
      <c r="L2612" s="46" t="n"/>
      <c r="M2612" s="47" t="n"/>
      <c r="N2612" s="47" t="inlineStr">
        <is>
          <t>UCKZo4N0lVPccBkSiuyVh4yg</t>
        </is>
      </c>
      <c r="O2612" s="48" t="n">
        <v>42559.67013888889</v>
      </c>
      <c r="P2612" s="49" t="n">
        <v>42559</v>
      </c>
      <c r="Q2612" s="47" t="n">
        <v>656</v>
      </c>
      <c r="R2612" s="47" t="inlineStr">
        <is>
          <t>No Video ID yet</t>
        </is>
      </c>
      <c r="S2612" s="49" t="n"/>
      <c r="T2612" s="49" t="n"/>
      <c r="U2612" s="47" t="inlineStr">
        <is>
          <t>Download Best Fiends for FREE :: Thanks to Best Fiends for sponsoring this video! TWEET THIS :: @TheEllenShow Help us make Dory a Princess! #DoryIsAPrincess #Dory4Princess2016 Do you think Dory should be the next Disney Princess?</t>
        </is>
      </c>
      <c r="V2612" s="47">
        <f>IF(AND(P2612&gt;=Calendar!$K$2,P2612&lt;EDATE(Calendar!$K$2,1),OR(Calendar!$K$4="*",N2612=Calendar!$K$4)),P2612*100+COUNTIFS($P$6:$P$3267,P2612,$Q$6:$Q$3267,"&lt;="&amp;Q2612,$N$6:$N$3267,Calendar!$K$4),"")</f>
        <v/>
      </c>
      <c r="W2612" s="47">
        <f>IF(AND(B2612=Queue!$C$4,OR(Queue!$K$4="*",N2612=Queue!$K$4)),Q2612,"")</f>
        <v/>
      </c>
    </row>
    <row r="2613">
      <c r="A2613" s="38">
        <f>IF(M2613="","",HYPERLINK("https://www.youtube.com/watch?v="&amp;M2613,"▶"))</f>
        <v/>
      </c>
      <c r="B2613" s="39">
        <f>IF(C2613&lt;&gt;"",C2613,IF(P2613&lt;=IFERROR(INDEX(tblChannels[Watched Through],MATCH(N2613,tblChannels[Channel ID],0)),0),"Watched","Unwatched"))</f>
        <v/>
      </c>
      <c r="C2613" s="40" t="n"/>
      <c r="D2613" s="41" t="n"/>
      <c r="E2613" s="42" t="n">
        <v>42556.87291666667</v>
      </c>
      <c r="F2613" s="50" t="inlineStr">
        <is>
          <t>Super Carlin Brothers</t>
        </is>
      </c>
      <c r="G2613" t="inlineStr">
        <is>
          <t>Are Hamburgers Google Autofill</t>
        </is>
      </c>
      <c r="H2613" s="44" t="n">
        <v>0.005173611111111111</v>
      </c>
      <c r="I2613" s="45" t="n">
        <v>325420</v>
      </c>
      <c r="J2613" s="45" t="n">
        <v>9337</v>
      </c>
      <c r="K2613" s="45" t="n">
        <v>3066</v>
      </c>
      <c r="L2613" s="46" t="n"/>
      <c r="M2613" s="47" t="n"/>
      <c r="N2613" s="47" t="inlineStr">
        <is>
          <t>UCKZo4N0lVPccBkSiuyVh4yg</t>
        </is>
      </c>
      <c r="O2613" s="48" t="n">
        <v>42557.03958333333</v>
      </c>
      <c r="P2613" s="49" t="n">
        <v>42556</v>
      </c>
      <c r="Q2613" s="47" t="n">
        <v>655</v>
      </c>
      <c r="R2613" s="47" t="inlineStr">
        <is>
          <t>No Video ID yet</t>
        </is>
      </c>
      <c r="S2613" s="49" t="n"/>
      <c r="T2613" s="49" t="n"/>
      <c r="U2613" s="47" t="inlineStr">
        <is>
          <t>Happy 4th of July! er... Day After 4th of July! Today J answers all of Google's questions about what Hamburgers are and where they are from! Special thanks to these Patreon Supporters :: Hillary Bevens, Dave J, Evan Hill, Brandon Kaiser, The Noble Pine, Trisha, Lesley Koch, Alobear, Kira Bixby, Ryan Smith</t>
        </is>
      </c>
      <c r="V2613" s="47">
        <f>IF(AND(P2613&gt;=Calendar!$K$2,P2613&lt;EDATE(Calendar!$K$2,1),OR(Calendar!$K$4="*",N2613=Calendar!$K$4)),P2613*100+COUNTIFS($P$6:$P$3267,P2613,$Q$6:$Q$3267,"&lt;="&amp;Q2613,$N$6:$N$3267,Calendar!$K$4),"")</f>
        <v/>
      </c>
      <c r="W2613" s="47">
        <f>IF(AND(B2613=Queue!$C$4,OR(Queue!$K$4="*",N2613=Queue!$K$4)),Q2613,"")</f>
        <v/>
      </c>
    </row>
    <row r="2614">
      <c r="A2614" s="38">
        <f>IF(M2614="","",HYPERLINK("https://www.youtube.com/watch?v="&amp;M2614,"▶"))</f>
        <v/>
      </c>
      <c r="B2614" s="39">
        <f>IF(C2614&lt;&gt;"",C2614,IF(P2614&lt;=IFERROR(INDEX(tblChannels[Watched Through],MATCH(N2614,tblChannels[Channel ID],0)),0),"Watched","Unwatched"))</f>
        <v/>
      </c>
      <c r="C2614" s="40" t="n"/>
      <c r="D2614" s="41" t="n"/>
      <c r="E2614" s="42" t="n">
        <v>42555.975</v>
      </c>
      <c r="F2614" s="52" t="inlineStr">
        <is>
          <t>Super Carlin Gaming</t>
        </is>
      </c>
      <c r="G2614" t="inlineStr">
        <is>
          <t>Knights of the Old Republic #28 - Dragons and Star Wars</t>
        </is>
      </c>
      <c r="H2614" s="44" t="n">
        <v>0.01993055555555556</v>
      </c>
      <c r="I2614" s="45" t="n">
        <v>1756</v>
      </c>
      <c r="J2614" s="45" t="n">
        <v>54</v>
      </c>
      <c r="K2614" s="45" t="n">
        <v>15</v>
      </c>
      <c r="L2614" s="46" t="n"/>
      <c r="M2614" s="47" t="n"/>
      <c r="N2614" s="47" t="inlineStr">
        <is>
          <t>UCor_9jRnNNZVzTuQ92PKsaQ</t>
        </is>
      </c>
      <c r="O2614" s="48" t="n">
        <v>42556.14166666667</v>
      </c>
      <c r="P2614" s="49" t="n">
        <v>42555</v>
      </c>
      <c r="Q2614" s="47" t="n">
        <v>654</v>
      </c>
      <c r="R2614" s="47" t="inlineStr">
        <is>
          <t>No Video ID yet</t>
        </is>
      </c>
      <c r="S2614" s="49" t="n"/>
      <c r="T2614" s="49" t="n"/>
      <c r="U2614" s="47" t="inlineStr">
        <is>
          <t>Today we hunt dragons. literally. is that unusual? i think it is. i'm not sure. it definitely feels like it is.</t>
        </is>
      </c>
      <c r="V2614" s="47">
        <f>IF(AND(P2614&gt;=Calendar!$K$2,P2614&lt;EDATE(Calendar!$K$2,1),OR(Calendar!$K$4="*",N2614=Calendar!$K$4)),P2614*100+COUNTIFS($P$6:$P$3267,P2614,$Q$6:$Q$3267,"&lt;="&amp;Q2614,$N$6:$N$3267,Calendar!$K$4),"")</f>
        <v/>
      </c>
      <c r="W2614" s="47">
        <f>IF(AND(B2614=Queue!$C$4,OR(Queue!$K$4="*",N2614=Queue!$K$4)),Q2614,"")</f>
        <v/>
      </c>
    </row>
    <row r="2615">
      <c r="A2615" s="38">
        <f>IF(M2615="","",HYPERLINK("https://www.youtube.com/watch?v="&amp;M2615,"▶"))</f>
        <v/>
      </c>
      <c r="B2615" s="39">
        <f>IF(C2615&lt;&gt;"",C2615,IF(P2615&lt;=IFERROR(INDEX(tblChannels[Watched Through],MATCH(N2615,tblChannels[Channel ID],0)),0),"Watched","Unwatched"))</f>
        <v/>
      </c>
      <c r="C2615" s="40" t="n"/>
      <c r="D2615" s="41" t="n"/>
      <c r="E2615" s="42" t="n">
        <v>42551.77152777778</v>
      </c>
      <c r="F2615" s="50" t="inlineStr">
        <is>
          <t>Super Carlin Brothers</t>
        </is>
      </c>
      <c r="G2615" t="inlineStr">
        <is>
          <t>Dory's Memory Loss Explained</t>
        </is>
      </c>
      <c r="H2615" s="44" t="n">
        <v>0.005115740740740741</v>
      </c>
      <c r="I2615" s="45" t="n">
        <v>1455399</v>
      </c>
      <c r="J2615" s="45" t="n">
        <v>33218</v>
      </c>
      <c r="K2615" s="45" t="n">
        <v>4300</v>
      </c>
      <c r="L2615" s="46" t="n"/>
      <c r="M2615" s="47" t="n"/>
      <c r="N2615" s="47" t="inlineStr">
        <is>
          <t>UCKZo4N0lVPccBkSiuyVh4yg</t>
        </is>
      </c>
      <c r="O2615" s="48" t="n">
        <v>42551.93819444445</v>
      </c>
      <c r="P2615" s="49" t="n">
        <v>42551</v>
      </c>
      <c r="Q2615" s="47" t="n">
        <v>653</v>
      </c>
      <c r="R2615" s="47" t="inlineStr">
        <is>
          <t>No Video ID yet</t>
        </is>
      </c>
      <c r="S2615" s="49" t="n"/>
      <c r="T2615" s="49" t="n"/>
      <c r="U2615" s="47" t="inlineStr">
        <is>
          <t>Today Ben discusses Disney Pixar's Finding Dory and how fish breeding could explain Dory's Short Term Memory Loss. Enter the Dory Plush Giveaway Contest here ::</t>
        </is>
      </c>
      <c r="V2615" s="47">
        <f>IF(AND(P2615&gt;=Calendar!$K$2,P2615&lt;EDATE(Calendar!$K$2,1),OR(Calendar!$K$4="*",N2615=Calendar!$K$4)),P2615*100+COUNTIFS($P$6:$P$3267,P2615,$Q$6:$Q$3267,"&lt;="&amp;Q2615,$N$6:$N$3267,Calendar!$K$4),"")</f>
        <v/>
      </c>
      <c r="W2615" s="47">
        <f>IF(AND(B2615=Queue!$C$4,OR(Queue!$K$4="*",N2615=Queue!$K$4)),Q2615,"")</f>
        <v/>
      </c>
    </row>
    <row r="2616">
      <c r="A2616" s="38">
        <f>IF(M2616="","",HYPERLINK("https://www.youtube.com/watch?v="&amp;M2616,"▶"))</f>
        <v/>
      </c>
      <c r="B2616" s="39">
        <f>IF(C2616&lt;&gt;"",C2616,IF(P2616&lt;=IFERROR(INDEX(tblChannels[Watched Through],MATCH(N2616,tblChannels[Channel ID],0)),0),"Watched","Unwatched"))</f>
        <v/>
      </c>
      <c r="C2616" s="40" t="n"/>
      <c r="D2616" s="41" t="n"/>
      <c r="E2616" s="42" t="n">
        <v>42549.84930555556</v>
      </c>
      <c r="F2616" s="50" t="inlineStr">
        <is>
          <t>Super Carlin Brothers</t>
        </is>
      </c>
      <c r="G2616" t="inlineStr">
        <is>
          <t>Pixar Theory: Darla's Origin</t>
        </is>
      </c>
      <c r="H2616" s="44" t="n">
        <v>0.006168981481481482</v>
      </c>
      <c r="I2616" s="45" t="n">
        <v>3906758</v>
      </c>
      <c r="J2616" s="45" t="n">
        <v>45691</v>
      </c>
      <c r="K2616" s="45" t="n">
        <v>6232</v>
      </c>
      <c r="L2616" s="46" t="n"/>
      <c r="M2616" s="47" t="n"/>
      <c r="N2616" s="47" t="inlineStr">
        <is>
          <t>UCKZo4N0lVPccBkSiuyVh4yg</t>
        </is>
      </c>
      <c r="O2616" s="48" t="n">
        <v>42550.01597222222</v>
      </c>
      <c r="P2616" s="49" t="n">
        <v>42549</v>
      </c>
      <c r="Q2616" s="47" t="n">
        <v>652</v>
      </c>
      <c r="R2616" s="47" t="inlineStr">
        <is>
          <t>No Video ID yet</t>
        </is>
      </c>
      <c r="S2616" s="49" t="n"/>
      <c r="T2616" s="49" t="n"/>
      <c r="U2616" s="47" t="inlineStr">
        <is>
          <t>Now Conspiring Podcast :: Today J examines one of Finding Nemo's most infamous characters: Darla. She made a surprise and brief appearance in Disney Pixar's Finding Dory and we are determined to find out how and why that happened!</t>
        </is>
      </c>
      <c r="V2616" s="47">
        <f>IF(AND(P2616&gt;=Calendar!$K$2,P2616&lt;EDATE(Calendar!$K$2,1),OR(Calendar!$K$4="*",N2616=Calendar!$K$4)),P2616*100+COUNTIFS($P$6:$P$3267,P2616,$Q$6:$Q$3267,"&lt;="&amp;Q2616,$N$6:$N$3267,Calendar!$K$4),"")</f>
        <v/>
      </c>
      <c r="W2616" s="47">
        <f>IF(AND(B2616=Queue!$C$4,OR(Queue!$K$4="*",N2616=Queue!$K$4)),Q2616,"")</f>
        <v/>
      </c>
    </row>
    <row r="2617">
      <c r="A2617" s="38">
        <f>IF(M2617="","",HYPERLINK("https://www.youtube.com/watch?v="&amp;M2617,"▶"))</f>
        <v/>
      </c>
      <c r="B2617" s="39">
        <f>IF(C2617&lt;&gt;"",C2617,IF(P2617&lt;=IFERROR(INDEX(tblChannels[Watched Through],MATCH(N2617,tblChannels[Channel ID],0)),0),"Watched","Unwatched"))</f>
        <v/>
      </c>
      <c r="C2617" s="40" t="n"/>
      <c r="D2617" s="41" t="n"/>
      <c r="E2617" s="42" t="n">
        <v>42544.625</v>
      </c>
      <c r="F2617" s="50" t="inlineStr">
        <is>
          <t>Super Carlin Brothers</t>
        </is>
      </c>
      <c r="G2617" t="inlineStr">
        <is>
          <t>Can Toys DIE?!</t>
        </is>
      </c>
      <c r="H2617" s="44" t="n">
        <v>0.004270833333333333</v>
      </c>
      <c r="I2617" s="45" t="n">
        <v>1383420</v>
      </c>
      <c r="J2617" s="45" t="n">
        <v>26569</v>
      </c>
      <c r="K2617" s="45" t="n">
        <v>3914</v>
      </c>
      <c r="L2617" s="46" t="n"/>
      <c r="M2617" s="47" t="n"/>
      <c r="N2617" s="47" t="inlineStr">
        <is>
          <t>UCKZo4N0lVPccBkSiuyVh4yg</t>
        </is>
      </c>
      <c r="O2617" s="48" t="n">
        <v>42544.79166666666</v>
      </c>
      <c r="P2617" s="49" t="n">
        <v>42544</v>
      </c>
      <c r="Q2617" s="47" t="n">
        <v>651</v>
      </c>
      <c r="R2617" s="47" t="inlineStr">
        <is>
          <t>No Video ID yet</t>
        </is>
      </c>
      <c r="S2617" s="49" t="n"/>
      <c r="T2617" s="49" t="n"/>
      <c r="U2617" s="47" t="inlineStr">
        <is>
          <t>Today Ben tries to solve one of Disney Pixar's Toy Story's oldest questions: Can toys die? Lets us know your thoughts in the towel section below!!</t>
        </is>
      </c>
      <c r="V2617" s="47">
        <f>IF(AND(P2617&gt;=Calendar!$K$2,P2617&lt;EDATE(Calendar!$K$2,1),OR(Calendar!$K$4="*",N2617=Calendar!$K$4)),P2617*100+COUNTIFS($P$6:$P$3267,P2617,$Q$6:$Q$3267,"&lt;="&amp;Q2617,$N$6:$N$3267,Calendar!$K$4),"")</f>
        <v/>
      </c>
      <c r="W2617" s="47">
        <f>IF(AND(B2617=Queue!$C$4,OR(Queue!$K$4="*",N2617=Queue!$K$4)),Q2617,"")</f>
        <v/>
      </c>
    </row>
    <row r="2618">
      <c r="A2618" s="38">
        <f>IF(M2618="","",HYPERLINK("https://www.youtube.com/watch?v="&amp;M2618,"▶"))</f>
        <v/>
      </c>
      <c r="B2618" s="39">
        <f>IF(C2618&lt;&gt;"",C2618,IF(P2618&lt;=IFERROR(INDEX(tblChannels[Watched Through],MATCH(N2618,tblChannels[Channel ID],0)),0),"Watched","Unwatched"))</f>
        <v/>
      </c>
      <c r="C2618" s="40" t="n"/>
      <c r="D2618" s="41" t="n"/>
      <c r="E2618" s="42" t="n">
        <v>42542.625</v>
      </c>
      <c r="F2618" s="50" t="inlineStr">
        <is>
          <t>Super Carlin Brothers</t>
        </is>
      </c>
      <c r="G2618" t="inlineStr">
        <is>
          <t>How Finding Dory Fits Into The Pixar Theory</t>
        </is>
      </c>
      <c r="H2618" s="44" t="n">
        <v>0.005960648148148148</v>
      </c>
      <c r="I2618" s="45" t="n">
        <v>2689269</v>
      </c>
      <c r="J2618" s="45" t="n">
        <v>37865</v>
      </c>
      <c r="K2618" s="45" t="n">
        <v>6686</v>
      </c>
      <c r="L2618" s="46" t="n"/>
      <c r="M2618" s="47" t="n"/>
      <c r="N2618" s="47" t="inlineStr">
        <is>
          <t>UCKZo4N0lVPccBkSiuyVh4yg</t>
        </is>
      </c>
      <c r="O2618" s="48" t="n">
        <v>42542.79166666666</v>
      </c>
      <c r="P2618" s="49" t="n">
        <v>42542</v>
      </c>
      <c r="Q2618" s="47" t="n">
        <v>650</v>
      </c>
      <c r="R2618" s="47" t="inlineStr">
        <is>
          <t>No Video ID yet</t>
        </is>
      </c>
      <c r="S2618" s="49" t="n"/>
      <c r="T2618" s="49" t="n"/>
      <c r="U2618" s="47" t="inlineStr">
        <is>
          <t>Jon Negroni's Original Article :: The D-Cast :: Today we are discussing Disney Pixar's Finding Dory, the latest addition to the Pixar Universe and how it fits into the Pixar Theory! Let us know what you thought of the movie and what Easter Eggs you found!!</t>
        </is>
      </c>
      <c r="V2618" s="47">
        <f>IF(AND(P2618&gt;=Calendar!$K$2,P2618&lt;EDATE(Calendar!$K$2,1),OR(Calendar!$K$4="*",N2618=Calendar!$K$4)),P2618*100+COUNTIFS($P$6:$P$3267,P2618,$Q$6:$Q$3267,"&lt;="&amp;Q2618,$N$6:$N$3267,Calendar!$K$4),"")</f>
        <v/>
      </c>
      <c r="W2618" s="47">
        <f>IF(AND(B2618=Queue!$C$4,OR(Queue!$K$4="*",N2618=Queue!$K$4)),Q2618,"")</f>
        <v/>
      </c>
    </row>
    <row r="2619">
      <c r="A2619" s="38">
        <f>IF(M2619="","",HYPERLINK("https://www.youtube.com/watch?v="&amp;M2619,"▶"))</f>
        <v/>
      </c>
      <c r="B2619" s="39">
        <f>IF(C2619&lt;&gt;"",C2619,IF(P2619&lt;=IFERROR(INDEX(tblChannels[Watched Through],MATCH(N2619,tblChannels[Channel ID],0)),0),"Watched","Unwatched"))</f>
        <v/>
      </c>
      <c r="C2619" s="40" t="n"/>
      <c r="D2619" s="41" t="n"/>
      <c r="E2619" s="42" t="n">
        <v>42537.625</v>
      </c>
      <c r="F2619" s="50" t="inlineStr">
        <is>
          <t>Super Carlin Brothers</t>
        </is>
      </c>
      <c r="G2619" t="inlineStr">
        <is>
          <t>Saving Dory</t>
        </is>
      </c>
      <c r="H2619" s="44" t="n">
        <v>0.002569444444444445</v>
      </c>
      <c r="I2619" s="45" t="n">
        <v>371401</v>
      </c>
      <c r="J2619" s="45" t="n">
        <v>10505</v>
      </c>
      <c r="K2619" s="45" t="n">
        <v>2061</v>
      </c>
      <c r="L2619" s="46" t="n"/>
      <c r="M2619" s="47" t="n"/>
      <c r="N2619" s="47" t="inlineStr">
        <is>
          <t>UCKZo4N0lVPccBkSiuyVh4yg</t>
        </is>
      </c>
      <c r="O2619" s="48" t="n">
        <v>42537.79166666666</v>
      </c>
      <c r="P2619" s="49" t="n">
        <v>42537</v>
      </c>
      <c r="Q2619" s="47" t="n">
        <v>649</v>
      </c>
      <c r="R2619" s="47" t="inlineStr">
        <is>
          <t>No Video ID yet</t>
        </is>
      </c>
      <c r="S2619" s="49" t="n"/>
      <c r="T2619" s="49" t="n"/>
      <c r="U2619" s="47" t="n"/>
      <c r="V2619" s="47">
        <f>IF(AND(P2619&gt;=Calendar!$K$2,P2619&lt;EDATE(Calendar!$K$2,1),OR(Calendar!$K$4="*",N2619=Calendar!$K$4)),P2619*100+COUNTIFS($P$6:$P$3267,P2619,$Q$6:$Q$3267,"&lt;="&amp;Q2619,$N$6:$N$3267,Calendar!$K$4),"")</f>
        <v/>
      </c>
      <c r="W2619" s="47">
        <f>IF(AND(B2619=Queue!$C$4,OR(Queue!$K$4="*",N2619=Queue!$K$4)),Q2619,"")</f>
        <v/>
      </c>
    </row>
    <row r="2620">
      <c r="A2620" s="38">
        <f>IF(M2620="","",HYPERLINK("https://www.youtube.com/watch?v="&amp;M2620,"▶"))</f>
        <v/>
      </c>
      <c r="B2620" s="39">
        <f>IF(C2620&lt;&gt;"",C2620,IF(P2620&lt;=IFERROR(INDEX(tblChannels[Watched Through],MATCH(N2620,tblChannels[Channel ID],0)),0),"Watched","Unwatched"))</f>
        <v/>
      </c>
      <c r="C2620" s="40" t="n"/>
      <c r="D2620" s="41" t="n"/>
      <c r="E2620" s="42" t="n">
        <v>42535.625</v>
      </c>
      <c r="F2620" s="50" t="inlineStr">
        <is>
          <t>Super Carlin Brothers</t>
        </is>
      </c>
      <c r="G2620" t="inlineStr">
        <is>
          <t>Simba's Magic Roar Explained</t>
        </is>
      </c>
      <c r="H2620" s="44" t="n">
        <v>0.005208333333333333</v>
      </c>
      <c r="I2620" s="45" t="n">
        <v>1478884</v>
      </c>
      <c r="J2620" s="45" t="n">
        <v>30324</v>
      </c>
      <c r="K2620" s="45" t="n">
        <v>5533</v>
      </c>
      <c r="L2620" s="46" t="n"/>
      <c r="M2620" s="47" t="n"/>
      <c r="N2620" s="47" t="inlineStr">
        <is>
          <t>UCKZo4N0lVPccBkSiuyVh4yg</t>
        </is>
      </c>
      <c r="O2620" s="48" t="n">
        <v>42535.79166666666</v>
      </c>
      <c r="P2620" s="49" t="n">
        <v>42535</v>
      </c>
      <c r="Q2620" s="47" t="n">
        <v>648</v>
      </c>
      <c r="R2620" s="47" t="inlineStr">
        <is>
          <t>No Video ID yet</t>
        </is>
      </c>
      <c r="S2620" s="49" t="n"/>
      <c r="T2620" s="49" t="n"/>
      <c r="U2620" s="47" t="inlineStr">
        <is>
          <t>Today J discusses the magic roar Simba gives at the end of Disney's The Lion King and how it somehow restores the Kingdom of Pride Rock - but really its a video about the Wolves of Yellowstone National Park =D More about the Wolves here: History of Wolves in Yellowstone :: How Wolves Change Rivers :: Return of the Wolf ::</t>
        </is>
      </c>
      <c r="V2620" s="47">
        <f>IF(AND(P2620&gt;=Calendar!$K$2,P2620&lt;EDATE(Calendar!$K$2,1),OR(Calendar!$K$4="*",N2620=Calendar!$K$4)),P2620*100+COUNTIFS($P$6:$P$3267,P2620,$Q$6:$Q$3267,"&lt;="&amp;Q2620,$N$6:$N$3267,Calendar!$K$4),"")</f>
        <v/>
      </c>
      <c r="W2620" s="47">
        <f>IF(AND(B2620=Queue!$C$4,OR(Queue!$K$4="*",N2620=Queue!$K$4)),Q2620,"")</f>
        <v/>
      </c>
    </row>
    <row r="2621">
      <c r="A2621" s="38">
        <f>IF(M2621="","",HYPERLINK("https://www.youtube.com/watch?v="&amp;M2621,"▶"))</f>
        <v/>
      </c>
      <c r="B2621" s="39">
        <f>IF(C2621&lt;&gt;"",C2621,IF(P2621&lt;=IFERROR(INDEX(tblChannels[Watched Through],MATCH(N2621,tblChannels[Channel ID],0)),0),"Watched","Unwatched"))</f>
        <v/>
      </c>
      <c r="C2621" s="40" t="n"/>
      <c r="D2621" s="41" t="n"/>
      <c r="E2621" s="42" t="n">
        <v>42530.77152777778</v>
      </c>
      <c r="F2621" s="50" t="inlineStr">
        <is>
          <t>Super Carlin Brothers</t>
        </is>
      </c>
      <c r="G2621" t="inlineStr">
        <is>
          <t>The Truth About: A Bugs Life &amp; ANTZ</t>
        </is>
      </c>
      <c r="H2621" s="44" t="n">
        <v>0.004594907407407408</v>
      </c>
      <c r="I2621" s="45" t="n">
        <v>1668259</v>
      </c>
      <c r="J2621" s="45" t="n">
        <v>27901</v>
      </c>
      <c r="K2621" s="45" t="n">
        <v>9368</v>
      </c>
      <c r="L2621" s="46" t="n"/>
      <c r="M2621" s="47" t="n"/>
      <c r="N2621" s="47" t="inlineStr">
        <is>
          <t>UCKZo4N0lVPccBkSiuyVh4yg</t>
        </is>
      </c>
      <c r="O2621" s="48" t="n">
        <v>42530.93819444445</v>
      </c>
      <c r="P2621" s="49" t="n">
        <v>42530</v>
      </c>
      <c r="Q2621" s="47" t="n">
        <v>647</v>
      </c>
      <c r="R2621" s="47" t="inlineStr">
        <is>
          <t>No Video ID yet</t>
        </is>
      </c>
      <c r="S2621" s="49" t="n"/>
      <c r="T2621" s="49" t="n"/>
      <c r="U2621" s="47" t="inlineStr">
        <is>
          <t>Today Ben dives into the feud between Disney Pixar's A Bugs Life and Dream Works ANTZ! Which is you're favorite movie!? More About the Feud:</t>
        </is>
      </c>
      <c r="V2621" s="47">
        <f>IF(AND(P2621&gt;=Calendar!$K$2,P2621&lt;EDATE(Calendar!$K$2,1),OR(Calendar!$K$4="*",N2621=Calendar!$K$4)),P2621*100+COUNTIFS($P$6:$P$3267,P2621,$Q$6:$Q$3267,"&lt;="&amp;Q2621,$N$6:$N$3267,Calendar!$K$4),"")</f>
        <v/>
      </c>
      <c r="W2621" s="47">
        <f>IF(AND(B2621=Queue!$C$4,OR(Queue!$K$4="*",N2621=Queue!$K$4)),Q2621,"")</f>
        <v/>
      </c>
    </row>
    <row r="2622">
      <c r="A2622" s="38">
        <f>IF(M2622="","",HYPERLINK("https://www.youtube.com/watch?v="&amp;M2622,"▶"))</f>
        <v/>
      </c>
      <c r="B2622" s="39">
        <f>IF(C2622&lt;&gt;"",C2622,IF(P2622&lt;=IFERROR(INDEX(tblChannels[Watched Through],MATCH(N2622,tblChannels[Channel ID],0)),0),"Watched","Unwatched"))</f>
        <v/>
      </c>
      <c r="C2622" s="40" t="n"/>
      <c r="D2622" s="41" t="n"/>
      <c r="E2622" s="42" t="n">
        <v>42528.625</v>
      </c>
      <c r="F2622" s="50" t="inlineStr">
        <is>
          <t>Super Carlin Brothers</t>
        </is>
      </c>
      <c r="G2622" t="inlineStr">
        <is>
          <t>Does Dumbledore Google Autofill</t>
        </is>
      </c>
      <c r="H2622" s="44" t="n">
        <v>0.006145833333333333</v>
      </c>
      <c r="I2622" s="45" t="n">
        <v>858022</v>
      </c>
      <c r="J2622" s="45" t="n">
        <v>16492</v>
      </c>
      <c r="K2622" s="45" t="n">
        <v>5914</v>
      </c>
      <c r="L2622" s="46" t="n"/>
      <c r="M2622" s="47" t="n"/>
      <c r="N2622" s="47" t="inlineStr">
        <is>
          <t>UCKZo4N0lVPccBkSiuyVh4yg</t>
        </is>
      </c>
      <c r="O2622" s="48" t="n">
        <v>42528.79166666666</v>
      </c>
      <c r="P2622" s="49" t="n">
        <v>42528</v>
      </c>
      <c r="Q2622" s="47" t="n">
        <v>646</v>
      </c>
      <c r="R2622" s="47" t="inlineStr">
        <is>
          <t>No Video ID yet</t>
        </is>
      </c>
      <c r="S2622" s="49" t="n"/>
      <c r="T2622" s="49" t="n"/>
      <c r="U2622" s="47" t="inlineStr">
        <is>
          <t>Today J dives into the wider wizarding world and answers all of the internet questions about what Dumbledore does? What animal would you transform into?</t>
        </is>
      </c>
      <c r="V2622" s="47">
        <f>IF(AND(P2622&gt;=Calendar!$K$2,P2622&lt;EDATE(Calendar!$K$2,1),OR(Calendar!$K$4="*",N2622=Calendar!$K$4)),P2622*100+COUNTIFS($P$6:$P$3267,P2622,$Q$6:$Q$3267,"&lt;="&amp;Q2622,$N$6:$N$3267,Calendar!$K$4),"")</f>
        <v/>
      </c>
      <c r="W2622" s="47">
        <f>IF(AND(B2622=Queue!$C$4,OR(Queue!$K$4="*",N2622=Queue!$K$4)),Q2622,"")</f>
        <v/>
      </c>
    </row>
    <row r="2623">
      <c r="A2623" s="38">
        <f>IF(M2623="","",HYPERLINK("https://www.youtube.com/watch?v="&amp;M2623,"▶"))</f>
        <v/>
      </c>
      <c r="B2623" s="39">
        <f>IF(C2623&lt;&gt;"",C2623,IF(P2623&lt;=IFERROR(INDEX(tblChannels[Watched Through],MATCH(N2623,tblChannels[Channel ID],0)),0),"Watched","Unwatched"))</f>
        <v/>
      </c>
      <c r="C2623" s="40" t="n"/>
      <c r="D2623" s="41" t="n"/>
      <c r="E2623" s="42" t="n">
        <v>42526.66736111111</v>
      </c>
      <c r="F2623" s="52" t="inlineStr">
        <is>
          <t>Super Carlin Gaming</t>
        </is>
      </c>
      <c r="G2623" t="inlineStr">
        <is>
          <t>Knights of the Old Republic #27 - Anakin would have been so proud of me</t>
        </is>
      </c>
      <c r="H2623" s="44" t="n">
        <v>0.01756944444444444</v>
      </c>
      <c r="I2623" s="45" t="n">
        <v>2288</v>
      </c>
      <c r="J2623" s="45" t="n">
        <v>45</v>
      </c>
      <c r="K2623" s="45" t="n">
        <v>18</v>
      </c>
      <c r="L2623" s="46" t="n"/>
      <c r="M2623" s="47" t="n"/>
      <c r="N2623" s="47" t="inlineStr">
        <is>
          <t>UCor_9jRnNNZVzTuQ92PKsaQ</t>
        </is>
      </c>
      <c r="O2623" s="48" t="n">
        <v>42526.83402777778</v>
      </c>
      <c r="P2623" s="49" t="n">
        <v>42526</v>
      </c>
      <c r="Q2623" s="47" t="n">
        <v>645</v>
      </c>
      <c r="R2623" s="47" t="inlineStr">
        <is>
          <t>No Video ID yet</t>
        </is>
      </c>
      <c r="S2623" s="49" t="n"/>
      <c r="T2623" s="49" t="n"/>
      <c r="U2623" s="47" t="inlineStr">
        <is>
          <t>i hate sand.</t>
        </is>
      </c>
      <c r="V2623" s="47">
        <f>IF(AND(P2623&gt;=Calendar!$K$2,P2623&lt;EDATE(Calendar!$K$2,1),OR(Calendar!$K$4="*",N2623=Calendar!$K$4)),P2623*100+COUNTIFS($P$6:$P$3267,P2623,$Q$6:$Q$3267,"&lt;="&amp;Q2623,$N$6:$N$3267,Calendar!$K$4),"")</f>
        <v/>
      </c>
      <c r="W2623" s="47">
        <f>IF(AND(B2623=Queue!$C$4,OR(Queue!$K$4="*",N2623=Queue!$K$4)),Q2623,"")</f>
        <v/>
      </c>
    </row>
    <row r="2624">
      <c r="A2624" s="38">
        <f>IF(M2624="","",HYPERLINK("https://www.youtube.com/watch?v="&amp;M2624,"▶"))</f>
        <v/>
      </c>
      <c r="B2624" s="39">
        <f>IF(C2624&lt;&gt;"",C2624,IF(P2624&lt;=IFERROR(INDEX(tblChannels[Watched Through],MATCH(N2624,tblChannels[Channel ID],0)),0),"Watched","Unwatched"))</f>
        <v/>
      </c>
      <c r="C2624" s="40" t="n"/>
      <c r="D2624" s="41" t="n"/>
      <c r="E2624" s="42" t="n">
        <v>42523.82083333333</v>
      </c>
      <c r="F2624" s="52" t="inlineStr">
        <is>
          <t>Super Carlin Gaming</t>
        </is>
      </c>
      <c r="G2624" t="inlineStr">
        <is>
          <t>Knights of the Old Republic #26 - HK-47, TOO BAATTTLEEEE</t>
        </is>
      </c>
      <c r="H2624" s="44" t="n">
        <v>0.0231712962962963</v>
      </c>
      <c r="I2624" s="45" t="n">
        <v>1381</v>
      </c>
      <c r="J2624" s="45" t="n">
        <v>41</v>
      </c>
      <c r="K2624" s="45" t="n">
        <v>18</v>
      </c>
      <c r="L2624" s="46" t="n"/>
      <c r="M2624" s="47" t="n"/>
      <c r="N2624" s="47" t="inlineStr">
        <is>
          <t>UCor_9jRnNNZVzTuQ92PKsaQ</t>
        </is>
      </c>
      <c r="O2624" s="48" t="n">
        <v>42523.9875</v>
      </c>
      <c r="P2624" s="49" t="n">
        <v>42523</v>
      </c>
      <c r="Q2624" s="47" t="n">
        <v>644</v>
      </c>
      <c r="R2624" s="47" t="inlineStr">
        <is>
          <t>No Video ID yet</t>
        </is>
      </c>
      <c r="S2624" s="49" t="n"/>
      <c r="T2624" s="49" t="n"/>
      <c r="U2624" s="47" t="inlineStr">
        <is>
          <t>Today we explore tatooine with our new friend, HK-47, in an attempt to put an end to evil and villainy from the tuscan raider camps!</t>
        </is>
      </c>
      <c r="V2624" s="47">
        <f>IF(AND(P2624&gt;=Calendar!$K$2,P2624&lt;EDATE(Calendar!$K$2,1),OR(Calendar!$K$4="*",N2624=Calendar!$K$4)),P2624*100+COUNTIFS($P$6:$P$3267,P2624,$Q$6:$Q$3267,"&lt;="&amp;Q2624,$N$6:$N$3267,Calendar!$K$4),"")</f>
        <v/>
      </c>
      <c r="W2624" s="47">
        <f>IF(AND(B2624=Queue!$C$4,OR(Queue!$K$4="*",N2624=Queue!$K$4)),Q2624,"")</f>
        <v/>
      </c>
    </row>
    <row r="2625">
      <c r="A2625" s="38">
        <f>IF(M2625="","",HYPERLINK("https://www.youtube.com/watch?v="&amp;M2625,"▶"))</f>
        <v/>
      </c>
      <c r="B2625" s="39">
        <f>IF(C2625&lt;&gt;"",C2625,IF(P2625&lt;=IFERROR(INDEX(tblChannels[Watched Through],MATCH(N2625,tblChannels[Channel ID],0)),0),"Watched","Unwatched"))</f>
        <v/>
      </c>
      <c r="C2625" s="40" t="n"/>
      <c r="D2625" s="41" t="n"/>
      <c r="E2625" s="42" t="n">
        <v>42523.74861111111</v>
      </c>
      <c r="F2625" s="50" t="inlineStr">
        <is>
          <t>Super Carlin Brothers</t>
        </is>
      </c>
      <c r="G2625" t="inlineStr">
        <is>
          <t>The Wilhelm Scream Explained</t>
        </is>
      </c>
      <c r="H2625" s="44" t="n">
        <v>0.003784722222222222</v>
      </c>
      <c r="I2625" s="45" t="n">
        <v>1453578</v>
      </c>
      <c r="J2625" s="45" t="n">
        <v>31937</v>
      </c>
      <c r="K2625" s="45" t="n">
        <v>7273</v>
      </c>
      <c r="L2625" s="46" t="n"/>
      <c r="M2625" s="47" t="n"/>
      <c r="N2625" s="47" t="inlineStr">
        <is>
          <t>UCKZo4N0lVPccBkSiuyVh4yg</t>
        </is>
      </c>
      <c r="O2625" s="48" t="n">
        <v>42523.91527777778</v>
      </c>
      <c r="P2625" s="49" t="n">
        <v>42523</v>
      </c>
      <c r="Q2625" s="47" t="n">
        <v>643</v>
      </c>
      <c r="R2625" s="47" t="inlineStr">
        <is>
          <t>No Video ID yet</t>
        </is>
      </c>
      <c r="S2625" s="49" t="n"/>
      <c r="T2625" s="49" t="n"/>
      <c r="U2625" s="47" t="inlineStr">
        <is>
          <t>Today Ben explains the iconic Wilhelm Scream, where it came from and where you can find it! Though beware, you can't unhear it.</t>
        </is>
      </c>
      <c r="V2625" s="47">
        <f>IF(AND(P2625&gt;=Calendar!$K$2,P2625&lt;EDATE(Calendar!$K$2,1),OR(Calendar!$K$4="*",N2625=Calendar!$K$4)),P2625*100+COUNTIFS($P$6:$P$3267,P2625,$Q$6:$Q$3267,"&lt;="&amp;Q2625,$N$6:$N$3267,Calendar!$K$4),"")</f>
        <v/>
      </c>
      <c r="W2625" s="47">
        <f>IF(AND(B2625=Queue!$C$4,OR(Queue!$K$4="*",N2625=Queue!$K$4)),Q2625,"")</f>
        <v/>
      </c>
    </row>
    <row r="2626">
      <c r="A2626" s="38">
        <f>IF(M2626="","",HYPERLINK("https://www.youtube.com/watch?v="&amp;M2626,"▶"))</f>
        <v/>
      </c>
      <c r="B2626" s="39">
        <f>IF(C2626&lt;&gt;"",C2626,IF(P2626&lt;=IFERROR(INDEX(tblChannels[Watched Through],MATCH(N2626,tblChannels[Channel ID],0)),0),"Watched","Unwatched"))</f>
        <v/>
      </c>
      <c r="C2626" s="40" t="n"/>
      <c r="D2626" s="41" t="n"/>
      <c r="E2626" s="42" t="n">
        <v>42521.625</v>
      </c>
      <c r="F2626" s="50" t="inlineStr">
        <is>
          <t>Super Carlin Brothers</t>
        </is>
      </c>
      <c r="G2626" t="inlineStr">
        <is>
          <t>Top 10 Things To Look For In Finding Dory</t>
        </is>
      </c>
      <c r="H2626" s="44" t="n">
        <v>0.006087962962962963</v>
      </c>
      <c r="I2626" s="45" t="n">
        <v>692344</v>
      </c>
      <c r="J2626" s="45" t="n">
        <v>12159</v>
      </c>
      <c r="K2626" s="45" t="n">
        <v>2301</v>
      </c>
      <c r="L2626" s="46" t="n"/>
      <c r="M2626" s="47" t="n"/>
      <c r="N2626" s="47" t="inlineStr">
        <is>
          <t>UCKZo4N0lVPccBkSiuyVh4yg</t>
        </is>
      </c>
      <c r="O2626" s="48" t="n">
        <v>42521.79166666666</v>
      </c>
      <c r="P2626" s="49" t="n">
        <v>42521</v>
      </c>
      <c r="Q2626" s="47" t="n">
        <v>642</v>
      </c>
      <c r="R2626" s="47" t="inlineStr">
        <is>
          <t>No Video ID yet</t>
        </is>
      </c>
      <c r="S2626" s="49" t="n"/>
      <c r="T2626" s="49" t="n"/>
      <c r="U2626" s="47" t="inlineStr">
        <is>
          <t>J makes predictions about the top 10 easter eggs you should be looking for when Pixar's Finding Dory hits theatres in June! Get a FREE Month of Audible at:</t>
        </is>
      </c>
      <c r="V2626" s="47">
        <f>IF(AND(P2626&gt;=Calendar!$K$2,P2626&lt;EDATE(Calendar!$K$2,1),OR(Calendar!$K$4="*",N2626=Calendar!$K$4)),P2626*100+COUNTIFS($P$6:$P$3267,P2626,$Q$6:$Q$3267,"&lt;="&amp;Q2626,$N$6:$N$3267,Calendar!$K$4),"")</f>
        <v/>
      </c>
      <c r="W2626" s="47">
        <f>IF(AND(B2626=Queue!$C$4,OR(Queue!$K$4="*",N2626=Queue!$K$4)),Q2626,"")</f>
        <v/>
      </c>
    </row>
    <row r="2627">
      <c r="A2627" s="38">
        <f>IF(M2627="","",HYPERLINK("https://www.youtube.com/watch?v="&amp;M2627,"▶"))</f>
        <v/>
      </c>
      <c r="B2627" s="39">
        <f>IF(C2627&lt;&gt;"",C2627,IF(P2627&lt;=IFERROR(INDEX(tblChannels[Watched Through],MATCH(N2627,tblChannels[Channel ID],0)),0),"Watched","Unwatched"))</f>
        <v/>
      </c>
      <c r="C2627" s="40" t="n"/>
      <c r="D2627" s="41" t="n"/>
      <c r="E2627" s="42" t="n">
        <v>42520.81458333333</v>
      </c>
      <c r="F2627" s="52" t="inlineStr">
        <is>
          <t>Super Carlin Gaming</t>
        </is>
      </c>
      <c r="G2627" t="inlineStr">
        <is>
          <t>Knights of the Old Republic #25 - Tatooine here we come!</t>
        </is>
      </c>
      <c r="H2627" s="44" t="n">
        <v>0.02244212962962963</v>
      </c>
      <c r="I2627" s="45" t="n">
        <v>1333</v>
      </c>
      <c r="J2627" s="45" t="n">
        <v>48</v>
      </c>
      <c r="K2627" s="45" t="n">
        <v>12</v>
      </c>
      <c r="L2627" s="46" t="n"/>
      <c r="M2627" s="47" t="n"/>
      <c r="N2627" s="47" t="inlineStr">
        <is>
          <t>UCor_9jRnNNZVzTuQ92PKsaQ</t>
        </is>
      </c>
      <c r="O2627" s="48" t="n">
        <v>42520.98125</v>
      </c>
      <c r="P2627" s="49" t="n">
        <v>42520</v>
      </c>
      <c r="Q2627" s="47" t="n">
        <v>641</v>
      </c>
      <c r="R2627" s="47" t="inlineStr">
        <is>
          <t>No Video ID yet</t>
        </is>
      </c>
      <c r="S2627" s="49" t="n"/>
      <c r="T2627" s="49" t="n"/>
      <c r="U2627" s="47" t="inlineStr">
        <is>
          <t>following our brutal slaughter of all sith on their homeworld, the now true sith leader, PEACHES, makes his way to the homeworld of some great sith and jedi of the future, tatooine.</t>
        </is>
      </c>
      <c r="V2627" s="47">
        <f>IF(AND(P2627&gt;=Calendar!$K$2,P2627&lt;EDATE(Calendar!$K$2,1),OR(Calendar!$K$4="*",N2627=Calendar!$K$4)),P2627*100+COUNTIFS($P$6:$P$3267,P2627,$Q$6:$Q$3267,"&lt;="&amp;Q2627,$N$6:$N$3267,Calendar!$K$4),"")</f>
        <v/>
      </c>
      <c r="W2627" s="47">
        <f>IF(AND(B2627=Queue!$C$4,OR(Queue!$K$4="*",N2627=Queue!$K$4)),Q2627,"")</f>
        <v/>
      </c>
    </row>
    <row r="2628">
      <c r="A2628" s="38">
        <f>IF(M2628="","",HYPERLINK("https://www.youtube.com/watch?v="&amp;M2628,"▶"))</f>
        <v/>
      </c>
      <c r="B2628" s="39">
        <f>IF(C2628&lt;&gt;"",C2628,IF(P2628&lt;=IFERROR(INDEX(tblChannels[Watched Through],MATCH(N2628,tblChannels[Channel ID],0)),0),"Watched","Unwatched"))</f>
        <v/>
      </c>
      <c r="C2628" s="40" t="n"/>
      <c r="D2628" s="41" t="n"/>
      <c r="E2628" s="42" t="n">
        <v>42516.78402777778</v>
      </c>
      <c r="F2628" s="50" t="inlineStr">
        <is>
          <t>Super Carlin Brothers</t>
        </is>
      </c>
      <c r="G2628" t="inlineStr">
        <is>
          <t>Finding Dory Trailer 3 | Review, Analysis &amp; Predictions</t>
        </is>
      </c>
      <c r="H2628" s="44" t="n">
        <v>0.007210648148148148</v>
      </c>
      <c r="I2628" s="45" t="n">
        <v>328952</v>
      </c>
      <c r="J2628" s="45" t="n">
        <v>6602</v>
      </c>
      <c r="K2628" s="45" t="n">
        <v>1707</v>
      </c>
      <c r="L2628" s="46" t="n"/>
      <c r="M2628" s="47" t="n"/>
      <c r="N2628" s="47" t="inlineStr">
        <is>
          <t>UCKZo4N0lVPccBkSiuyVh4yg</t>
        </is>
      </c>
      <c r="O2628" s="48" t="n">
        <v>42516.95069444444</v>
      </c>
      <c r="P2628" s="49" t="n">
        <v>42516</v>
      </c>
      <c r="Q2628" s="47" t="n">
        <v>640</v>
      </c>
      <c r="R2628" s="47" t="inlineStr">
        <is>
          <t>No Video ID yet</t>
        </is>
      </c>
      <c r="S2628" s="49" t="n"/>
      <c r="T2628" s="49" t="n"/>
      <c r="U2628" s="47" t="inlineStr">
        <is>
          <t>The Ellen Show revealed a new Finding Dory trailer this week and today Ben dives in to give his full Review, Analysis and Predictions about the upcoming movie Full Trailer here ::</t>
        </is>
      </c>
      <c r="V2628" s="47">
        <f>IF(AND(P2628&gt;=Calendar!$K$2,P2628&lt;EDATE(Calendar!$K$2,1),OR(Calendar!$K$4="*",N2628=Calendar!$K$4)),P2628*100+COUNTIFS($P$6:$P$3267,P2628,$Q$6:$Q$3267,"&lt;="&amp;Q2628,$N$6:$N$3267,Calendar!$K$4),"")</f>
        <v/>
      </c>
      <c r="W2628" s="47">
        <f>IF(AND(B2628=Queue!$C$4,OR(Queue!$K$4="*",N2628=Queue!$K$4)),Q2628,"")</f>
        <v/>
      </c>
    </row>
    <row r="2629">
      <c r="A2629" s="38">
        <f>IF(M2629="","",HYPERLINK("https://www.youtube.com/watch?v="&amp;M2629,"▶"))</f>
        <v/>
      </c>
      <c r="B2629" s="39">
        <f>IF(C2629&lt;&gt;"",C2629,IF(P2629&lt;=IFERROR(INDEX(tblChannels[Watched Through],MATCH(N2629,tblChannels[Channel ID],0)),0),"Watched","Unwatched"))</f>
        <v/>
      </c>
      <c r="C2629" s="40" t="n"/>
      <c r="D2629" s="41" t="n"/>
      <c r="E2629" s="42" t="n">
        <v>42514.63263888889</v>
      </c>
      <c r="F2629" s="50" t="inlineStr">
        <is>
          <t>Super Carlin Brothers</t>
        </is>
      </c>
      <c r="G2629" t="inlineStr">
        <is>
          <t>Bing Bong Was Almost Bad?!</t>
        </is>
      </c>
      <c r="H2629" s="44" t="n">
        <v>0.004456018518518519</v>
      </c>
      <c r="I2629" s="45" t="n">
        <v>1985071</v>
      </c>
      <c r="J2629" s="45" t="n">
        <v>32304</v>
      </c>
      <c r="K2629" s="45" t="n">
        <v>5330</v>
      </c>
      <c r="L2629" s="46" t="n"/>
      <c r="M2629" s="47" t="n"/>
      <c r="N2629" s="47" t="inlineStr">
        <is>
          <t>UCKZo4N0lVPccBkSiuyVh4yg</t>
        </is>
      </c>
      <c r="O2629" s="48" t="n">
        <v>42514.79930555556</v>
      </c>
      <c r="P2629" s="49" t="n">
        <v>42514</v>
      </c>
      <c r="Q2629" s="47" t="n">
        <v>639</v>
      </c>
      <c r="R2629" s="47" t="inlineStr">
        <is>
          <t>No Video ID yet</t>
        </is>
      </c>
      <c r="S2629" s="49" t="n"/>
      <c r="T2629" s="49" t="n"/>
      <c r="U2629" s="47" t="inlineStr">
        <is>
          <t>J discusses the origins of Bing Bong from Disney Pixar's Inside Out and how he transformed from an extreme radical to everyone's friend who likes to play! Radical Non Conformist Bing Bong ::</t>
        </is>
      </c>
      <c r="V2629" s="47">
        <f>IF(AND(P2629&gt;=Calendar!$K$2,P2629&lt;EDATE(Calendar!$K$2,1),OR(Calendar!$K$4="*",N2629=Calendar!$K$4)),P2629*100+COUNTIFS($P$6:$P$3267,P2629,$Q$6:$Q$3267,"&lt;="&amp;Q2629,$N$6:$N$3267,Calendar!$K$4),"")</f>
        <v/>
      </c>
      <c r="W2629" s="47">
        <f>IF(AND(B2629=Queue!$C$4,OR(Queue!$K$4="*",N2629=Queue!$K$4)),Q2629,"")</f>
        <v/>
      </c>
    </row>
    <row r="2630">
      <c r="A2630" s="38">
        <f>IF(M2630="","",HYPERLINK("https://www.youtube.com/watch?v="&amp;M2630,"▶"))</f>
        <v/>
      </c>
      <c r="B2630" s="39">
        <f>IF(C2630&lt;&gt;"",C2630,IF(P2630&lt;=IFERROR(INDEX(tblChannels[Watched Through],MATCH(N2630,tblChannels[Channel ID],0)),0),"Watched","Unwatched"))</f>
        <v/>
      </c>
      <c r="C2630" s="40" t="n"/>
      <c r="D2630" s="41" t="n"/>
      <c r="E2630" s="42" t="n">
        <v>42509.77708333333</v>
      </c>
      <c r="F2630" s="50" t="inlineStr">
        <is>
          <t>Super Carlin Brothers</t>
        </is>
      </c>
      <c r="G2630" t="inlineStr">
        <is>
          <t>How Imaginary Friends Work</t>
        </is>
      </c>
      <c r="H2630" s="44" t="n">
        <v>0.004328703703703704</v>
      </c>
      <c r="I2630" s="45" t="n">
        <v>1125932</v>
      </c>
      <c r="J2630" s="45" t="n">
        <v>22556</v>
      </c>
      <c r="K2630" s="45" t="n">
        <v>11686</v>
      </c>
      <c r="L2630" s="46" t="n"/>
      <c r="M2630" s="47" t="n"/>
      <c r="N2630" s="47" t="inlineStr">
        <is>
          <t>UCKZo4N0lVPccBkSiuyVh4yg</t>
        </is>
      </c>
      <c r="O2630" s="48" t="n">
        <v>42509.94375</v>
      </c>
      <c r="P2630" s="49" t="n">
        <v>42509</v>
      </c>
      <c r="Q2630" s="47" t="n">
        <v>638</v>
      </c>
      <c r="R2630" s="47" t="inlineStr">
        <is>
          <t>No Video ID yet</t>
        </is>
      </c>
      <c r="S2630" s="49" t="n"/>
      <c r="T2630" s="49" t="n"/>
      <c r="U2630" s="47" t="inlineStr">
        <is>
          <t>Ben dives into Disney Pixar's Inside Out and discusses how imaginary friends like Bing Bong work in the real world Did you have an imaginary friend growing up?? Sorry if the audio is a little odd - There was a stump grinder outside going to town!</t>
        </is>
      </c>
      <c r="V2630" s="47">
        <f>IF(AND(P2630&gt;=Calendar!$K$2,P2630&lt;EDATE(Calendar!$K$2,1),OR(Calendar!$K$4="*",N2630=Calendar!$K$4)),P2630*100+COUNTIFS($P$6:$P$3267,P2630,$Q$6:$Q$3267,"&lt;="&amp;Q2630,$N$6:$N$3267,Calendar!$K$4),"")</f>
        <v/>
      </c>
      <c r="W2630" s="47">
        <f>IF(AND(B2630=Queue!$C$4,OR(Queue!$K$4="*",N2630=Queue!$K$4)),Q2630,"")</f>
        <v/>
      </c>
    </row>
    <row r="2631">
      <c r="A2631" s="38">
        <f>IF(M2631="","",HYPERLINK("https://www.youtube.com/watch?v="&amp;M2631,"▶"))</f>
        <v/>
      </c>
      <c r="B2631" s="39">
        <f>IF(C2631&lt;&gt;"",C2631,IF(P2631&lt;=IFERROR(INDEX(tblChannels[Watched Through],MATCH(N2631,tblChannels[Channel ID],0)),0),"Watched","Unwatched"))</f>
        <v/>
      </c>
      <c r="C2631" s="40" t="n"/>
      <c r="D2631" s="41" t="n"/>
      <c r="E2631" s="42" t="n">
        <v>42507.88055555556</v>
      </c>
      <c r="F2631" s="50" t="inlineStr">
        <is>
          <t>Super Carlin Brothers</t>
        </is>
      </c>
      <c r="G2631" t="inlineStr">
        <is>
          <t>Mulan Theory: The Great Stone Dragon</t>
        </is>
      </c>
      <c r="H2631" s="44" t="n">
        <v>0.005300925925925926</v>
      </c>
      <c r="I2631" s="45" t="n">
        <v>1744114</v>
      </c>
      <c r="J2631" s="45" t="n">
        <v>42757</v>
      </c>
      <c r="K2631" s="45" t="n">
        <v>4337</v>
      </c>
      <c r="L2631" s="46" t="n"/>
      <c r="M2631" s="47" t="n"/>
      <c r="N2631" s="47" t="inlineStr">
        <is>
          <t>UCKZo4N0lVPccBkSiuyVh4yg</t>
        </is>
      </c>
      <c r="O2631" s="48" t="n">
        <v>42508.04722222222</v>
      </c>
      <c r="P2631" s="49" t="n">
        <v>42507</v>
      </c>
      <c r="Q2631" s="47" t="n">
        <v>637</v>
      </c>
      <c r="R2631" s="47" t="inlineStr">
        <is>
          <t>No Video ID yet</t>
        </is>
      </c>
      <c r="S2631" s="49" t="n"/>
      <c r="T2631" s="49" t="n"/>
      <c r="U2631" s="47" t="inlineStr">
        <is>
          <t>Today J discusses Disney's Mulan and has a theory about why the Great Stone Dragon never comes to life..</t>
        </is>
      </c>
      <c r="V2631" s="47">
        <f>IF(AND(P2631&gt;=Calendar!$K$2,P2631&lt;EDATE(Calendar!$K$2,1),OR(Calendar!$K$4="*",N2631=Calendar!$K$4)),P2631*100+COUNTIFS($P$6:$P$3267,P2631,$Q$6:$Q$3267,"&lt;="&amp;Q2631,$N$6:$N$3267,Calendar!$K$4),"")</f>
        <v/>
      </c>
      <c r="W2631" s="47">
        <f>IF(AND(B2631=Queue!$C$4,OR(Queue!$K$4="*",N2631=Queue!$K$4)),Q2631,"")</f>
        <v/>
      </c>
    </row>
    <row r="2632">
      <c r="A2632" s="38">
        <f>IF(M2632="","",HYPERLINK("https://www.youtube.com/watch?v="&amp;M2632,"▶"))</f>
        <v/>
      </c>
      <c r="B2632" s="39">
        <f>IF(C2632&lt;&gt;"",C2632,IF(P2632&lt;=IFERROR(INDEX(tblChannels[Watched Through],MATCH(N2632,tblChannels[Channel ID],0)),0),"Watched","Unwatched"))</f>
        <v/>
      </c>
      <c r="C2632" s="40" t="n"/>
      <c r="D2632" s="41" t="n"/>
      <c r="E2632" s="42" t="n">
        <v>42507.30347222222</v>
      </c>
      <c r="F2632" s="52" t="inlineStr">
        <is>
          <t>Super Carlin Gaming</t>
        </is>
      </c>
      <c r="G2632" t="inlineStr">
        <is>
          <t>Knights of the Old Republic #24 - The End of the Sith Trials</t>
        </is>
      </c>
      <c r="H2632" s="44" t="n">
        <v>0.02762731481481482</v>
      </c>
      <c r="I2632" s="45" t="n">
        <v>2099</v>
      </c>
      <c r="J2632" s="45" t="n">
        <v>52</v>
      </c>
      <c r="K2632" s="45" t="n">
        <v>36</v>
      </c>
      <c r="L2632" s="46" t="n"/>
      <c r="M2632" s="47" t="n"/>
      <c r="N2632" s="47" t="inlineStr">
        <is>
          <t>UCor_9jRnNNZVzTuQ92PKsaQ</t>
        </is>
      </c>
      <c r="O2632" s="48" t="n">
        <v>42507.47013888889</v>
      </c>
      <c r="P2632" s="49" t="n">
        <v>42507</v>
      </c>
      <c r="Q2632" s="47" t="n">
        <v>636</v>
      </c>
      <c r="R2632" s="47" t="inlineStr">
        <is>
          <t>No Video ID yet</t>
        </is>
      </c>
      <c r="S2632" s="49" t="n"/>
      <c r="T2632" s="49" t="n"/>
      <c r="U2632" s="47" t="inlineStr">
        <is>
          <t>OMG MOM I'M GONNA BE A REAL SITH DID YA SEE ME?!</t>
        </is>
      </c>
      <c r="V2632" s="47">
        <f>IF(AND(P2632&gt;=Calendar!$K$2,P2632&lt;EDATE(Calendar!$K$2,1),OR(Calendar!$K$4="*",N2632=Calendar!$K$4)),P2632*100+COUNTIFS($P$6:$P$3267,P2632,$Q$6:$Q$3267,"&lt;="&amp;Q2632,$N$6:$N$3267,Calendar!$K$4),"")</f>
        <v/>
      </c>
      <c r="W2632" s="47">
        <f>IF(AND(B2632=Queue!$C$4,OR(Queue!$K$4="*",N2632=Queue!$K$4)),Q2632,"")</f>
        <v/>
      </c>
    </row>
    <row r="2633">
      <c r="A2633" s="38">
        <f>IF(M2633="","",HYPERLINK("https://www.youtube.com/watch?v="&amp;M2633,"▶"))</f>
        <v/>
      </c>
      <c r="B2633" s="39">
        <f>IF(C2633&lt;&gt;"",C2633,IF(P2633&lt;=IFERROR(INDEX(tblChannels[Watched Through],MATCH(N2633,tblChannels[Channel ID],0)),0),"Watched","Unwatched"))</f>
        <v/>
      </c>
      <c r="C2633" s="40" t="n"/>
      <c r="D2633" s="41" t="n"/>
      <c r="E2633" s="42" t="n">
        <v>42505.91041666667</v>
      </c>
      <c r="F2633" s="52" t="inlineStr">
        <is>
          <t>Super Carlin Gaming</t>
        </is>
      </c>
      <c r="G2633" t="inlineStr">
        <is>
          <t>Knights of the Old Republic #23 - SPELUNKING (part 2!)</t>
        </is>
      </c>
      <c r="H2633" s="44" t="n">
        <v>0.01988425925925926</v>
      </c>
      <c r="I2633" s="45" t="n">
        <v>1195</v>
      </c>
      <c r="J2633" s="45" t="n">
        <v>55</v>
      </c>
      <c r="K2633" s="45" t="n">
        <v>32</v>
      </c>
      <c r="L2633" s="46" t="n"/>
      <c r="M2633" s="47" t="n"/>
      <c r="N2633" s="47" t="inlineStr">
        <is>
          <t>UCor_9jRnNNZVzTuQ92PKsaQ</t>
        </is>
      </c>
      <c r="O2633" s="48" t="n">
        <v>42506.07708333333</v>
      </c>
      <c r="P2633" s="49" t="n">
        <v>42505</v>
      </c>
      <c r="Q2633" s="47" t="n">
        <v>635</v>
      </c>
      <c r="R2633" s="47" t="inlineStr">
        <is>
          <t>No Video ID yet</t>
        </is>
      </c>
      <c r="S2633" s="49" t="n"/>
      <c r="T2633" s="49" t="n"/>
      <c r="U2633" s="47" t="inlineStr">
        <is>
          <t>(I think that means cave diving, if not then this is so embarrassing omg)we're totally gonna be a real life sith. totally. puzzles Every time you give us a thumbs up a Narwhal gets its horn! (maybe.)</t>
        </is>
      </c>
      <c r="V2633" s="47">
        <f>IF(AND(P2633&gt;=Calendar!$K$2,P2633&lt;EDATE(Calendar!$K$2,1),OR(Calendar!$K$4="*",N2633=Calendar!$K$4)),P2633*100+COUNTIFS($P$6:$P$3267,P2633,$Q$6:$Q$3267,"&lt;="&amp;Q2633,$N$6:$N$3267,Calendar!$K$4),"")</f>
        <v/>
      </c>
      <c r="W2633" s="47">
        <f>IF(AND(B2633=Queue!$C$4,OR(Queue!$K$4="*",N2633=Queue!$K$4)),Q2633,"")</f>
        <v/>
      </c>
    </row>
    <row r="2634">
      <c r="A2634" s="38">
        <f>IF(M2634="","",HYPERLINK("https://www.youtube.com/watch?v="&amp;M2634,"▶"))</f>
        <v/>
      </c>
      <c r="B2634" s="39">
        <f>IF(C2634&lt;&gt;"",C2634,IF(P2634&lt;=IFERROR(INDEX(tblChannels[Watched Through],MATCH(N2634,tblChannels[Channel ID],0)),0),"Watched","Unwatched"))</f>
        <v/>
      </c>
      <c r="C2634" s="40" t="n"/>
      <c r="D2634" s="41" t="n"/>
      <c r="E2634" s="42" t="n">
        <v>42503.54166666666</v>
      </c>
      <c r="F2634" s="52" t="inlineStr">
        <is>
          <t>Super Carlin Gaming</t>
        </is>
      </c>
      <c r="G2634" t="inlineStr">
        <is>
          <t>Knights of the Old Republic #22 - SPELUNKING</t>
        </is>
      </c>
      <c r="H2634" s="44" t="n">
        <v>0.02553240740740741</v>
      </c>
      <c r="I2634" s="45" t="n">
        <v>1237</v>
      </c>
      <c r="J2634" s="45" t="n">
        <v>53</v>
      </c>
      <c r="K2634" s="45" t="n">
        <v>18</v>
      </c>
      <c r="L2634" s="46" t="n"/>
      <c r="M2634" s="47" t="n"/>
      <c r="N2634" s="47" t="inlineStr">
        <is>
          <t>UCor_9jRnNNZVzTuQ92PKsaQ</t>
        </is>
      </c>
      <c r="O2634" s="48" t="n">
        <v>42503.70833333334</v>
      </c>
      <c r="P2634" s="49" t="n">
        <v>42503</v>
      </c>
      <c r="Q2634" s="47" t="n">
        <v>634</v>
      </c>
      <c r="R2634" s="47" t="inlineStr">
        <is>
          <t>No Video ID yet</t>
        </is>
      </c>
      <c r="S2634" s="49" t="n"/>
      <c r="T2634" s="49" t="n"/>
      <c r="U2634" s="47" t="inlineStr">
        <is>
          <t>(I think that means cave diving, if not then this is so embarrassing omg) continuing our explorations of the sith planet and gaining our way through the ranks, we discover some rad artifacts in the caves! Every time you give us a thumbs up a Narwhal gets its horn! (maybe.)</t>
        </is>
      </c>
      <c r="V2634" s="47">
        <f>IF(AND(P2634&gt;=Calendar!$K$2,P2634&lt;EDATE(Calendar!$K$2,1),OR(Calendar!$K$4="*",N2634=Calendar!$K$4)),P2634*100+COUNTIFS($P$6:$P$3267,P2634,$Q$6:$Q$3267,"&lt;="&amp;Q2634,$N$6:$N$3267,Calendar!$K$4),"")</f>
        <v/>
      </c>
      <c r="W2634" s="47">
        <f>IF(AND(B2634=Queue!$C$4,OR(Queue!$K$4="*",N2634=Queue!$K$4)),Q2634,"")</f>
        <v/>
      </c>
    </row>
    <row r="2635">
      <c r="A2635" s="38">
        <f>IF(M2635="","",HYPERLINK("https://www.youtube.com/watch?v="&amp;M2635,"▶"))</f>
        <v/>
      </c>
      <c r="B2635" s="39">
        <f>IF(C2635&lt;&gt;"",C2635,IF(P2635&lt;=IFERROR(INDEX(tblChannels[Watched Through],MATCH(N2635,tblChannels[Channel ID],0)),0),"Watched","Unwatched"))</f>
        <v/>
      </c>
      <c r="C2635" s="40" t="n"/>
      <c r="D2635" s="41" t="n"/>
      <c r="E2635" s="42" t="n">
        <v>42502.81180555555</v>
      </c>
      <c r="F2635" s="50" t="inlineStr">
        <is>
          <t>Super Carlin Brothers</t>
        </is>
      </c>
      <c r="G2635" t="inlineStr">
        <is>
          <t>Is Wall-E Alive? - Ship of Theseus Paradox</t>
        </is>
      </c>
      <c r="H2635" s="44" t="n">
        <v>0.004895833333333334</v>
      </c>
      <c r="I2635" s="45" t="n">
        <v>546166</v>
      </c>
      <c r="J2635" s="45" t="n">
        <v>14311</v>
      </c>
      <c r="K2635" s="45" t="n">
        <v>2092</v>
      </c>
      <c r="L2635" s="46" t="n"/>
      <c r="M2635" s="47" t="n"/>
      <c r="N2635" s="47" t="inlineStr">
        <is>
          <t>UCKZo4N0lVPccBkSiuyVh4yg</t>
        </is>
      </c>
      <c r="O2635" s="48" t="n">
        <v>42502.97847222222</v>
      </c>
      <c r="P2635" s="49" t="n">
        <v>42502</v>
      </c>
      <c r="Q2635" s="47" t="n">
        <v>633</v>
      </c>
      <c r="R2635" s="47" t="inlineStr">
        <is>
          <t>No Video ID yet</t>
        </is>
      </c>
      <c r="S2635" s="49" t="n"/>
      <c r="T2635" s="49" t="n"/>
      <c r="U2635" s="47" t="inlineStr">
        <is>
          <t>Ben dives into Disney Pixar's Wall-E and examines the Theseus Ship Paradox to determine if Wall-E is alive What do you think?!</t>
        </is>
      </c>
      <c r="V2635" s="47">
        <f>IF(AND(P2635&gt;=Calendar!$K$2,P2635&lt;EDATE(Calendar!$K$2,1),OR(Calendar!$K$4="*",N2635=Calendar!$K$4)),P2635*100+COUNTIFS($P$6:$P$3267,P2635,$Q$6:$Q$3267,"&lt;="&amp;Q2635,$N$6:$N$3267,Calendar!$K$4),"")</f>
        <v/>
      </c>
      <c r="W2635" s="47">
        <f>IF(AND(B2635=Queue!$C$4,OR(Queue!$K$4="*",N2635=Queue!$K$4)),Q2635,"")</f>
        <v/>
      </c>
    </row>
    <row r="2636">
      <c r="A2636" s="38">
        <f>IF(M2636="","",HYPERLINK("https://www.youtube.com/watch?v="&amp;M2636,"▶"))</f>
        <v/>
      </c>
      <c r="B2636" s="39">
        <f>IF(C2636&lt;&gt;"",C2636,IF(P2636&lt;=IFERROR(INDEX(tblChannels[Watched Through],MATCH(N2636,tblChannels[Channel ID],0)),0),"Watched","Unwatched"))</f>
        <v/>
      </c>
      <c r="C2636" s="40" t="n"/>
      <c r="D2636" s="41" t="n"/>
      <c r="E2636" s="42" t="n">
        <v>42500.71180555555</v>
      </c>
      <c r="F2636" s="50" t="inlineStr">
        <is>
          <t>Super Carlin Brothers</t>
        </is>
      </c>
      <c r="G2636" t="inlineStr">
        <is>
          <t>Who is Black Panther?</t>
        </is>
      </c>
      <c r="H2636" s="44" t="n">
        <v>0.005173611111111111</v>
      </c>
      <c r="I2636" s="45" t="n">
        <v>341524</v>
      </c>
      <c r="J2636" s="45" t="n">
        <v>8738</v>
      </c>
      <c r="K2636" s="45" t="n">
        <v>2283</v>
      </c>
      <c r="L2636" s="46" t="n"/>
      <c r="M2636" s="47" t="n"/>
      <c r="N2636" s="47" t="inlineStr">
        <is>
          <t>UCKZo4N0lVPccBkSiuyVh4yg</t>
        </is>
      </c>
      <c r="O2636" s="48" t="n">
        <v>42500.87847222222</v>
      </c>
      <c r="P2636" s="49" t="n">
        <v>42500</v>
      </c>
      <c r="Q2636" s="47" t="n">
        <v>632</v>
      </c>
      <c r="R2636" s="47" t="inlineStr">
        <is>
          <t>No Video ID yet</t>
        </is>
      </c>
      <c r="S2636" s="49" t="n"/>
      <c r="T2636" s="49" t="n"/>
      <c r="U2636" s="47" t="inlineStr">
        <is>
          <t>Marvel's Captain America: Civil War just came out over the weekend and introduced us to Black Panther, but who is he? You may not have heard of him before but he's a pretty central figure in the Marvel Universe, hopefully this explanation helps!</t>
        </is>
      </c>
      <c r="V2636" s="47">
        <f>IF(AND(P2636&gt;=Calendar!$K$2,P2636&lt;EDATE(Calendar!$K$2,1),OR(Calendar!$K$4="*",N2636=Calendar!$K$4)),P2636*100+COUNTIFS($P$6:$P$3267,P2636,$Q$6:$Q$3267,"&lt;="&amp;Q2636,$N$6:$N$3267,Calendar!$K$4),"")</f>
        <v/>
      </c>
      <c r="W2636" s="47">
        <f>IF(AND(B2636=Queue!$C$4,OR(Queue!$K$4="*",N2636=Queue!$K$4)),Q2636,"")</f>
        <v/>
      </c>
    </row>
    <row r="2637">
      <c r="A2637" s="38">
        <f>IF(M2637="","",HYPERLINK("https://www.youtube.com/watch?v="&amp;M2637,"▶"))</f>
        <v/>
      </c>
      <c r="B2637" s="39">
        <f>IF(C2637&lt;&gt;"",C2637,IF(P2637&lt;=IFERROR(INDEX(tblChannels[Watched Through],MATCH(N2637,tblChannels[Channel ID],0)),0),"Watched","Unwatched"))</f>
        <v/>
      </c>
      <c r="C2637" s="40" t="n"/>
      <c r="D2637" s="41" t="n"/>
      <c r="E2637" s="42" t="n">
        <v>42498.75833333333</v>
      </c>
      <c r="F2637" s="52" t="inlineStr">
        <is>
          <t>Super Carlin Gaming</t>
        </is>
      </c>
      <c r="G2637" t="inlineStr">
        <is>
          <t>Knights of the Old Republic #21 - The Pledge, The Turn, The PRESTIGE</t>
        </is>
      </c>
      <c r="H2637" s="44" t="n">
        <v>0.0308912037037037</v>
      </c>
      <c r="I2637" s="45" t="n">
        <v>1607</v>
      </c>
      <c r="J2637" s="45" t="n">
        <v>56</v>
      </c>
      <c r="K2637" s="45" t="n">
        <v>22</v>
      </c>
      <c r="L2637" s="46" t="n"/>
      <c r="M2637" s="47" t="n"/>
      <c r="N2637" s="47" t="inlineStr">
        <is>
          <t>UCor_9jRnNNZVzTuQ92PKsaQ</t>
        </is>
      </c>
      <c r="O2637" s="48" t="n">
        <v>42498.925</v>
      </c>
      <c r="P2637" s="49" t="n">
        <v>42498</v>
      </c>
      <c r="Q2637" s="47" t="n">
        <v>631</v>
      </c>
      <c r="R2637" s="47" t="inlineStr">
        <is>
          <t>No Video ID yet</t>
        </is>
      </c>
      <c r="S2637" s="49" t="n"/>
      <c r="T2637" s="49" t="n"/>
      <c r="U2637" s="47" t="inlineStr">
        <is>
          <t>We've gained entrance into the Sith academy, and now it's time to gain prestige and impress Master Uthar on our journey to becoming a full fledged Sith. Every time you give us a thumbs up a Narwhal gets its horn! (maybe.)</t>
        </is>
      </c>
      <c r="V2637" s="47">
        <f>IF(AND(P2637&gt;=Calendar!$K$2,P2637&lt;EDATE(Calendar!$K$2,1),OR(Calendar!$K$4="*",N2637=Calendar!$K$4)),P2637*100+COUNTIFS($P$6:$P$3267,P2637,$Q$6:$Q$3267,"&lt;="&amp;Q2637,$N$6:$N$3267,Calendar!$K$4),"")</f>
        <v/>
      </c>
      <c r="W2637" s="47">
        <f>IF(AND(B2637=Queue!$C$4,OR(Queue!$K$4="*",N2637=Queue!$K$4)),Q2637,"")</f>
        <v/>
      </c>
    </row>
    <row r="2638">
      <c r="A2638" s="38">
        <f>IF(M2638="","",HYPERLINK("https://www.youtube.com/watch?v="&amp;M2638,"▶"))</f>
        <v/>
      </c>
      <c r="B2638" s="39">
        <f>IF(C2638&lt;&gt;"",C2638,IF(P2638&lt;=IFERROR(INDEX(tblChannels[Watched Through],MATCH(N2638,tblChannels[Channel ID],0)),0),"Watched","Unwatched"))</f>
        <v/>
      </c>
      <c r="C2638" s="40" t="n"/>
      <c r="D2638" s="41" t="n"/>
      <c r="E2638" s="42" t="n">
        <v>42495.66597222222</v>
      </c>
      <c r="F2638" s="50" t="inlineStr">
        <is>
          <t>Super Carlin Brothers</t>
        </is>
      </c>
      <c r="G2638" t="inlineStr">
        <is>
          <t>Loot Crate Unboxing | QUEST</t>
        </is>
      </c>
      <c r="H2638" s="44" t="n">
        <v>0.005</v>
      </c>
      <c r="I2638" s="45" t="n">
        <v>146209</v>
      </c>
      <c r="J2638" s="45" t="n">
        <v>3601</v>
      </c>
      <c r="K2638" s="45" t="n">
        <v>1115</v>
      </c>
      <c r="L2638" s="46" t="n"/>
      <c r="M2638" s="47" t="n"/>
      <c r="N2638" s="47" t="inlineStr">
        <is>
          <t>UCKZo4N0lVPccBkSiuyVh4yg</t>
        </is>
      </c>
      <c r="O2638" s="48" t="n">
        <v>42495.83263888889</v>
      </c>
      <c r="P2638" s="49" t="n">
        <v>42495</v>
      </c>
      <c r="Q2638" s="47" t="n">
        <v>630</v>
      </c>
      <c r="R2638" s="47" t="inlineStr">
        <is>
          <t>No Video ID yet</t>
        </is>
      </c>
      <c r="S2638" s="49" t="n"/>
      <c r="T2638" s="49" t="n"/>
      <c r="U2638" s="47" t="inlineStr">
        <is>
          <t>This week Ben and J are uboxing the latest Loot Crate - the theme is quest and includes all sorts of cool things from Harry Potter, Labryinth, vikings and Uncharted 4! Get 10% Off your Loot Crate order at: Promo Code: CARLIN</t>
        </is>
      </c>
      <c r="V2638" s="47">
        <f>IF(AND(P2638&gt;=Calendar!$K$2,P2638&lt;EDATE(Calendar!$K$2,1),OR(Calendar!$K$4="*",N2638=Calendar!$K$4)),P2638*100+COUNTIFS($P$6:$P$3267,P2638,$Q$6:$Q$3267,"&lt;="&amp;Q2638,$N$6:$N$3267,Calendar!$K$4),"")</f>
        <v/>
      </c>
      <c r="W2638" s="47">
        <f>IF(AND(B2638=Queue!$C$4,OR(Queue!$K$4="*",N2638=Queue!$K$4)),Q2638,"")</f>
        <v/>
      </c>
    </row>
    <row r="2639">
      <c r="A2639" s="38">
        <f>IF(M2639="","",HYPERLINK("https://www.youtube.com/watch?v="&amp;M2639,"▶"))</f>
        <v/>
      </c>
      <c r="B2639" s="39">
        <f>IF(C2639&lt;&gt;"",C2639,IF(P2639&lt;=IFERROR(INDEX(tblChannels[Watched Through],MATCH(N2639,tblChannels[Channel ID],0)),0),"Watched","Unwatched"))</f>
        <v/>
      </c>
      <c r="C2639" s="40" t="n"/>
      <c r="D2639" s="41" t="n"/>
      <c r="E2639" s="42" t="n">
        <v>42493.78055555555</v>
      </c>
      <c r="F2639" s="50" t="inlineStr">
        <is>
          <t>Super Carlin Brothers</t>
        </is>
      </c>
      <c r="G2639" t="inlineStr">
        <is>
          <t>Harry Potter Theory: Dumbledore's Horcrux</t>
        </is>
      </c>
      <c r="H2639" s="44" t="n">
        <v>0.01243055555555556</v>
      </c>
      <c r="I2639" s="45" t="n">
        <v>6012859</v>
      </c>
      <c r="J2639" s="45" t="n">
        <v>120892</v>
      </c>
      <c r="K2639" s="45" t="n">
        <v>20211</v>
      </c>
      <c r="L2639" s="46" t="n"/>
      <c r="M2639" s="47" t="n"/>
      <c r="N2639" s="47" t="inlineStr">
        <is>
          <t>UCKZo4N0lVPccBkSiuyVh4yg</t>
        </is>
      </c>
      <c r="O2639" s="48" t="n">
        <v>42493.94722222222</v>
      </c>
      <c r="P2639" s="49" t="n">
        <v>42493</v>
      </c>
      <c r="Q2639" s="47" t="n">
        <v>629</v>
      </c>
      <c r="R2639" s="47" t="inlineStr">
        <is>
          <t>No Video ID yet</t>
        </is>
      </c>
      <c r="S2639" s="49" t="n"/>
      <c r="T2639" s="49" t="n"/>
      <c r="U2639" s="47" t="inlineStr">
        <is>
          <t>Today we are diving into the wizarding world of Harry Potter to discuss whether or not Dumbledore created a Horcrux and what that Horcrux may be! Dumbledore Elder Wand Horcrux Theory :: Harry VS Nagini Artist :: JK Rowling's Response ::</t>
        </is>
      </c>
      <c r="V2639" s="47">
        <f>IF(AND(P2639&gt;=Calendar!$K$2,P2639&lt;EDATE(Calendar!$K$2,1),OR(Calendar!$K$4="*",N2639=Calendar!$K$4)),P2639*100+COUNTIFS($P$6:$P$3267,P2639,$Q$6:$Q$3267,"&lt;="&amp;Q2639,$N$6:$N$3267,Calendar!$K$4),"")</f>
        <v/>
      </c>
      <c r="W2639" s="47">
        <f>IF(AND(B2639=Queue!$C$4,OR(Queue!$K$4="*",N2639=Queue!$K$4)),Q2639,"")</f>
        <v/>
      </c>
    </row>
    <row r="2640">
      <c r="A2640" s="38">
        <f>IF(M2640="","",HYPERLINK("https://www.youtube.com/watch?v="&amp;M2640,"▶"))</f>
        <v/>
      </c>
      <c r="B2640" s="39">
        <f>IF(C2640&lt;&gt;"",C2640,IF(P2640&lt;=IFERROR(INDEX(tblChannels[Watched Through],MATCH(N2640,tblChannels[Channel ID],0)),0),"Watched","Unwatched"))</f>
        <v/>
      </c>
      <c r="C2640" s="40" t="n"/>
      <c r="D2640" s="41" t="n"/>
      <c r="E2640" s="42" t="n">
        <v>42488.83541666667</v>
      </c>
      <c r="F2640" s="50" t="inlineStr">
        <is>
          <t>Super Carlin Brothers</t>
        </is>
      </c>
      <c r="G2640" t="inlineStr">
        <is>
          <t>Frozen's Ice Harvesting Scene Explained</t>
        </is>
      </c>
      <c r="H2640" s="44" t="n">
        <v>0.005231481481481481</v>
      </c>
      <c r="I2640" s="45" t="n">
        <v>1942505</v>
      </c>
      <c r="J2640" s="45" t="n">
        <v>34734</v>
      </c>
      <c r="K2640" s="45" t="n">
        <v>5912</v>
      </c>
      <c r="L2640" s="46" t="n"/>
      <c r="M2640" s="47" t="n"/>
      <c r="N2640" s="47" t="inlineStr">
        <is>
          <t>UCKZo4N0lVPccBkSiuyVh4yg</t>
        </is>
      </c>
      <c r="O2640" s="48" t="n">
        <v>42489.00208333333</v>
      </c>
      <c r="P2640" s="49" t="n">
        <v>42488</v>
      </c>
      <c r="Q2640" s="47" t="n">
        <v>628</v>
      </c>
      <c r="R2640" s="47" t="inlineStr">
        <is>
          <t>No Video ID yet</t>
        </is>
      </c>
      <c r="S2640" s="49" t="n"/>
      <c r="T2640" s="49" t="n"/>
      <c r="U2640" s="47" t="inlineStr">
        <is>
          <t>Today Ben is explaining the opening scene from Disney's Frozen, where workers are harvesting ice. Why would you do that? What is it for? Does Arendelle have an obsession with ice sculpting? 99% Invisible - The Ice King :: Learn more about harvesting ice:</t>
        </is>
      </c>
      <c r="V2640" s="47">
        <f>IF(AND(P2640&gt;=Calendar!$K$2,P2640&lt;EDATE(Calendar!$K$2,1),OR(Calendar!$K$4="*",N2640=Calendar!$K$4)),P2640*100+COUNTIFS($P$6:$P$3267,P2640,$Q$6:$Q$3267,"&lt;="&amp;Q2640,$N$6:$N$3267,Calendar!$K$4),"")</f>
        <v/>
      </c>
      <c r="W2640" s="47">
        <f>IF(AND(B2640=Queue!$C$4,OR(Queue!$K$4="*",N2640=Queue!$K$4)),Q2640,"")</f>
        <v/>
      </c>
    </row>
    <row r="2641">
      <c r="A2641" s="38">
        <f>IF(M2641="","",HYPERLINK("https://www.youtube.com/watch?v="&amp;M2641,"▶"))</f>
        <v/>
      </c>
      <c r="B2641" s="39">
        <f>IF(C2641&lt;&gt;"",C2641,IF(P2641&lt;=IFERROR(INDEX(tblChannels[Watched Through],MATCH(N2641,tblChannels[Channel ID],0)),0),"Watched","Unwatched"))</f>
        <v/>
      </c>
      <c r="C2641" s="40" t="n"/>
      <c r="D2641" s="41" t="n"/>
      <c r="E2641" s="42" t="n">
        <v>42486.70625</v>
      </c>
      <c r="F2641" s="50" t="inlineStr">
        <is>
          <t>Super Carlin Brothers</t>
        </is>
      </c>
      <c r="G2641" t="inlineStr">
        <is>
          <t>How To Get Away With Google Autofill</t>
        </is>
      </c>
      <c r="H2641" s="44" t="n">
        <v>0.004861111111111111</v>
      </c>
      <c r="I2641" s="45" t="n">
        <v>457118</v>
      </c>
      <c r="J2641" s="45" t="n">
        <v>10196</v>
      </c>
      <c r="K2641" s="45" t="n">
        <v>2405</v>
      </c>
      <c r="L2641" s="46" t="n"/>
      <c r="M2641" s="47" t="n"/>
      <c r="N2641" s="47" t="inlineStr">
        <is>
          <t>UCKZo4N0lVPccBkSiuyVh4yg</t>
        </is>
      </c>
      <c r="O2641" s="48" t="n">
        <v>42486.87291666667</v>
      </c>
      <c r="P2641" s="49" t="n">
        <v>42486</v>
      </c>
      <c r="Q2641" s="47" t="n">
        <v>627</v>
      </c>
      <c r="R2641" s="47" t="inlineStr">
        <is>
          <t>No Video ID yet</t>
        </is>
      </c>
      <c r="S2641" s="49" t="n"/>
      <c r="T2641" s="49" t="n"/>
      <c r="U2641" s="47" t="inlineStr">
        <is>
          <t>Today I am playing the Google Autofill game where I answer Google's most pressing questions! Today's topic.. How To Get Away With...</t>
        </is>
      </c>
      <c r="V2641" s="47">
        <f>IF(AND(P2641&gt;=Calendar!$K$2,P2641&lt;EDATE(Calendar!$K$2,1),OR(Calendar!$K$4="*",N2641=Calendar!$K$4)),P2641*100+COUNTIFS($P$6:$P$3267,P2641,$Q$6:$Q$3267,"&lt;="&amp;Q2641,$N$6:$N$3267,Calendar!$K$4),"")</f>
        <v/>
      </c>
      <c r="W2641" s="47">
        <f>IF(AND(B2641=Queue!$C$4,OR(Queue!$K$4="*",N2641=Queue!$K$4)),Q2641,"")</f>
        <v/>
      </c>
    </row>
    <row r="2642">
      <c r="A2642" s="38">
        <f>IF(M2642="","",HYPERLINK("https://www.youtube.com/watch?v="&amp;M2642,"▶"))</f>
        <v/>
      </c>
      <c r="B2642" s="39">
        <f>IF(C2642&lt;&gt;"",C2642,IF(P2642&lt;=IFERROR(INDEX(tblChannels[Watched Through],MATCH(N2642,tblChannels[Channel ID],0)),0),"Watched","Unwatched"))</f>
        <v/>
      </c>
      <c r="C2642" s="40" t="n"/>
      <c r="D2642" s="41" t="n"/>
      <c r="E2642" s="42" t="n">
        <v>42481.83680555555</v>
      </c>
      <c r="F2642" s="50" t="inlineStr">
        <is>
          <t>Super Carlin Brothers</t>
        </is>
      </c>
      <c r="G2642" t="inlineStr">
        <is>
          <t>Pixar Theory: Why Does Buzz Lightyear Freeze?</t>
        </is>
      </c>
      <c r="H2642" s="44" t="n">
        <v>0.004826388888888889</v>
      </c>
      <c r="I2642" s="45" t="n">
        <v>2504802</v>
      </c>
      <c r="J2642" s="45" t="n">
        <v>41111</v>
      </c>
      <c r="K2642" s="45" t="n">
        <v>4364</v>
      </c>
      <c r="L2642" s="46" t="n"/>
      <c r="M2642" s="47" t="n"/>
      <c r="N2642" s="47" t="inlineStr">
        <is>
          <t>UCKZo4N0lVPccBkSiuyVh4yg</t>
        </is>
      </c>
      <c r="O2642" s="48" t="n">
        <v>42482.00347222222</v>
      </c>
      <c r="P2642" s="49" t="n">
        <v>42481</v>
      </c>
      <c r="Q2642" s="47" t="n">
        <v>626</v>
      </c>
      <c r="R2642" s="47" t="inlineStr">
        <is>
          <t>No Video ID yet</t>
        </is>
      </c>
      <c r="S2642" s="49" t="n"/>
      <c r="T2642" s="49" t="n"/>
      <c r="U2642" s="47" t="inlineStr">
        <is>
          <t>FAQs below! Today Ben tackles maybe the oldest question in the Pixar universe - Buzz Lightyear truly believes he is a space ranger, then why does he freeze like the rest of the toys in Toy Story??? What about the toys in Al's Toy Barn? - Great Question! What about those toys? First thought is about window shopping as a kid. I stared longingly at many a toy that I would never go on to own, but those toys still sourced tremendous admiration from me. Also, many of the toys that come to life in the barn appear to be the store models or part of a display. These specific action figures would most likely get the most attention and/or interaction with store patrons. ***This link to watch "Other Buzz" come to life: What about the Prospector? Didn't he sit on a "Dime Store Shelf" watching every other toy get sold?! - This is very true. His consciousness during his days at the store are admittedly the hardest to currently explain. From his days as part of Al's collection on the other hand, is far easier. Al, although depicted as a kind of "villain" in this film, is a mere collector of toys. And many collectors do buy and sell fairly regularly as a way to maintain interest or just to fuel thei</t>
        </is>
      </c>
      <c r="V2642" s="47">
        <f>IF(AND(P2642&gt;=Calendar!$K$2,P2642&lt;EDATE(Calendar!$K$2,1),OR(Calendar!$K$4="*",N2642=Calendar!$K$4)),P2642*100+COUNTIFS($P$6:$P$3267,P2642,$Q$6:$Q$3267,"&lt;="&amp;Q2642,$N$6:$N$3267,Calendar!$K$4),"")</f>
        <v/>
      </c>
      <c r="W2642" s="47">
        <f>IF(AND(B2642=Queue!$C$4,OR(Queue!$K$4="*",N2642=Queue!$K$4)),Q2642,"")</f>
        <v/>
      </c>
    </row>
    <row r="2643">
      <c r="A2643" s="38">
        <f>IF(M2643="","",HYPERLINK("https://www.youtube.com/watch?v="&amp;M2643,"▶"))</f>
        <v/>
      </c>
      <c r="B2643" s="39">
        <f>IF(C2643&lt;&gt;"",C2643,IF(P2643&lt;=IFERROR(INDEX(tblChannels[Watched Through],MATCH(N2643,tblChannels[Channel ID],0)),0),"Watched","Unwatched"))</f>
        <v/>
      </c>
      <c r="C2643" s="40" t="n"/>
      <c r="D2643" s="41" t="n"/>
      <c r="E2643" s="42" t="n">
        <v>42479.625</v>
      </c>
      <c r="F2643" s="50" t="inlineStr">
        <is>
          <t>Super Carlin Brothers</t>
        </is>
      </c>
      <c r="G2643" t="inlineStr">
        <is>
          <t>Is Toy Story's Sid Actually A Bad Kid?</t>
        </is>
      </c>
      <c r="H2643" s="44" t="n">
        <v>0.0059375</v>
      </c>
      <c r="I2643" s="45" t="n">
        <v>1932452</v>
      </c>
      <c r="J2643" s="45" t="n">
        <v>34809</v>
      </c>
      <c r="K2643" s="45" t="n">
        <v>5966</v>
      </c>
      <c r="L2643" s="46" t="n"/>
      <c r="M2643" s="47" t="n"/>
      <c r="N2643" s="47" t="inlineStr">
        <is>
          <t>UCKZo4N0lVPccBkSiuyVh4yg</t>
        </is>
      </c>
      <c r="O2643" s="48" t="n">
        <v>42479.79166666666</v>
      </c>
      <c r="P2643" s="49" t="n">
        <v>42479</v>
      </c>
      <c r="Q2643" s="47" t="n">
        <v>625</v>
      </c>
      <c r="R2643" s="47" t="inlineStr">
        <is>
          <t>No Video ID yet</t>
        </is>
      </c>
      <c r="S2643" s="49" t="n"/>
      <c r="T2643" s="49" t="n"/>
      <c r="U2643" s="47" t="inlineStr">
        <is>
          <t>Today we look at Sid Phillips from Disney Pixar's Toy Story - He is Sid is without a doubt one of the creepier and darker characters from my childhood, but looking back.. is he really that bad?</t>
        </is>
      </c>
      <c r="V2643" s="47">
        <f>IF(AND(P2643&gt;=Calendar!$K$2,P2643&lt;EDATE(Calendar!$K$2,1),OR(Calendar!$K$4="*",N2643=Calendar!$K$4)),P2643*100+COUNTIFS($P$6:$P$3267,P2643,$Q$6:$Q$3267,"&lt;="&amp;Q2643,$N$6:$N$3267,Calendar!$K$4),"")</f>
        <v/>
      </c>
      <c r="W2643" s="47">
        <f>IF(AND(B2643=Queue!$C$4,OR(Queue!$K$4="*",N2643=Queue!$K$4)),Q2643,"")</f>
        <v/>
      </c>
    </row>
    <row r="2644">
      <c r="A2644" s="38">
        <f>IF(M2644="","",HYPERLINK("https://www.youtube.com/watch?v="&amp;M2644,"▶"))</f>
        <v/>
      </c>
      <c r="B2644" s="39">
        <f>IF(C2644&lt;&gt;"",C2644,IF(P2644&lt;=IFERROR(INDEX(tblChannels[Watched Through],MATCH(N2644,tblChannels[Channel ID],0)),0),"Watched","Unwatched"))</f>
        <v/>
      </c>
      <c r="C2644" s="40" t="n"/>
      <c r="D2644" s="41" t="n"/>
      <c r="E2644" s="42" t="n">
        <v>42474.625</v>
      </c>
      <c r="F2644" s="50" t="inlineStr">
        <is>
          <t>Super Carlin Brothers</t>
        </is>
      </c>
      <c r="G2644" t="inlineStr">
        <is>
          <t>Pixar Theory: Wall-E is a Villain?! (feat. T. Michael Martin)</t>
        </is>
      </c>
      <c r="H2644" s="44" t="n">
        <v>0.005138888888888889</v>
      </c>
      <c r="I2644" s="45" t="n">
        <v>1291111</v>
      </c>
      <c r="J2644" s="45" t="n">
        <v>22670</v>
      </c>
      <c r="K2644" s="45" t="n">
        <v>2684</v>
      </c>
      <c r="L2644" s="46" t="n"/>
      <c r="M2644" s="47" t="n"/>
      <c r="N2644" s="47" t="inlineStr">
        <is>
          <t>UCKZo4N0lVPccBkSiuyVh4yg</t>
        </is>
      </c>
      <c r="O2644" s="48" t="n">
        <v>42474.79166666666</v>
      </c>
      <c r="P2644" s="49" t="n">
        <v>42474</v>
      </c>
      <c r="Q2644" s="47" t="n">
        <v>624</v>
      </c>
      <c r="R2644" s="47" t="inlineStr">
        <is>
          <t>No Video ID yet</t>
        </is>
      </c>
      <c r="S2644" s="49" t="n"/>
      <c r="T2644" s="49" t="n"/>
      <c r="U2644" s="47" t="inlineStr">
        <is>
          <t>Preorder Mr. Fahrenheit: Today T. Michael Martin from How To Adult, joins me to discuss Disney Pixar's Wall-E, and whether or not he is the actual villain of the movie?! Check out Mikes Channels: How to Adult: T. Michael Martin:</t>
        </is>
      </c>
      <c r="V2644" s="47">
        <f>IF(AND(P2644&gt;=Calendar!$K$2,P2644&lt;EDATE(Calendar!$K$2,1),OR(Calendar!$K$4="*",N2644=Calendar!$K$4)),P2644*100+COUNTIFS($P$6:$P$3267,P2644,$Q$6:$Q$3267,"&lt;="&amp;Q2644,$N$6:$N$3267,Calendar!$K$4),"")</f>
        <v/>
      </c>
      <c r="W2644" s="47">
        <f>IF(AND(B2644=Queue!$C$4,OR(Queue!$K$4="*",N2644=Queue!$K$4)),Q2644,"")</f>
        <v/>
      </c>
    </row>
    <row r="2645">
      <c r="A2645" s="38">
        <f>IF(M2645="","",HYPERLINK("https://www.youtube.com/watch?v="&amp;M2645,"▶"))</f>
        <v/>
      </c>
      <c r="B2645" s="39">
        <f>IF(C2645&lt;&gt;"",C2645,IF(P2645&lt;=IFERROR(INDEX(tblChannels[Watched Through],MATCH(N2645,tblChannels[Channel ID],0)),0),"Watched","Unwatched"))</f>
        <v/>
      </c>
      <c r="C2645" s="40" t="n"/>
      <c r="D2645" s="41" t="n"/>
      <c r="E2645" s="42" t="n">
        <v>42473.74027777778</v>
      </c>
      <c r="F2645" s="52" t="inlineStr">
        <is>
          <t>Super Carlin Gaming</t>
        </is>
      </c>
      <c r="G2645" t="inlineStr">
        <is>
          <t>Knights of the Old Republic #20 - T3-M4? More like T3-M80, Right?</t>
        </is>
      </c>
      <c r="H2645" s="44" t="n">
        <v>0.01474537037037037</v>
      </c>
      <c r="I2645" s="45" t="n">
        <v>1828</v>
      </c>
      <c r="J2645" s="45" t="n">
        <v>41</v>
      </c>
      <c r="K2645" s="45" t="n">
        <v>11</v>
      </c>
      <c r="L2645" s="46" t="n"/>
      <c r="M2645" s="47" t="n"/>
      <c r="N2645" s="47" t="inlineStr">
        <is>
          <t>UCor_9jRnNNZVzTuQ92PKsaQ</t>
        </is>
      </c>
      <c r="O2645" s="48" t="n">
        <v>42473.90694444445</v>
      </c>
      <c r="P2645" s="49" t="n">
        <v>42473</v>
      </c>
      <c r="Q2645" s="47" t="n">
        <v>623</v>
      </c>
      <c r="R2645" s="47" t="inlineStr">
        <is>
          <t>No Video ID yet</t>
        </is>
      </c>
      <c r="S2645" s="49" t="n"/>
      <c r="T2645" s="49" t="n"/>
      <c r="U2645" s="47" t="inlineStr">
        <is>
          <t>Gaining entrance to the sith academy proves to be a little tougher than we imagined, but we got it. Every time you give us a thumbs up a Narwhal gets its horn! (maybe.)</t>
        </is>
      </c>
      <c r="V2645" s="47">
        <f>IF(AND(P2645&gt;=Calendar!$K$2,P2645&lt;EDATE(Calendar!$K$2,1),OR(Calendar!$K$4="*",N2645=Calendar!$K$4)),P2645*100+COUNTIFS($P$6:$P$3267,P2645,$Q$6:$Q$3267,"&lt;="&amp;Q2645,$N$6:$N$3267,Calendar!$K$4),"")</f>
        <v/>
      </c>
      <c r="W2645" s="47">
        <f>IF(AND(B2645=Queue!$C$4,OR(Queue!$K$4="*",N2645=Queue!$K$4)),Q2645,"")</f>
        <v/>
      </c>
    </row>
    <row r="2646">
      <c r="A2646" s="38">
        <f>IF(M2646="","",HYPERLINK("https://www.youtube.com/watch?v="&amp;M2646,"▶"))</f>
        <v/>
      </c>
      <c r="B2646" s="39">
        <f>IF(C2646&lt;&gt;"",C2646,IF(P2646&lt;=IFERROR(INDEX(tblChannels[Watched Through],MATCH(N2646,tblChannels[Channel ID],0)),0),"Watched","Unwatched"))</f>
        <v/>
      </c>
      <c r="C2646" s="40" t="n"/>
      <c r="D2646" s="41" t="n"/>
      <c r="E2646" s="42" t="n">
        <v>42472.64583333334</v>
      </c>
      <c r="F2646" s="50" t="inlineStr">
        <is>
          <t>Super Carlin Brothers</t>
        </is>
      </c>
      <c r="G2646" t="inlineStr">
        <is>
          <t>LootCrate Unboxing | VERSUS</t>
        </is>
      </c>
      <c r="H2646" s="44" t="n">
        <v>0.005740740740740741</v>
      </c>
      <c r="I2646" s="45" t="n">
        <v>116470</v>
      </c>
      <c r="J2646" s="45" t="n">
        <v>3129</v>
      </c>
      <c r="K2646" s="45" t="n">
        <v>844</v>
      </c>
      <c r="L2646" s="46" t="n"/>
      <c r="M2646" s="47" t="n"/>
      <c r="N2646" s="47" t="inlineStr">
        <is>
          <t>UCKZo4N0lVPccBkSiuyVh4yg</t>
        </is>
      </c>
      <c r="O2646" s="48" t="n">
        <v>42472.8125</v>
      </c>
      <c r="P2646" s="49" t="n">
        <v>42472</v>
      </c>
      <c r="Q2646" s="47" t="n">
        <v>622</v>
      </c>
      <c r="R2646" s="47" t="inlineStr">
        <is>
          <t>No Video ID yet</t>
        </is>
      </c>
      <c r="S2646" s="49" t="n"/>
      <c r="T2646" s="49" t="n"/>
      <c r="U2646" s="47" t="inlineStr">
        <is>
          <t>Get 10% Off your LootCrate Order here: Promo Code: CARLIN Today we are unboxing the March LootCrate: Versus</t>
        </is>
      </c>
      <c r="V2646" s="47">
        <f>IF(AND(P2646&gt;=Calendar!$K$2,P2646&lt;EDATE(Calendar!$K$2,1),OR(Calendar!$K$4="*",N2646=Calendar!$K$4)),P2646*100+COUNTIFS($P$6:$P$3267,P2646,$Q$6:$Q$3267,"&lt;="&amp;Q2646,$N$6:$N$3267,Calendar!$K$4),"")</f>
        <v/>
      </c>
      <c r="W2646" s="47">
        <f>IF(AND(B2646=Queue!$C$4,OR(Queue!$K$4="*",N2646=Queue!$K$4)),Q2646,"")</f>
        <v/>
      </c>
    </row>
    <row r="2647">
      <c r="A2647" s="38">
        <f>IF(M2647="","",HYPERLINK("https://www.youtube.com/watch?v="&amp;M2647,"▶"))</f>
        <v/>
      </c>
      <c r="B2647" s="39">
        <f>IF(C2647&lt;&gt;"",C2647,IF(P2647&lt;=IFERROR(INDEX(tblChannels[Watched Through],MATCH(N2647,tblChannels[Channel ID],0)),0),"Watched","Unwatched"))</f>
        <v/>
      </c>
      <c r="C2647" s="40" t="n"/>
      <c r="D2647" s="41" t="n"/>
      <c r="E2647" s="42" t="n">
        <v>42470.79027777778</v>
      </c>
      <c r="F2647" s="52" t="inlineStr">
        <is>
          <t>Super Carlin Gaming</t>
        </is>
      </c>
      <c r="G2647" t="inlineStr">
        <is>
          <t>Knights of the Old Republic #19 - Peaches McClain, the Smuggler? no, the War Hero!</t>
        </is>
      </c>
      <c r="H2647" s="44" t="n">
        <v>0.02157407407407408</v>
      </c>
      <c r="I2647" s="45" t="n">
        <v>1375</v>
      </c>
      <c r="J2647" s="45" t="n">
        <v>50</v>
      </c>
      <c r="K2647" s="45" t="n">
        <v>15</v>
      </c>
      <c r="L2647" s="46" t="n"/>
      <c r="M2647" s="47" t="n"/>
      <c r="N2647" s="47" t="inlineStr">
        <is>
          <t>UCor_9jRnNNZVzTuQ92PKsaQ</t>
        </is>
      </c>
      <c r="O2647" s="48" t="n">
        <v>42470.95694444444</v>
      </c>
      <c r="P2647" s="49" t="n">
        <v>42470</v>
      </c>
      <c r="Q2647" s="47" t="n">
        <v>621</v>
      </c>
      <c r="R2647" s="47" t="inlineStr">
        <is>
          <t>No Video ID yet</t>
        </is>
      </c>
      <c r="S2647" s="49" t="n"/>
      <c r="T2647" s="49" t="n"/>
      <c r="U2647" s="47" t="inlineStr">
        <is>
          <t>Goodbye Kashyyyk and your heavily debated name! Hello Korriban, where no one is quite as evil as me, but boy are they close! Every time you give us a thumbs up a Narwhal gets its horn! (maybe.)</t>
        </is>
      </c>
      <c r="V2647" s="47">
        <f>IF(AND(P2647&gt;=Calendar!$K$2,P2647&lt;EDATE(Calendar!$K$2,1),OR(Calendar!$K$4="*",N2647=Calendar!$K$4)),P2647*100+COUNTIFS($P$6:$P$3267,P2647,$Q$6:$Q$3267,"&lt;="&amp;Q2647,$N$6:$N$3267,Calendar!$K$4),"")</f>
        <v/>
      </c>
      <c r="W2647" s="47">
        <f>IF(AND(B2647=Queue!$C$4,OR(Queue!$K$4="*",N2647=Queue!$K$4)),Q2647,"")</f>
        <v/>
      </c>
    </row>
    <row r="2648">
      <c r="A2648" s="38">
        <f>IF(M2648="","",HYPERLINK("https://www.youtube.com/watch?v="&amp;M2648,"▶"))</f>
        <v/>
      </c>
      <c r="B2648" s="39">
        <f>IF(C2648&lt;&gt;"",C2648,IF(P2648&lt;=IFERROR(INDEX(tblChannels[Watched Through],MATCH(N2648,tblChannels[Channel ID],0)),0),"Watched","Unwatched"))</f>
        <v/>
      </c>
      <c r="C2648" s="40" t="n"/>
      <c r="D2648" s="41" t="n"/>
      <c r="E2648" s="42" t="n">
        <v>42467.88263888889</v>
      </c>
      <c r="F2648" s="50" t="inlineStr">
        <is>
          <t>Super Carlin Brothers</t>
        </is>
      </c>
      <c r="G2648" t="inlineStr">
        <is>
          <t>Rogue One Trailer | Review, Analysis and Predictions</t>
        </is>
      </c>
      <c r="H2648" s="44" t="n">
        <v>0.005138888888888889</v>
      </c>
      <c r="I2648" s="45" t="n">
        <v>157323</v>
      </c>
      <c r="J2648" s="45" t="n">
        <v>4015</v>
      </c>
      <c r="K2648" s="45" t="n">
        <v>1188</v>
      </c>
      <c r="L2648" s="46" t="n"/>
      <c r="M2648" s="47" t="n"/>
      <c r="N2648" s="47" t="inlineStr">
        <is>
          <t>UCKZo4N0lVPccBkSiuyVh4yg</t>
        </is>
      </c>
      <c r="O2648" s="48" t="n">
        <v>42468.04930555556</v>
      </c>
      <c r="P2648" s="49" t="n">
        <v>42467</v>
      </c>
      <c r="Q2648" s="47" t="n">
        <v>620</v>
      </c>
      <c r="R2648" s="47" t="inlineStr">
        <is>
          <t>No Video ID yet</t>
        </is>
      </c>
      <c r="S2648" s="49" t="n"/>
      <c r="T2648" s="49" t="n"/>
      <c r="U2648" s="47" t="inlineStr">
        <is>
          <t>Today we are reviewing the new Star Wars Rogue One Teaser Trailer and giving our review, predicionts and analysis! Check out the full trailer here:</t>
        </is>
      </c>
      <c r="V2648" s="47">
        <f>IF(AND(P2648&gt;=Calendar!$K$2,P2648&lt;EDATE(Calendar!$K$2,1),OR(Calendar!$K$4="*",N2648=Calendar!$K$4)),P2648*100+COUNTIFS($P$6:$P$3267,P2648,$Q$6:$Q$3267,"&lt;="&amp;Q2648,$N$6:$N$3267,Calendar!$K$4),"")</f>
        <v/>
      </c>
      <c r="W2648" s="47">
        <f>IF(AND(B2648=Queue!$C$4,OR(Queue!$K$4="*",N2648=Queue!$K$4)),Q2648,"")</f>
        <v/>
      </c>
    </row>
    <row r="2649">
      <c r="A2649" s="38">
        <f>IF(M2649="","",HYPERLINK("https://www.youtube.com/watch?v="&amp;M2649,"▶"))</f>
        <v/>
      </c>
      <c r="B2649" s="39">
        <f>IF(C2649&lt;&gt;"",C2649,IF(P2649&lt;=IFERROR(INDEX(tblChannels[Watched Through],MATCH(N2649,tblChannels[Channel ID],0)),0),"Watched","Unwatched"))</f>
        <v/>
      </c>
      <c r="C2649" s="40" t="n"/>
      <c r="D2649" s="41" t="n"/>
      <c r="E2649" s="42" t="n">
        <v>42466.39652777778</v>
      </c>
      <c r="F2649" s="52" t="inlineStr">
        <is>
          <t>Super Carlin Gaming</t>
        </is>
      </c>
      <c r="G2649" t="inlineStr">
        <is>
          <t>Knights of the Old Republic #18 - Canderous You're My Hero</t>
        </is>
      </c>
      <c r="H2649" s="44" t="n">
        <v>0.02115740740740741</v>
      </c>
      <c r="I2649" s="45" t="n">
        <v>1438</v>
      </c>
      <c r="J2649" s="45" t="n">
        <v>52</v>
      </c>
      <c r="K2649" s="45" t="n">
        <v>16</v>
      </c>
      <c r="L2649" s="46" t="n"/>
      <c r="M2649" s="47" t="n"/>
      <c r="N2649" s="47" t="inlineStr">
        <is>
          <t>UCor_9jRnNNZVzTuQ92PKsaQ</t>
        </is>
      </c>
      <c r="O2649" s="48" t="n">
        <v>42466.56319444445</v>
      </c>
      <c r="P2649" s="49" t="n">
        <v>42466</v>
      </c>
      <c r="Q2649" s="47" t="n">
        <v>619</v>
      </c>
      <c r="R2649" s="47" t="inlineStr">
        <is>
          <t>No Video ID yet</t>
        </is>
      </c>
      <c r="S2649" s="49" t="n"/>
      <c r="T2649" s="49" t="n"/>
      <c r="U2649" s="47" t="inlineStr">
        <is>
          <t>Having discovered the Star Forge, we are now read to move away from Kashyyyk but i need your help! Every time you give us a thumbs up a Narwhal gets its horn! (maybe.)</t>
        </is>
      </c>
      <c r="V2649" s="47">
        <f>IF(AND(P2649&gt;=Calendar!$K$2,P2649&lt;EDATE(Calendar!$K$2,1),OR(Calendar!$K$4="*",N2649=Calendar!$K$4)),P2649*100+COUNTIFS($P$6:$P$3267,P2649,$Q$6:$Q$3267,"&lt;="&amp;Q2649,$N$6:$N$3267,Calendar!$K$4),"")</f>
        <v/>
      </c>
      <c r="W2649" s="47">
        <f>IF(AND(B2649=Queue!$C$4,OR(Queue!$K$4="*",N2649=Queue!$K$4)),Q2649,"")</f>
        <v/>
      </c>
    </row>
    <row r="2650">
      <c r="A2650" s="38">
        <f>IF(M2650="","",HYPERLINK("https://www.youtube.com/watch?v="&amp;M2650,"▶"))</f>
        <v/>
      </c>
      <c r="B2650" s="39">
        <f>IF(C2650&lt;&gt;"",C2650,IF(P2650&lt;=IFERROR(INDEX(tblChannels[Watched Through],MATCH(N2650,tblChannels[Channel ID],0)),0),"Watched","Unwatched"))</f>
        <v/>
      </c>
      <c r="C2650" s="40" t="n"/>
      <c r="D2650" s="41" t="n"/>
      <c r="E2650" s="42" t="n">
        <v>42465.80972222222</v>
      </c>
      <c r="F2650" s="50" t="inlineStr">
        <is>
          <t>Super Carlin Brothers</t>
        </is>
      </c>
      <c r="G2650" t="inlineStr">
        <is>
          <t>Draw My Life | Super Carlin Brothers</t>
        </is>
      </c>
      <c r="H2650" s="44" t="n">
        <v>0.008460648148148148</v>
      </c>
      <c r="I2650" s="45" t="n">
        <v>729222</v>
      </c>
      <c r="J2650" s="45" t="n">
        <v>19571</v>
      </c>
      <c r="K2650" s="45" t="n">
        <v>2046</v>
      </c>
      <c r="L2650" s="46" t="n"/>
      <c r="M2650" s="47" t="n"/>
      <c r="N2650" s="47" t="inlineStr">
        <is>
          <t>UCKZo4N0lVPccBkSiuyVh4yg</t>
        </is>
      </c>
      <c r="O2650" s="48" t="n">
        <v>42465.97638888889</v>
      </c>
      <c r="P2650" s="49" t="n">
        <v>42465</v>
      </c>
      <c r="Q2650" s="47" t="n">
        <v>618</v>
      </c>
      <c r="R2650" s="47" t="inlineStr">
        <is>
          <t>No Video ID yet</t>
        </is>
      </c>
      <c r="S2650" s="49" t="n"/>
      <c r="T2650" s="49" t="n"/>
      <c r="U2650" s="47" t="inlineStr">
        <is>
          <t>Today in celebration of hitting the 500k Subscriber mark I am doing a Draw My Life video to share my YouTube story, thus far, with you! You’re free to use this song in any of your videos, but you must include the following in your video description: Daily Beetle by Kevin MacLeod is licensed under a Creative Commons Attribution license ( Source: Artist:</t>
        </is>
      </c>
      <c r="V2650" s="47">
        <f>IF(AND(P2650&gt;=Calendar!$K$2,P2650&lt;EDATE(Calendar!$K$2,1),OR(Calendar!$K$4="*",N2650=Calendar!$K$4)),P2650*100+COUNTIFS($P$6:$P$3267,P2650,$Q$6:$Q$3267,"&lt;="&amp;Q2650,$N$6:$N$3267,Calendar!$K$4),"")</f>
        <v/>
      </c>
      <c r="W2650" s="47">
        <f>IF(AND(B2650=Queue!$C$4,OR(Queue!$K$4="*",N2650=Queue!$K$4)),Q2650,"")</f>
        <v/>
      </c>
    </row>
    <row r="2651">
      <c r="A2651" s="38">
        <f>IF(M2651="","",HYPERLINK("https://www.youtube.com/watch?v="&amp;M2651,"▶"))</f>
        <v/>
      </c>
      <c r="B2651" s="39">
        <f>IF(C2651&lt;&gt;"",C2651,IF(P2651&lt;=IFERROR(INDEX(tblChannels[Watched Through],MATCH(N2651,tblChannels[Channel ID],0)),0),"Watched","Unwatched"))</f>
        <v/>
      </c>
      <c r="C2651" s="40" t="n"/>
      <c r="D2651" s="41" t="n"/>
      <c r="E2651" s="42" t="n">
        <v>42460.84375</v>
      </c>
      <c r="F2651" s="50" t="inlineStr">
        <is>
          <t>Super Carlin Brothers</t>
        </is>
      </c>
      <c r="G2651" t="inlineStr">
        <is>
          <t>Finding Nemo and The Five Stages of Grief</t>
        </is>
      </c>
      <c r="H2651" s="44" t="n">
        <v>0.004479166666666667</v>
      </c>
      <c r="I2651" s="45" t="n">
        <v>471104</v>
      </c>
      <c r="J2651" s="45" t="n">
        <v>11221</v>
      </c>
      <c r="K2651" s="45" t="n">
        <v>1321</v>
      </c>
      <c r="L2651" s="46" t="n"/>
      <c r="M2651" s="47" t="n"/>
      <c r="N2651" s="47" t="inlineStr">
        <is>
          <t>UCKZo4N0lVPccBkSiuyVh4yg</t>
        </is>
      </c>
      <c r="O2651" s="48" t="n">
        <v>42461.01041666666</v>
      </c>
      <c r="P2651" s="49" t="n">
        <v>42460</v>
      </c>
      <c r="Q2651" s="47" t="n">
        <v>617</v>
      </c>
      <c r="R2651" s="47" t="inlineStr">
        <is>
          <t>No Video ID yet</t>
        </is>
      </c>
      <c r="S2651" s="49" t="n"/>
      <c r="T2651" s="49" t="n"/>
      <c r="U2651" s="47" t="inlineStr">
        <is>
          <t>IS IT JUNE YET????????? Disney Pixar's Finding Nemo may appear to be about a father searching the ocean for his son, but it's also about the father traveling through the five stages of grief.</t>
        </is>
      </c>
      <c r="V2651" s="47">
        <f>IF(AND(P2651&gt;=Calendar!$K$2,P2651&lt;EDATE(Calendar!$K$2,1),OR(Calendar!$K$4="*",N2651=Calendar!$K$4)),P2651*100+COUNTIFS($P$6:$P$3267,P2651,$Q$6:$Q$3267,"&lt;="&amp;Q2651,$N$6:$N$3267,Calendar!$K$4),"")</f>
        <v/>
      </c>
      <c r="W2651" s="47">
        <f>IF(AND(B2651=Queue!$C$4,OR(Queue!$K$4="*",N2651=Queue!$K$4)),Q2651,"")</f>
        <v/>
      </c>
    </row>
    <row r="2652">
      <c r="A2652" s="38">
        <f>IF(M2652="","",HYPERLINK("https://www.youtube.com/watch?v="&amp;M2652,"▶"))</f>
        <v/>
      </c>
      <c r="B2652" s="39">
        <f>IF(C2652&lt;&gt;"",C2652,IF(P2652&lt;=IFERROR(INDEX(tblChannels[Watched Through],MATCH(N2652,tblChannels[Channel ID],0)),0),"Watched","Unwatched"))</f>
        <v/>
      </c>
      <c r="C2652" s="40" t="n"/>
      <c r="D2652" s="41" t="n"/>
      <c r="E2652" s="42" t="n">
        <v>42460.68888888889</v>
      </c>
      <c r="F2652" s="52" t="inlineStr">
        <is>
          <t>Super Carlin Gaming</t>
        </is>
      </c>
      <c r="G2652" t="inlineStr">
        <is>
          <t>Knights of the Old Republic #17 - Jedi on Kashyyyk?</t>
        </is>
      </c>
      <c r="H2652" s="44" t="n">
        <v>0.03229166666666667</v>
      </c>
      <c r="I2652" s="45" t="n">
        <v>1803</v>
      </c>
      <c r="J2652" s="45" t="n">
        <v>54</v>
      </c>
      <c r="K2652" s="45" t="n">
        <v>19</v>
      </c>
      <c r="L2652" s="46" t="n"/>
      <c r="M2652" s="47" t="n"/>
      <c r="N2652" s="47" t="inlineStr">
        <is>
          <t>UCor_9jRnNNZVzTuQ92PKsaQ</t>
        </is>
      </c>
      <c r="O2652" s="48" t="n">
        <v>42460.85555555556</v>
      </c>
      <c r="P2652" s="49" t="n">
        <v>42460</v>
      </c>
      <c r="Q2652" s="47" t="n">
        <v>616</v>
      </c>
      <c r="R2652" s="47" t="inlineStr">
        <is>
          <t>No Video ID yet</t>
        </is>
      </c>
      <c r="S2652" s="49" t="n"/>
      <c r="T2652" s="49" t="n"/>
      <c r="U2652" s="47" t="inlineStr">
        <is>
          <t>Today's Kashyyyk adventures bring us that much closer to unraveling the truth of the Star Forge Every time you give us a thumbs up a Narwhal gets its horn! (maybe.)</t>
        </is>
      </c>
      <c r="V2652" s="47">
        <f>IF(AND(P2652&gt;=Calendar!$K$2,P2652&lt;EDATE(Calendar!$K$2,1),OR(Calendar!$K$4="*",N2652=Calendar!$K$4)),P2652*100+COUNTIFS($P$6:$P$3267,P2652,$Q$6:$Q$3267,"&lt;="&amp;Q2652,$N$6:$N$3267,Calendar!$K$4),"")</f>
        <v/>
      </c>
      <c r="W2652" s="47">
        <f>IF(AND(B2652=Queue!$C$4,OR(Queue!$K$4="*",N2652=Queue!$K$4)),Q2652,"")</f>
        <v/>
      </c>
    </row>
    <row r="2653">
      <c r="A2653" s="38">
        <f>IF(M2653="","",HYPERLINK("https://www.youtube.com/watch?v="&amp;M2653,"▶"))</f>
        <v/>
      </c>
      <c r="B2653" s="39">
        <f>IF(C2653&lt;&gt;"",C2653,IF(P2653&lt;=IFERROR(INDEX(tblChannels[Watched Through],MATCH(N2653,tblChannels[Channel ID],0)),0),"Watched","Unwatched"))</f>
        <v/>
      </c>
      <c r="C2653" s="40" t="n"/>
      <c r="D2653" s="41" t="n"/>
      <c r="E2653" s="42" t="n">
        <v>42459.68958333333</v>
      </c>
      <c r="F2653" s="52" t="inlineStr">
        <is>
          <t>Super Carlin Gaming</t>
        </is>
      </c>
      <c r="G2653" t="inlineStr">
        <is>
          <t>Knights of the Old Republic #16 - Kashyyyk Explorations!</t>
        </is>
      </c>
      <c r="H2653" s="44" t="n">
        <v>0.02490740740740741</v>
      </c>
      <c r="I2653" s="45" t="n">
        <v>1609</v>
      </c>
      <c r="J2653" s="45" t="n">
        <v>54</v>
      </c>
      <c r="K2653" s="45" t="n">
        <v>16</v>
      </c>
      <c r="L2653" s="46" t="n"/>
      <c r="M2653" s="47" t="n"/>
      <c r="N2653" s="47" t="inlineStr">
        <is>
          <t>UCor_9jRnNNZVzTuQ92PKsaQ</t>
        </is>
      </c>
      <c r="O2653" s="48" t="n">
        <v>42459.85625</v>
      </c>
      <c r="P2653" s="49" t="n">
        <v>42459</v>
      </c>
      <c r="Q2653" s="47" t="n">
        <v>615</v>
      </c>
      <c r="R2653" s="47" t="inlineStr">
        <is>
          <t>No Video ID yet</t>
        </is>
      </c>
      <c r="S2653" s="49" t="n"/>
      <c r="T2653" s="49" t="n"/>
      <c r="U2653" s="47" t="inlineStr">
        <is>
          <t>Today we explore Kashyyyk and run into a few of Zaalbar's old friends, and maybe one of our own! Every time you give us a thumbs up a Narwhal gets its horn! (maybe.)</t>
        </is>
      </c>
      <c r="V2653" s="47">
        <f>IF(AND(P2653&gt;=Calendar!$K$2,P2653&lt;EDATE(Calendar!$K$2,1),OR(Calendar!$K$4="*",N2653=Calendar!$K$4)),P2653*100+COUNTIFS($P$6:$P$3267,P2653,$Q$6:$Q$3267,"&lt;="&amp;Q2653,$N$6:$N$3267,Calendar!$K$4),"")</f>
        <v/>
      </c>
      <c r="W2653" s="47">
        <f>IF(AND(B2653=Queue!$C$4,OR(Queue!$K$4="*",N2653=Queue!$K$4)),Q2653,"")</f>
        <v/>
      </c>
    </row>
    <row r="2654">
      <c r="A2654" s="38">
        <f>IF(M2654="","",HYPERLINK("https://www.youtube.com/watch?v="&amp;M2654,"▶"))</f>
        <v/>
      </c>
      <c r="B2654" s="39">
        <f>IF(C2654&lt;&gt;"",C2654,IF(P2654&lt;=IFERROR(INDEX(tblChannels[Watched Through],MATCH(N2654,tblChannels[Channel ID],0)),0),"Watched","Unwatched"))</f>
        <v/>
      </c>
      <c r="C2654" s="40" t="n"/>
      <c r="D2654" s="41" t="n"/>
      <c r="E2654" s="42" t="n">
        <v>42458.68680555555</v>
      </c>
      <c r="F2654" s="50" t="inlineStr">
        <is>
          <t>Super Carlin Brothers</t>
        </is>
      </c>
      <c r="G2654" t="inlineStr">
        <is>
          <t>The Truth About Finding Nemo</t>
        </is>
      </c>
      <c r="H2654" s="44" t="n">
        <v>0.003645833333333333</v>
      </c>
      <c r="I2654" s="45" t="n">
        <v>820038</v>
      </c>
      <c r="J2654" s="45" t="n">
        <v>17924</v>
      </c>
      <c r="K2654" s="45" t="n">
        <v>3616</v>
      </c>
      <c r="L2654" s="46" t="n"/>
      <c r="M2654" s="47" t="n"/>
      <c r="N2654" s="47" t="inlineStr">
        <is>
          <t>UCKZo4N0lVPccBkSiuyVh4yg</t>
        </is>
      </c>
      <c r="O2654" s="48" t="n">
        <v>42458.85347222222</v>
      </c>
      <c r="P2654" s="49" t="n">
        <v>42458</v>
      </c>
      <c r="Q2654" s="47" t="n">
        <v>614</v>
      </c>
      <c r="R2654" s="47" t="inlineStr">
        <is>
          <t>No Video ID yet</t>
        </is>
      </c>
      <c r="S2654" s="49" t="n"/>
      <c r="T2654" s="49" t="n"/>
      <c r="U2654" s="47" t="inlineStr">
        <is>
          <t>Today we reveal the odd truth about Disney Pixar's Finding Nemo and why we are all better for it =D Can't wait until June for Finding Dory! Who is your favorite character?</t>
        </is>
      </c>
      <c r="V2654" s="47">
        <f>IF(AND(P2654&gt;=Calendar!$K$2,P2654&lt;EDATE(Calendar!$K$2,1),OR(Calendar!$K$4="*",N2654=Calendar!$K$4)),P2654*100+COUNTIFS($P$6:$P$3267,P2654,$Q$6:$Q$3267,"&lt;="&amp;Q2654,$N$6:$N$3267,Calendar!$K$4),"")</f>
        <v/>
      </c>
      <c r="W2654" s="47">
        <f>IF(AND(B2654=Queue!$C$4,OR(Queue!$K$4="*",N2654=Queue!$K$4)),Q2654,"")</f>
        <v/>
      </c>
    </row>
    <row r="2655">
      <c r="A2655" s="38">
        <f>IF(M2655="","",HYPERLINK("https://www.youtube.com/watch?v="&amp;M2655,"▶"))</f>
        <v/>
      </c>
      <c r="B2655" s="39">
        <f>IF(C2655&lt;&gt;"",C2655,IF(P2655&lt;=IFERROR(INDEX(tblChannels[Watched Through],MATCH(N2655,tblChannels[Channel ID],0)),0),"Watched","Unwatched"))</f>
        <v/>
      </c>
      <c r="C2655" s="40" t="n"/>
      <c r="D2655" s="41" t="n"/>
      <c r="E2655" s="42" t="n">
        <v>42458.66805555556</v>
      </c>
      <c r="F2655" s="52" t="inlineStr">
        <is>
          <t>Super Carlin Gaming</t>
        </is>
      </c>
      <c r="G2655" t="inlineStr">
        <is>
          <t>Knights of the Old Republic #15 - To Kashyyyk!</t>
        </is>
      </c>
      <c r="H2655" s="44" t="n">
        <v>0.02512731481481481</v>
      </c>
      <c r="I2655" s="45" t="n">
        <v>1832</v>
      </c>
      <c r="J2655" s="45" t="n">
        <v>68</v>
      </c>
      <c r="K2655" s="45" t="n">
        <v>13</v>
      </c>
      <c r="L2655" s="46" t="n"/>
      <c r="M2655" s="47" t="n"/>
      <c r="N2655" s="47" t="inlineStr">
        <is>
          <t>UCor_9jRnNNZVzTuQ92PKsaQ</t>
        </is>
      </c>
      <c r="O2655" s="48" t="n">
        <v>42458.83472222222</v>
      </c>
      <c r="P2655" s="49" t="n">
        <v>42458</v>
      </c>
      <c r="Q2655" s="47" t="n">
        <v>613</v>
      </c>
      <c r="R2655" s="47" t="inlineStr">
        <is>
          <t>No Video ID yet</t>
        </is>
      </c>
      <c r="S2655" s="49" t="n"/>
      <c r="T2655" s="49" t="n"/>
      <c r="U2655" s="47" t="inlineStr">
        <is>
          <t>Bye bye Dantooine, we're going to Kashyyyk, and learning a little bit about our team on the way :) Every time you give us a thumbs up a Narwhal gets its horn! (maybe.) Category</t>
        </is>
      </c>
      <c r="V2655" s="47">
        <f>IF(AND(P2655&gt;=Calendar!$K$2,P2655&lt;EDATE(Calendar!$K$2,1),OR(Calendar!$K$4="*",N2655=Calendar!$K$4)),P2655*100+COUNTIFS($P$6:$P$3267,P2655,$Q$6:$Q$3267,"&lt;="&amp;Q2655,$N$6:$N$3267,Calendar!$K$4),"")</f>
        <v/>
      </c>
      <c r="W2655" s="47">
        <f>IF(AND(B2655=Queue!$C$4,OR(Queue!$K$4="*",N2655=Queue!$K$4)),Q2655,"")</f>
        <v/>
      </c>
    </row>
    <row r="2656">
      <c r="A2656" s="38">
        <f>IF(M2656="","",HYPERLINK("https://www.youtube.com/watch?v="&amp;M2656,"▶"))</f>
        <v/>
      </c>
      <c r="B2656" s="39">
        <f>IF(C2656&lt;&gt;"",C2656,IF(P2656&lt;=IFERROR(INDEX(tblChannels[Watched Through],MATCH(N2656,tblChannels[Channel ID],0)),0),"Watched","Unwatched"))</f>
        <v/>
      </c>
      <c r="C2656" s="40" t="n"/>
      <c r="D2656" s="41" t="n"/>
      <c r="E2656" s="42" t="n">
        <v>42454.64652777778</v>
      </c>
      <c r="F2656" s="52" t="inlineStr">
        <is>
          <t>Super Carlin Gaming</t>
        </is>
      </c>
      <c r="G2656" t="inlineStr">
        <is>
          <t>Knights of the Old Republic #14 - The Hunt for the Star Forge</t>
        </is>
      </c>
      <c r="H2656" s="44" t="n">
        <v>0.0253125</v>
      </c>
      <c r="I2656" s="45" t="n">
        <v>1952</v>
      </c>
      <c r="J2656" s="45" t="n">
        <v>60</v>
      </c>
      <c r="K2656" s="45" t="n">
        <v>32</v>
      </c>
      <c r="L2656" s="46" t="n"/>
      <c r="M2656" s="47" t="n"/>
      <c r="N2656" s="47" t="inlineStr">
        <is>
          <t>UCor_9jRnNNZVzTuQ92PKsaQ</t>
        </is>
      </c>
      <c r="O2656" s="48" t="n">
        <v>42454.81319444445</v>
      </c>
      <c r="P2656" s="49" t="n">
        <v>42454</v>
      </c>
      <c r="Q2656" s="47" t="n">
        <v>612</v>
      </c>
      <c r="R2656" s="47" t="inlineStr">
        <is>
          <t>No Video ID yet</t>
        </is>
      </c>
      <c r="S2656" s="49" t="n"/>
      <c r="T2656" s="49" t="n"/>
      <c r="U2656" s="47" t="inlineStr">
        <is>
          <t>Continuing our exploration of Dantooine, today we pick up our main challenge, the hunt for the Star Forge Every time you give us a thumbs up a Narwhal gets its horn! (maybe.) Category</t>
        </is>
      </c>
      <c r="V2656" s="47">
        <f>IF(AND(P2656&gt;=Calendar!$K$2,P2656&lt;EDATE(Calendar!$K$2,1),OR(Calendar!$K$4="*",N2656=Calendar!$K$4)),P2656*100+COUNTIFS($P$6:$P$3267,P2656,$Q$6:$Q$3267,"&lt;="&amp;Q2656,$N$6:$N$3267,Calendar!$K$4),"")</f>
        <v/>
      </c>
      <c r="W2656" s="47">
        <f>IF(AND(B2656=Queue!$C$4,OR(Queue!$K$4="*",N2656=Queue!$K$4)),Q2656,"")</f>
        <v/>
      </c>
    </row>
    <row r="2657">
      <c r="A2657" s="38">
        <f>IF(M2657="","",HYPERLINK("https://www.youtube.com/watch?v="&amp;M2657,"▶"))</f>
        <v/>
      </c>
      <c r="B2657" s="39">
        <f>IF(C2657&lt;&gt;"",C2657,IF(P2657&lt;=IFERROR(INDEX(tblChannels[Watched Through],MATCH(N2657,tblChannels[Channel ID],0)),0),"Watched","Unwatched"))</f>
        <v/>
      </c>
      <c r="C2657" s="40" t="n"/>
      <c r="D2657" s="41" t="n"/>
      <c r="E2657" s="42" t="n">
        <v>42454.55625</v>
      </c>
      <c r="F2657" s="52" t="inlineStr">
        <is>
          <t>Super Carlin Gaming</t>
        </is>
      </c>
      <c r="G2657" t="inlineStr">
        <is>
          <t>Knights of the Old Republic #13 - Juhani Battle and More</t>
        </is>
      </c>
      <c r="H2657" s="44" t="n">
        <v>0.02538194444444444</v>
      </c>
      <c r="I2657" s="45" t="n">
        <v>1949</v>
      </c>
      <c r="J2657" s="45" t="n">
        <v>46</v>
      </c>
      <c r="K2657" s="45" t="n">
        <v>12</v>
      </c>
      <c r="L2657" s="46" t="n"/>
      <c r="M2657" s="47" t="n"/>
      <c r="N2657" s="47" t="inlineStr">
        <is>
          <t>UCor_9jRnNNZVzTuQ92PKsaQ</t>
        </is>
      </c>
      <c r="O2657" s="48" t="n">
        <v>42454.72291666667</v>
      </c>
      <c r="P2657" s="49" t="n">
        <v>42454</v>
      </c>
      <c r="Q2657" s="47" t="n">
        <v>611</v>
      </c>
      <c r="R2657" s="47" t="inlineStr">
        <is>
          <t>No Video ID yet</t>
        </is>
      </c>
      <c r="S2657" s="49" t="n"/>
      <c r="T2657" s="49" t="n"/>
      <c r="U2657" s="47" t="inlineStr">
        <is>
          <t>We battle Juhani and continue our exploration of Dantooine! Every time you give us a thumbs up a Narwhal gets its horn! (maybe.) Category</t>
        </is>
      </c>
      <c r="V2657" s="47">
        <f>IF(AND(P2657&gt;=Calendar!$K$2,P2657&lt;EDATE(Calendar!$K$2,1),OR(Calendar!$K$4="*",N2657=Calendar!$K$4)),P2657*100+COUNTIFS($P$6:$P$3267,P2657,$Q$6:$Q$3267,"&lt;="&amp;Q2657,$N$6:$N$3267,Calendar!$K$4),"")</f>
        <v/>
      </c>
      <c r="W2657" s="47">
        <f>IF(AND(B2657=Queue!$C$4,OR(Queue!$K$4="*",N2657=Queue!$K$4)),Q2657,"")</f>
        <v/>
      </c>
    </row>
    <row r="2658">
      <c r="A2658" s="38">
        <f>IF(M2658="","",HYPERLINK("https://www.youtube.com/watch?v="&amp;M2658,"▶"))</f>
        <v/>
      </c>
      <c r="B2658" s="39">
        <f>IF(C2658&lt;&gt;"",C2658,IF(P2658&lt;=IFERROR(INDEX(tblChannels[Watched Through],MATCH(N2658,tblChannels[Channel ID],0)),0),"Watched","Unwatched"))</f>
        <v/>
      </c>
      <c r="C2658" s="40" t="n"/>
      <c r="D2658" s="41" t="n"/>
      <c r="E2658" s="42" t="n">
        <v>42453.71666666667</v>
      </c>
      <c r="F2658" s="50" t="inlineStr">
        <is>
          <t>Super Carlin Brothers</t>
        </is>
      </c>
      <c r="G2658" t="inlineStr">
        <is>
          <t>Can Batman vs Superman: Dawn of Justice be good?</t>
        </is>
      </c>
      <c r="H2658" s="44" t="n">
        <v>0.0034375</v>
      </c>
      <c r="I2658" s="45" t="n">
        <v>160169</v>
      </c>
      <c r="J2658" s="45" t="n">
        <v>4003</v>
      </c>
      <c r="K2658" s="45" t="n">
        <v>1546</v>
      </c>
      <c r="L2658" s="46" t="n"/>
      <c r="M2658" s="47" t="n"/>
      <c r="N2658" s="47" t="inlineStr">
        <is>
          <t>UCKZo4N0lVPccBkSiuyVh4yg</t>
        </is>
      </c>
      <c r="O2658" s="48" t="n">
        <v>42453.88333333333</v>
      </c>
      <c r="P2658" s="49" t="n">
        <v>42453</v>
      </c>
      <c r="Q2658" s="47" t="n">
        <v>610</v>
      </c>
      <c r="R2658" s="47" t="inlineStr">
        <is>
          <t>No Video ID yet</t>
        </is>
      </c>
      <c r="S2658" s="49" t="n"/>
      <c r="T2658" s="49" t="n"/>
      <c r="U2658" s="47" t="n"/>
      <c r="V2658" s="47">
        <f>IF(AND(P2658&gt;=Calendar!$K$2,P2658&lt;EDATE(Calendar!$K$2,1),OR(Calendar!$K$4="*",N2658=Calendar!$K$4)),P2658*100+COUNTIFS($P$6:$P$3267,P2658,$Q$6:$Q$3267,"&lt;="&amp;Q2658,$N$6:$N$3267,Calendar!$K$4),"")</f>
        <v/>
      </c>
      <c r="W2658" s="47">
        <f>IF(AND(B2658=Queue!$C$4,OR(Queue!$K$4="*",N2658=Queue!$K$4)),Q2658,"")</f>
        <v/>
      </c>
    </row>
    <row r="2659">
      <c r="A2659" s="38">
        <f>IF(M2659="","",HYPERLINK("https://www.youtube.com/watch?v="&amp;M2659,"▶"))</f>
        <v/>
      </c>
      <c r="B2659" s="39">
        <f>IF(C2659&lt;&gt;"",C2659,IF(P2659&lt;=IFERROR(INDEX(tblChannels[Watched Through],MATCH(N2659,tblChannels[Channel ID],0)),0),"Watched","Unwatched"))</f>
        <v/>
      </c>
      <c r="C2659" s="40" t="n"/>
      <c r="D2659" s="41" t="n"/>
      <c r="E2659" s="42" t="n">
        <v>42453.56666666667</v>
      </c>
      <c r="F2659" s="52" t="inlineStr">
        <is>
          <t>Super Carlin Gaming</t>
        </is>
      </c>
      <c r="G2659" t="inlineStr">
        <is>
          <t>Knights of the Old Republic #12 - Exploring Dantooine</t>
        </is>
      </c>
      <c r="H2659" s="44" t="n">
        <v>0.04293981481481481</v>
      </c>
      <c r="I2659" s="45" t="n">
        <v>2782</v>
      </c>
      <c r="J2659" s="45" t="n">
        <v>58</v>
      </c>
      <c r="K2659" s="45" t="n">
        <v>14</v>
      </c>
      <c r="L2659" s="46" t="n"/>
      <c r="M2659" s="47" t="n"/>
      <c r="N2659" s="47" t="inlineStr">
        <is>
          <t>UCor_9jRnNNZVzTuQ92PKsaQ</t>
        </is>
      </c>
      <c r="O2659" s="48" t="n">
        <v>42453.73333333333</v>
      </c>
      <c r="P2659" s="49" t="n">
        <v>42453</v>
      </c>
      <c r="Q2659" s="47" t="n">
        <v>609</v>
      </c>
      <c r="R2659" s="47" t="inlineStr">
        <is>
          <t>No Video ID yet</t>
        </is>
      </c>
      <c r="S2659" s="49" t="n"/>
      <c r="T2659" s="49" t="n"/>
      <c r="U2659" s="47" t="inlineStr">
        <is>
          <t>Today we solve a mystery, explore Dantooine, and make our way towards our next boss battle Every time you give us a thumbs up a Narwhal gets its horn! (maybe.) Category</t>
        </is>
      </c>
      <c r="V2659" s="47">
        <f>IF(AND(P2659&gt;=Calendar!$K$2,P2659&lt;EDATE(Calendar!$K$2,1),OR(Calendar!$K$4="*",N2659=Calendar!$K$4)),P2659*100+COUNTIFS($P$6:$P$3267,P2659,$Q$6:$Q$3267,"&lt;="&amp;Q2659,$N$6:$N$3267,Calendar!$K$4),"")</f>
        <v/>
      </c>
      <c r="W2659" s="47">
        <f>IF(AND(B2659=Queue!$C$4,OR(Queue!$K$4="*",N2659=Queue!$K$4)),Q2659,"")</f>
        <v/>
      </c>
    </row>
    <row r="2660">
      <c r="A2660" s="38">
        <f>IF(M2660="","",HYPERLINK("https://www.youtube.com/watch?v="&amp;M2660,"▶"))</f>
        <v/>
      </c>
      <c r="B2660" s="39">
        <f>IF(C2660&lt;&gt;"",C2660,IF(P2660&lt;=IFERROR(INDEX(tblChannels[Watched Through],MATCH(N2660,tblChannels[Channel ID],0)),0),"Watched","Unwatched"))</f>
        <v/>
      </c>
      <c r="C2660" s="40" t="n"/>
      <c r="D2660" s="41" t="n"/>
      <c r="E2660" s="42" t="n">
        <v>42452.60486111111</v>
      </c>
      <c r="F2660" s="52" t="inlineStr">
        <is>
          <t>Super Carlin Gaming</t>
        </is>
      </c>
      <c r="G2660" t="inlineStr">
        <is>
          <t>Knights of the Old Republic #11 - The Long Escape off Taris</t>
        </is>
      </c>
      <c r="H2660" s="44" t="n">
        <v>0.02711805555555555</v>
      </c>
      <c r="I2660" s="45" t="n">
        <v>2474</v>
      </c>
      <c r="J2660" s="45" t="n">
        <v>63</v>
      </c>
      <c r="K2660" s="45" t="n">
        <v>11</v>
      </c>
      <c r="L2660" s="46" t="n"/>
      <c r="M2660" s="47" t="n"/>
      <c r="N2660" s="47" t="inlineStr">
        <is>
          <t>UCor_9jRnNNZVzTuQ92PKsaQ</t>
        </is>
      </c>
      <c r="O2660" s="48" t="n">
        <v>42452.77152777778</v>
      </c>
      <c r="P2660" s="49" t="n">
        <v>42452</v>
      </c>
      <c r="Q2660" s="47" t="n">
        <v>608</v>
      </c>
      <c r="R2660" s="47" t="inlineStr">
        <is>
          <t>No Video ID yet</t>
        </is>
      </c>
      <c r="S2660" s="49" t="n"/>
      <c r="T2660" s="49" t="n"/>
      <c r="U2660" s="47" t="inlineStr">
        <is>
          <t>After a rough start we finally escape off of Taris and make our way to Dantooine where there are plenty of happy surprises! Every time you give us a thumbs up a Narwhal gets its horn! (maybe.)</t>
        </is>
      </c>
      <c r="V2660" s="47">
        <f>IF(AND(P2660&gt;=Calendar!$K$2,P2660&lt;EDATE(Calendar!$K$2,1),OR(Calendar!$K$4="*",N2660=Calendar!$K$4)),P2660*100+COUNTIFS($P$6:$P$3267,P2660,$Q$6:$Q$3267,"&lt;="&amp;Q2660,$N$6:$N$3267,Calendar!$K$4),"")</f>
        <v/>
      </c>
      <c r="W2660" s="47">
        <f>IF(AND(B2660=Queue!$C$4,OR(Queue!$K$4="*",N2660=Queue!$K$4)),Q2660,"")</f>
        <v/>
      </c>
    </row>
    <row r="2661">
      <c r="A2661" s="38">
        <f>IF(M2661="","",HYPERLINK("https://www.youtube.com/watch?v="&amp;M2661,"▶"))</f>
        <v/>
      </c>
      <c r="B2661" s="39">
        <f>IF(C2661&lt;&gt;"",C2661,IF(P2661&lt;=IFERROR(INDEX(tblChannels[Watched Through],MATCH(N2661,tblChannels[Channel ID],0)),0),"Watched","Unwatched"))</f>
        <v/>
      </c>
      <c r="C2661" s="40" t="n"/>
      <c r="D2661" s="41" t="n"/>
      <c r="E2661" s="42" t="n">
        <v>42451.85208333333</v>
      </c>
      <c r="F2661" s="50" t="inlineStr">
        <is>
          <t>Super Carlin Brothers</t>
        </is>
      </c>
      <c r="G2661" t="inlineStr">
        <is>
          <t>Zootopia and Racism</t>
        </is>
      </c>
      <c r="H2661" s="44" t="n">
        <v>0.004733796296296297</v>
      </c>
      <c r="I2661" s="45" t="n">
        <v>1554804</v>
      </c>
      <c r="J2661" s="45" t="n">
        <v>33317</v>
      </c>
      <c r="K2661" s="45" t="n">
        <v>6633</v>
      </c>
      <c r="L2661" s="46" t="n"/>
      <c r="M2661" s="47" t="n"/>
      <c r="N2661" s="47" t="inlineStr">
        <is>
          <t>UCKZo4N0lVPccBkSiuyVh4yg</t>
        </is>
      </c>
      <c r="O2661" s="48" t="n">
        <v>42452.01875</v>
      </c>
      <c r="P2661" s="49" t="n">
        <v>42451</v>
      </c>
      <c r="Q2661" s="47" t="n">
        <v>607</v>
      </c>
      <c r="R2661" s="47" t="inlineStr">
        <is>
          <t>No Video ID yet</t>
        </is>
      </c>
      <c r="S2661" s="49" t="n"/>
      <c r="T2661" s="49" t="n"/>
      <c r="U2661" s="47" t="inlineStr">
        <is>
          <t>Zootopia!! Today I am reviewing Zootopia and going over all of the race related situations presented in the movie. Do you think Disney did a good job delivering a positive message about racism? Do you hope to see more movies with similar undertones in the future??</t>
        </is>
      </c>
      <c r="V2661" s="47">
        <f>IF(AND(P2661&gt;=Calendar!$K$2,P2661&lt;EDATE(Calendar!$K$2,1),OR(Calendar!$K$4="*",N2661=Calendar!$K$4)),P2661*100+COUNTIFS($P$6:$P$3267,P2661,$Q$6:$Q$3267,"&lt;="&amp;Q2661,$N$6:$N$3267,Calendar!$K$4),"")</f>
        <v/>
      </c>
      <c r="W2661" s="47">
        <f>IF(AND(B2661=Queue!$C$4,OR(Queue!$K$4="*",N2661=Queue!$K$4)),Q2661,"")</f>
        <v/>
      </c>
    </row>
    <row r="2662">
      <c r="A2662" s="38">
        <f>IF(M2662="","",HYPERLINK("https://www.youtube.com/watch?v="&amp;M2662,"▶"))</f>
        <v/>
      </c>
      <c r="B2662" s="39">
        <f>IF(C2662&lt;&gt;"",C2662,IF(P2662&lt;=IFERROR(INDEX(tblChannels[Watched Through],MATCH(N2662,tblChannels[Channel ID],0)),0),"Watched","Unwatched"))</f>
        <v/>
      </c>
      <c r="C2662" s="40" t="n"/>
      <c r="D2662" s="41" t="n"/>
      <c r="E2662" s="42" t="n">
        <v>42447.53888888889</v>
      </c>
      <c r="F2662" s="52" t="inlineStr">
        <is>
          <t>Super Carlin Gaming</t>
        </is>
      </c>
      <c r="G2662" t="inlineStr">
        <is>
          <t>Knights of The Old Republic #10: Infiltrating the Sith Base</t>
        </is>
      </c>
      <c r="H2662" s="44" t="n">
        <v>0.02820601851851852</v>
      </c>
      <c r="I2662" s="45" t="n">
        <v>2565</v>
      </c>
      <c r="J2662" s="45" t="n">
        <v>64</v>
      </c>
      <c r="K2662" s="45" t="n">
        <v>21</v>
      </c>
      <c r="L2662" s="46" t="n"/>
      <c r="M2662" s="47" t="n"/>
      <c r="N2662" s="47" t="inlineStr">
        <is>
          <t>UCor_9jRnNNZVzTuQ92PKsaQ</t>
        </is>
      </c>
      <c r="O2662" s="48" t="n">
        <v>42447.70555555556</v>
      </c>
      <c r="P2662" s="49" t="n">
        <v>42447</v>
      </c>
      <c r="Q2662" s="47" t="n">
        <v>606</v>
      </c>
      <c r="R2662" s="47" t="inlineStr">
        <is>
          <t>No Video ID yet</t>
        </is>
      </c>
      <c r="S2662" s="49" t="n"/>
      <c r="T2662" s="49" t="n"/>
      <c r="U2662" s="47" t="inlineStr">
        <is>
          <t>Today we infiltrate the sith base and gain access to Davik's base, on our way to stealing the ebon hawk! with some new faces and maybe some dark side points along the way... Every time you give us a thumbs up a Narwhal gets its horn! (maybe.)</t>
        </is>
      </c>
      <c r="V2662" s="47">
        <f>IF(AND(P2662&gt;=Calendar!$K$2,P2662&lt;EDATE(Calendar!$K$2,1),OR(Calendar!$K$4="*",N2662=Calendar!$K$4)),P2662*100+COUNTIFS($P$6:$P$3267,P2662,$Q$6:$Q$3267,"&lt;="&amp;Q2662,$N$6:$N$3267,Calendar!$K$4),"")</f>
        <v/>
      </c>
      <c r="W2662" s="47">
        <f>IF(AND(B2662=Queue!$C$4,OR(Queue!$K$4="*",N2662=Queue!$K$4)),Q2662,"")</f>
        <v/>
      </c>
    </row>
    <row r="2663">
      <c r="A2663" s="38">
        <f>IF(M2663="","",HYPERLINK("https://www.youtube.com/watch?v="&amp;M2663,"▶"))</f>
        <v/>
      </c>
      <c r="B2663" s="39">
        <f>IF(C2663&lt;&gt;"",C2663,IF(P2663&lt;=IFERROR(INDEX(tblChannels[Watched Through],MATCH(N2663,tblChannels[Channel ID],0)),0),"Watched","Unwatched"))</f>
        <v/>
      </c>
      <c r="C2663" s="40" t="n"/>
      <c r="D2663" s="41" t="n"/>
      <c r="E2663" s="42" t="n">
        <v>42446.89791666667</v>
      </c>
      <c r="F2663" s="50" t="inlineStr">
        <is>
          <t>Super Carlin Brothers</t>
        </is>
      </c>
      <c r="G2663" t="inlineStr">
        <is>
          <t>Loot Crate Unboxing | DEAD</t>
        </is>
      </c>
      <c r="H2663" s="44" t="n">
        <v>0.005104166666666667</v>
      </c>
      <c r="I2663" s="45" t="n">
        <v>109034</v>
      </c>
      <c r="J2663" s="45" t="n">
        <v>3034</v>
      </c>
      <c r="K2663" s="45" t="n">
        <v>900</v>
      </c>
      <c r="L2663" s="46" t="n"/>
      <c r="M2663" s="47" t="n"/>
      <c r="N2663" s="47" t="inlineStr">
        <is>
          <t>UCKZo4N0lVPccBkSiuyVh4yg</t>
        </is>
      </c>
      <c r="O2663" s="48" t="n">
        <v>42447.06458333333</v>
      </c>
      <c r="P2663" s="49" t="n">
        <v>42446</v>
      </c>
      <c r="Q2663" s="47" t="n">
        <v>605</v>
      </c>
      <c r="R2663" s="47" t="inlineStr">
        <is>
          <t>No Video ID yet</t>
        </is>
      </c>
      <c r="S2663" s="49" t="n"/>
      <c r="T2663" s="49" t="n"/>
      <c r="U2663" s="47" t="inlineStr">
        <is>
          <t>Want to support the channel and get all sorts of awesome geek and gamer gear? Go to: Use PROMO Code: "CARLIN" for 10% off your first box! This months LootCrate DEAD box contained a lot of Deadpool and The Walking Dead, can't wait to see what comes in next months Versus box!</t>
        </is>
      </c>
      <c r="V2663" s="47">
        <f>IF(AND(P2663&gt;=Calendar!$K$2,P2663&lt;EDATE(Calendar!$K$2,1),OR(Calendar!$K$4="*",N2663=Calendar!$K$4)),P2663*100+COUNTIFS($P$6:$P$3267,P2663,$Q$6:$Q$3267,"&lt;="&amp;Q2663,$N$6:$N$3267,Calendar!$K$4),"")</f>
        <v/>
      </c>
      <c r="W2663" s="47">
        <f>IF(AND(B2663=Queue!$C$4,OR(Queue!$K$4="*",N2663=Queue!$K$4)),Q2663,"")</f>
        <v/>
      </c>
    </row>
    <row r="2664">
      <c r="A2664" s="38">
        <f>IF(M2664="","",HYPERLINK("https://www.youtube.com/watch?v="&amp;M2664,"▶"))</f>
        <v/>
      </c>
      <c r="B2664" s="39">
        <f>IF(C2664&lt;&gt;"",C2664,IF(P2664&lt;=IFERROR(INDEX(tblChannels[Watched Through],MATCH(N2664,tblChannels[Channel ID],0)),0),"Watched","Unwatched"))</f>
        <v/>
      </c>
      <c r="C2664" s="40" t="n"/>
      <c r="D2664" s="41" t="n"/>
      <c r="E2664" s="42" t="n">
        <v>42446.55763888889</v>
      </c>
      <c r="F2664" s="52" t="inlineStr">
        <is>
          <t>Super Carlin Gaming</t>
        </is>
      </c>
      <c r="G2664" t="inlineStr">
        <is>
          <t>Knights of the Old Republic #9 - Another New Team Member</t>
        </is>
      </c>
      <c r="H2664" s="44" t="n">
        <v>0.01895833333333333</v>
      </c>
      <c r="I2664" s="45" t="n">
        <v>2103</v>
      </c>
      <c r="J2664" s="45" t="n">
        <v>60</v>
      </c>
      <c r="K2664" s="45" t="n">
        <v>18</v>
      </c>
      <c r="L2664" s="46" t="n"/>
      <c r="M2664" s="47" t="n"/>
      <c r="N2664" s="47" t="inlineStr">
        <is>
          <t>UCor_9jRnNNZVzTuQ92PKsaQ</t>
        </is>
      </c>
      <c r="O2664" s="48" t="n">
        <v>42446.72430555556</v>
      </c>
      <c r="P2664" s="49" t="n">
        <v>42446</v>
      </c>
      <c r="Q2664" s="47" t="n">
        <v>604</v>
      </c>
      <c r="R2664" s="47" t="inlineStr">
        <is>
          <t>No Video ID yet</t>
        </is>
      </c>
      <c r="S2664" s="49" t="n"/>
      <c r="T2664" s="49" t="n"/>
      <c r="U2664" s="47" t="inlineStr">
        <is>
          <t>After rescuing Bastila, we meet with Canderous Ordo in the upper city cantina, who sends us on a mission to retrieve the sith launch codes, but first we must add someone to our team. Every time you give us a thumbs up a Narwhal gets its horn! (maybe.)</t>
        </is>
      </c>
      <c r="V2664" s="47">
        <f>IF(AND(P2664&gt;=Calendar!$K$2,P2664&lt;EDATE(Calendar!$K$2,1),OR(Calendar!$K$4="*",N2664=Calendar!$K$4)),P2664*100+COUNTIFS($P$6:$P$3267,P2664,$Q$6:$Q$3267,"&lt;="&amp;Q2664,$N$6:$N$3267,Calendar!$K$4),"")</f>
        <v/>
      </c>
      <c r="W2664" s="47">
        <f>IF(AND(B2664=Queue!$C$4,OR(Queue!$K$4="*",N2664=Queue!$K$4)),Q2664,"")</f>
        <v/>
      </c>
    </row>
    <row r="2665">
      <c r="A2665" s="38">
        <f>IF(M2665="","",HYPERLINK("https://www.youtube.com/watch?v="&amp;M2665,"▶"))</f>
        <v/>
      </c>
      <c r="B2665" s="39">
        <f>IF(C2665&lt;&gt;"",C2665,IF(P2665&lt;=IFERROR(INDEX(tblChannels[Watched Through],MATCH(N2665,tblChannels[Channel ID],0)),0),"Watched","Unwatched"))</f>
        <v/>
      </c>
      <c r="C2665" s="40" t="n"/>
      <c r="D2665" s="41" t="n"/>
      <c r="E2665" s="42" t="n">
        <v>42444.83263888889</v>
      </c>
      <c r="F2665" s="52" t="inlineStr">
        <is>
          <t>Super Carlin Gaming</t>
        </is>
      </c>
      <c r="G2665" t="inlineStr">
        <is>
          <t>Knights of the Old Republic #8 - Bastila's Rescue</t>
        </is>
      </c>
      <c r="H2665" s="44" t="n">
        <v>0.0328125</v>
      </c>
      <c r="I2665" s="45" t="n">
        <v>2853</v>
      </c>
      <c r="J2665" s="45" t="n">
        <v>70</v>
      </c>
      <c r="K2665" s="45" t="n">
        <v>22</v>
      </c>
      <c r="L2665" s="46" t="n"/>
      <c r="M2665" s="47" t="n"/>
      <c r="N2665" s="47" t="inlineStr">
        <is>
          <t>UCor_9jRnNNZVzTuQ92PKsaQ</t>
        </is>
      </c>
      <c r="O2665" s="48" t="n">
        <v>42444.99930555555</v>
      </c>
      <c r="P2665" s="49" t="n">
        <v>42444</v>
      </c>
      <c r="Q2665" s="47" t="n">
        <v>603</v>
      </c>
      <c r="R2665" s="47" t="inlineStr">
        <is>
          <t>No Video ID yet</t>
        </is>
      </c>
      <c r="S2665" s="49" t="n"/>
      <c r="T2665" s="49" t="n"/>
      <c r="U2665" s="47" t="inlineStr">
        <is>
          <t>Having finished becoming the greatest duelist on Taris, Peaches sets out to complete the very mission he came here for: to rescue Bastila. and maybe make a few mistakes along the way. Every time you give us a thumbs up a Narwhal gets its horn! (maybe.)</t>
        </is>
      </c>
      <c r="V2665" s="47">
        <f>IF(AND(P2665&gt;=Calendar!$K$2,P2665&lt;EDATE(Calendar!$K$2,1),OR(Calendar!$K$4="*",N2665=Calendar!$K$4)),P2665*100+COUNTIFS($P$6:$P$3267,P2665,$Q$6:$Q$3267,"&lt;="&amp;Q2665,$N$6:$N$3267,Calendar!$K$4),"")</f>
        <v/>
      </c>
      <c r="W2665" s="47">
        <f>IF(AND(B2665=Queue!$C$4,OR(Queue!$K$4="*",N2665=Queue!$K$4)),Q2665,"")</f>
        <v/>
      </c>
    </row>
    <row r="2666">
      <c r="A2666" s="38">
        <f>IF(M2666="","",HYPERLINK("https://www.youtube.com/watch?v="&amp;M2666,"▶"))</f>
        <v/>
      </c>
      <c r="B2666" s="39">
        <f>IF(C2666&lt;&gt;"",C2666,IF(P2666&lt;=IFERROR(INDEX(tblChannels[Watched Through],MATCH(N2666,tblChannels[Channel ID],0)),0),"Watched","Unwatched"))</f>
        <v/>
      </c>
      <c r="C2666" s="40" t="n"/>
      <c r="D2666" s="41" t="n"/>
      <c r="E2666" s="42" t="n">
        <v>42444.70347222222</v>
      </c>
      <c r="F2666" s="50" t="inlineStr">
        <is>
          <t>Super Carlin Brothers</t>
        </is>
      </c>
      <c r="G2666" t="inlineStr">
        <is>
          <t>Why Do They Call It... Google Autofill</t>
        </is>
      </c>
      <c r="H2666" s="44" t="n">
        <v>0.005196759259259259</v>
      </c>
      <c r="I2666" s="45" t="n">
        <v>505179</v>
      </c>
      <c r="J2666" s="45" t="n">
        <v>10443</v>
      </c>
      <c r="K2666" s="45" t="n">
        <v>2196</v>
      </c>
      <c r="L2666" s="46" t="n"/>
      <c r="M2666" s="47" t="n"/>
      <c r="N2666" s="47" t="inlineStr">
        <is>
          <t>UCKZo4N0lVPccBkSiuyVh4yg</t>
        </is>
      </c>
      <c r="O2666" s="48" t="n">
        <v>42444.87013888889</v>
      </c>
      <c r="P2666" s="49" t="n">
        <v>42444</v>
      </c>
      <c r="Q2666" s="47" t="n">
        <v>602</v>
      </c>
      <c r="R2666" s="47" t="inlineStr">
        <is>
          <t>No Video ID yet</t>
        </is>
      </c>
      <c r="S2666" s="49" t="n"/>
      <c r="T2666" s="49" t="n"/>
      <c r="U2666" s="47" t="inlineStr">
        <is>
          <t>What other things names do you want explained??? What other Google Autofills should I do??</t>
        </is>
      </c>
      <c r="V2666" s="47">
        <f>IF(AND(P2666&gt;=Calendar!$K$2,P2666&lt;EDATE(Calendar!$K$2,1),OR(Calendar!$K$4="*",N2666=Calendar!$K$4)),P2666*100+COUNTIFS($P$6:$P$3267,P2666,$Q$6:$Q$3267,"&lt;="&amp;Q2666,$N$6:$N$3267,Calendar!$K$4),"")</f>
        <v/>
      </c>
      <c r="W2666" s="47">
        <f>IF(AND(B2666=Queue!$C$4,OR(Queue!$K$4="*",N2666=Queue!$K$4)),Q2666,"")</f>
        <v/>
      </c>
    </row>
    <row r="2667">
      <c r="A2667" s="38">
        <f>IF(M2667="","",HYPERLINK("https://www.youtube.com/watch?v="&amp;M2667,"▶"))</f>
        <v/>
      </c>
      <c r="B2667" s="39">
        <f>IF(C2667&lt;&gt;"",C2667,IF(P2667&lt;=IFERROR(INDEX(tblChannels[Watched Through],MATCH(N2667,tblChannels[Channel ID],0)),0),"Watched","Unwatched"))</f>
        <v/>
      </c>
      <c r="C2667" s="40" t="n"/>
      <c r="D2667" s="41" t="n"/>
      <c r="E2667" s="42" t="n">
        <v>42443.6875</v>
      </c>
      <c r="F2667" s="52" t="inlineStr">
        <is>
          <t>Super Carlin Gaming</t>
        </is>
      </c>
      <c r="G2667" t="inlineStr">
        <is>
          <t>Star Wars Knights of The Old Republic #7 - Cantina Duels</t>
        </is>
      </c>
      <c r="H2667" s="44" t="n">
        <v>0.01543981481481481</v>
      </c>
      <c r="I2667" s="45" t="n">
        <v>2223</v>
      </c>
      <c r="J2667" s="45" t="n">
        <v>62</v>
      </c>
      <c r="K2667" s="45" t="n">
        <v>6</v>
      </c>
      <c r="L2667" s="46" t="n"/>
      <c r="M2667" s="47" t="n"/>
      <c r="N2667" s="47" t="inlineStr">
        <is>
          <t>UCor_9jRnNNZVzTuQ92PKsaQ</t>
        </is>
      </c>
      <c r="O2667" s="48" t="n">
        <v>42443.85416666666</v>
      </c>
      <c r="P2667" s="49" t="n">
        <v>42443</v>
      </c>
      <c r="Q2667" s="47" t="n">
        <v>601</v>
      </c>
      <c r="R2667" s="47" t="inlineStr">
        <is>
          <t>No Video ID yet</t>
        </is>
      </c>
      <c r="S2667" s="49" t="n"/>
      <c r="T2667" s="49" t="n"/>
      <c r="U2667" s="47" t="inlineStr">
        <is>
          <t>Continuing our quest for collecting bounties, today we take on the upper city arena duels! Every time you give us a thumbs up a Narwhal gets its horn! (maybe.)</t>
        </is>
      </c>
      <c r="V2667" s="47">
        <f>IF(AND(P2667&gt;=Calendar!$K$2,P2667&lt;EDATE(Calendar!$K$2,1),OR(Calendar!$K$4="*",N2667=Calendar!$K$4)),P2667*100+COUNTIFS($P$6:$P$3267,P2667,$Q$6:$Q$3267,"&lt;="&amp;Q2667,$N$6:$N$3267,Calendar!$K$4),"")</f>
        <v/>
      </c>
      <c r="W2667" s="47">
        <f>IF(AND(B2667=Queue!$C$4,OR(Queue!$K$4="*",N2667=Queue!$K$4)),Q2667,"")</f>
        <v/>
      </c>
    </row>
    <row r="2668">
      <c r="A2668" s="38">
        <f>IF(M2668="","",HYPERLINK("https://www.youtube.com/watch?v="&amp;M2668,"▶"))</f>
        <v/>
      </c>
      <c r="B2668" s="39">
        <f>IF(C2668&lt;&gt;"",C2668,IF(P2668&lt;=IFERROR(INDEX(tblChannels[Watched Through],MATCH(N2668,tblChannels[Channel ID],0)),0),"Watched","Unwatched"))</f>
        <v/>
      </c>
      <c r="C2668" s="40" t="n"/>
      <c r="D2668" s="41" t="n"/>
      <c r="E2668" s="42" t="n">
        <v>42439.8875</v>
      </c>
      <c r="F2668" s="50" t="inlineStr">
        <is>
          <t>Super Carlin Brothers</t>
        </is>
      </c>
      <c r="G2668" t="inlineStr">
        <is>
          <t>Everything You Need To Know About American Wizards</t>
        </is>
      </c>
      <c r="H2668" s="44" t="n">
        <v>0.004664351851851852</v>
      </c>
      <c r="I2668" s="45" t="n">
        <v>1410448</v>
      </c>
      <c r="J2668" s="45" t="n">
        <v>27287</v>
      </c>
      <c r="K2668" s="45" t="n">
        <v>4447</v>
      </c>
      <c r="L2668" s="46" t="n"/>
      <c r="M2668" s="47" t="n"/>
      <c r="N2668" s="47" t="inlineStr">
        <is>
          <t>UCKZo4N0lVPccBkSiuyVh4yg</t>
        </is>
      </c>
      <c r="O2668" s="48" t="n">
        <v>42440.09583333333</v>
      </c>
      <c r="P2668" s="49" t="n">
        <v>42439</v>
      </c>
      <c r="Q2668" s="47" t="n">
        <v>600</v>
      </c>
      <c r="R2668" s="47" t="inlineStr">
        <is>
          <t>No Video ID yet</t>
        </is>
      </c>
      <c r="S2668" s="49" t="n"/>
      <c r="T2668" s="49" t="n"/>
      <c r="U2668" s="47" t="inlineStr">
        <is>
          <t>JK Rowling has released some background info on Fantastic Beasts and Where to Find Them! What fantastic beasts do you want to see in the movie?? History of Magic in North America ::</t>
        </is>
      </c>
      <c r="V2668" s="47">
        <f>IF(AND(P2668&gt;=Calendar!$K$2,P2668&lt;EDATE(Calendar!$K$2,1),OR(Calendar!$K$4="*",N2668=Calendar!$K$4)),P2668*100+COUNTIFS($P$6:$P$3267,P2668,$Q$6:$Q$3267,"&lt;="&amp;Q2668,$N$6:$N$3267,Calendar!$K$4),"")</f>
        <v/>
      </c>
      <c r="W2668" s="47">
        <f>IF(AND(B2668=Queue!$C$4,OR(Queue!$K$4="*",N2668=Queue!$K$4)),Q2668,"")</f>
        <v/>
      </c>
    </row>
    <row r="2669">
      <c r="A2669" s="38">
        <f>IF(M2669="","",HYPERLINK("https://www.youtube.com/watch?v="&amp;M2669,"▶"))</f>
        <v/>
      </c>
      <c r="B2669" s="39">
        <f>IF(C2669&lt;&gt;"",C2669,IF(P2669&lt;=IFERROR(INDEX(tblChannels[Watched Through],MATCH(N2669,tblChannels[Channel ID],0)),0),"Watched","Unwatched"))</f>
        <v/>
      </c>
      <c r="C2669" s="40" t="n"/>
      <c r="D2669" s="41" t="n"/>
      <c r="E2669" s="42" t="n">
        <v>42439.46388888889</v>
      </c>
      <c r="F2669" s="52" t="inlineStr">
        <is>
          <t>Super Carlin Gaming</t>
        </is>
      </c>
      <c r="G2669" t="inlineStr">
        <is>
          <t>Knights of the Old Republic #6 - Dia's Distinguished Demise</t>
        </is>
      </c>
      <c r="H2669" s="44" t="n">
        <v>0.02208333333333333</v>
      </c>
      <c r="I2669" s="45" t="n">
        <v>2553</v>
      </c>
      <c r="J2669" s="45" t="n">
        <v>59</v>
      </c>
      <c r="K2669" s="45" t="n">
        <v>11</v>
      </c>
      <c r="L2669" s="46" t="n"/>
      <c r="M2669" s="47" t="n"/>
      <c r="N2669" s="47" t="inlineStr">
        <is>
          <t>UCor_9jRnNNZVzTuQ92PKsaQ</t>
        </is>
      </c>
      <c r="O2669" s="48" t="n">
        <v>42439.67222222222</v>
      </c>
      <c r="P2669" s="49" t="n">
        <v>42439</v>
      </c>
      <c r="Q2669" s="47" t="n">
        <v>599</v>
      </c>
      <c r="R2669" s="47" t="inlineStr">
        <is>
          <t>No Video ID yet</t>
        </is>
      </c>
      <c r="S2669" s="49" t="n"/>
      <c r="T2669" s="49" t="n"/>
      <c r="U2669" s="47" t="inlineStr">
        <is>
          <t>We finally collect some of those bounties that have been haunting us. Every time you give us a thumbs up a Narwhal gets its horn! (maybe.</t>
        </is>
      </c>
      <c r="V2669" s="47">
        <f>IF(AND(P2669&gt;=Calendar!$K$2,P2669&lt;EDATE(Calendar!$K$2,1),OR(Calendar!$K$4="*",N2669=Calendar!$K$4)),P2669*100+COUNTIFS($P$6:$P$3267,P2669,$Q$6:$Q$3267,"&lt;="&amp;Q2669,$N$6:$N$3267,Calendar!$K$4),"")</f>
        <v/>
      </c>
      <c r="W2669" s="47">
        <f>IF(AND(B2669=Queue!$C$4,OR(Queue!$K$4="*",N2669=Queue!$K$4)),Q2669,"")</f>
        <v/>
      </c>
    </row>
    <row r="2670">
      <c r="A2670" s="38">
        <f>IF(M2670="","",HYPERLINK("https://www.youtube.com/watch?v="&amp;M2670,"▶"))</f>
        <v/>
      </c>
      <c r="B2670" s="39">
        <f>IF(C2670&lt;&gt;"",C2670,IF(P2670&lt;=IFERROR(INDEX(tblChannels[Watched Through],MATCH(N2670,tblChannels[Channel ID],0)),0),"Watched","Unwatched"))</f>
        <v/>
      </c>
      <c r="C2670" s="40" t="n"/>
      <c r="D2670" s="41" t="n"/>
      <c r="E2670" s="42" t="n">
        <v>42438.61875</v>
      </c>
      <c r="F2670" s="52" t="inlineStr">
        <is>
          <t>Super Carlin Gaming</t>
        </is>
      </c>
      <c r="G2670" t="inlineStr">
        <is>
          <t>Knights of the Old Republic #5 - The Black Vulkar Base.</t>
        </is>
      </c>
      <c r="H2670" s="44" t="n">
        <v>0.02732638888888889</v>
      </c>
      <c r="I2670" s="45" t="n">
        <v>3597</v>
      </c>
      <c r="J2670" s="45" t="n">
        <v>72</v>
      </c>
      <c r="K2670" s="45" t="n">
        <v>23</v>
      </c>
      <c r="L2670" s="46" t="n"/>
      <c r="M2670" s="47" t="n"/>
      <c r="N2670" s="47" t="inlineStr">
        <is>
          <t>UCor_9jRnNNZVzTuQ92PKsaQ</t>
        </is>
      </c>
      <c r="O2670" s="48" t="n">
        <v>42438.82708333333</v>
      </c>
      <c r="P2670" s="49" t="n">
        <v>42438</v>
      </c>
      <c r="Q2670" s="47" t="n">
        <v>598</v>
      </c>
      <c r="R2670" s="47" t="inlineStr">
        <is>
          <t>No Video ID yet</t>
        </is>
      </c>
      <c r="S2670" s="49" t="n"/>
      <c r="T2670" s="49" t="n"/>
      <c r="U2670" s="47" t="inlineStr">
        <is>
          <t>the end of yesterday's video (haha whoops please don't kill me) and hunting through the Black Vulkar base! Every time you give us a thumbs up a Narwhal gets its horn! (maybe.</t>
        </is>
      </c>
      <c r="V2670" s="47">
        <f>IF(AND(P2670&gt;=Calendar!$K$2,P2670&lt;EDATE(Calendar!$K$2,1),OR(Calendar!$K$4="*",N2670=Calendar!$K$4)),P2670*100+COUNTIFS($P$6:$P$3267,P2670,$Q$6:$Q$3267,"&lt;="&amp;Q2670,$N$6:$N$3267,Calendar!$K$4),"")</f>
        <v/>
      </c>
      <c r="W2670" s="47">
        <f>IF(AND(B2670=Queue!$C$4,OR(Queue!$K$4="*",N2670=Queue!$K$4)),Q2670,"")</f>
        <v/>
      </c>
    </row>
    <row r="2671">
      <c r="A2671" s="38">
        <f>IF(M2671="","",HYPERLINK("https://www.youtube.com/watch?v="&amp;M2671,"▶"))</f>
        <v/>
      </c>
      <c r="B2671" s="39">
        <f>IF(C2671&lt;&gt;"",C2671,IF(P2671&lt;=IFERROR(INDEX(tblChannels[Watched Through],MATCH(N2671,tblChannels[Channel ID],0)),0),"Watched","Unwatched"))</f>
        <v/>
      </c>
      <c r="C2671" s="40" t="n"/>
      <c r="D2671" s="41" t="n"/>
      <c r="E2671" s="42" t="n">
        <v>42438.00208333333</v>
      </c>
      <c r="F2671" s="52" t="inlineStr">
        <is>
          <t>Super Carlin Gaming</t>
        </is>
      </c>
      <c r="G2671" t="inlineStr">
        <is>
          <t>Knights of the Old Republic #4 - Mission and Zaalbar Join the Team!</t>
        </is>
      </c>
      <c r="H2671" s="44" t="n">
        <v>0.03390046296296297</v>
      </c>
      <c r="I2671" s="45" t="n">
        <v>4360</v>
      </c>
      <c r="J2671" s="45" t="n">
        <v>81</v>
      </c>
      <c r="K2671" s="45" t="n">
        <v>17</v>
      </c>
      <c r="L2671" s="46" t="n"/>
      <c r="M2671" s="47" t="n"/>
      <c r="N2671" s="47" t="inlineStr">
        <is>
          <t>UCor_9jRnNNZVzTuQ92PKsaQ</t>
        </is>
      </c>
      <c r="O2671" s="48" t="n">
        <v>42438.21041666667</v>
      </c>
      <c r="P2671" s="49" t="n">
        <v>42438</v>
      </c>
      <c r="Q2671" s="47" t="n">
        <v>597</v>
      </c>
      <c r="R2671" s="47" t="inlineStr">
        <is>
          <t>No Video ID yet</t>
        </is>
      </c>
      <c r="S2671" s="49" t="n"/>
      <c r="T2671" s="49" t="n"/>
      <c r="U2671" s="47" t="inlineStr">
        <is>
          <t>Today Mission and Zaalbar join the force! what do you think? who should we keep? Every time you give us a thumbs up a Narwhal gets its horn! (maybe.</t>
        </is>
      </c>
      <c r="V2671" s="47">
        <f>IF(AND(P2671&gt;=Calendar!$K$2,P2671&lt;EDATE(Calendar!$K$2,1),OR(Calendar!$K$4="*",N2671=Calendar!$K$4)),P2671*100+COUNTIFS($P$6:$P$3267,P2671,$Q$6:$Q$3267,"&lt;="&amp;Q2671,$N$6:$N$3267,Calendar!$K$4),"")</f>
        <v/>
      </c>
      <c r="W2671" s="47">
        <f>IF(AND(B2671=Queue!$C$4,OR(Queue!$K$4="*",N2671=Queue!$K$4)),Q2671,"")</f>
        <v/>
      </c>
    </row>
    <row r="2672">
      <c r="A2672" s="38">
        <f>IF(M2672="","",HYPERLINK("https://www.youtube.com/watch?v="&amp;M2672,"▶"))</f>
        <v/>
      </c>
      <c r="B2672" s="39">
        <f>IF(C2672&lt;&gt;"",C2672,IF(P2672&lt;=IFERROR(INDEX(tblChannels[Watched Through],MATCH(N2672,tblChannels[Channel ID],0)),0),"Watched","Unwatched"))</f>
        <v/>
      </c>
      <c r="C2672" s="40" t="n"/>
      <c r="D2672" s="41" t="n"/>
      <c r="E2672" s="42" t="n">
        <v>42437.625</v>
      </c>
      <c r="F2672" s="50" t="inlineStr">
        <is>
          <t>Super Carlin Brothers</t>
        </is>
      </c>
      <c r="G2672" t="inlineStr">
        <is>
          <t>Is Arkham Asylum Real?</t>
        </is>
      </c>
      <c r="H2672" s="44" t="n">
        <v>0.005763888888888889</v>
      </c>
      <c r="I2672" s="45" t="n">
        <v>439732</v>
      </c>
      <c r="J2672" s="45" t="n">
        <v>12683</v>
      </c>
      <c r="K2672" s="45" t="n">
        <v>2200</v>
      </c>
      <c r="L2672" s="46" t="n"/>
      <c r="M2672" s="47" t="n"/>
      <c r="N2672" s="47" t="inlineStr">
        <is>
          <t>UCKZo4N0lVPccBkSiuyVh4yg</t>
        </is>
      </c>
      <c r="O2672" s="48" t="n">
        <v>42437.83333333334</v>
      </c>
      <c r="P2672" s="49" t="n">
        <v>42437</v>
      </c>
      <c r="Q2672" s="47" t="n">
        <v>596</v>
      </c>
      <c r="R2672" s="47" t="inlineStr">
        <is>
          <t>No Video ID yet</t>
        </is>
      </c>
      <c r="S2672" s="49" t="n"/>
      <c r="T2672" s="49" t="n"/>
      <c r="U2672" s="47" t="inlineStr">
        <is>
          <t>Today we are discussing the real life Arkham Asylum, and the monster that once roamed its halls. He's possibly as bad as any Batman villain out there Lore Podcast :: HP Lovecraft Short Stories :: More about Danvers State Hospital:</t>
        </is>
      </c>
      <c r="V2672" s="47">
        <f>IF(AND(P2672&gt;=Calendar!$K$2,P2672&lt;EDATE(Calendar!$K$2,1),OR(Calendar!$K$4="*",N2672=Calendar!$K$4)),P2672*100+COUNTIFS($P$6:$P$3267,P2672,$Q$6:$Q$3267,"&lt;="&amp;Q2672,$N$6:$N$3267,Calendar!$K$4),"")</f>
        <v/>
      </c>
      <c r="W2672" s="47">
        <f>IF(AND(B2672=Queue!$C$4,OR(Queue!$K$4="*",N2672=Queue!$K$4)),Q2672,"")</f>
        <v/>
      </c>
    </row>
    <row r="2673">
      <c r="A2673" s="38">
        <f>IF(M2673="","",HYPERLINK("https://www.youtube.com/watch?v="&amp;M2673,"▶"))</f>
        <v/>
      </c>
      <c r="B2673" s="39">
        <f>IF(C2673&lt;&gt;"",C2673,IF(P2673&lt;=IFERROR(INDEX(tblChannels[Watched Through],MATCH(N2673,tblChannels[Channel ID],0)),0),"Watched","Unwatched"))</f>
        <v/>
      </c>
      <c r="C2673" s="40" t="n"/>
      <c r="D2673" s="41" t="n"/>
      <c r="E2673" s="42" t="n">
        <v>42436.65833333333</v>
      </c>
      <c r="F2673" s="52" t="inlineStr">
        <is>
          <t>Super Carlin Gaming</t>
        </is>
      </c>
      <c r="G2673" t="inlineStr">
        <is>
          <t>Knight of the Old Republic # 3 - Peaches explores the lower city</t>
        </is>
      </c>
      <c r="H2673" s="44" t="n">
        <v>0.02251157407407407</v>
      </c>
      <c r="I2673" s="45" t="n">
        <v>5057</v>
      </c>
      <c r="J2673" s="45" t="n">
        <v>122</v>
      </c>
      <c r="K2673" s="45" t="n">
        <v>12</v>
      </c>
      <c r="L2673" s="46" t="n"/>
      <c r="M2673" s="47" t="n"/>
      <c r="N2673" s="47" t="inlineStr">
        <is>
          <t>UCor_9jRnNNZVzTuQ92PKsaQ</t>
        </is>
      </c>
      <c r="O2673" s="48" t="n">
        <v>42436.86666666667</v>
      </c>
      <c r="P2673" s="49" t="n">
        <v>42436</v>
      </c>
      <c r="Q2673" s="47" t="n">
        <v>595</v>
      </c>
      <c r="R2673" s="47" t="inlineStr">
        <is>
          <t>No Video ID yet</t>
        </is>
      </c>
      <c r="S2673" s="49" t="n"/>
      <c r="T2673" s="49" t="n"/>
      <c r="U2673" s="47" t="inlineStr">
        <is>
          <t>Peaches explores the lower city! QOTD: what is something you've always wanted to learn? Every time you give us a thumbs up a Narwhal gets its horn! (maybe.</t>
        </is>
      </c>
      <c r="V2673" s="47">
        <f>IF(AND(P2673&gt;=Calendar!$K$2,P2673&lt;EDATE(Calendar!$K$2,1),OR(Calendar!$K$4="*",N2673=Calendar!$K$4)),P2673*100+COUNTIFS($P$6:$P$3267,P2673,$Q$6:$Q$3267,"&lt;="&amp;Q2673,$N$6:$N$3267,Calendar!$K$4),"")</f>
        <v/>
      </c>
      <c r="W2673" s="47">
        <f>IF(AND(B2673=Queue!$C$4,OR(Queue!$K$4="*",N2673=Queue!$K$4)),Q2673,"")</f>
        <v/>
      </c>
    </row>
    <row r="2674">
      <c r="A2674" s="38">
        <f>IF(M2674="","",HYPERLINK("https://www.youtube.com/watch?v="&amp;M2674,"▶"))</f>
        <v/>
      </c>
      <c r="B2674" s="39">
        <f>IF(C2674&lt;&gt;"",C2674,IF(P2674&lt;=IFERROR(INDEX(tblChannels[Watched Through],MATCH(N2674,tblChannels[Channel ID],0)),0),"Watched","Unwatched"))</f>
        <v/>
      </c>
      <c r="C2674" s="40" t="n"/>
      <c r="D2674" s="41" t="n"/>
      <c r="E2674" s="42" t="n">
        <v>42432.85555555556</v>
      </c>
      <c r="F2674" s="50" t="inlineStr">
        <is>
          <t>Super Carlin Brothers</t>
        </is>
      </c>
      <c r="G2674" t="inlineStr">
        <is>
          <t>Finding Dory Trailer 2 | Review, Analysis and Predictions</t>
        </is>
      </c>
      <c r="H2674" s="44" t="n">
        <v>0.006782407407407407</v>
      </c>
      <c r="I2674" s="45" t="n">
        <v>402137</v>
      </c>
      <c r="J2674" s="45" t="n">
        <v>8065</v>
      </c>
      <c r="K2674" s="45" t="n">
        <v>1124</v>
      </c>
      <c r="L2674" s="46" t="n"/>
      <c r="M2674" s="47" t="n"/>
      <c r="N2674" s="47" t="inlineStr">
        <is>
          <t>UCKZo4N0lVPccBkSiuyVh4yg</t>
        </is>
      </c>
      <c r="O2674" s="48" t="n">
        <v>42433.06388888889</v>
      </c>
      <c r="P2674" s="49" t="n">
        <v>42432</v>
      </c>
      <c r="Q2674" s="47" t="n">
        <v>594</v>
      </c>
      <c r="R2674" s="47" t="inlineStr">
        <is>
          <t>No Video ID yet</t>
        </is>
      </c>
      <c r="S2674" s="49" t="n"/>
      <c r="T2674" s="49" t="n"/>
      <c r="U2674" s="47" t="inlineStr">
        <is>
          <t>Today we are doing a full review and analysis of the new Finding Dory trailer that debuted on The Ellen Show! Full Trailer here :: What was your favorite part of the trailer???</t>
        </is>
      </c>
      <c r="V2674" s="47">
        <f>IF(AND(P2674&gt;=Calendar!$K$2,P2674&lt;EDATE(Calendar!$K$2,1),OR(Calendar!$K$4="*",N2674=Calendar!$K$4)),P2674*100+COUNTIFS($P$6:$P$3267,P2674,$Q$6:$Q$3267,"&lt;="&amp;Q2674,$N$6:$N$3267,Calendar!$K$4),"")</f>
        <v/>
      </c>
      <c r="W2674" s="47">
        <f>IF(AND(B2674=Queue!$C$4,OR(Queue!$K$4="*",N2674=Queue!$K$4)),Q2674,"")</f>
        <v/>
      </c>
    </row>
    <row r="2675">
      <c r="A2675" s="38">
        <f>IF(M2675="","",HYPERLINK("https://www.youtube.com/watch?v="&amp;M2675,"▶"))</f>
        <v/>
      </c>
      <c r="B2675" s="39">
        <f>IF(C2675&lt;&gt;"",C2675,IF(P2675&lt;=IFERROR(INDEX(tblChannels[Watched Through],MATCH(N2675,tblChannels[Channel ID],0)),0),"Watched","Unwatched"))</f>
        <v/>
      </c>
      <c r="C2675" s="40" t="n"/>
      <c r="D2675" s="41" t="n"/>
      <c r="E2675" s="42" t="n">
        <v>42431.66041666667</v>
      </c>
      <c r="F2675" s="52" t="inlineStr">
        <is>
          <t>Super Carlin Gaming</t>
        </is>
      </c>
      <c r="G2675" t="inlineStr">
        <is>
          <t>Knights of the Old Republic # 2 - Turning to the Peach Side</t>
        </is>
      </c>
      <c r="H2675" s="44" t="n">
        <v>0.02092592592592592</v>
      </c>
      <c r="I2675" s="45" t="n">
        <v>7696</v>
      </c>
      <c r="J2675" s="45" t="n">
        <v>145</v>
      </c>
      <c r="K2675" s="45" t="n">
        <v>28</v>
      </c>
      <c r="L2675" s="46" t="n"/>
      <c r="M2675" s="47" t="n"/>
      <c r="N2675" s="47" t="inlineStr">
        <is>
          <t>UCor_9jRnNNZVzTuQ92PKsaQ</t>
        </is>
      </c>
      <c r="O2675" s="48" t="n">
        <v>42431.86875</v>
      </c>
      <c r="P2675" s="49" t="n">
        <v>42431</v>
      </c>
      <c r="Q2675" s="47" t="n">
        <v>593</v>
      </c>
      <c r="R2675" s="47" t="inlineStr">
        <is>
          <t>No Video ID yet</t>
        </is>
      </c>
      <c r="S2675" s="49" t="n"/>
      <c r="T2675" s="49" t="n"/>
      <c r="U2675" s="47" t="inlineStr">
        <is>
          <t>Peaches takes your advice and turns to the dark side! Today we explore the Taris Upper City! QOTD: 2 swords or 2 bladed sword?</t>
        </is>
      </c>
      <c r="V2675" s="47">
        <f>IF(AND(P2675&gt;=Calendar!$K$2,P2675&lt;EDATE(Calendar!$K$2,1),OR(Calendar!$K$4="*",N2675=Calendar!$K$4)),P2675*100+COUNTIFS($P$6:$P$3267,P2675,$Q$6:$Q$3267,"&lt;="&amp;Q2675,$N$6:$N$3267,Calendar!$K$4),"")</f>
        <v/>
      </c>
      <c r="W2675" s="47">
        <f>IF(AND(B2675=Queue!$C$4,OR(Queue!$K$4="*",N2675=Queue!$K$4)),Q2675,"")</f>
        <v/>
      </c>
    </row>
    <row r="2676">
      <c r="A2676" s="38">
        <f>IF(M2676="","",HYPERLINK("https://www.youtube.com/watch?v="&amp;M2676,"▶"))</f>
        <v/>
      </c>
      <c r="B2676" s="39">
        <f>IF(C2676&lt;&gt;"",C2676,IF(P2676&lt;=IFERROR(INDEX(tblChannels[Watched Through],MATCH(N2676,tblChannels[Channel ID],0)),0),"Watched","Unwatched"))</f>
        <v/>
      </c>
      <c r="C2676" s="40" t="n"/>
      <c r="D2676" s="41" t="n"/>
      <c r="E2676" s="42" t="n">
        <v>42429.625</v>
      </c>
      <c r="F2676" s="50" t="inlineStr">
        <is>
          <t>Super Carlin Brothers</t>
        </is>
      </c>
      <c r="G2676" t="inlineStr">
        <is>
          <t>Pixar Theory: How The Incredibles Got Their Powers</t>
        </is>
      </c>
      <c r="H2676" s="44" t="n">
        <v>0.006631944444444445</v>
      </c>
      <c r="I2676" s="45" t="n">
        <v>3257718</v>
      </c>
      <c r="J2676" s="45" t="n">
        <v>58754</v>
      </c>
      <c r="K2676" s="45" t="n">
        <v>5622</v>
      </c>
      <c r="L2676" s="46" t="n"/>
      <c r="M2676" s="47" t="n"/>
      <c r="N2676" s="47" t="inlineStr">
        <is>
          <t>UCKZo4N0lVPccBkSiuyVh4yg</t>
        </is>
      </c>
      <c r="O2676" s="48" t="n">
        <v>42429.83333333334</v>
      </c>
      <c r="P2676" s="49" t="n">
        <v>42429</v>
      </c>
      <c r="Q2676" s="47" t="n">
        <v>592</v>
      </c>
      <c r="R2676" s="47" t="inlineStr">
        <is>
          <t>No Video ID yet</t>
        </is>
      </c>
      <c r="S2676" s="49" t="n"/>
      <c r="T2676" s="49" t="n"/>
      <c r="U2676" s="47" t="inlineStr">
        <is>
          <t>Today we discuss the untold origin story of Pixar's The Incredibles and reveal how they got their powers! Wheezy Waiter Conspiracy Vid :: The Pixar Theory book ::</t>
        </is>
      </c>
      <c r="V2676" s="47">
        <f>IF(AND(P2676&gt;=Calendar!$K$2,P2676&lt;EDATE(Calendar!$K$2,1),OR(Calendar!$K$4="*",N2676=Calendar!$K$4)),P2676*100+COUNTIFS($P$6:$P$3267,P2676,$Q$6:$Q$3267,"&lt;="&amp;Q2676,$N$6:$N$3267,Calendar!$K$4),"")</f>
        <v/>
      </c>
      <c r="W2676" s="47">
        <f>IF(AND(B2676=Queue!$C$4,OR(Queue!$K$4="*",N2676=Queue!$K$4)),Q2676,"")</f>
        <v/>
      </c>
    </row>
    <row r="2677">
      <c r="A2677" s="38">
        <f>IF(M2677="","",HYPERLINK("https://www.youtube.com/watch?v="&amp;M2677,"▶"))</f>
        <v/>
      </c>
      <c r="B2677" s="39">
        <f>IF(C2677&lt;&gt;"",C2677,IF(P2677&lt;=IFERROR(INDEX(tblChannels[Watched Through],MATCH(N2677,tblChannels[Channel ID],0)),0),"Watched","Unwatched"))</f>
        <v/>
      </c>
      <c r="C2677" s="40" t="n"/>
      <c r="D2677" s="41" t="n"/>
      <c r="E2677" s="42" t="n">
        <v>42425.87847222222</v>
      </c>
      <c r="F2677" s="50" t="inlineStr">
        <is>
          <t>Super Carlin Brothers</t>
        </is>
      </c>
      <c r="G2677" t="inlineStr">
        <is>
          <t>Fast Facts: The Dark Knight</t>
        </is>
      </c>
      <c r="H2677" s="44" t="n">
        <v>0.001990740740740741</v>
      </c>
      <c r="I2677" s="45" t="n">
        <v>67906</v>
      </c>
      <c r="J2677" s="45" t="n">
        <v>2388</v>
      </c>
      <c r="K2677" s="45" t="n">
        <v>155</v>
      </c>
      <c r="L2677" s="46" t="n"/>
      <c r="M2677" s="47" t="n"/>
      <c r="N2677" s="47" t="inlineStr">
        <is>
          <t>UCKZo4N0lVPccBkSiuyVh4yg</t>
        </is>
      </c>
      <c r="O2677" s="48" t="n">
        <v>42426.08680555555</v>
      </c>
      <c r="P2677" s="49" t="n">
        <v>42425</v>
      </c>
      <c r="Q2677" s="47" t="n">
        <v>591</v>
      </c>
      <c r="R2677" s="47" t="inlineStr">
        <is>
          <t>No Video ID yet</t>
        </is>
      </c>
      <c r="S2677" s="49" t="n"/>
      <c r="T2677" s="49" t="n"/>
      <c r="U2677" s="47" t="n"/>
      <c r="V2677" s="47">
        <f>IF(AND(P2677&gt;=Calendar!$K$2,P2677&lt;EDATE(Calendar!$K$2,1),OR(Calendar!$K$4="*",N2677=Calendar!$K$4)),P2677*100+COUNTIFS($P$6:$P$3267,P2677,$Q$6:$Q$3267,"&lt;="&amp;Q2677,$N$6:$N$3267,Calendar!$K$4),"")</f>
        <v/>
      </c>
      <c r="W2677" s="47">
        <f>IF(AND(B2677=Queue!$C$4,OR(Queue!$K$4="*",N2677=Queue!$K$4)),Q2677,"")</f>
        <v/>
      </c>
    </row>
    <row r="2678">
      <c r="A2678" s="38">
        <f>IF(M2678="","",HYPERLINK("https://www.youtube.com/watch?v="&amp;M2678,"▶"))</f>
        <v/>
      </c>
      <c r="B2678" s="39">
        <f>IF(C2678&lt;&gt;"",C2678,IF(P2678&lt;=IFERROR(INDEX(tblChannels[Watched Through],MATCH(N2678,tblChannels[Channel ID],0)),0),"Watched","Unwatched"))</f>
        <v/>
      </c>
      <c r="C2678" s="40" t="n"/>
      <c r="D2678" s="41" t="n"/>
      <c r="E2678" s="42" t="n">
        <v>42423.70416666667</v>
      </c>
      <c r="F2678" s="52" t="inlineStr">
        <is>
          <t>Super Carlin Gaming</t>
        </is>
      </c>
      <c r="G2678" t="inlineStr">
        <is>
          <t>Knights of the Old Republic #1 - Peaches McClain</t>
        </is>
      </c>
      <c r="H2678" s="44" t="n">
        <v>0.01702546296296296</v>
      </c>
      <c r="I2678" s="45" t="n">
        <v>33794</v>
      </c>
      <c r="J2678" s="45" t="n">
        <v>590</v>
      </c>
      <c r="K2678" s="45" t="n">
        <v>169</v>
      </c>
      <c r="L2678" s="46" t="n"/>
      <c r="M2678" s="47" t="n"/>
      <c r="N2678" s="47" t="inlineStr">
        <is>
          <t>UCor_9jRnNNZVzTuQ92PKsaQ</t>
        </is>
      </c>
      <c r="O2678" s="48" t="n">
        <v>42423.9125</v>
      </c>
      <c r="P2678" s="49" t="n">
        <v>42423</v>
      </c>
      <c r="Q2678" s="47" t="n">
        <v>590</v>
      </c>
      <c r="R2678" s="47" t="inlineStr">
        <is>
          <t>No Video ID yet</t>
        </is>
      </c>
      <c r="S2678" s="49" t="n"/>
      <c r="T2678" s="49" t="n"/>
      <c r="U2678" s="47" t="inlineStr">
        <is>
          <t>Watch as I (Tyler) play through my old childhood favorite, Star Wars: Knights of the Old Republic! What side should I choose? Light or Dark?</t>
        </is>
      </c>
      <c r="V2678" s="47">
        <f>IF(AND(P2678&gt;=Calendar!$K$2,P2678&lt;EDATE(Calendar!$K$2,1),OR(Calendar!$K$4="*",N2678=Calendar!$K$4)),P2678*100+COUNTIFS($P$6:$P$3267,P2678,$Q$6:$Q$3267,"&lt;="&amp;Q2678,$N$6:$N$3267,Calendar!$K$4),"")</f>
        <v/>
      </c>
      <c r="W2678" s="47">
        <f>IF(AND(B2678=Queue!$C$4,OR(Queue!$K$4="*",N2678=Queue!$K$4)),Q2678,"")</f>
        <v/>
      </c>
    </row>
    <row r="2679">
      <c r="A2679" s="38">
        <f>IF(M2679="","",HYPERLINK("https://www.youtube.com/watch?v="&amp;M2679,"▶"))</f>
        <v/>
      </c>
      <c r="B2679" s="39">
        <f>IF(C2679&lt;&gt;"",C2679,IF(P2679&lt;=IFERROR(INDEX(tblChannels[Watched Through],MATCH(N2679,tblChannels[Channel ID],0)),0),"Watched","Unwatched"))</f>
        <v/>
      </c>
      <c r="C2679" s="40" t="n"/>
      <c r="D2679" s="41" t="n"/>
      <c r="E2679" s="42" t="n">
        <v>42423.67847222222</v>
      </c>
      <c r="F2679" s="50" t="inlineStr">
        <is>
          <t>Super Carlin Brothers</t>
        </is>
      </c>
      <c r="G2679" t="inlineStr">
        <is>
          <t>Is Jane a Descendant of Belle??</t>
        </is>
      </c>
      <c r="H2679" s="44" t="n">
        <v>0.00449074074074074</v>
      </c>
      <c r="I2679" s="45" t="n">
        <v>1819001</v>
      </c>
      <c r="J2679" s="45" t="n">
        <v>33428</v>
      </c>
      <c r="K2679" s="45" t="n">
        <v>5319</v>
      </c>
      <c r="L2679" s="46" t="n"/>
      <c r="M2679" s="47" t="n"/>
      <c r="N2679" s="47" t="inlineStr">
        <is>
          <t>UCKZo4N0lVPccBkSiuyVh4yg</t>
        </is>
      </c>
      <c r="O2679" s="48" t="n">
        <v>42423.88680555556</v>
      </c>
      <c r="P2679" s="49" t="n">
        <v>42423</v>
      </c>
      <c r="Q2679" s="47" t="n">
        <v>589</v>
      </c>
      <c r="R2679" s="47" t="inlineStr">
        <is>
          <t>No Video ID yet</t>
        </is>
      </c>
      <c r="S2679" s="49" t="n"/>
      <c r="T2679" s="49" t="n"/>
      <c r="U2679" s="47" t="inlineStr">
        <is>
          <t>Today we discuss the possibility of Jane from Tarzan and Belle from Beauty and the Beast being related and passing down a now very old set of tea pots. What do you think, is Jane a descendant of Belle? Full Article ::</t>
        </is>
      </c>
      <c r="V2679" s="47">
        <f>IF(AND(P2679&gt;=Calendar!$K$2,P2679&lt;EDATE(Calendar!$K$2,1),OR(Calendar!$K$4="*",N2679=Calendar!$K$4)),P2679*100+COUNTIFS($P$6:$P$3267,P2679,$Q$6:$Q$3267,"&lt;="&amp;Q2679,$N$6:$N$3267,Calendar!$K$4),"")</f>
        <v/>
      </c>
      <c r="W2679" s="47">
        <f>IF(AND(B2679=Queue!$C$4,OR(Queue!$K$4="*",N2679=Queue!$K$4)),Q2679,"")</f>
        <v/>
      </c>
    </row>
    <row r="2680">
      <c r="A2680" s="38">
        <f>IF(M2680="","",HYPERLINK("https://www.youtube.com/watch?v="&amp;M2680,"▶"))</f>
        <v/>
      </c>
      <c r="B2680" s="39">
        <f>IF(C2680&lt;&gt;"",C2680,IF(P2680&lt;=IFERROR(INDEX(tblChannels[Watched Through],MATCH(N2680,tblChannels[Channel ID],0)),0),"Watched","Unwatched"))</f>
        <v/>
      </c>
      <c r="C2680" s="40" t="n"/>
      <c r="D2680" s="41" t="n"/>
      <c r="E2680" s="42" t="n">
        <v>42418.95069444444</v>
      </c>
      <c r="F2680" s="50" t="inlineStr">
        <is>
          <t>Super Carlin Brothers</t>
        </is>
      </c>
      <c r="G2680" t="inlineStr">
        <is>
          <t>Fast Facts: Batman Begins</t>
        </is>
      </c>
      <c r="H2680" s="44" t="n">
        <v>0.001689814814814815</v>
      </c>
      <c r="I2680" s="45" t="n">
        <v>66171</v>
      </c>
      <c r="J2680" s="45" t="n">
        <v>2101</v>
      </c>
      <c r="K2680" s="45" t="n">
        <v>185</v>
      </c>
      <c r="L2680" s="46" t="n"/>
      <c r="M2680" s="47" t="n"/>
      <c r="N2680" s="47" t="inlineStr">
        <is>
          <t>UCKZo4N0lVPccBkSiuyVh4yg</t>
        </is>
      </c>
      <c r="O2680" s="48" t="n">
        <v>42419.15902777778</v>
      </c>
      <c r="P2680" s="49" t="n">
        <v>42418</v>
      </c>
      <c r="Q2680" s="47" t="n">
        <v>588</v>
      </c>
      <c r="R2680" s="47" t="inlineStr">
        <is>
          <t>No Video ID yet</t>
        </is>
      </c>
      <c r="S2680" s="49" t="n"/>
      <c r="T2680" s="49" t="n"/>
      <c r="U2680" s="47" t="n"/>
      <c r="V2680" s="47">
        <f>IF(AND(P2680&gt;=Calendar!$K$2,P2680&lt;EDATE(Calendar!$K$2,1),OR(Calendar!$K$4="*",N2680=Calendar!$K$4)),P2680*100+COUNTIFS($P$6:$P$3267,P2680,$Q$6:$Q$3267,"&lt;="&amp;Q2680,$N$6:$N$3267,Calendar!$K$4),"")</f>
        <v/>
      </c>
      <c r="W2680" s="47">
        <f>IF(AND(B2680=Queue!$C$4,OR(Queue!$K$4="*",N2680=Queue!$K$4)),Q2680,"")</f>
        <v/>
      </c>
    </row>
    <row r="2681">
      <c r="A2681" s="38">
        <f>IF(M2681="","",HYPERLINK("https://www.youtube.com/watch?v="&amp;M2681,"▶"))</f>
        <v/>
      </c>
      <c r="B2681" s="39">
        <f>IF(C2681&lt;&gt;"",C2681,IF(P2681&lt;=IFERROR(INDEX(tblChannels[Watched Through],MATCH(N2681,tblChannels[Channel ID],0)),0),"Watched","Unwatched"))</f>
        <v/>
      </c>
      <c r="C2681" s="40" t="n"/>
      <c r="D2681" s="41" t="n"/>
      <c r="E2681" s="42" t="n">
        <v>42416.66319444445</v>
      </c>
      <c r="F2681" s="50" t="inlineStr">
        <is>
          <t>Super Carlin Brothers</t>
        </is>
      </c>
      <c r="G2681" t="inlineStr">
        <is>
          <t>Is Princess Leia a Disney Princess?</t>
        </is>
      </c>
      <c r="H2681" s="44" t="n">
        <v>0.00474537037037037</v>
      </c>
      <c r="I2681" s="45" t="n">
        <v>855543</v>
      </c>
      <c r="J2681" s="45" t="n">
        <v>17621</v>
      </c>
      <c r="K2681" s="45" t="n">
        <v>5803</v>
      </c>
      <c r="L2681" s="46" t="n"/>
      <c r="M2681" s="47" t="n"/>
      <c r="N2681" s="47" t="inlineStr">
        <is>
          <t>UCKZo4N0lVPccBkSiuyVh4yg</t>
        </is>
      </c>
      <c r="O2681" s="48" t="n">
        <v>42416.87152777778</v>
      </c>
      <c r="P2681" s="49" t="n">
        <v>42416</v>
      </c>
      <c r="Q2681" s="47" t="n">
        <v>587</v>
      </c>
      <c r="R2681" s="47" t="inlineStr">
        <is>
          <t>No Video ID yet</t>
        </is>
      </c>
      <c r="S2681" s="49" t="n"/>
      <c r="T2681" s="49" t="n"/>
      <c r="U2681" s="47" t="inlineStr">
        <is>
          <t>I have asked a few times who you guys favorite Disney Princess is and am always surprised by the number of people to say Leia, so today I am discussing whether or not she should be considered a Disney Princess! What do you think? Leia Thumbnail Artist: www.asurocks.de</t>
        </is>
      </c>
      <c r="V2681" s="47">
        <f>IF(AND(P2681&gt;=Calendar!$K$2,P2681&lt;EDATE(Calendar!$K$2,1),OR(Calendar!$K$4="*",N2681=Calendar!$K$4)),P2681*100+COUNTIFS($P$6:$P$3267,P2681,$Q$6:$Q$3267,"&lt;="&amp;Q2681,$N$6:$N$3267,Calendar!$K$4),"")</f>
        <v/>
      </c>
      <c r="W2681" s="47">
        <f>IF(AND(B2681=Queue!$C$4,OR(Queue!$K$4="*",N2681=Queue!$K$4)),Q2681,"")</f>
        <v/>
      </c>
    </row>
    <row r="2682">
      <c r="A2682" s="38">
        <f>IF(M2682="","",HYPERLINK("https://www.youtube.com/watch?v="&amp;M2682,"▶"))</f>
        <v/>
      </c>
      <c r="B2682" s="39">
        <f>IF(C2682&lt;&gt;"",C2682,IF(P2682&lt;=IFERROR(INDEX(tblChannels[Watched Through],MATCH(N2682,tblChannels[Channel ID],0)),0),"Watched","Unwatched"))</f>
        <v/>
      </c>
      <c r="C2682" s="40" t="n"/>
      <c r="D2682" s="41" t="n"/>
      <c r="E2682" s="42" t="n">
        <v>42411.82708333333</v>
      </c>
      <c r="F2682" s="50" t="inlineStr">
        <is>
          <t>Super Carlin Brothers</t>
        </is>
      </c>
      <c r="G2682" t="inlineStr">
        <is>
          <t>LOOT CRATE UNBOXING | INVASION</t>
        </is>
      </c>
      <c r="H2682" s="44" t="n">
        <v>0.004722222222222222</v>
      </c>
      <c r="I2682" s="45" t="n">
        <v>106045</v>
      </c>
      <c r="J2682" s="45" t="n">
        <v>3064</v>
      </c>
      <c r="K2682" s="45" t="n">
        <v>1050</v>
      </c>
      <c r="L2682" s="46" t="n"/>
      <c r="M2682" s="47" t="n"/>
      <c r="N2682" s="47" t="inlineStr">
        <is>
          <t>UCKZo4N0lVPccBkSiuyVh4yg</t>
        </is>
      </c>
      <c r="O2682" s="48" t="n">
        <v>42412.03541666667</v>
      </c>
      <c r="P2682" s="49" t="n">
        <v>42411</v>
      </c>
      <c r="Q2682" s="47" t="n">
        <v>586</v>
      </c>
      <c r="R2682" s="47" t="inlineStr">
        <is>
          <t>No Video ID yet</t>
        </is>
      </c>
      <c r="S2682" s="49" t="n"/>
      <c r="T2682" s="49" t="n"/>
      <c r="U2682" s="47" t="inlineStr">
        <is>
          <t>Save 10% off your order :: Promo Code: CARLIN</t>
        </is>
      </c>
      <c r="V2682" s="47">
        <f>IF(AND(P2682&gt;=Calendar!$K$2,P2682&lt;EDATE(Calendar!$K$2,1),OR(Calendar!$K$4="*",N2682=Calendar!$K$4)),P2682*100+COUNTIFS($P$6:$P$3267,P2682,$Q$6:$Q$3267,"&lt;="&amp;Q2682,$N$6:$N$3267,Calendar!$K$4),"")</f>
        <v/>
      </c>
      <c r="W2682" s="47">
        <f>IF(AND(B2682=Queue!$C$4,OR(Queue!$K$4="*",N2682=Queue!$K$4)),Q2682,"")</f>
        <v/>
      </c>
    </row>
    <row r="2683">
      <c r="A2683" s="38">
        <f>IF(M2683="","",HYPERLINK("https://www.youtube.com/watch?v="&amp;M2683,"▶"))</f>
        <v/>
      </c>
      <c r="B2683" s="39">
        <f>IF(C2683&lt;&gt;"",C2683,IF(P2683&lt;=IFERROR(INDEX(tblChannels[Watched Through],MATCH(N2683,tblChannels[Channel ID],0)),0),"Watched","Unwatched"))</f>
        <v/>
      </c>
      <c r="C2683" s="40" t="n"/>
      <c r="D2683" s="41" t="n"/>
      <c r="E2683" s="42" t="n">
        <v>42409.625</v>
      </c>
      <c r="F2683" s="50" t="inlineStr">
        <is>
          <t>Super Carlin Brothers</t>
        </is>
      </c>
      <c r="G2683" t="inlineStr">
        <is>
          <t>Does Deadpool Google Autofill</t>
        </is>
      </c>
      <c r="H2683" s="44" t="n">
        <v>0.003773148148148148</v>
      </c>
      <c r="I2683" s="45" t="n">
        <v>383228</v>
      </c>
      <c r="J2683" s="45" t="n">
        <v>10085</v>
      </c>
      <c r="K2683" s="45" t="n">
        <v>1141</v>
      </c>
      <c r="L2683" s="46" t="n"/>
      <c r="M2683" s="47" t="n"/>
      <c r="N2683" s="47" t="inlineStr">
        <is>
          <t>UCKZo4N0lVPccBkSiuyVh4yg</t>
        </is>
      </c>
      <c r="O2683" s="48" t="n">
        <v>42409.83333333334</v>
      </c>
      <c r="P2683" s="49" t="n">
        <v>42409</v>
      </c>
      <c r="Q2683" s="47" t="n">
        <v>585</v>
      </c>
      <c r="R2683" s="47" t="inlineStr">
        <is>
          <t>No Video ID yet</t>
        </is>
      </c>
      <c r="S2683" s="49" t="n"/>
      <c r="T2683" s="49" t="n"/>
      <c r="U2683" s="47" t="inlineStr">
        <is>
          <t>DKlarations :: Are you excited for Deadpool??</t>
        </is>
      </c>
      <c r="V2683" s="47">
        <f>IF(AND(P2683&gt;=Calendar!$K$2,P2683&lt;EDATE(Calendar!$K$2,1),OR(Calendar!$K$4="*",N2683=Calendar!$K$4)),P2683*100+COUNTIFS($P$6:$P$3267,P2683,$Q$6:$Q$3267,"&lt;="&amp;Q2683,$N$6:$N$3267,Calendar!$K$4),"")</f>
        <v/>
      </c>
      <c r="W2683" s="47">
        <f>IF(AND(B2683=Queue!$C$4,OR(Queue!$K$4="*",N2683=Queue!$K$4)),Q2683,"")</f>
        <v/>
      </c>
    </row>
    <row r="2684">
      <c r="A2684" s="38">
        <f>IF(M2684="","",HYPERLINK("https://www.youtube.com/watch?v="&amp;M2684,"▶"))</f>
        <v/>
      </c>
      <c r="B2684" s="39">
        <f>IF(C2684&lt;&gt;"",C2684,IF(P2684&lt;=IFERROR(INDEX(tblChannels[Watched Through],MATCH(N2684,tblChannels[Channel ID],0)),0),"Watched","Unwatched"))</f>
        <v/>
      </c>
      <c r="C2684" s="40" t="n"/>
      <c r="D2684" s="41" t="n"/>
      <c r="E2684" s="42" t="n">
        <v>42404.95347222222</v>
      </c>
      <c r="F2684" s="50" t="inlineStr">
        <is>
          <t>Super Carlin Brothers</t>
        </is>
      </c>
      <c r="G2684" t="inlineStr">
        <is>
          <t>Fast Facts: Mulan</t>
        </is>
      </c>
      <c r="H2684" s="44" t="n">
        <v>0.001354166666666667</v>
      </c>
      <c r="I2684" s="45" t="n">
        <v>182516</v>
      </c>
      <c r="J2684" s="45" t="n">
        <v>5996</v>
      </c>
      <c r="K2684" s="45" t="n">
        <v>354</v>
      </c>
      <c r="L2684" s="46" t="n"/>
      <c r="M2684" s="47" t="n"/>
      <c r="N2684" s="47" t="inlineStr">
        <is>
          <t>UCKZo4N0lVPccBkSiuyVh4yg</t>
        </is>
      </c>
      <c r="O2684" s="48" t="n">
        <v>42405.16180555556</v>
      </c>
      <c r="P2684" s="49" t="n">
        <v>42404</v>
      </c>
      <c r="Q2684" s="47" t="n">
        <v>584</v>
      </c>
      <c r="R2684" s="47" t="inlineStr">
        <is>
          <t>No Video ID yet</t>
        </is>
      </c>
      <c r="S2684" s="49" t="n"/>
      <c r="T2684" s="49" t="n"/>
      <c r="U2684" s="47" t="n"/>
      <c r="V2684" s="47">
        <f>IF(AND(P2684&gt;=Calendar!$K$2,P2684&lt;EDATE(Calendar!$K$2,1),OR(Calendar!$K$4="*",N2684=Calendar!$K$4)),P2684*100+COUNTIFS($P$6:$P$3267,P2684,$Q$6:$Q$3267,"&lt;="&amp;Q2684,$N$6:$N$3267,Calendar!$K$4),"")</f>
        <v/>
      </c>
      <c r="W2684" s="47">
        <f>IF(AND(B2684=Queue!$C$4,OR(Queue!$K$4="*",N2684=Queue!$K$4)),Q2684,"")</f>
        <v/>
      </c>
    </row>
    <row r="2685">
      <c r="A2685" s="38">
        <f>IF(M2685="","",HYPERLINK("https://www.youtube.com/watch?v="&amp;M2685,"▶"))</f>
        <v/>
      </c>
      <c r="B2685" s="39">
        <f>IF(C2685&lt;&gt;"",C2685,IF(P2685&lt;=IFERROR(INDEX(tblChannels[Watched Through],MATCH(N2685,tblChannels[Channel ID],0)),0),"Watched","Unwatched"))</f>
        <v/>
      </c>
      <c r="C2685" s="40" t="n"/>
      <c r="D2685" s="41" t="n"/>
      <c r="E2685" s="42" t="n">
        <v>42402.69236111111</v>
      </c>
      <c r="F2685" s="50" t="inlineStr">
        <is>
          <t>Super Carlin Brothers</t>
        </is>
      </c>
      <c r="G2685" t="inlineStr">
        <is>
          <t>Top 10 Reasons Mulan is the Best Disney Princess Ever</t>
        </is>
      </c>
      <c r="H2685" s="44" t="n">
        <v>0.005196759259259259</v>
      </c>
      <c r="I2685" s="45" t="n">
        <v>771919</v>
      </c>
      <c r="J2685" s="45" t="n">
        <v>29094</v>
      </c>
      <c r="K2685" s="45" t="n">
        <v>4679</v>
      </c>
      <c r="L2685" s="46" t="n"/>
      <c r="M2685" s="47" t="n"/>
      <c r="N2685" s="47" t="inlineStr">
        <is>
          <t>UCKZo4N0lVPccBkSiuyVh4yg</t>
        </is>
      </c>
      <c r="O2685" s="48" t="n">
        <v>42402.90069444444</v>
      </c>
      <c r="P2685" s="49" t="n">
        <v>42402</v>
      </c>
      <c r="Q2685" s="47" t="n">
        <v>583</v>
      </c>
      <c r="R2685" s="47" t="inlineStr">
        <is>
          <t>No Video ID yet</t>
        </is>
      </c>
      <c r="S2685" s="49" t="n"/>
      <c r="T2685" s="49" t="n"/>
      <c r="U2685" s="47" t="inlineStr">
        <is>
          <t>You guys voted and now I am running down the Top 10 Reasons Mulan is the Best Disney Princess Ever! What is your favorite Mulan Moment? Ballad of Mulan ::</t>
        </is>
      </c>
      <c r="V2685" s="47">
        <f>IF(AND(P2685&gt;=Calendar!$K$2,P2685&lt;EDATE(Calendar!$K$2,1),OR(Calendar!$K$4="*",N2685=Calendar!$K$4)),P2685*100+COUNTIFS($P$6:$P$3267,P2685,$Q$6:$Q$3267,"&lt;="&amp;Q2685,$N$6:$N$3267,Calendar!$K$4),"")</f>
        <v/>
      </c>
      <c r="W2685" s="47">
        <f>IF(AND(B2685=Queue!$C$4,OR(Queue!$K$4="*",N2685=Queue!$K$4)),Q2685,"")</f>
        <v/>
      </c>
    </row>
    <row r="2686">
      <c r="A2686" s="38">
        <f>IF(M2686="","",HYPERLINK("https://www.youtube.com/watch?v="&amp;M2686,"▶"))</f>
        <v/>
      </c>
      <c r="B2686" s="39">
        <f>IF(C2686&lt;&gt;"",C2686,IF(P2686&lt;=IFERROR(INDEX(tblChannels[Watched Through],MATCH(N2686,tblChannels[Channel ID],0)),0),"Watched","Unwatched"))</f>
        <v/>
      </c>
      <c r="C2686" s="40" t="n"/>
      <c r="D2686" s="41" t="n"/>
      <c r="E2686" s="42" t="n">
        <v>42398.02152777778</v>
      </c>
      <c r="F2686" s="50" t="inlineStr">
        <is>
          <t>Super Carlin Brothers</t>
        </is>
      </c>
      <c r="G2686" t="inlineStr">
        <is>
          <t>Is Rey Darth Vader's Sister?</t>
        </is>
      </c>
      <c r="H2686" s="44" t="n">
        <v>0.004097222222222223</v>
      </c>
      <c r="I2686" s="45" t="n">
        <v>747217</v>
      </c>
      <c r="J2686" s="45" t="n">
        <v>13101</v>
      </c>
      <c r="K2686" s="45" t="n">
        <v>3985</v>
      </c>
      <c r="L2686" s="46" t="n"/>
      <c r="M2686" s="47" t="n"/>
      <c r="N2686" s="47" t="inlineStr">
        <is>
          <t>UCKZo4N0lVPccBkSiuyVh4yg</t>
        </is>
      </c>
      <c r="O2686" s="48" t="n">
        <v>42398.22986111111</v>
      </c>
      <c r="P2686" s="49" t="n">
        <v>42398</v>
      </c>
      <c r="Q2686" s="47" t="n">
        <v>582</v>
      </c>
      <c r="R2686" s="47" t="inlineStr">
        <is>
          <t>No Video ID yet</t>
        </is>
      </c>
      <c r="S2686" s="49" t="n"/>
      <c r="T2686" s="49" t="n"/>
      <c r="U2686" s="47" t="inlineStr">
        <is>
          <t>D-Cast Version: Link to D-Cast:</t>
        </is>
      </c>
      <c r="V2686" s="47">
        <f>IF(AND(P2686&gt;=Calendar!$K$2,P2686&lt;EDATE(Calendar!$K$2,1),OR(Calendar!$K$4="*",N2686=Calendar!$K$4)),P2686*100+COUNTIFS($P$6:$P$3267,P2686,$Q$6:$Q$3267,"&lt;="&amp;Q2686,$N$6:$N$3267,Calendar!$K$4),"")</f>
        <v/>
      </c>
      <c r="W2686" s="47">
        <f>IF(AND(B2686=Queue!$C$4,OR(Queue!$K$4="*",N2686=Queue!$K$4)),Q2686,"")</f>
        <v/>
      </c>
    </row>
    <row r="2687">
      <c r="A2687" s="38">
        <f>IF(M2687="","",HYPERLINK("https://www.youtube.com/watch?v="&amp;M2687,"▶"))</f>
        <v/>
      </c>
      <c r="B2687" s="39">
        <f>IF(C2687&lt;&gt;"",C2687,IF(P2687&lt;=IFERROR(INDEX(tblChannels[Watched Through],MATCH(N2687,tblChannels[Channel ID],0)),0),"Watched","Unwatched"))</f>
        <v/>
      </c>
      <c r="C2687" s="40" t="n"/>
      <c r="D2687" s="41" t="n"/>
      <c r="E2687" s="42" t="n">
        <v>42395.70763888889</v>
      </c>
      <c r="F2687" s="50" t="inlineStr">
        <is>
          <t>Super Carlin Brothers</t>
        </is>
      </c>
      <c r="G2687" t="inlineStr">
        <is>
          <t>Pixar Theory: What Happened to Andy's Dad?</t>
        </is>
      </c>
      <c r="H2687" s="44" t="n">
        <v>0.004884259259259259</v>
      </c>
      <c r="I2687" s="45" t="n">
        <v>1679711</v>
      </c>
      <c r="J2687" s="45" t="n">
        <v>36227</v>
      </c>
      <c r="K2687" s="45" t="n">
        <v>5549</v>
      </c>
      <c r="L2687" s="46" t="n"/>
      <c r="M2687" s="47" t="n"/>
      <c r="N2687" s="47" t="inlineStr">
        <is>
          <t>UCKZo4N0lVPccBkSiuyVh4yg</t>
        </is>
      </c>
      <c r="O2687" s="48" t="n">
        <v>42395.91597222222</v>
      </c>
      <c r="P2687" s="49" t="n">
        <v>42395</v>
      </c>
      <c r="Q2687" s="47" t="n">
        <v>581</v>
      </c>
      <c r="R2687" s="47" t="inlineStr">
        <is>
          <t>No Video ID yet</t>
        </is>
      </c>
      <c r="S2687" s="49" t="n"/>
      <c r="T2687" s="49" t="n"/>
      <c r="U2687" s="47" t="inlineStr">
        <is>
          <t>Today we discuss what happened to Andy's dad. Are his parents divorced? Did he die? What do you think?? Other Great Andy's Dad Articles ::</t>
        </is>
      </c>
      <c r="V2687" s="47">
        <f>IF(AND(P2687&gt;=Calendar!$K$2,P2687&lt;EDATE(Calendar!$K$2,1),OR(Calendar!$K$4="*",N2687=Calendar!$K$4)),P2687*100+COUNTIFS($P$6:$P$3267,P2687,$Q$6:$Q$3267,"&lt;="&amp;Q2687,$N$6:$N$3267,Calendar!$K$4),"")</f>
        <v/>
      </c>
      <c r="W2687" s="47">
        <f>IF(AND(B2687=Queue!$C$4,OR(Queue!$K$4="*",N2687=Queue!$K$4)),Q2687,"")</f>
        <v/>
      </c>
    </row>
    <row r="2688">
      <c r="A2688" s="38">
        <f>IF(M2688="","",HYPERLINK("https://www.youtube.com/watch?v="&amp;M2688,"▶"))</f>
        <v/>
      </c>
      <c r="B2688" s="39">
        <f>IF(C2688&lt;&gt;"",C2688,IF(P2688&lt;=IFERROR(INDEX(tblChannels[Watched Through],MATCH(N2688,tblChannels[Channel ID],0)),0),"Watched","Unwatched"))</f>
        <v/>
      </c>
      <c r="C2688" s="40" t="n"/>
      <c r="D2688" s="41" t="n"/>
      <c r="E2688" s="42" t="n">
        <v>42391.02847222222</v>
      </c>
      <c r="F2688" s="50" t="inlineStr">
        <is>
          <t>Super Carlin Brothers</t>
        </is>
      </c>
      <c r="G2688" t="inlineStr">
        <is>
          <t>Is Kylo Ren Actually Severus Snape?!</t>
        </is>
      </c>
      <c r="H2688" s="44" t="n">
        <v>0.003923611111111111</v>
      </c>
      <c r="I2688" s="45" t="n">
        <v>736385</v>
      </c>
      <c r="J2688" s="45" t="n">
        <v>18685</v>
      </c>
      <c r="K2688" s="45" t="n">
        <v>2878</v>
      </c>
      <c r="L2688" s="46" t="n"/>
      <c r="M2688" s="47" t="n"/>
      <c r="N2688" s="47" t="inlineStr">
        <is>
          <t>UCKZo4N0lVPccBkSiuyVh4yg</t>
        </is>
      </c>
      <c r="O2688" s="48" t="n">
        <v>42391.23680555556</v>
      </c>
      <c r="P2688" s="49" t="n">
        <v>42391</v>
      </c>
      <c r="Q2688" s="47" t="n">
        <v>580</v>
      </c>
      <c r="R2688" s="47" t="inlineStr">
        <is>
          <t>No Video ID yet</t>
        </is>
      </c>
      <c r="S2688" s="49" t="n"/>
      <c r="T2688" s="49" t="n"/>
      <c r="U2688" s="47" t="n"/>
      <c r="V2688" s="47">
        <f>IF(AND(P2688&gt;=Calendar!$K$2,P2688&lt;EDATE(Calendar!$K$2,1),OR(Calendar!$K$4="*",N2688=Calendar!$K$4)),P2688*100+COUNTIFS($P$6:$P$3267,P2688,$Q$6:$Q$3267,"&lt;="&amp;Q2688,$N$6:$N$3267,Calendar!$K$4),"")</f>
        <v/>
      </c>
      <c r="W2688" s="47">
        <f>IF(AND(B2688=Queue!$C$4,OR(Queue!$K$4="*",N2688=Queue!$K$4)),Q2688,"")</f>
        <v/>
      </c>
    </row>
    <row r="2689">
      <c r="A2689" s="38">
        <f>IF(M2689="","",HYPERLINK("https://www.youtube.com/watch?v="&amp;M2689,"▶"))</f>
        <v/>
      </c>
      <c r="B2689" s="39">
        <f>IF(C2689&lt;&gt;"",C2689,IF(P2689&lt;=IFERROR(INDEX(tblChannels[Watched Through],MATCH(N2689,tblChannels[Channel ID],0)),0),"Watched","Unwatched"))</f>
        <v/>
      </c>
      <c r="C2689" s="40" t="n"/>
      <c r="D2689" s="41" t="n"/>
      <c r="E2689" s="42" t="n">
        <v>42388.85208333333</v>
      </c>
      <c r="F2689" s="50" t="inlineStr">
        <is>
          <t>Super Carlin Brothers</t>
        </is>
      </c>
      <c r="G2689" t="inlineStr">
        <is>
          <t>Pixar Theory: Was Riley Adopted??</t>
        </is>
      </c>
      <c r="H2689" s="44" t="n">
        <v>0.004849537037037037</v>
      </c>
      <c r="I2689" s="45" t="n">
        <v>6431882</v>
      </c>
      <c r="J2689" s="45" t="n">
        <v>88454</v>
      </c>
      <c r="K2689" s="45" t="n">
        <v>19874</v>
      </c>
      <c r="L2689" s="46" t="n"/>
      <c r="M2689" s="47" t="n"/>
      <c r="N2689" s="47" t="inlineStr">
        <is>
          <t>UCKZo4N0lVPccBkSiuyVh4yg</t>
        </is>
      </c>
      <c r="O2689" s="48" t="n">
        <v>42389.06041666667</v>
      </c>
      <c r="P2689" s="49" t="n">
        <v>42388</v>
      </c>
      <c r="Q2689" s="47" t="n">
        <v>579</v>
      </c>
      <c r="R2689" s="47" t="inlineStr">
        <is>
          <t>No Video ID yet</t>
        </is>
      </c>
      <c r="S2689" s="49" t="n"/>
      <c r="T2689" s="49" t="n"/>
      <c r="U2689" s="47" t="inlineStr">
        <is>
          <t>Riley Andersen is possibly my favorite Pixar character of all time and today we peel back another layer and find out if she was adopted.</t>
        </is>
      </c>
      <c r="V2689" s="47">
        <f>IF(AND(P2689&gt;=Calendar!$K$2,P2689&lt;EDATE(Calendar!$K$2,1),OR(Calendar!$K$4="*",N2689=Calendar!$K$4)),P2689*100+COUNTIFS($P$6:$P$3267,P2689,$Q$6:$Q$3267,"&lt;="&amp;Q2689,$N$6:$N$3267,Calendar!$K$4),"")</f>
        <v/>
      </c>
      <c r="W2689" s="47">
        <f>IF(AND(B2689=Queue!$C$4,OR(Queue!$K$4="*",N2689=Queue!$K$4)),Q2689,"")</f>
        <v/>
      </c>
    </row>
    <row r="2690">
      <c r="A2690" s="38">
        <f>IF(M2690="","",HYPERLINK("https://www.youtube.com/watch?v="&amp;M2690,"▶"))</f>
        <v/>
      </c>
      <c r="B2690" s="39">
        <f>IF(C2690&lt;&gt;"",C2690,IF(P2690&lt;=IFERROR(INDEX(tblChannels[Watched Through],MATCH(N2690,tblChannels[Channel ID],0)),0),"Watched","Unwatched"))</f>
        <v/>
      </c>
      <c r="C2690" s="40" t="n"/>
      <c r="D2690" s="41" t="n"/>
      <c r="E2690" s="42" t="n">
        <v>42384.01527777778</v>
      </c>
      <c r="F2690" s="50" t="inlineStr">
        <is>
          <t>Super Carlin Brothers</t>
        </is>
      </c>
      <c r="G2690" t="inlineStr">
        <is>
          <t>Fast Facts: Tribute - Alan Rickman</t>
        </is>
      </c>
      <c r="H2690" s="44" t="n">
        <v>0.001527777777777778</v>
      </c>
      <c r="I2690" s="45" t="n">
        <v>151660</v>
      </c>
      <c r="J2690" s="45" t="n">
        <v>8139</v>
      </c>
      <c r="K2690" s="45" t="n">
        <v>823</v>
      </c>
      <c r="L2690" s="46" t="n"/>
      <c r="M2690" s="47" t="n"/>
      <c r="N2690" s="47" t="inlineStr">
        <is>
          <t>UCKZo4N0lVPccBkSiuyVh4yg</t>
        </is>
      </c>
      <c r="O2690" s="48" t="n">
        <v>42384.22361111111</v>
      </c>
      <c r="P2690" s="49" t="n">
        <v>42384</v>
      </c>
      <c r="Q2690" s="47" t="n">
        <v>578</v>
      </c>
      <c r="R2690" s="47" t="inlineStr">
        <is>
          <t>No Video ID yet</t>
        </is>
      </c>
      <c r="S2690" s="49" t="n"/>
      <c r="T2690" s="49" t="n"/>
      <c r="U2690" s="47" t="inlineStr">
        <is>
          <t>Alan Rickman Makes Tea:</t>
        </is>
      </c>
      <c r="V2690" s="47">
        <f>IF(AND(P2690&gt;=Calendar!$K$2,P2690&lt;EDATE(Calendar!$K$2,1),OR(Calendar!$K$4="*",N2690=Calendar!$K$4)),P2690*100+COUNTIFS($P$6:$P$3267,P2690,$Q$6:$Q$3267,"&lt;="&amp;Q2690,$N$6:$N$3267,Calendar!$K$4),"")</f>
        <v/>
      </c>
      <c r="W2690" s="47">
        <f>IF(AND(B2690=Queue!$C$4,OR(Queue!$K$4="*",N2690=Queue!$K$4)),Q2690,"")</f>
        <v/>
      </c>
    </row>
    <row r="2691">
      <c r="A2691" s="38">
        <f>IF(M2691="","",HYPERLINK("https://www.youtube.com/watch?v="&amp;M2691,"▶"))</f>
        <v/>
      </c>
      <c r="B2691" s="39">
        <f>IF(C2691&lt;&gt;"",C2691,IF(P2691&lt;=IFERROR(INDEX(tblChannels[Watched Through],MATCH(N2691,tblChannels[Channel ID],0)),0),"Watched","Unwatched"))</f>
        <v/>
      </c>
      <c r="C2691" s="40" t="n"/>
      <c r="D2691" s="41" t="n"/>
      <c r="E2691" s="42" t="n">
        <v>42381.65347222222</v>
      </c>
      <c r="F2691" s="50" t="inlineStr">
        <is>
          <t>Super Carlin Brothers</t>
        </is>
      </c>
      <c r="G2691" t="inlineStr">
        <is>
          <t>Should You Open Your Star Wars Toys?</t>
        </is>
      </c>
      <c r="H2691" s="44" t="n">
        <v>0.004085648148148148</v>
      </c>
      <c r="I2691" s="45" t="n">
        <v>190530</v>
      </c>
      <c r="J2691" s="45" t="n">
        <v>5753</v>
      </c>
      <c r="K2691" s="45" t="n">
        <v>971</v>
      </c>
      <c r="L2691" s="46" t="n"/>
      <c r="M2691" s="47" t="n"/>
      <c r="N2691" s="47" t="inlineStr">
        <is>
          <t>UCKZo4N0lVPccBkSiuyVh4yg</t>
        </is>
      </c>
      <c r="O2691" s="48" t="n">
        <v>42381.86180555556</v>
      </c>
      <c r="P2691" s="49" t="n">
        <v>42381</v>
      </c>
      <c r="Q2691" s="47" t="n">
        <v>577</v>
      </c>
      <c r="R2691" s="47" t="inlineStr">
        <is>
          <t>No Video ID yet</t>
        </is>
      </c>
      <c r="S2691" s="49" t="n"/>
      <c r="T2691" s="49" t="n"/>
      <c r="U2691" s="47" t="inlineStr">
        <is>
          <t>If you had a valuable toy would you sell it or keep it? Flow Chart :: Top 10 Most Valuable Star Wars Toys ::</t>
        </is>
      </c>
      <c r="V2691" s="47">
        <f>IF(AND(P2691&gt;=Calendar!$K$2,P2691&lt;EDATE(Calendar!$K$2,1),OR(Calendar!$K$4="*",N2691=Calendar!$K$4)),P2691*100+COUNTIFS($P$6:$P$3267,P2691,$Q$6:$Q$3267,"&lt;="&amp;Q2691,$N$6:$N$3267,Calendar!$K$4),"")</f>
        <v/>
      </c>
      <c r="W2691" s="47">
        <f>IF(AND(B2691=Queue!$C$4,OR(Queue!$K$4="*",N2691=Queue!$K$4)),Q2691,"")</f>
        <v/>
      </c>
    </row>
    <row r="2692">
      <c r="A2692" s="38">
        <f>IF(M2692="","",HYPERLINK("https://www.youtube.com/watch?v="&amp;M2692,"▶"))</f>
        <v/>
      </c>
      <c r="B2692" s="39">
        <f>IF(C2692&lt;&gt;"",C2692,IF(P2692&lt;=IFERROR(INDEX(tblChannels[Watched Through],MATCH(N2692,tblChannels[Channel ID],0)),0),"Watched","Unwatched"))</f>
        <v/>
      </c>
      <c r="C2692" s="40" t="n"/>
      <c r="D2692" s="41" t="n"/>
      <c r="E2692" s="42" t="n">
        <v>42376.93541666667</v>
      </c>
      <c r="F2692" s="50" t="inlineStr">
        <is>
          <t>Super Carlin Brothers</t>
        </is>
      </c>
      <c r="G2692" t="inlineStr">
        <is>
          <t>Fast Facts: Star Wars - The Force Awakens</t>
        </is>
      </c>
      <c r="H2692" s="44" t="n">
        <v>0.001898148148148148</v>
      </c>
      <c r="I2692" s="45" t="n">
        <v>133750</v>
      </c>
      <c r="J2692" s="45" t="n">
        <v>4101</v>
      </c>
      <c r="K2692" s="45" t="n">
        <v>383</v>
      </c>
      <c r="L2692" s="46" t="n"/>
      <c r="M2692" s="47" t="n"/>
      <c r="N2692" s="47" t="inlineStr">
        <is>
          <t>UCKZo4N0lVPccBkSiuyVh4yg</t>
        </is>
      </c>
      <c r="O2692" s="48" t="n">
        <v>42377.14375</v>
      </c>
      <c r="P2692" s="49" t="n">
        <v>42376</v>
      </c>
      <c r="Q2692" s="47" t="n">
        <v>576</v>
      </c>
      <c r="R2692" s="47" t="inlineStr">
        <is>
          <t>No Video ID yet</t>
        </is>
      </c>
      <c r="S2692" s="49" t="n"/>
      <c r="T2692" s="49" t="n"/>
      <c r="U2692" s="47" t="n"/>
      <c r="V2692" s="47">
        <f>IF(AND(P2692&gt;=Calendar!$K$2,P2692&lt;EDATE(Calendar!$K$2,1),OR(Calendar!$K$4="*",N2692=Calendar!$K$4)),P2692*100+COUNTIFS($P$6:$P$3267,P2692,$Q$6:$Q$3267,"&lt;="&amp;Q2692,$N$6:$N$3267,Calendar!$K$4),"")</f>
        <v/>
      </c>
      <c r="W2692" s="47">
        <f>IF(AND(B2692=Queue!$C$4,OR(Queue!$K$4="*",N2692=Queue!$K$4)),Q2692,"")</f>
        <v/>
      </c>
    </row>
    <row r="2693">
      <c r="A2693" s="38">
        <f>IF(M2693="","",HYPERLINK("https://www.youtube.com/watch?v="&amp;M2693,"▶"))</f>
        <v/>
      </c>
      <c r="B2693" s="39">
        <f>IF(C2693&lt;&gt;"",C2693,IF(P2693&lt;=IFERROR(INDEX(tblChannels[Watched Through],MATCH(N2693,tblChannels[Channel ID],0)),0),"Watched","Unwatched"))</f>
        <v/>
      </c>
      <c r="C2693" s="40" t="n"/>
      <c r="D2693" s="41" t="n"/>
      <c r="E2693" s="42" t="n">
        <v>42374.63055555556</v>
      </c>
      <c r="F2693" s="50" t="inlineStr">
        <is>
          <t>Super Carlin Brothers</t>
        </is>
      </c>
      <c r="G2693" t="inlineStr">
        <is>
          <t>Who is Rey's Father? - Star Wars The Force Awakens</t>
        </is>
      </c>
      <c r="H2693" s="44" t="n">
        <v>0.005902777777777778</v>
      </c>
      <c r="I2693" s="45" t="n">
        <v>1664850</v>
      </c>
      <c r="J2693" s="45" t="n">
        <v>34140</v>
      </c>
      <c r="K2693" s="45" t="n">
        <v>10956</v>
      </c>
      <c r="L2693" s="46" t="n"/>
      <c r="M2693" s="47" t="n"/>
      <c r="N2693" s="47" t="inlineStr">
        <is>
          <t>UCKZo4N0lVPccBkSiuyVh4yg</t>
        </is>
      </c>
      <c r="O2693" s="48" t="n">
        <v>42374.83888888889</v>
      </c>
      <c r="P2693" s="49" t="n">
        <v>42374</v>
      </c>
      <c r="Q2693" s="47" t="n">
        <v>575</v>
      </c>
      <c r="R2693" s="47" t="inlineStr">
        <is>
          <t>No Video ID yet</t>
        </is>
      </c>
      <c r="S2693" s="49" t="n"/>
      <c r="T2693" s="49" t="n"/>
      <c r="U2693" s="47" t="n"/>
      <c r="V2693" s="47">
        <f>IF(AND(P2693&gt;=Calendar!$K$2,P2693&lt;EDATE(Calendar!$K$2,1),OR(Calendar!$K$4="*",N2693=Calendar!$K$4)),P2693*100+COUNTIFS($P$6:$P$3267,P2693,$Q$6:$Q$3267,"&lt;="&amp;Q2693,$N$6:$N$3267,Calendar!$K$4),"")</f>
        <v/>
      </c>
      <c r="W2693" s="47">
        <f>IF(AND(B2693=Queue!$C$4,OR(Queue!$K$4="*",N2693=Queue!$K$4)),Q2693,"")</f>
        <v/>
      </c>
    </row>
    <row r="2694">
      <c r="A2694" s="38">
        <f>IF(M2694="","",HYPERLINK("https://www.youtube.com/watch?v="&amp;M2694,"▶"))</f>
        <v/>
      </c>
      <c r="B2694" s="39">
        <f>IF(C2694&lt;&gt;"",C2694,IF(P2694&lt;=IFERROR(INDEX(tblChannels[Watched Through],MATCH(N2694,tblChannels[Channel ID],0)),0),"Watched","Unwatched"))</f>
        <v/>
      </c>
      <c r="C2694" s="40" t="n"/>
      <c r="D2694" s="41" t="n"/>
      <c r="E2694" s="42" t="n">
        <v>42369.8125</v>
      </c>
      <c r="F2694" s="50" t="inlineStr">
        <is>
          <t>Super Carlin Brothers</t>
        </is>
      </c>
      <c r="G2694" t="inlineStr">
        <is>
          <t>Fast Facts: Frozen</t>
        </is>
      </c>
      <c r="H2694" s="44" t="n">
        <v>0.00181712962962963</v>
      </c>
      <c r="I2694" s="45" t="n">
        <v>175692</v>
      </c>
      <c r="J2694" s="45" t="n">
        <v>4265</v>
      </c>
      <c r="K2694" s="45" t="n">
        <v>326</v>
      </c>
      <c r="L2694" s="46" t="n"/>
      <c r="M2694" s="47" t="n"/>
      <c r="N2694" s="47" t="inlineStr">
        <is>
          <t>UCKZo4N0lVPccBkSiuyVh4yg</t>
        </is>
      </c>
      <c r="O2694" s="48" t="n">
        <v>42370.02083333334</v>
      </c>
      <c r="P2694" s="49" t="n">
        <v>42369</v>
      </c>
      <c r="Q2694" s="47" t="n">
        <v>574</v>
      </c>
      <c r="R2694" s="47" t="inlineStr">
        <is>
          <t>No Video ID yet</t>
        </is>
      </c>
      <c r="S2694" s="49" t="n"/>
      <c r="T2694" s="49" t="n"/>
      <c r="U2694" s="47" t="n"/>
      <c r="V2694" s="47">
        <f>IF(AND(P2694&gt;=Calendar!$K$2,P2694&lt;EDATE(Calendar!$K$2,1),OR(Calendar!$K$4="*",N2694=Calendar!$K$4)),P2694*100+COUNTIFS($P$6:$P$3267,P2694,$Q$6:$Q$3267,"&lt;="&amp;Q2694,$N$6:$N$3267,Calendar!$K$4),"")</f>
        <v/>
      </c>
      <c r="W2694" s="47">
        <f>IF(AND(B2694=Queue!$C$4,OR(Queue!$K$4="*",N2694=Queue!$K$4)),Q2694,"")</f>
        <v/>
      </c>
    </row>
    <row r="2695">
      <c r="A2695" s="38">
        <f>IF(M2695="","",HYPERLINK("https://www.youtube.com/watch?v="&amp;M2695,"▶"))</f>
        <v/>
      </c>
      <c r="B2695" s="39">
        <f>IF(C2695&lt;&gt;"",C2695,IF(P2695&lt;=IFERROR(INDEX(tblChannels[Watched Through],MATCH(N2695,tblChannels[Channel ID],0)),0),"Watched","Unwatched"))</f>
        <v/>
      </c>
      <c r="C2695" s="40" t="n"/>
      <c r="D2695" s="41" t="n"/>
      <c r="E2695" s="42" t="n">
        <v>42368.60138888889</v>
      </c>
      <c r="F2695" s="52" t="inlineStr">
        <is>
          <t>Super Carlin Gaming</t>
        </is>
      </c>
      <c r="G2695" t="inlineStr">
        <is>
          <t>Pokemon HeartGold Nuzlocke #25: The Kimono Girls</t>
        </is>
      </c>
      <c r="H2695" s="44" t="n">
        <v>0.02006944444444445</v>
      </c>
      <c r="I2695" s="45" t="n">
        <v>26411</v>
      </c>
      <c r="J2695" s="45" t="n">
        <v>778</v>
      </c>
      <c r="K2695" s="45" t="n">
        <v>265</v>
      </c>
      <c r="L2695" s="46" t="n"/>
      <c r="M2695" s="47" t="n"/>
      <c r="N2695" s="47" t="inlineStr">
        <is>
          <t>UCor_9jRnNNZVzTuQ92PKsaQ</t>
        </is>
      </c>
      <c r="O2695" s="48" t="n">
        <v>42368.80972222222</v>
      </c>
      <c r="P2695" s="49" t="n">
        <v>42368</v>
      </c>
      <c r="Q2695" s="47" t="n">
        <v>573</v>
      </c>
      <c r="R2695" s="47" t="inlineStr">
        <is>
          <t>No Video ID yet</t>
        </is>
      </c>
      <c r="S2695" s="49" t="n"/>
      <c r="T2695" s="49" t="n"/>
      <c r="U2695" s="47" t="inlineStr">
        <is>
          <t>Today we head back to our hometown and then battle the Kimono Girls - Can we survive their Eeveelution onslaught??</t>
        </is>
      </c>
      <c r="V2695" s="47">
        <f>IF(AND(P2695&gt;=Calendar!$K$2,P2695&lt;EDATE(Calendar!$K$2,1),OR(Calendar!$K$4="*",N2695=Calendar!$K$4)),P2695*100+COUNTIFS($P$6:$P$3267,P2695,$Q$6:$Q$3267,"&lt;="&amp;Q2695,$N$6:$N$3267,Calendar!$K$4),"")</f>
        <v/>
      </c>
      <c r="W2695" s="47">
        <f>IF(AND(B2695=Queue!$C$4,OR(Queue!$K$4="*",N2695=Queue!$K$4)),Q2695,"")</f>
        <v/>
      </c>
    </row>
    <row r="2696">
      <c r="A2696" s="38">
        <f>IF(M2696="","",HYPERLINK("https://www.youtube.com/watch?v="&amp;M2696,"▶"))</f>
        <v/>
      </c>
      <c r="B2696" s="39">
        <f>IF(C2696&lt;&gt;"",C2696,IF(P2696&lt;=IFERROR(INDEX(tblChannels[Watched Through],MATCH(N2696,tblChannels[Channel ID],0)),0),"Watched","Unwatched"))</f>
        <v/>
      </c>
      <c r="C2696" s="40" t="n"/>
      <c r="D2696" s="41" t="n"/>
      <c r="E2696" s="42" t="n">
        <v>42367.75763888889</v>
      </c>
      <c r="F2696" s="50" t="inlineStr">
        <is>
          <t>Super Carlin Brothers</t>
        </is>
      </c>
      <c r="G2696" t="inlineStr">
        <is>
          <t>Does Elsa Google Autofill</t>
        </is>
      </c>
      <c r="H2696" s="44" t="n">
        <v>0.004247685185185185</v>
      </c>
      <c r="I2696" s="45" t="n">
        <v>970107</v>
      </c>
      <c r="J2696" s="45" t="n">
        <v>14080</v>
      </c>
      <c r="K2696" s="45" t="n">
        <v>2879</v>
      </c>
      <c r="L2696" s="46" t="n"/>
      <c r="M2696" s="47" t="n"/>
      <c r="N2696" s="47" t="inlineStr">
        <is>
          <t>UCKZo4N0lVPccBkSiuyVh4yg</t>
        </is>
      </c>
      <c r="O2696" s="48" t="n">
        <v>42367.96597222222</v>
      </c>
      <c r="P2696" s="49" t="n">
        <v>42367</v>
      </c>
      <c r="Q2696" s="47" t="n">
        <v>572</v>
      </c>
      <c r="R2696" s="47" t="inlineStr">
        <is>
          <t>No Video ID yet</t>
        </is>
      </c>
      <c r="S2696" s="49" t="n"/>
      <c r="T2696" s="49" t="n"/>
      <c r="U2696" s="47" t="inlineStr">
        <is>
          <t>Who is your favorite Disney Princess?? Let me know in the towel section and then go vote on my twitter page!</t>
        </is>
      </c>
      <c r="V2696" s="47">
        <f>IF(AND(P2696&gt;=Calendar!$K$2,P2696&lt;EDATE(Calendar!$K$2,1),OR(Calendar!$K$4="*",N2696=Calendar!$K$4)),P2696*100+COUNTIFS($P$6:$P$3267,P2696,$Q$6:$Q$3267,"&lt;="&amp;Q2696,$N$6:$N$3267,Calendar!$K$4),"")</f>
        <v/>
      </c>
      <c r="W2696" s="47">
        <f>IF(AND(B2696=Queue!$C$4,OR(Queue!$K$4="*",N2696=Queue!$K$4)),Q2696,"")</f>
        <v/>
      </c>
    </row>
    <row r="2697">
      <c r="A2697" s="38">
        <f>IF(M2697="","",HYPERLINK("https://www.youtube.com/watch?v="&amp;M2697,"▶"))</f>
        <v/>
      </c>
      <c r="B2697" s="39">
        <f>IF(C2697&lt;&gt;"",C2697,IF(P2697&lt;=IFERROR(INDEX(tblChannels[Watched Through],MATCH(N2697,tblChannels[Channel ID],0)),0),"Watched","Unwatched"))</f>
        <v/>
      </c>
      <c r="C2697" s="40" t="n"/>
      <c r="D2697" s="41" t="n"/>
      <c r="E2697" s="42" t="n">
        <v>42360.73611111111</v>
      </c>
      <c r="F2697" s="50" t="inlineStr">
        <is>
          <t>Super Carlin Brothers</t>
        </is>
      </c>
      <c r="G2697" t="inlineStr">
        <is>
          <t>Top 7 Unanswered Questions from Star Wars The Force Awakens</t>
        </is>
      </c>
      <c r="H2697" s="44" t="n">
        <v>0.004918981481481482</v>
      </c>
      <c r="I2697" s="45" t="n">
        <v>2512293</v>
      </c>
      <c r="J2697" s="45" t="n">
        <v>39617</v>
      </c>
      <c r="K2697" s="45" t="n">
        <v>13527</v>
      </c>
      <c r="L2697" s="46" t="n"/>
      <c r="M2697" s="47" t="n"/>
      <c r="N2697" s="47" t="inlineStr">
        <is>
          <t>UCKZo4N0lVPccBkSiuyVh4yg</t>
        </is>
      </c>
      <c r="O2697" s="48" t="n">
        <v>42360.94444444445</v>
      </c>
      <c r="P2697" s="49" t="n">
        <v>42360</v>
      </c>
      <c r="Q2697" s="47" t="n">
        <v>571</v>
      </c>
      <c r="R2697" s="47" t="inlineStr">
        <is>
          <t>No Video ID yet</t>
        </is>
      </c>
      <c r="S2697" s="49" t="n"/>
      <c r="T2697" s="49" t="n"/>
      <c r="U2697" s="47" t="inlineStr">
        <is>
          <t>Oh man I LOVED this movie and am super excited to discuss it with you guys, check the comments below for</t>
        </is>
      </c>
      <c r="V2697" s="47">
        <f>IF(AND(P2697&gt;=Calendar!$K$2,P2697&lt;EDATE(Calendar!$K$2,1),OR(Calendar!$K$4="*",N2697=Calendar!$K$4)),P2697*100+COUNTIFS($P$6:$P$3267,P2697,$Q$6:$Q$3267,"&lt;="&amp;Q2697,$N$6:$N$3267,Calendar!$K$4),"")</f>
        <v/>
      </c>
      <c r="W2697" s="47">
        <f>IF(AND(B2697=Queue!$C$4,OR(Queue!$K$4="*",N2697=Queue!$K$4)),Q2697,"")</f>
        <v/>
      </c>
    </row>
    <row r="2698">
      <c r="A2698" s="38">
        <f>IF(M2698="","",HYPERLINK("https://www.youtube.com/watch?v="&amp;M2698,"▶"))</f>
        <v/>
      </c>
      <c r="B2698" s="39">
        <f>IF(C2698&lt;&gt;"",C2698,IF(P2698&lt;=IFERROR(INDEX(tblChannels[Watched Through],MATCH(N2698,tblChannels[Channel ID],0)),0),"Watched","Unwatched"))</f>
        <v/>
      </c>
      <c r="C2698" s="40" t="n"/>
      <c r="D2698" s="41" t="n"/>
      <c r="E2698" s="42" t="n">
        <v>42356.07569444444</v>
      </c>
      <c r="F2698" s="50" t="inlineStr">
        <is>
          <t>Super Carlin Brothers</t>
        </is>
      </c>
      <c r="G2698" t="inlineStr">
        <is>
          <t>Fast Facts: Star Wars - Return of the Jedi</t>
        </is>
      </c>
      <c r="H2698" s="44" t="n">
        <v>0.001770833333333333</v>
      </c>
      <c r="I2698" s="45" t="n">
        <v>110086</v>
      </c>
      <c r="J2698" s="45" t="n">
        <v>2580</v>
      </c>
      <c r="K2698" s="45" t="n">
        <v>272</v>
      </c>
      <c r="L2698" s="46" t="n"/>
      <c r="M2698" s="47" t="n"/>
      <c r="N2698" s="47" t="inlineStr">
        <is>
          <t>UCKZo4N0lVPccBkSiuyVh4yg</t>
        </is>
      </c>
      <c r="O2698" s="48" t="n">
        <v>42356.28402777778</v>
      </c>
      <c r="P2698" s="49" t="n">
        <v>42356</v>
      </c>
      <c r="Q2698" s="47" t="n">
        <v>570</v>
      </c>
      <c r="R2698" s="47" t="inlineStr">
        <is>
          <t>No Video ID yet</t>
        </is>
      </c>
      <c r="S2698" s="49" t="n"/>
      <c r="T2698" s="49" t="n"/>
      <c r="U2698" s="47" t="inlineStr">
        <is>
          <t>What did you guys think of the Force Awakens?! We loved it!</t>
        </is>
      </c>
      <c r="V2698" s="47">
        <f>IF(AND(P2698&gt;=Calendar!$K$2,P2698&lt;EDATE(Calendar!$K$2,1),OR(Calendar!$K$4="*",N2698=Calendar!$K$4)),P2698*100+COUNTIFS($P$6:$P$3267,P2698,$Q$6:$Q$3267,"&lt;="&amp;Q2698,$N$6:$N$3267,Calendar!$K$4),"")</f>
        <v/>
      </c>
      <c r="W2698" s="47">
        <f>IF(AND(B2698=Queue!$C$4,OR(Queue!$K$4="*",N2698=Queue!$K$4)),Q2698,"")</f>
        <v/>
      </c>
    </row>
    <row r="2699">
      <c r="A2699" s="38">
        <f>IF(M2699="","",HYPERLINK("https://www.youtube.com/watch?v="&amp;M2699,"▶"))</f>
        <v/>
      </c>
      <c r="B2699" s="39">
        <f>IF(C2699&lt;&gt;"",C2699,IF(P2699&lt;=IFERROR(INDEX(tblChannels[Watched Through],MATCH(N2699,tblChannels[Channel ID],0)),0),"Watched","Unwatched"))</f>
        <v/>
      </c>
      <c r="C2699" s="40" t="n"/>
      <c r="D2699" s="41" t="n"/>
      <c r="E2699" s="42" t="n">
        <v>42353.69722222222</v>
      </c>
      <c r="F2699" s="50" t="inlineStr">
        <is>
          <t>Super Carlin Brothers</t>
        </is>
      </c>
      <c r="G2699" t="inlineStr">
        <is>
          <t>Star Wars Theory: Darth Jar Jar</t>
        </is>
      </c>
      <c r="H2699" s="44" t="n">
        <v>0.007395833333333333</v>
      </c>
      <c r="I2699" s="45" t="n">
        <v>1327691</v>
      </c>
      <c r="J2699" s="45" t="n">
        <v>26677</v>
      </c>
      <c r="K2699" s="45" t="n">
        <v>4563</v>
      </c>
      <c r="L2699" s="46" t="n"/>
      <c r="M2699" s="47" t="n"/>
      <c r="N2699" s="47" t="inlineStr">
        <is>
          <t>UCKZo4N0lVPccBkSiuyVh4yg</t>
        </is>
      </c>
      <c r="O2699" s="48" t="n">
        <v>42353.90555555555</v>
      </c>
      <c r="P2699" s="49" t="n">
        <v>42353</v>
      </c>
      <c r="Q2699" s="47" t="n">
        <v>569</v>
      </c>
      <c r="R2699" s="47" t="inlineStr">
        <is>
          <t>No Video ID yet</t>
        </is>
      </c>
      <c r="S2699" s="49" t="n"/>
      <c r="T2699" s="49" t="n"/>
      <c r="U2699" s="47" t="inlineStr">
        <is>
          <t>Today we discuss the possibility of Jar Jar Binks actually being an evil Sith master aka Darth Jar Jar. Could this be true? What do you think??? Original Article ::</t>
        </is>
      </c>
      <c r="V2699" s="47">
        <f>IF(AND(P2699&gt;=Calendar!$K$2,P2699&lt;EDATE(Calendar!$K$2,1),OR(Calendar!$K$4="*",N2699=Calendar!$K$4)),P2699*100+COUNTIFS($P$6:$P$3267,P2699,$Q$6:$Q$3267,"&lt;="&amp;Q2699,$N$6:$N$3267,Calendar!$K$4),"")</f>
        <v/>
      </c>
      <c r="W2699" s="47">
        <f>IF(AND(B2699=Queue!$C$4,OR(Queue!$K$4="*",N2699=Queue!$K$4)),Q2699,"")</f>
        <v/>
      </c>
    </row>
    <row r="2700">
      <c r="A2700" s="38">
        <f>IF(M2700="","",HYPERLINK("https://www.youtube.com/watch?v="&amp;M2700,"▶"))</f>
        <v/>
      </c>
      <c r="B2700" s="39">
        <f>IF(C2700&lt;&gt;"",C2700,IF(P2700&lt;=IFERROR(INDEX(tblChannels[Watched Through],MATCH(N2700,tblChannels[Channel ID],0)),0),"Watched","Unwatched"))</f>
        <v/>
      </c>
      <c r="C2700" s="40" t="n"/>
      <c r="D2700" s="41" t="n"/>
      <c r="E2700" s="42" t="n">
        <v>42348.9</v>
      </c>
      <c r="F2700" s="50" t="inlineStr">
        <is>
          <t>Super Carlin Brothers</t>
        </is>
      </c>
      <c r="G2700" t="inlineStr">
        <is>
          <t>Fast Facts: Star Wars - The Empire Strikes Back</t>
        </is>
      </c>
      <c r="H2700" s="44" t="n">
        <v>0.001643518518518519</v>
      </c>
      <c r="I2700" s="45" t="n">
        <v>102549</v>
      </c>
      <c r="J2700" s="45" t="n">
        <v>2422</v>
      </c>
      <c r="K2700" s="45" t="n">
        <v>133</v>
      </c>
      <c r="L2700" s="46" t="n"/>
      <c r="M2700" s="47" t="n"/>
      <c r="N2700" s="47" t="inlineStr">
        <is>
          <t>UCKZo4N0lVPccBkSiuyVh4yg</t>
        </is>
      </c>
      <c r="O2700" s="48" t="n">
        <v>42349.10833333333</v>
      </c>
      <c r="P2700" s="49" t="n">
        <v>42348</v>
      </c>
      <c r="Q2700" s="47" t="n">
        <v>568</v>
      </c>
      <c r="R2700" s="47" t="inlineStr">
        <is>
          <t>No Video ID yet</t>
        </is>
      </c>
      <c r="S2700" s="49" t="n"/>
      <c r="T2700" s="49" t="n"/>
      <c r="U2700" s="47" t="n"/>
      <c r="V2700" s="47">
        <f>IF(AND(P2700&gt;=Calendar!$K$2,P2700&lt;EDATE(Calendar!$K$2,1),OR(Calendar!$K$4="*",N2700=Calendar!$K$4)),P2700*100+COUNTIFS($P$6:$P$3267,P2700,$Q$6:$Q$3267,"&lt;="&amp;Q2700,$N$6:$N$3267,Calendar!$K$4),"")</f>
        <v/>
      </c>
      <c r="W2700" s="47">
        <f>IF(AND(B2700=Queue!$C$4,OR(Queue!$K$4="*",N2700=Queue!$K$4)),Q2700,"")</f>
        <v/>
      </c>
    </row>
    <row r="2701">
      <c r="A2701" s="38">
        <f>IF(M2701="","",HYPERLINK("https://www.youtube.com/watch?v="&amp;M2701,"▶"))</f>
        <v/>
      </c>
      <c r="B2701" s="39">
        <f>IF(C2701&lt;&gt;"",C2701,IF(P2701&lt;=IFERROR(INDEX(tblChannels[Watched Through],MATCH(N2701,tblChannels[Channel ID],0)),0),"Watched","Unwatched"))</f>
        <v/>
      </c>
      <c r="C2701" s="40" t="n"/>
      <c r="D2701" s="41" t="n"/>
      <c r="E2701" s="42" t="n">
        <v>42346.625</v>
      </c>
      <c r="F2701" s="50" t="inlineStr">
        <is>
          <t>Super Carlin Brothers</t>
        </is>
      </c>
      <c r="G2701" t="inlineStr">
        <is>
          <t>How to Talk Star Wars</t>
        </is>
      </c>
      <c r="H2701" s="44" t="n">
        <v>0.005659722222222222</v>
      </c>
      <c r="I2701" s="45" t="n">
        <v>348525</v>
      </c>
      <c r="J2701" s="45" t="n">
        <v>8061</v>
      </c>
      <c r="K2701" s="45" t="n">
        <v>1636</v>
      </c>
      <c r="L2701" s="46" t="n"/>
      <c r="M2701" s="47" t="n"/>
      <c r="N2701" s="47" t="inlineStr">
        <is>
          <t>UCKZo4N0lVPccBkSiuyVh4yg</t>
        </is>
      </c>
      <c r="O2701" s="48" t="n">
        <v>42346.83333333334</v>
      </c>
      <c r="P2701" s="49" t="n">
        <v>42346</v>
      </c>
      <c r="Q2701" s="47" t="n">
        <v>567</v>
      </c>
      <c r="R2701" s="47" t="inlineStr">
        <is>
          <t>No Video ID yet</t>
        </is>
      </c>
      <c r="S2701" s="49" t="n"/>
      <c r="T2701" s="49" t="n"/>
      <c r="U2701" s="47" t="inlineStr">
        <is>
          <t>If you have ever been around people who are HUGE fans of something you know nothing about, it can be extremely alienating. Today I want to help those people who know nothing about Star Wars. Star Wars The Force Awakens comes out soon and now you will not be totally lost in conversation. May The Force Be With You.</t>
        </is>
      </c>
      <c r="V2701" s="47">
        <f>IF(AND(P2701&gt;=Calendar!$K$2,P2701&lt;EDATE(Calendar!$K$2,1),OR(Calendar!$K$4="*",N2701=Calendar!$K$4)),P2701*100+COUNTIFS($P$6:$P$3267,P2701,$Q$6:$Q$3267,"&lt;="&amp;Q2701,$N$6:$N$3267,Calendar!$K$4),"")</f>
        <v/>
      </c>
      <c r="W2701" s="47">
        <f>IF(AND(B2701=Queue!$C$4,OR(Queue!$K$4="*",N2701=Queue!$K$4)),Q2701,"")</f>
        <v/>
      </c>
    </row>
    <row r="2702">
      <c r="A2702" s="38">
        <f>IF(M2702="","",HYPERLINK("https://www.youtube.com/watch?v="&amp;M2702,"▶"))</f>
        <v/>
      </c>
      <c r="B2702" s="39">
        <f>IF(C2702&lt;&gt;"",C2702,IF(P2702&lt;=IFERROR(INDEX(tblChannels[Watched Through],MATCH(N2702,tblChannels[Channel ID],0)),0),"Watched","Unwatched"))</f>
        <v/>
      </c>
      <c r="C2702" s="40" t="n"/>
      <c r="D2702" s="41" t="n"/>
      <c r="E2702" s="42" t="n">
        <v>42341.96180555555</v>
      </c>
      <c r="F2702" s="50" t="inlineStr">
        <is>
          <t>Super Carlin Brothers</t>
        </is>
      </c>
      <c r="G2702" t="inlineStr">
        <is>
          <t>Fast Facts: Star Wars - A New Hope</t>
        </is>
      </c>
      <c r="H2702" s="44" t="n">
        <v>0.002002314814814815</v>
      </c>
      <c r="I2702" s="45" t="n">
        <v>115948</v>
      </c>
      <c r="J2702" s="45" t="n">
        <v>2956</v>
      </c>
      <c r="K2702" s="45" t="n">
        <v>269</v>
      </c>
      <c r="L2702" s="46" t="n"/>
      <c r="M2702" s="47" t="n"/>
      <c r="N2702" s="47" t="inlineStr">
        <is>
          <t>UCKZo4N0lVPccBkSiuyVh4yg</t>
        </is>
      </c>
      <c r="O2702" s="48" t="n">
        <v>42342.17013888889</v>
      </c>
      <c r="P2702" s="49" t="n">
        <v>42341</v>
      </c>
      <c r="Q2702" s="47" t="n">
        <v>566</v>
      </c>
      <c r="R2702" s="47" t="inlineStr">
        <is>
          <t>No Video ID yet</t>
        </is>
      </c>
      <c r="S2702" s="49" t="n"/>
      <c r="T2702" s="49" t="n"/>
      <c r="U2702" s="47" t="inlineStr">
        <is>
          <t>We are so excited for Star Wars The Force Awakens! What is your favorite Star Wars movie?</t>
        </is>
      </c>
      <c r="V2702" s="47">
        <f>IF(AND(P2702&gt;=Calendar!$K$2,P2702&lt;EDATE(Calendar!$K$2,1),OR(Calendar!$K$4="*",N2702=Calendar!$K$4)),P2702*100+COUNTIFS($P$6:$P$3267,P2702,$Q$6:$Q$3267,"&lt;="&amp;Q2702,$N$6:$N$3267,Calendar!$K$4),"")</f>
        <v/>
      </c>
      <c r="W2702" s="47">
        <f>IF(AND(B2702=Queue!$C$4,OR(Queue!$K$4="*",N2702=Queue!$K$4)),Q2702,"")</f>
        <v/>
      </c>
    </row>
    <row r="2703">
      <c r="A2703" s="38">
        <f>IF(M2703="","",HYPERLINK("https://www.youtube.com/watch?v="&amp;M2703,"▶"))</f>
        <v/>
      </c>
      <c r="B2703" s="39">
        <f>IF(C2703&lt;&gt;"",C2703,IF(P2703&lt;=IFERROR(INDEX(tblChannels[Watched Through],MATCH(N2703,tblChannels[Channel ID],0)),0),"Watched","Unwatched"))</f>
        <v/>
      </c>
      <c r="C2703" s="40" t="n"/>
      <c r="D2703" s="41" t="n"/>
      <c r="E2703" s="42" t="n">
        <v>42341.44513888889</v>
      </c>
      <c r="F2703" s="52" t="inlineStr">
        <is>
          <t>Super Carlin Gaming</t>
        </is>
      </c>
      <c r="G2703" t="inlineStr">
        <is>
          <t>Pokemon HeartGold Nuzlocke #24: The Dragons Den</t>
        </is>
      </c>
      <c r="H2703" s="44" t="n">
        <v>0.009768518518518518</v>
      </c>
      <c r="I2703" s="45" t="n">
        <v>18649</v>
      </c>
      <c r="J2703" s="45" t="n">
        <v>373</v>
      </c>
      <c r="K2703" s="45" t="n">
        <v>79</v>
      </c>
      <c r="L2703" s="46" t="n"/>
      <c r="M2703" s="47" t="n"/>
      <c r="N2703" s="47" t="inlineStr">
        <is>
          <t>UCor_9jRnNNZVzTuQ92PKsaQ</t>
        </is>
      </c>
      <c r="O2703" s="48" t="n">
        <v>42341.65347222222</v>
      </c>
      <c r="P2703" s="49" t="n">
        <v>42341</v>
      </c>
      <c r="Q2703" s="47" t="n">
        <v>565</v>
      </c>
      <c r="R2703" s="47" t="inlineStr">
        <is>
          <t>No Video ID yet</t>
        </is>
      </c>
      <c r="S2703" s="49" t="n"/>
      <c r="T2703" s="49" t="n"/>
      <c r="U2703" s="47" t="inlineStr">
        <is>
          <t>Today we venture into the dragons den and must make a choice about who will be the new addition to the team. Who do you think it should be???</t>
        </is>
      </c>
      <c r="V2703" s="47">
        <f>IF(AND(P2703&gt;=Calendar!$K$2,P2703&lt;EDATE(Calendar!$K$2,1),OR(Calendar!$K$4="*",N2703=Calendar!$K$4)),P2703*100+COUNTIFS($P$6:$P$3267,P2703,$Q$6:$Q$3267,"&lt;="&amp;Q2703,$N$6:$N$3267,Calendar!$K$4),"")</f>
        <v/>
      </c>
      <c r="W2703" s="47">
        <f>IF(AND(B2703=Queue!$C$4,OR(Queue!$K$4="*",N2703=Queue!$K$4)),Q2703,"")</f>
        <v/>
      </c>
    </row>
    <row r="2704">
      <c r="A2704" s="38">
        <f>IF(M2704="","",HYPERLINK("https://www.youtube.com/watch?v="&amp;M2704,"▶"))</f>
        <v/>
      </c>
      <c r="B2704" s="39">
        <f>IF(C2704&lt;&gt;"",C2704,IF(P2704&lt;=IFERROR(INDEX(tblChannels[Watched Through],MATCH(N2704,tblChannels[Channel ID],0)),0),"Watched","Unwatched"))</f>
        <v/>
      </c>
      <c r="C2704" s="40" t="n"/>
      <c r="D2704" s="41" t="n"/>
      <c r="E2704" s="42" t="n">
        <v>42339.68263888889</v>
      </c>
      <c r="F2704" s="50" t="inlineStr">
        <is>
          <t>Super Carlin Brothers</t>
        </is>
      </c>
      <c r="G2704" t="inlineStr">
        <is>
          <t>How The Good Dinosaur fits into The Pixar Theory</t>
        </is>
      </c>
      <c r="H2704" s="44" t="n">
        <v>0.005856481481481482</v>
      </c>
      <c r="I2704" s="45" t="n">
        <v>1876771</v>
      </c>
      <c r="J2704" s="45" t="n">
        <v>29429</v>
      </c>
      <c r="K2704" s="45" t="n">
        <v>4191</v>
      </c>
      <c r="L2704" s="46" t="n"/>
      <c r="M2704" s="47" t="n"/>
      <c r="N2704" s="47" t="inlineStr">
        <is>
          <t>UCKZo4N0lVPccBkSiuyVh4yg</t>
        </is>
      </c>
      <c r="O2704" s="48" t="n">
        <v>42339.89097222222</v>
      </c>
      <c r="P2704" s="49" t="n">
        <v>42339</v>
      </c>
      <c r="Q2704" s="47" t="n">
        <v>564</v>
      </c>
      <c r="R2704" s="47" t="inlineStr">
        <is>
          <t>No Video ID yet</t>
        </is>
      </c>
      <c r="S2704" s="49" t="n"/>
      <c r="T2704" s="49" t="n"/>
      <c r="U2704" s="47" t="inlineStr">
        <is>
          <t>Last week Pixar released their latest film, "The Good Dinosaur" today I'm discussing how it fits into the Pixar theory! What did you think of The Good Dinosaur?? Full Pixar Theory :: How Inside Out fits into The Pixar Theory ::</t>
        </is>
      </c>
      <c r="V2704" s="47">
        <f>IF(AND(P2704&gt;=Calendar!$K$2,P2704&lt;EDATE(Calendar!$K$2,1),OR(Calendar!$K$4="*",N2704=Calendar!$K$4)),P2704*100+COUNTIFS($P$6:$P$3267,P2704,$Q$6:$Q$3267,"&lt;="&amp;Q2704,$N$6:$N$3267,Calendar!$K$4),"")</f>
        <v/>
      </c>
      <c r="W2704" s="47">
        <f>IF(AND(B2704=Queue!$C$4,OR(Queue!$K$4="*",N2704=Queue!$K$4)),Q2704,"")</f>
        <v/>
      </c>
    </row>
    <row r="2705">
      <c r="A2705" s="38">
        <f>IF(M2705="","",HYPERLINK("https://www.youtube.com/watch?v="&amp;M2705,"▶"))</f>
        <v/>
      </c>
      <c r="B2705" s="39">
        <f>IF(C2705&lt;&gt;"",C2705,IF(P2705&lt;=IFERROR(INDEX(tblChannels[Watched Through],MATCH(N2705,tblChannels[Channel ID],0)),0),"Watched","Unwatched"))</f>
        <v/>
      </c>
      <c r="C2705" s="40" t="n"/>
      <c r="D2705" s="41" t="n"/>
      <c r="E2705" s="42" t="n">
        <v>42334.67152777778</v>
      </c>
      <c r="F2705" s="50" t="inlineStr">
        <is>
          <t>Super Carlin Brothers</t>
        </is>
      </c>
      <c r="G2705" t="inlineStr">
        <is>
          <t>Pixar Fast Facts: The Good Dinosaur</t>
        </is>
      </c>
      <c r="H2705" s="44" t="n">
        <v>0.001666666666666667</v>
      </c>
      <c r="I2705" s="45" t="n">
        <v>153636</v>
      </c>
      <c r="J2705" s="45" t="n">
        <v>3746</v>
      </c>
      <c r="K2705" s="45" t="n">
        <v>289</v>
      </c>
      <c r="L2705" s="46" t="n"/>
      <c r="M2705" s="47" t="n"/>
      <c r="N2705" s="47" t="inlineStr">
        <is>
          <t>UCKZo4N0lVPccBkSiuyVh4yg</t>
        </is>
      </c>
      <c r="O2705" s="48" t="n">
        <v>42334.87986111111</v>
      </c>
      <c r="P2705" s="49" t="n">
        <v>42334</v>
      </c>
      <c r="Q2705" s="47" t="n">
        <v>563</v>
      </c>
      <c r="R2705" s="47" t="inlineStr">
        <is>
          <t>No Video ID yet</t>
        </is>
      </c>
      <c r="S2705" s="49" t="n"/>
      <c r="T2705" s="49" t="n"/>
      <c r="U2705" s="47" t="n"/>
      <c r="V2705" s="47">
        <f>IF(AND(P2705&gt;=Calendar!$K$2,P2705&lt;EDATE(Calendar!$K$2,1),OR(Calendar!$K$4="*",N2705=Calendar!$K$4)),P2705*100+COUNTIFS($P$6:$P$3267,P2705,$Q$6:$Q$3267,"&lt;="&amp;Q2705,$N$6:$N$3267,Calendar!$K$4),"")</f>
        <v/>
      </c>
      <c r="W2705" s="47">
        <f>IF(AND(B2705=Queue!$C$4,OR(Queue!$K$4="*",N2705=Queue!$K$4)),Q2705,"")</f>
        <v/>
      </c>
    </row>
    <row r="2706">
      <c r="A2706" s="38">
        <f>IF(M2706="","",HYPERLINK("https://www.youtube.com/watch?v="&amp;M2706,"▶"))</f>
        <v/>
      </c>
      <c r="B2706" s="39">
        <f>IF(C2706&lt;&gt;"",C2706,IF(P2706&lt;=IFERROR(INDEX(tblChannels[Watched Through],MATCH(N2706,tblChannels[Channel ID],0)),0),"Watched","Unwatched"))</f>
        <v/>
      </c>
      <c r="C2706" s="40" t="n"/>
      <c r="D2706" s="41" t="n"/>
      <c r="E2706" s="42" t="n">
        <v>42332.63333333333</v>
      </c>
      <c r="F2706" s="50" t="inlineStr">
        <is>
          <t>Super Carlin Brothers</t>
        </is>
      </c>
      <c r="G2706" t="inlineStr">
        <is>
          <t>Pixar Movie Names In Other Countries</t>
        </is>
      </c>
      <c r="H2706" s="44" t="n">
        <v>0.004606481481481481</v>
      </c>
      <c r="I2706" s="45" t="n">
        <v>848740</v>
      </c>
      <c r="J2706" s="45" t="n">
        <v>18137</v>
      </c>
      <c r="K2706" s="45" t="n">
        <v>3739</v>
      </c>
      <c r="L2706" s="46" t="n"/>
      <c r="M2706" s="47" t="n"/>
      <c r="N2706" s="47" t="inlineStr">
        <is>
          <t>UCKZo4N0lVPccBkSiuyVh4yg</t>
        </is>
      </c>
      <c r="O2706" s="48" t="n">
        <v>42332.84166666667</v>
      </c>
      <c r="P2706" s="49" t="n">
        <v>42332</v>
      </c>
      <c r="Q2706" s="47" t="n">
        <v>562</v>
      </c>
      <c r="R2706" s="47" t="inlineStr">
        <is>
          <t>No Video ID yet</t>
        </is>
      </c>
      <c r="S2706" s="49" t="n"/>
      <c r="T2706" s="49" t="n"/>
      <c r="U2706" s="47" t="inlineStr">
        <is>
          <t>Happy Thanksgiving everyone! Today I'm going over some of my favorite funny translations of Pixar Films in other languages, please note that these were all done with Google Translate and as such may be somewhat inaccurate as are many (all) of my pronunciations. Enjoy! Full list of translations:</t>
        </is>
      </c>
      <c r="V2706" s="47">
        <f>IF(AND(P2706&gt;=Calendar!$K$2,P2706&lt;EDATE(Calendar!$K$2,1),OR(Calendar!$K$4="*",N2706=Calendar!$K$4)),P2706*100+COUNTIFS($P$6:$P$3267,P2706,$Q$6:$Q$3267,"&lt;="&amp;Q2706,$N$6:$N$3267,Calendar!$K$4),"")</f>
        <v/>
      </c>
      <c r="W2706" s="47">
        <f>IF(AND(B2706=Queue!$C$4,OR(Queue!$K$4="*",N2706=Queue!$K$4)),Q2706,"")</f>
        <v/>
      </c>
    </row>
    <row r="2707">
      <c r="A2707" s="38">
        <f>IF(M2707="","",HYPERLINK("https://www.youtube.com/watch?v="&amp;M2707,"▶"))</f>
        <v/>
      </c>
      <c r="B2707" s="39">
        <f>IF(C2707&lt;&gt;"",C2707,IF(P2707&lt;=IFERROR(INDEX(tblChannels[Watched Through],MATCH(N2707,tblChannels[Channel ID],0)),0),"Watched","Unwatched"))</f>
        <v/>
      </c>
      <c r="C2707" s="40" t="n"/>
      <c r="D2707" s="41" t="n"/>
      <c r="E2707" s="42" t="n">
        <v>42327.80138888889</v>
      </c>
      <c r="F2707" s="50" t="inlineStr">
        <is>
          <t>Super Carlin Brothers</t>
        </is>
      </c>
      <c r="G2707" t="inlineStr">
        <is>
          <t>TRUXTABROS: Siri Reads Emoji!</t>
        </is>
      </c>
      <c r="H2707" s="44" t="n">
        <v>0.005694444444444445</v>
      </c>
      <c r="I2707" s="45" t="n">
        <v>155320</v>
      </c>
      <c r="J2707" s="45" t="n">
        <v>4221</v>
      </c>
      <c r="K2707" s="45" t="n">
        <v>1140</v>
      </c>
      <c r="L2707" s="46" t="n"/>
      <c r="M2707" s="47" t="n"/>
      <c r="N2707" s="47" t="inlineStr">
        <is>
          <t>UCKZo4N0lVPccBkSiuyVh4yg</t>
        </is>
      </c>
      <c r="O2707" s="48" t="n">
        <v>42328.00972222222</v>
      </c>
      <c r="P2707" s="49" t="n">
        <v>42327</v>
      </c>
      <c r="Q2707" s="47" t="n">
        <v>561</v>
      </c>
      <c r="R2707" s="47" t="inlineStr">
        <is>
          <t>No Video ID yet</t>
        </is>
      </c>
      <c r="S2707" s="49" t="n"/>
      <c r="T2707" s="49" t="n"/>
      <c r="U2707" s="47" t="n"/>
      <c r="V2707" s="47">
        <f>IF(AND(P2707&gt;=Calendar!$K$2,P2707&lt;EDATE(Calendar!$K$2,1),OR(Calendar!$K$4="*",N2707=Calendar!$K$4)),P2707*100+COUNTIFS($P$6:$P$3267,P2707,$Q$6:$Q$3267,"&lt;="&amp;Q2707,$N$6:$N$3267,Calendar!$K$4),"")</f>
        <v/>
      </c>
      <c r="W2707" s="47">
        <f>IF(AND(B2707=Queue!$C$4,OR(Queue!$K$4="*",N2707=Queue!$K$4)),Q2707,"")</f>
        <v/>
      </c>
    </row>
    <row r="2708">
      <c r="A2708" s="38">
        <f>IF(M2708="","",HYPERLINK("https://www.youtube.com/watch?v="&amp;M2708,"▶"))</f>
        <v/>
      </c>
      <c r="B2708" s="39">
        <f>IF(C2708&lt;&gt;"",C2708,IF(P2708&lt;=IFERROR(INDEX(tblChannels[Watched Through],MATCH(N2708,tblChannels[Channel ID],0)),0),"Watched","Unwatched"))</f>
        <v/>
      </c>
      <c r="C2708" s="40" t="n"/>
      <c r="D2708" s="41" t="n"/>
      <c r="E2708" s="42" t="n">
        <v>42326.76041666666</v>
      </c>
      <c r="F2708" s="52" t="inlineStr">
        <is>
          <t>Super Carlin Gaming</t>
        </is>
      </c>
      <c r="G2708" t="inlineStr">
        <is>
          <t>Pokemon HeartGold Nuzlocke #23: Mother of Dragons</t>
        </is>
      </c>
      <c r="H2708" s="44" t="n">
        <v>0.02085648148148148</v>
      </c>
      <c r="I2708" s="45" t="n">
        <v>20717</v>
      </c>
      <c r="J2708" s="45" t="n">
        <v>518</v>
      </c>
      <c r="K2708" s="45" t="n">
        <v>124</v>
      </c>
      <c r="L2708" s="46" t="n"/>
      <c r="M2708" s="47" t="n"/>
      <c r="N2708" s="47" t="inlineStr">
        <is>
          <t>UCor_9jRnNNZVzTuQ92PKsaQ</t>
        </is>
      </c>
      <c r="O2708" s="48" t="n">
        <v>42326.96875</v>
      </c>
      <c r="P2708" s="49" t="n">
        <v>42326</v>
      </c>
      <c r="Q2708" s="47" t="n">
        <v>560</v>
      </c>
      <c r="R2708" s="47" t="inlineStr">
        <is>
          <t>No Video ID yet</t>
        </is>
      </c>
      <c r="S2708" s="49" t="n"/>
      <c r="T2708" s="49" t="n"/>
      <c r="U2708" s="47" t="inlineStr">
        <is>
          <t>Today we take on Claire in our toughest battle yet, her dragons are no joke, hopefully the team is up to the challenge!</t>
        </is>
      </c>
      <c r="V2708" s="47">
        <f>IF(AND(P2708&gt;=Calendar!$K$2,P2708&lt;EDATE(Calendar!$K$2,1),OR(Calendar!$K$4="*",N2708=Calendar!$K$4)),P2708*100+COUNTIFS($P$6:$P$3267,P2708,$Q$6:$Q$3267,"&lt;="&amp;Q2708,$N$6:$N$3267,Calendar!$K$4),"")</f>
        <v/>
      </c>
      <c r="W2708" s="47">
        <f>IF(AND(B2708=Queue!$C$4,OR(Queue!$K$4="*",N2708=Queue!$K$4)),Q2708,"")</f>
        <v/>
      </c>
    </row>
    <row r="2709">
      <c r="A2709" s="38">
        <f>IF(M2709="","",HYPERLINK("https://www.youtube.com/watch?v="&amp;M2709,"▶"))</f>
        <v/>
      </c>
      <c r="B2709" s="39">
        <f>IF(C2709&lt;&gt;"",C2709,IF(P2709&lt;=IFERROR(INDEX(tblChannels[Watched Through],MATCH(N2709,tblChannels[Channel ID],0)),0),"Watched","Unwatched"))</f>
        <v/>
      </c>
      <c r="C2709" s="40" t="n"/>
      <c r="D2709" s="41" t="n"/>
      <c r="E2709" s="42" t="n">
        <v>42325.625</v>
      </c>
      <c r="F2709" s="50" t="inlineStr">
        <is>
          <t>Super Carlin Brothers</t>
        </is>
      </c>
      <c r="G2709" t="inlineStr">
        <is>
          <t>Finding Dory Trailer | Review, Analysis and Predictions</t>
        </is>
      </c>
      <c r="H2709" s="44" t="n">
        <v>0.005173611111111111</v>
      </c>
      <c r="I2709" s="45" t="n">
        <v>335744</v>
      </c>
      <c r="J2709" s="45" t="n">
        <v>7735</v>
      </c>
      <c r="K2709" s="45" t="n">
        <v>843</v>
      </c>
      <c r="L2709" s="46" t="n"/>
      <c r="M2709" s="47" t="n"/>
      <c r="N2709" s="47" t="inlineStr">
        <is>
          <t>UCKZo4N0lVPccBkSiuyVh4yg</t>
        </is>
      </c>
      <c r="O2709" s="48" t="n">
        <v>42325.83333333334</v>
      </c>
      <c r="P2709" s="49" t="n">
        <v>42325</v>
      </c>
      <c r="Q2709" s="47" t="n">
        <v>559</v>
      </c>
      <c r="R2709" s="47" t="inlineStr">
        <is>
          <t>No Video ID yet</t>
        </is>
      </c>
      <c r="S2709" s="49" t="n"/>
      <c r="T2709" s="49" t="n"/>
      <c r="U2709" s="47" t="inlineStr">
        <is>
          <t>What are your thoughts and predictions for the movie??? If you have not see the trailer yet you can watch it here: Thomas Codogan Contact: Samot-nagodac@hotmail.com</t>
        </is>
      </c>
      <c r="V2709" s="47">
        <f>IF(AND(P2709&gt;=Calendar!$K$2,P2709&lt;EDATE(Calendar!$K$2,1),OR(Calendar!$K$4="*",N2709=Calendar!$K$4)),P2709*100+COUNTIFS($P$6:$P$3267,P2709,$Q$6:$Q$3267,"&lt;="&amp;Q2709,$N$6:$N$3267,Calendar!$K$4),"")</f>
        <v/>
      </c>
      <c r="W2709" s="47">
        <f>IF(AND(B2709=Queue!$C$4,OR(Queue!$K$4="*",N2709=Queue!$K$4)),Q2709,"")</f>
        <v/>
      </c>
    </row>
    <row r="2710">
      <c r="A2710" s="38">
        <f>IF(M2710="","",HYPERLINK("https://www.youtube.com/watch?v="&amp;M2710,"▶"))</f>
        <v/>
      </c>
      <c r="B2710" s="39">
        <f>IF(C2710&lt;&gt;"",C2710,IF(P2710&lt;=IFERROR(INDEX(tblChannels[Watched Through],MATCH(N2710,tblChannels[Channel ID],0)),0),"Watched","Unwatched"))</f>
        <v/>
      </c>
      <c r="C2710" s="40" t="n"/>
      <c r="D2710" s="41" t="n"/>
      <c r="E2710" s="42" t="n">
        <v>42325.41666666666</v>
      </c>
      <c r="F2710" s="52" t="inlineStr">
        <is>
          <t>Super Carlin Gaming</t>
        </is>
      </c>
      <c r="G2710" t="inlineStr">
        <is>
          <t>Pokemon HeartGold Nuzlocke #22: Fang Unit Beta</t>
        </is>
      </c>
      <c r="H2710" s="44" t="n">
        <v>0.01952546296296296</v>
      </c>
      <c r="I2710" s="45" t="n">
        <v>21157</v>
      </c>
      <c r="J2710" s="45" t="n">
        <v>411</v>
      </c>
      <c r="K2710" s="45" t="n">
        <v>64</v>
      </c>
      <c r="L2710" s="46" t="n"/>
      <c r="M2710" s="47" t="n"/>
      <c r="N2710" s="47" t="inlineStr">
        <is>
          <t>UCor_9jRnNNZVzTuQ92PKsaQ</t>
        </is>
      </c>
      <c r="O2710" s="48" t="n">
        <v>42325.625</v>
      </c>
      <c r="P2710" s="49" t="n">
        <v>42325</v>
      </c>
      <c r="Q2710" s="47" t="n">
        <v>558</v>
      </c>
      <c r="R2710" s="47" t="inlineStr">
        <is>
          <t>No Video ID yet</t>
        </is>
      </c>
      <c r="S2710" s="49" t="n"/>
      <c r="T2710" s="49" t="n"/>
      <c r="U2710" s="47" t="inlineStr">
        <is>
          <t>Today we make our way through the icy path, plus some long grinding produces some new friendships.</t>
        </is>
      </c>
      <c r="V2710" s="47">
        <f>IF(AND(P2710&gt;=Calendar!$K$2,P2710&lt;EDATE(Calendar!$K$2,1),OR(Calendar!$K$4="*",N2710=Calendar!$K$4)),P2710*100+COUNTIFS($P$6:$P$3267,P2710,$Q$6:$Q$3267,"&lt;="&amp;Q2710,$N$6:$N$3267,Calendar!$K$4),"")</f>
        <v/>
      </c>
      <c r="W2710" s="47">
        <f>IF(AND(B2710=Queue!$C$4,OR(Queue!$K$4="*",N2710=Queue!$K$4)),Q2710,"")</f>
        <v/>
      </c>
    </row>
    <row r="2711">
      <c r="A2711" s="38">
        <f>IF(M2711="","",HYPERLINK("https://www.youtube.com/watch?v="&amp;M2711,"▶"))</f>
        <v/>
      </c>
      <c r="B2711" s="39">
        <f>IF(C2711&lt;&gt;"",C2711,IF(P2711&lt;=IFERROR(INDEX(tblChannels[Watched Through],MATCH(N2711,tblChannels[Channel ID],0)),0),"Watched","Unwatched"))</f>
        <v/>
      </c>
      <c r="C2711" s="40" t="n"/>
      <c r="D2711" s="41" t="n"/>
      <c r="E2711" s="42" t="n">
        <v>42320.89583333334</v>
      </c>
      <c r="F2711" s="50" t="inlineStr">
        <is>
          <t>Super Carlin Brothers</t>
        </is>
      </c>
      <c r="G2711" t="inlineStr">
        <is>
          <t>Fast Facts: The Hunger Games Mockingjay - Part 1</t>
        </is>
      </c>
      <c r="H2711" s="44" t="n">
        <v>0.001851851851851852</v>
      </c>
      <c r="I2711" s="45" t="n">
        <v>94766</v>
      </c>
      <c r="J2711" s="45" t="n">
        <v>2490</v>
      </c>
      <c r="K2711" s="45" t="n">
        <v>203</v>
      </c>
      <c r="L2711" s="46" t="n"/>
      <c r="M2711" s="47" t="n"/>
      <c r="N2711" s="47" t="inlineStr">
        <is>
          <t>UCKZo4N0lVPccBkSiuyVh4yg</t>
        </is>
      </c>
      <c r="O2711" s="48" t="n">
        <v>42321.10416666666</v>
      </c>
      <c r="P2711" s="49" t="n">
        <v>42320</v>
      </c>
      <c r="Q2711" s="47" t="n">
        <v>557</v>
      </c>
      <c r="R2711" s="47" t="inlineStr">
        <is>
          <t>No Video ID yet</t>
        </is>
      </c>
      <c r="S2711" s="49" t="n"/>
      <c r="T2711" s="49" t="n"/>
      <c r="U2711" s="47" t="n"/>
      <c r="V2711" s="47">
        <f>IF(AND(P2711&gt;=Calendar!$K$2,P2711&lt;EDATE(Calendar!$K$2,1),OR(Calendar!$K$4="*",N2711=Calendar!$K$4)),P2711*100+COUNTIFS($P$6:$P$3267,P2711,$Q$6:$Q$3267,"&lt;="&amp;Q2711,$N$6:$N$3267,Calendar!$K$4),"")</f>
        <v/>
      </c>
      <c r="W2711" s="47">
        <f>IF(AND(B2711=Queue!$C$4,OR(Queue!$K$4="*",N2711=Queue!$K$4)),Q2711,"")</f>
        <v/>
      </c>
    </row>
    <row r="2712">
      <c r="A2712" s="38">
        <f>IF(M2712="","",HYPERLINK("https://www.youtube.com/watch?v="&amp;M2712,"▶"))</f>
        <v/>
      </c>
      <c r="B2712" s="39">
        <f>IF(C2712&lt;&gt;"",C2712,IF(P2712&lt;=IFERROR(INDEX(tblChannels[Watched Through],MATCH(N2712,tblChannels[Channel ID],0)),0),"Watched","Unwatched"))</f>
        <v/>
      </c>
      <c r="C2712" s="40" t="n"/>
      <c r="D2712" s="41" t="n"/>
      <c r="E2712" s="42" t="n">
        <v>42319.40972222222</v>
      </c>
      <c r="F2712" s="52" t="inlineStr">
        <is>
          <t>Super Carlin Gaming</t>
        </is>
      </c>
      <c r="G2712" t="inlineStr">
        <is>
          <t>Pokemon HeartGold Nuzlocke #21: Revenge at the Radio Tower</t>
        </is>
      </c>
      <c r="H2712" s="44" t="n">
        <v>0.02851851851851852</v>
      </c>
      <c r="I2712" s="45" t="n">
        <v>24094</v>
      </c>
      <c r="J2712" s="45" t="n">
        <v>481</v>
      </c>
      <c r="K2712" s="45" t="n">
        <v>124</v>
      </c>
      <c r="L2712" s="46" t="n"/>
      <c r="M2712" s="47" t="n"/>
      <c r="N2712" s="47" t="inlineStr">
        <is>
          <t>UCor_9jRnNNZVzTuQ92PKsaQ</t>
        </is>
      </c>
      <c r="O2712" s="48" t="n">
        <v>42319.61805555555</v>
      </c>
      <c r="P2712" s="49" t="n">
        <v>42319</v>
      </c>
      <c r="Q2712" s="47" t="n">
        <v>556</v>
      </c>
      <c r="R2712" s="47" t="inlineStr">
        <is>
          <t>No Video ID yet</t>
        </is>
      </c>
      <c r="S2712" s="49" t="n"/>
      <c r="T2712" s="49" t="n"/>
      <c r="U2712" s="47" t="inlineStr">
        <is>
          <t>The Rockets have slain mighty NOVA and it's time to exact vengeance on them</t>
        </is>
      </c>
      <c r="V2712" s="47">
        <f>IF(AND(P2712&gt;=Calendar!$K$2,P2712&lt;EDATE(Calendar!$K$2,1),OR(Calendar!$K$4="*",N2712=Calendar!$K$4)),P2712*100+COUNTIFS($P$6:$P$3267,P2712,$Q$6:$Q$3267,"&lt;="&amp;Q2712,$N$6:$N$3267,Calendar!$K$4),"")</f>
        <v/>
      </c>
      <c r="W2712" s="47">
        <f>IF(AND(B2712=Queue!$C$4,OR(Queue!$K$4="*",N2712=Queue!$K$4)),Q2712,"")</f>
        <v/>
      </c>
    </row>
    <row r="2713">
      <c r="A2713" s="38">
        <f>IF(M2713="","",HYPERLINK("https://www.youtube.com/watch?v="&amp;M2713,"▶"))</f>
        <v/>
      </c>
      <c r="B2713" s="39">
        <f>IF(C2713&lt;&gt;"",C2713,IF(P2713&lt;=IFERROR(INDEX(tblChannels[Watched Through],MATCH(N2713,tblChannels[Channel ID],0)),0),"Watched","Unwatched"))</f>
        <v/>
      </c>
      <c r="C2713" s="40" t="n"/>
      <c r="D2713" s="41" t="n"/>
      <c r="E2713" s="42" t="n">
        <v>42318.625</v>
      </c>
      <c r="F2713" s="50" t="inlineStr">
        <is>
          <t>Super Carlin Brothers</t>
        </is>
      </c>
      <c r="G2713" t="inlineStr">
        <is>
          <t>Top 10 Things To Look For In The Good Dinosaur</t>
        </is>
      </c>
      <c r="H2713" s="44" t="n">
        <v>0.006331018518518519</v>
      </c>
      <c r="I2713" s="45" t="n">
        <v>293395</v>
      </c>
      <c r="J2713" s="45" t="n">
        <v>5643</v>
      </c>
      <c r="K2713" s="45" t="n">
        <v>920</v>
      </c>
      <c r="L2713" s="46" t="n"/>
      <c r="M2713" s="47" t="n"/>
      <c r="N2713" s="47" t="inlineStr">
        <is>
          <t>UCKZo4N0lVPccBkSiuyVh4yg</t>
        </is>
      </c>
      <c r="O2713" s="48" t="n">
        <v>42318.83333333334</v>
      </c>
      <c r="P2713" s="49" t="n">
        <v>42318</v>
      </c>
      <c r="Q2713" s="47" t="n">
        <v>555</v>
      </c>
      <c r="R2713" s="47" t="inlineStr">
        <is>
          <t>No Video ID yet</t>
        </is>
      </c>
      <c r="S2713" s="49" t="n"/>
      <c r="T2713" s="49" t="n"/>
      <c r="U2713" s="47" t="inlineStr">
        <is>
          <t>Only 3 more weeks til The Good Dinosaur! Cover Image Dimension: Send Images to: SuperCarlinBrothers@gmail.com</t>
        </is>
      </c>
      <c r="V2713" s="47">
        <f>IF(AND(P2713&gt;=Calendar!$K$2,P2713&lt;EDATE(Calendar!$K$2,1),OR(Calendar!$K$4="*",N2713=Calendar!$K$4)),P2713*100+COUNTIFS($P$6:$P$3267,P2713,$Q$6:$Q$3267,"&lt;="&amp;Q2713,$N$6:$N$3267,Calendar!$K$4),"")</f>
        <v/>
      </c>
      <c r="W2713" s="47">
        <f>IF(AND(B2713=Queue!$C$4,OR(Queue!$K$4="*",N2713=Queue!$K$4)),Q2713,"")</f>
        <v/>
      </c>
    </row>
    <row r="2714">
      <c r="A2714" s="38">
        <f>IF(M2714="","",HYPERLINK("https://www.youtube.com/watch?v="&amp;M2714,"▶"))</f>
        <v/>
      </c>
      <c r="B2714" s="39">
        <f>IF(C2714&lt;&gt;"",C2714,IF(P2714&lt;=IFERROR(INDEX(tblChannels[Watched Through],MATCH(N2714,tblChannels[Channel ID],0)),0),"Watched","Unwatched"))</f>
        <v/>
      </c>
      <c r="C2714" s="40" t="n"/>
      <c r="D2714" s="41" t="n"/>
      <c r="E2714" s="42" t="n">
        <v>42317.72222222222</v>
      </c>
      <c r="F2714" s="52" t="inlineStr">
        <is>
          <t>Super Carlin Gaming</t>
        </is>
      </c>
      <c r="G2714" t="inlineStr">
        <is>
          <t>Pokemon HeartGold Nuzlocke #20: EXPLOSION</t>
        </is>
      </c>
      <c r="H2714" s="44" t="n">
        <v>0.02724537037037037</v>
      </c>
      <c r="I2714" s="45" t="n">
        <v>25309</v>
      </c>
      <c r="J2714" s="45" t="n">
        <v>477</v>
      </c>
      <c r="K2714" s="45" t="n">
        <v>185</v>
      </c>
      <c r="L2714" s="46" t="n"/>
      <c r="M2714" s="47" t="n"/>
      <c r="N2714" s="47" t="inlineStr">
        <is>
          <t>UCor_9jRnNNZVzTuQ92PKsaQ</t>
        </is>
      </c>
      <c r="O2714" s="48" t="n">
        <v>42317.93055555555</v>
      </c>
      <c r="P2714" s="49" t="n">
        <v>42317</v>
      </c>
      <c r="Q2714" s="47" t="n">
        <v>554</v>
      </c>
      <c r="R2714" s="47" t="inlineStr">
        <is>
          <t>No Video ID yet</t>
        </is>
      </c>
      <c r="S2714" s="49" t="n"/>
      <c r="T2714" s="49" t="n"/>
      <c r="U2714" s="47" t="inlineStr">
        <is>
          <t>Team Rocket has taken over the Radio Tower in Goldenrod City! Can the team survive its next encounter with the notorious crime syndicate??</t>
        </is>
      </c>
      <c r="V2714" s="47">
        <f>IF(AND(P2714&gt;=Calendar!$K$2,P2714&lt;EDATE(Calendar!$K$2,1),OR(Calendar!$K$4="*",N2714=Calendar!$K$4)),P2714*100+COUNTIFS($P$6:$P$3267,P2714,$Q$6:$Q$3267,"&lt;="&amp;Q2714,$N$6:$N$3267,Calendar!$K$4),"")</f>
        <v/>
      </c>
      <c r="W2714" s="47">
        <f>IF(AND(B2714=Queue!$C$4,OR(Queue!$K$4="*",N2714=Queue!$K$4)),Q2714,"")</f>
        <v/>
      </c>
    </row>
    <row r="2715">
      <c r="A2715" s="38">
        <f>IF(M2715="","",HYPERLINK("https://www.youtube.com/watch?v="&amp;M2715,"▶"))</f>
        <v/>
      </c>
      <c r="B2715" s="39">
        <f>IF(C2715&lt;&gt;"",C2715,IF(P2715&lt;=IFERROR(INDEX(tblChannels[Watched Through],MATCH(N2715,tblChannels[Channel ID],0)),0),"Watched","Unwatched"))</f>
        <v/>
      </c>
      <c r="C2715" s="40" t="n"/>
      <c r="D2715" s="41" t="n"/>
      <c r="E2715" s="42" t="n">
        <v>42313.90277777778</v>
      </c>
      <c r="F2715" s="50" t="inlineStr">
        <is>
          <t>Super Carlin Brothers</t>
        </is>
      </c>
      <c r="G2715" t="inlineStr">
        <is>
          <t>Fast Facts: The Hunger Games Catching Fire</t>
        </is>
      </c>
      <c r="H2715" s="44" t="n">
        <v>0.001805555555555555</v>
      </c>
      <c r="I2715" s="45" t="n">
        <v>101895</v>
      </c>
      <c r="J2715" s="45" t="n">
        <v>2790</v>
      </c>
      <c r="K2715" s="45" t="n">
        <v>200</v>
      </c>
      <c r="L2715" s="46" t="n"/>
      <c r="M2715" s="47" t="n"/>
      <c r="N2715" s="47" t="inlineStr">
        <is>
          <t>UCKZo4N0lVPccBkSiuyVh4yg</t>
        </is>
      </c>
      <c r="O2715" s="48" t="n">
        <v>42314.11111111111</v>
      </c>
      <c r="P2715" s="49" t="n">
        <v>42313</v>
      </c>
      <c r="Q2715" s="47" t="n">
        <v>553</v>
      </c>
      <c r="R2715" s="47" t="inlineStr">
        <is>
          <t>No Video ID yet</t>
        </is>
      </c>
      <c r="S2715" s="49" t="n"/>
      <c r="T2715" s="49" t="n"/>
      <c r="U2715" s="47" t="n"/>
      <c r="V2715" s="47">
        <f>IF(AND(P2715&gt;=Calendar!$K$2,P2715&lt;EDATE(Calendar!$K$2,1),OR(Calendar!$K$4="*",N2715=Calendar!$K$4)),P2715*100+COUNTIFS($P$6:$P$3267,P2715,$Q$6:$Q$3267,"&lt;="&amp;Q2715,$N$6:$N$3267,Calendar!$K$4),"")</f>
        <v/>
      </c>
      <c r="W2715" s="47">
        <f>IF(AND(B2715=Queue!$C$4,OR(Queue!$K$4="*",N2715=Queue!$K$4)),Q2715,"")</f>
        <v/>
      </c>
    </row>
    <row r="2716">
      <c r="A2716" s="38">
        <f>IF(M2716="","",HYPERLINK("https://www.youtube.com/watch?v="&amp;M2716,"▶"))</f>
        <v/>
      </c>
      <c r="B2716" s="39">
        <f>IF(C2716&lt;&gt;"",C2716,IF(P2716&lt;=IFERROR(INDEX(tblChannels[Watched Through],MATCH(N2716,tblChannels[Channel ID],0)),0),"Watched","Unwatched"))</f>
        <v/>
      </c>
      <c r="C2716" s="40" t="n"/>
      <c r="D2716" s="41" t="n"/>
      <c r="E2716" s="42" t="n">
        <v>42312.61111111111</v>
      </c>
      <c r="F2716" s="52" t="inlineStr">
        <is>
          <t>Super Carlin Gaming</t>
        </is>
      </c>
      <c r="G2716" t="inlineStr">
        <is>
          <t>Pokemon HeartGold Nuzlocke #19: Cow Power</t>
        </is>
      </c>
      <c r="H2716" s="44" t="n">
        <v>0.01869212962962963</v>
      </c>
      <c r="I2716" s="45" t="n">
        <v>22705</v>
      </c>
      <c r="J2716" s="45" t="n">
        <v>538</v>
      </c>
      <c r="K2716" s="45" t="n">
        <v>103</v>
      </c>
      <c r="L2716" s="46" t="n"/>
      <c r="M2716" s="47" t="n"/>
      <c r="N2716" s="47" t="inlineStr">
        <is>
          <t>UCor_9jRnNNZVzTuQ92PKsaQ</t>
        </is>
      </c>
      <c r="O2716" s="48" t="n">
        <v>42312.81944444445</v>
      </c>
      <c r="P2716" s="49" t="n">
        <v>42312</v>
      </c>
      <c r="Q2716" s="47" t="n">
        <v>552</v>
      </c>
      <c r="R2716" s="47" t="inlineStr">
        <is>
          <t>No Video ID yet</t>
        </is>
      </c>
      <c r="S2716" s="49" t="n"/>
      <c r="T2716" s="49" t="n"/>
      <c r="U2716" s="47" t="inlineStr">
        <is>
          <t>Today we take on the 7th Gym Leader, Pryce the Ice type trainer! Can the team survive his icy assault??</t>
        </is>
      </c>
      <c r="V2716" s="47">
        <f>IF(AND(P2716&gt;=Calendar!$K$2,P2716&lt;EDATE(Calendar!$K$2,1),OR(Calendar!$K$4="*",N2716=Calendar!$K$4)),P2716*100+COUNTIFS($P$6:$P$3267,P2716,$Q$6:$Q$3267,"&lt;="&amp;Q2716,$N$6:$N$3267,Calendar!$K$4),"")</f>
        <v/>
      </c>
      <c r="W2716" s="47">
        <f>IF(AND(B2716=Queue!$C$4,OR(Queue!$K$4="*",N2716=Queue!$K$4)),Q2716,"")</f>
        <v/>
      </c>
    </row>
    <row r="2717">
      <c r="A2717" s="38">
        <f>IF(M2717="","",HYPERLINK("https://www.youtube.com/watch?v="&amp;M2717,"▶"))</f>
        <v/>
      </c>
      <c r="B2717" s="39">
        <f>IF(C2717&lt;&gt;"",C2717,IF(P2717&lt;=IFERROR(INDEX(tblChannels[Watched Through],MATCH(N2717,tblChannels[Channel ID],0)),0),"Watched","Unwatched"))</f>
        <v/>
      </c>
      <c r="C2717" s="40" t="n"/>
      <c r="D2717" s="41" t="n"/>
      <c r="E2717" s="42" t="n">
        <v>42311.65625</v>
      </c>
      <c r="F2717" s="50" t="inlineStr">
        <is>
          <t>Super Carlin Brothers</t>
        </is>
      </c>
      <c r="G2717" t="inlineStr">
        <is>
          <t>LootCrate Unboxing | TIME</t>
        </is>
      </c>
      <c r="H2717" s="44" t="n">
        <v>0.005</v>
      </c>
      <c r="I2717" s="45" t="n">
        <v>112359</v>
      </c>
      <c r="J2717" s="45" t="n">
        <v>2505</v>
      </c>
      <c r="K2717" s="45" t="n">
        <v>655</v>
      </c>
      <c r="L2717" s="46" t="n"/>
      <c r="M2717" s="47" t="n"/>
      <c r="N2717" s="47" t="inlineStr">
        <is>
          <t>UCKZo4N0lVPccBkSiuyVh4yg</t>
        </is>
      </c>
      <c r="O2717" s="48" t="n">
        <v>42311.86458333334</v>
      </c>
      <c r="P2717" s="49" t="n">
        <v>42311</v>
      </c>
      <c r="Q2717" s="47" t="n">
        <v>551</v>
      </c>
      <c r="R2717" s="47" t="inlineStr">
        <is>
          <t>No Video ID yet</t>
        </is>
      </c>
      <c r="S2717" s="49" t="n"/>
      <c r="T2717" s="49" t="n"/>
      <c r="U2717" s="47" t="inlineStr">
        <is>
          <t>Get 10% off your Loot Crate at: Promo Code: CARLIN YouTube Cover Dimensions: Email Submission to: SuperCarlinBrothers@gmail.com</t>
        </is>
      </c>
      <c r="V2717" s="47">
        <f>IF(AND(P2717&gt;=Calendar!$K$2,P2717&lt;EDATE(Calendar!$K$2,1),OR(Calendar!$K$4="*",N2717=Calendar!$K$4)),P2717*100+COUNTIFS($P$6:$P$3267,P2717,$Q$6:$Q$3267,"&lt;="&amp;Q2717,$N$6:$N$3267,Calendar!$K$4),"")</f>
        <v/>
      </c>
      <c r="W2717" s="47">
        <f>IF(AND(B2717=Queue!$C$4,OR(Queue!$K$4="*",N2717=Queue!$K$4)),Q2717,"")</f>
        <v/>
      </c>
    </row>
    <row r="2718">
      <c r="A2718" s="38">
        <f>IF(M2718="","",HYPERLINK("https://www.youtube.com/watch?v="&amp;M2718,"▶"))</f>
        <v/>
      </c>
      <c r="B2718" s="39">
        <f>IF(C2718&lt;&gt;"",C2718,IF(P2718&lt;=IFERROR(INDEX(tblChannels[Watched Through],MATCH(N2718,tblChannels[Channel ID],0)),0),"Watched","Unwatched"))</f>
        <v/>
      </c>
      <c r="C2718" s="40" t="n"/>
      <c r="D2718" s="41" t="n"/>
      <c r="E2718" s="42" t="n">
        <v>42306.95902777778</v>
      </c>
      <c r="F2718" s="50" t="inlineStr">
        <is>
          <t>Super Carlin Brothers</t>
        </is>
      </c>
      <c r="G2718" t="inlineStr">
        <is>
          <t>Fast Facts: The Hunger Games</t>
        </is>
      </c>
      <c r="H2718" s="44" t="n">
        <v>0.001828703703703704</v>
      </c>
      <c r="I2718" s="45" t="n">
        <v>126272</v>
      </c>
      <c r="J2718" s="45" t="n">
        <v>3652</v>
      </c>
      <c r="K2718" s="45" t="n">
        <v>198</v>
      </c>
      <c r="L2718" s="46" t="n"/>
      <c r="M2718" s="47" t="n"/>
      <c r="N2718" s="47" t="inlineStr">
        <is>
          <t>UCKZo4N0lVPccBkSiuyVh4yg</t>
        </is>
      </c>
      <c r="O2718" s="48" t="n">
        <v>42307.12569444445</v>
      </c>
      <c r="P2718" s="49" t="n">
        <v>42306</v>
      </c>
      <c r="Q2718" s="47" t="n">
        <v>550</v>
      </c>
      <c r="R2718" s="47" t="inlineStr">
        <is>
          <t>No Video ID yet</t>
        </is>
      </c>
      <c r="S2718" s="49" t="n"/>
      <c r="T2718" s="49" t="n"/>
      <c r="U2718" s="47" t="n"/>
      <c r="V2718" s="47">
        <f>IF(AND(P2718&gt;=Calendar!$K$2,P2718&lt;EDATE(Calendar!$K$2,1),OR(Calendar!$K$4="*",N2718=Calendar!$K$4)),P2718*100+COUNTIFS($P$6:$P$3267,P2718,$Q$6:$Q$3267,"&lt;="&amp;Q2718,$N$6:$N$3267,Calendar!$K$4),"")</f>
        <v/>
      </c>
      <c r="W2718" s="47">
        <f>IF(AND(B2718=Queue!$C$4,OR(Queue!$K$4="*",N2718=Queue!$K$4)),Q2718,"")</f>
        <v/>
      </c>
    </row>
    <row r="2719">
      <c r="A2719" s="38">
        <f>IF(M2719="","",HYPERLINK("https://www.youtube.com/watch?v="&amp;M2719,"▶"))</f>
        <v/>
      </c>
      <c r="B2719" s="39">
        <f>IF(C2719&lt;&gt;"",C2719,IF(P2719&lt;=IFERROR(INDEX(tblChannels[Watched Through],MATCH(N2719,tblChannels[Channel ID],0)),0),"Watched","Unwatched"))</f>
        <v/>
      </c>
      <c r="C2719" s="40" t="n"/>
      <c r="D2719" s="41" t="n"/>
      <c r="E2719" s="42" t="n">
        <v>42304.625</v>
      </c>
      <c r="F2719" s="50" t="inlineStr">
        <is>
          <t>Super Carlin Brothers</t>
        </is>
      </c>
      <c r="G2719" t="inlineStr">
        <is>
          <t>Pixar Theory: Who is Riley's Monster?</t>
        </is>
      </c>
      <c r="H2719" s="44" t="n">
        <v>0.003333333333333334</v>
      </c>
      <c r="I2719" s="45" t="n">
        <v>4292189</v>
      </c>
      <c r="J2719" s="45" t="n">
        <v>59946</v>
      </c>
      <c r="K2719" s="45" t="n">
        <v>6776</v>
      </c>
      <c r="L2719" s="46" t="n"/>
      <c r="M2719" s="47" t="n"/>
      <c r="N2719" s="47" t="inlineStr">
        <is>
          <t>UCKZo4N0lVPccBkSiuyVh4yg</t>
        </is>
      </c>
      <c r="O2719" s="48" t="n">
        <v>42304.79166666666</v>
      </c>
      <c r="P2719" s="49" t="n">
        <v>42304</v>
      </c>
      <c r="Q2719" s="47" t="n">
        <v>549</v>
      </c>
      <c r="R2719" s="47" t="inlineStr">
        <is>
          <t>No Video ID yet</t>
        </is>
      </c>
      <c r="S2719" s="49" t="n"/>
      <c r="T2719" s="49" t="n"/>
      <c r="U2719" s="47" t="inlineStr">
        <is>
          <t>What do you think? Is he Riley's Monster?? MoviePilot :: The D-Cast ::</t>
        </is>
      </c>
      <c r="V2719" s="47">
        <f>IF(AND(P2719&gt;=Calendar!$K$2,P2719&lt;EDATE(Calendar!$K$2,1),OR(Calendar!$K$4="*",N2719=Calendar!$K$4)),P2719*100+COUNTIFS($P$6:$P$3267,P2719,$Q$6:$Q$3267,"&lt;="&amp;Q2719,$N$6:$N$3267,Calendar!$K$4),"")</f>
        <v/>
      </c>
      <c r="W2719" s="47">
        <f>IF(AND(B2719=Queue!$C$4,OR(Queue!$K$4="*",N2719=Queue!$K$4)),Q2719,"")</f>
        <v/>
      </c>
    </row>
    <row r="2720">
      <c r="A2720" s="38">
        <f>IF(M2720="","",HYPERLINK("https://www.youtube.com/watch?v="&amp;M2720,"▶"))</f>
        <v/>
      </c>
      <c r="B2720" s="39">
        <f>IF(C2720&lt;&gt;"",C2720,IF(P2720&lt;=IFERROR(INDEX(tblChannels[Watched Through],MATCH(N2720,tblChannels[Channel ID],0)),0),"Watched","Unwatched"))</f>
        <v/>
      </c>
      <c r="C2720" s="40" t="n"/>
      <c r="D2720" s="41" t="n"/>
      <c r="E2720" s="42" t="n">
        <v>42303.625</v>
      </c>
      <c r="F2720" s="52" t="inlineStr">
        <is>
          <t>Super Carlin Gaming</t>
        </is>
      </c>
      <c r="G2720" t="inlineStr">
        <is>
          <t>Pokemon HeartGold Nuzlocke #18: Battle at Lake of Rage</t>
        </is>
      </c>
      <c r="H2720" s="44" t="n">
        <v>0.018125</v>
      </c>
      <c r="I2720" s="45" t="n">
        <v>23267</v>
      </c>
      <c r="J2720" s="45" t="n">
        <v>492</v>
      </c>
      <c r="K2720" s="45" t="n">
        <v>93</v>
      </c>
      <c r="L2720" s="46" t="n"/>
      <c r="M2720" s="47" t="n"/>
      <c r="N2720" s="47" t="inlineStr">
        <is>
          <t>UCor_9jRnNNZVzTuQ92PKsaQ</t>
        </is>
      </c>
      <c r="O2720" s="48" t="n">
        <v>42303.79166666666</v>
      </c>
      <c r="P2720" s="49" t="n">
        <v>42303</v>
      </c>
      <c r="Q2720" s="47" t="n">
        <v>548</v>
      </c>
      <c r="R2720" s="47" t="inlineStr">
        <is>
          <t>No Video ID yet</t>
        </is>
      </c>
      <c r="S2720" s="49" t="n"/>
      <c r="T2720" s="49" t="n"/>
      <c r="U2720" s="47" t="inlineStr">
        <is>
          <t>Today the team takes on the mighty Red Gyarados at the Lake of Rage, can they survive and add a 2nd Shiny to the team??</t>
        </is>
      </c>
      <c r="V2720" s="47">
        <f>IF(AND(P2720&gt;=Calendar!$K$2,P2720&lt;EDATE(Calendar!$K$2,1),OR(Calendar!$K$4="*",N2720=Calendar!$K$4)),P2720*100+COUNTIFS($P$6:$P$3267,P2720,$Q$6:$Q$3267,"&lt;="&amp;Q2720,$N$6:$N$3267,Calendar!$K$4),"")</f>
        <v/>
      </c>
      <c r="W2720" s="47">
        <f>IF(AND(B2720=Queue!$C$4,OR(Queue!$K$4="*",N2720=Queue!$K$4)),Q2720,"")</f>
        <v/>
      </c>
    </row>
    <row r="2721">
      <c r="A2721" s="38">
        <f>IF(M2721="","",HYPERLINK("https://www.youtube.com/watch?v="&amp;M2721,"▶"))</f>
        <v/>
      </c>
      <c r="B2721" s="39">
        <f>IF(C2721&lt;&gt;"",C2721,IF(P2721&lt;=IFERROR(INDEX(tblChannels[Watched Through],MATCH(N2721,tblChannels[Channel ID],0)),0),"Watched","Unwatched"))</f>
        <v/>
      </c>
      <c r="C2721" s="40" t="n"/>
      <c r="D2721" s="41" t="n"/>
      <c r="E2721" s="42" t="n">
        <v>42299.92569444444</v>
      </c>
      <c r="F2721" s="50" t="inlineStr">
        <is>
          <t>Super Carlin Brothers</t>
        </is>
      </c>
      <c r="G2721" t="inlineStr">
        <is>
          <t>Fast Facts: Harry Potter and the Deathly Hallows</t>
        </is>
      </c>
      <c r="H2721" s="44" t="n">
        <v>0.0021875</v>
      </c>
      <c r="I2721" s="45" t="n">
        <v>198384</v>
      </c>
      <c r="J2721" s="45" t="n">
        <v>4455</v>
      </c>
      <c r="K2721" s="45" t="n">
        <v>257</v>
      </c>
      <c r="L2721" s="46" t="n"/>
      <c r="M2721" s="47" t="n"/>
      <c r="N2721" s="47" t="inlineStr">
        <is>
          <t>UCKZo4N0lVPccBkSiuyVh4yg</t>
        </is>
      </c>
      <c r="O2721" s="48" t="n">
        <v>42300.09236111111</v>
      </c>
      <c r="P2721" s="49" t="n">
        <v>42299</v>
      </c>
      <c r="Q2721" s="47" t="n">
        <v>547</v>
      </c>
      <c r="R2721" s="47" t="inlineStr">
        <is>
          <t>No Video ID yet</t>
        </is>
      </c>
      <c r="S2721" s="49" t="n"/>
      <c r="T2721" s="49" t="n"/>
      <c r="U2721" s="47" t="n"/>
      <c r="V2721" s="47">
        <f>IF(AND(P2721&gt;=Calendar!$K$2,P2721&lt;EDATE(Calendar!$K$2,1),OR(Calendar!$K$4="*",N2721=Calendar!$K$4)),P2721*100+COUNTIFS($P$6:$P$3267,P2721,$Q$6:$Q$3267,"&lt;="&amp;Q2721,$N$6:$N$3267,Calendar!$K$4),"")</f>
        <v/>
      </c>
      <c r="W2721" s="47">
        <f>IF(AND(B2721=Queue!$C$4,OR(Queue!$K$4="*",N2721=Queue!$K$4)),Q2721,"")</f>
        <v/>
      </c>
    </row>
    <row r="2722">
      <c r="A2722" s="38">
        <f>IF(M2722="","",HYPERLINK("https://www.youtube.com/watch?v="&amp;M2722,"▶"))</f>
        <v/>
      </c>
      <c r="B2722" s="39">
        <f>IF(C2722&lt;&gt;"",C2722,IF(P2722&lt;=IFERROR(INDEX(tblChannels[Watched Through],MATCH(N2722,tblChannels[Channel ID],0)),0),"Watched","Unwatched"))</f>
        <v/>
      </c>
      <c r="C2722" s="40" t="n"/>
      <c r="D2722" s="41" t="n"/>
      <c r="E2722" s="42" t="n">
        <v>42299.69583333333</v>
      </c>
      <c r="F2722" s="52" t="inlineStr">
        <is>
          <t>Super Carlin Gaming</t>
        </is>
      </c>
      <c r="G2722" t="inlineStr">
        <is>
          <t>Pokemon HeartGold Nuzlocke #17: Safari Zone!</t>
        </is>
      </c>
      <c r="H2722" s="44" t="n">
        <v>0.01613425925925926</v>
      </c>
      <c r="I2722" s="45" t="n">
        <v>23447</v>
      </c>
      <c r="J2722" s="45" t="n">
        <v>507</v>
      </c>
      <c r="K2722" s="45" t="n">
        <v>82</v>
      </c>
      <c r="L2722" s="46" t="n"/>
      <c r="M2722" s="47" t="n"/>
      <c r="N2722" s="47" t="inlineStr">
        <is>
          <t>UCor_9jRnNNZVzTuQ92PKsaQ</t>
        </is>
      </c>
      <c r="O2722" s="48" t="n">
        <v>42299.8625</v>
      </c>
      <c r="P2722" s="49" t="n">
        <v>42299</v>
      </c>
      <c r="Q2722" s="47" t="n">
        <v>546</v>
      </c>
      <c r="R2722" s="47" t="inlineStr">
        <is>
          <t>No Video ID yet</t>
        </is>
      </c>
      <c r="S2722" s="49" t="n"/>
      <c r="T2722" s="49" t="n"/>
      <c r="U2722" s="47" t="inlineStr">
        <is>
          <t>A quick trip to the safari zone means new team members and few tough battles - Should we make and subs?</t>
        </is>
      </c>
      <c r="V2722" s="47">
        <f>IF(AND(P2722&gt;=Calendar!$K$2,P2722&lt;EDATE(Calendar!$K$2,1),OR(Calendar!$K$4="*",N2722=Calendar!$K$4)),P2722*100+COUNTIFS($P$6:$P$3267,P2722,$Q$6:$Q$3267,"&lt;="&amp;Q2722,$N$6:$N$3267,Calendar!$K$4),"")</f>
        <v/>
      </c>
      <c r="W2722" s="47">
        <f>IF(AND(B2722=Queue!$C$4,OR(Queue!$K$4="*",N2722=Queue!$K$4)),Q2722,"")</f>
        <v/>
      </c>
    </row>
    <row r="2723">
      <c r="A2723" s="38">
        <f>IF(M2723="","",HYPERLINK("https://www.youtube.com/watch?v="&amp;M2723,"▶"))</f>
        <v/>
      </c>
      <c r="B2723" s="39">
        <f>IF(C2723&lt;&gt;"",C2723,IF(P2723&lt;=IFERROR(INDEX(tblChannels[Watched Through],MATCH(N2723,tblChannels[Channel ID],0)),0),"Watched","Unwatched"))</f>
        <v/>
      </c>
      <c r="C2723" s="40" t="n"/>
      <c r="D2723" s="41" t="n"/>
      <c r="E2723" s="42" t="n">
        <v>42297.625</v>
      </c>
      <c r="F2723" s="50" t="inlineStr">
        <is>
          <t>Super Carlin Brothers</t>
        </is>
      </c>
      <c r="G2723" t="inlineStr">
        <is>
          <t>Pixar Theory: Emma Jean Revealed!</t>
        </is>
      </c>
      <c r="H2723" s="44" t="n">
        <v>0.004976851851851852</v>
      </c>
      <c r="I2723" s="45" t="n">
        <v>3055605</v>
      </c>
      <c r="J2723" s="45" t="n">
        <v>59646</v>
      </c>
      <c r="K2723" s="45" t="n">
        <v>9457</v>
      </c>
      <c r="L2723" s="46" t="n"/>
      <c r="M2723" s="47" t="n"/>
      <c r="N2723" s="47" t="inlineStr">
        <is>
          <t>UCKZo4N0lVPccBkSiuyVh4yg</t>
        </is>
      </c>
      <c r="O2723" s="48" t="n">
        <v>42297.79166666666</v>
      </c>
      <c r="P2723" s="49" t="n">
        <v>42297</v>
      </c>
      <c r="Q2723" s="47" t="n">
        <v>545</v>
      </c>
      <c r="R2723" s="47" t="inlineStr">
        <is>
          <t>No Video ID yet</t>
        </is>
      </c>
      <c r="S2723" s="49" t="n"/>
      <c r="T2723" s="49" t="n"/>
      <c r="U2723" s="47" t="inlineStr">
        <is>
          <t>What is your reaction??? Now if we could just figure out how it got in Andy's Room... MoviePilot ::</t>
        </is>
      </c>
      <c r="V2723" s="47">
        <f>IF(AND(P2723&gt;=Calendar!$K$2,P2723&lt;EDATE(Calendar!$K$2,1),OR(Calendar!$K$4="*",N2723=Calendar!$K$4)),P2723*100+COUNTIFS($P$6:$P$3267,P2723,$Q$6:$Q$3267,"&lt;="&amp;Q2723,$N$6:$N$3267,Calendar!$K$4),"")</f>
        <v/>
      </c>
      <c r="W2723" s="47">
        <f>IF(AND(B2723=Queue!$C$4,OR(Queue!$K$4="*",N2723=Queue!$K$4)),Q2723,"")</f>
        <v/>
      </c>
    </row>
    <row r="2724">
      <c r="A2724" s="38">
        <f>IF(M2724="","",HYPERLINK("https://www.youtube.com/watch?v="&amp;M2724,"▶"))</f>
        <v/>
      </c>
      <c r="B2724" s="39">
        <f>IF(C2724&lt;&gt;"",C2724,IF(P2724&lt;=IFERROR(INDEX(tblChannels[Watched Through],MATCH(N2724,tblChannels[Channel ID],0)),0),"Watched","Unwatched"))</f>
        <v/>
      </c>
      <c r="C2724" s="40" t="n"/>
      <c r="D2724" s="41" t="n"/>
      <c r="E2724" s="42" t="n">
        <v>42292.90555555555</v>
      </c>
      <c r="F2724" s="50" t="inlineStr">
        <is>
          <t>Super Carlin Brothers</t>
        </is>
      </c>
      <c r="G2724" t="inlineStr">
        <is>
          <t>Fast Facts: Harry Potter and the Half Blood Prince</t>
        </is>
      </c>
      <c r="H2724" s="44" t="n">
        <v>0.001585648148148148</v>
      </c>
      <c r="I2724" s="45" t="n">
        <v>175524</v>
      </c>
      <c r="J2724" s="45" t="n">
        <v>3503</v>
      </c>
      <c r="K2724" s="45" t="n">
        <v>187</v>
      </c>
      <c r="L2724" s="46" t="n"/>
      <c r="M2724" s="47" t="n"/>
      <c r="N2724" s="47" t="inlineStr">
        <is>
          <t>UCKZo4N0lVPccBkSiuyVh4yg</t>
        </is>
      </c>
      <c r="O2724" s="48" t="n">
        <v>42293.07222222222</v>
      </c>
      <c r="P2724" s="49" t="n">
        <v>42292</v>
      </c>
      <c r="Q2724" s="47" t="n">
        <v>544</v>
      </c>
      <c r="R2724" s="47" t="inlineStr">
        <is>
          <t>No Video ID yet</t>
        </is>
      </c>
      <c r="S2724" s="49" t="n"/>
      <c r="T2724" s="49" t="n"/>
      <c r="U2724" s="47" t="n"/>
      <c r="V2724" s="47">
        <f>IF(AND(P2724&gt;=Calendar!$K$2,P2724&lt;EDATE(Calendar!$K$2,1),OR(Calendar!$K$4="*",N2724=Calendar!$K$4)),P2724*100+COUNTIFS($P$6:$P$3267,P2724,$Q$6:$Q$3267,"&lt;="&amp;Q2724,$N$6:$N$3267,Calendar!$K$4),"")</f>
        <v/>
      </c>
      <c r="W2724" s="47">
        <f>IF(AND(B2724=Queue!$C$4,OR(Queue!$K$4="*",N2724=Queue!$K$4)),Q2724,"")</f>
        <v/>
      </c>
    </row>
    <row r="2725">
      <c r="A2725" s="38">
        <f>IF(M2725="","",HYPERLINK("https://www.youtube.com/watch?v="&amp;M2725,"▶"))</f>
        <v/>
      </c>
      <c r="B2725" s="39">
        <f>IF(C2725&lt;&gt;"",C2725,IF(P2725&lt;=IFERROR(INDEX(tblChannels[Watched Through],MATCH(N2725,tblChannels[Channel ID],0)),0),"Watched","Unwatched"))</f>
        <v/>
      </c>
      <c r="C2725" s="40" t="n"/>
      <c r="D2725" s="41" t="n"/>
      <c r="E2725" s="42" t="n">
        <v>42291.625</v>
      </c>
      <c r="F2725" s="50" t="inlineStr">
        <is>
          <t>Super Carlin Brothers</t>
        </is>
      </c>
      <c r="G2725" t="inlineStr">
        <is>
          <t>The Pixar Formula</t>
        </is>
      </c>
      <c r="H2725" s="44" t="n">
        <v>0.005497685185185185</v>
      </c>
      <c r="I2725" s="45" t="n">
        <v>827328</v>
      </c>
      <c r="J2725" s="45" t="n">
        <v>17659</v>
      </c>
      <c r="K2725" s="45" t="n">
        <v>2530</v>
      </c>
      <c r="L2725" s="46" t="n"/>
      <c r="M2725" s="47" t="n"/>
      <c r="N2725" s="47" t="inlineStr">
        <is>
          <t>UCKZo4N0lVPccBkSiuyVh4yg</t>
        </is>
      </c>
      <c r="O2725" s="48" t="n">
        <v>42291.79166666666</v>
      </c>
      <c r="P2725" s="49" t="n">
        <v>42291</v>
      </c>
      <c r="Q2725" s="47" t="n">
        <v>543</v>
      </c>
      <c r="R2725" s="47" t="inlineStr">
        <is>
          <t>No Video ID yet</t>
        </is>
      </c>
      <c r="S2725" s="49" t="n"/>
      <c r="T2725" s="49" t="n"/>
      <c r="U2725" s="47" t="inlineStr">
        <is>
          <t>MoviePilot.com :: 22 Rules of Storytelling :: Rules Image Credit ::</t>
        </is>
      </c>
      <c r="V2725" s="47">
        <f>IF(AND(P2725&gt;=Calendar!$K$2,P2725&lt;EDATE(Calendar!$K$2,1),OR(Calendar!$K$4="*",N2725=Calendar!$K$4)),P2725*100+COUNTIFS($P$6:$P$3267,P2725,$Q$6:$Q$3267,"&lt;="&amp;Q2725,$N$6:$N$3267,Calendar!$K$4),"")</f>
        <v/>
      </c>
      <c r="W2725" s="47">
        <f>IF(AND(B2725=Queue!$C$4,OR(Queue!$K$4="*",N2725=Queue!$K$4)),Q2725,"")</f>
        <v/>
      </c>
    </row>
    <row r="2726">
      <c r="A2726" s="38">
        <f>IF(M2726="","",HYPERLINK("https://www.youtube.com/watch?v="&amp;M2726,"▶"))</f>
        <v/>
      </c>
      <c r="B2726" s="39">
        <f>IF(C2726&lt;&gt;"",C2726,IF(P2726&lt;=IFERROR(INDEX(tblChannels[Watched Through],MATCH(N2726,tblChannels[Channel ID],0)),0),"Watched","Unwatched"))</f>
        <v/>
      </c>
      <c r="C2726" s="40" t="n"/>
      <c r="D2726" s="41" t="n"/>
      <c r="E2726" s="42" t="n">
        <v>42285.94375</v>
      </c>
      <c r="F2726" s="50" t="inlineStr">
        <is>
          <t>Super Carlin Brothers</t>
        </is>
      </c>
      <c r="G2726" t="inlineStr">
        <is>
          <t>Fast Facts: Harry Potter and the Order of the Phoenix</t>
        </is>
      </c>
      <c r="H2726" s="44" t="n">
        <v>0.002268518518518519</v>
      </c>
      <c r="I2726" s="45" t="n">
        <v>177853</v>
      </c>
      <c r="J2726" s="45" t="n">
        <v>3902</v>
      </c>
      <c r="K2726" s="45" t="n">
        <v>418</v>
      </c>
      <c r="L2726" s="46" t="n"/>
      <c r="M2726" s="47" t="n"/>
      <c r="N2726" s="47" t="inlineStr">
        <is>
          <t>UCKZo4N0lVPccBkSiuyVh4yg</t>
        </is>
      </c>
      <c r="O2726" s="48" t="n">
        <v>42286.11041666667</v>
      </c>
      <c r="P2726" s="49" t="n">
        <v>42285</v>
      </c>
      <c r="Q2726" s="47" t="n">
        <v>542</v>
      </c>
      <c r="R2726" s="47" t="inlineStr">
        <is>
          <t>No Video ID yet</t>
        </is>
      </c>
      <c r="S2726" s="49" t="n"/>
      <c r="T2726" s="49" t="n"/>
      <c r="U2726" s="47" t="inlineStr">
        <is>
          <t>Stick around until the end for a tiny little surprise!</t>
        </is>
      </c>
      <c r="V2726" s="47">
        <f>IF(AND(P2726&gt;=Calendar!$K$2,P2726&lt;EDATE(Calendar!$K$2,1),OR(Calendar!$K$4="*",N2726=Calendar!$K$4)),P2726*100+COUNTIFS($P$6:$P$3267,P2726,$Q$6:$Q$3267,"&lt;="&amp;Q2726,$N$6:$N$3267,Calendar!$K$4),"")</f>
        <v/>
      </c>
      <c r="W2726" s="47">
        <f>IF(AND(B2726=Queue!$C$4,OR(Queue!$K$4="*",N2726=Queue!$K$4)),Q2726,"")</f>
        <v/>
      </c>
    </row>
    <row r="2727">
      <c r="A2727" s="38">
        <f>IF(M2727="","",HYPERLINK("https://www.youtube.com/watch?v="&amp;M2727,"▶"))</f>
        <v/>
      </c>
      <c r="B2727" s="39">
        <f>IF(C2727&lt;&gt;"",C2727,IF(P2727&lt;=IFERROR(INDEX(tblChannels[Watched Through],MATCH(N2727,tblChannels[Channel ID],0)),0),"Watched","Unwatched"))</f>
        <v/>
      </c>
      <c r="C2727" s="40" t="n"/>
      <c r="D2727" s="41" t="n"/>
      <c r="E2727" s="42" t="n">
        <v>42283.95416666667</v>
      </c>
      <c r="F2727" s="50" t="inlineStr">
        <is>
          <t>Super Carlin Brothers</t>
        </is>
      </c>
      <c r="G2727" t="inlineStr">
        <is>
          <t>How the Scare Floor Works</t>
        </is>
      </c>
      <c r="H2727" s="44" t="n">
        <v>0.004027777777777778</v>
      </c>
      <c r="I2727" s="45" t="n">
        <v>913400</v>
      </c>
      <c r="J2727" s="45" t="n">
        <v>18380</v>
      </c>
      <c r="K2727" s="45" t="n">
        <v>2977</v>
      </c>
      <c r="L2727" s="46" t="n"/>
      <c r="M2727" s="47" t="n"/>
      <c r="N2727" s="47" t="inlineStr">
        <is>
          <t>UCKZo4N0lVPccBkSiuyVh4yg</t>
        </is>
      </c>
      <c r="O2727" s="48" t="n">
        <v>42284.12083333333</v>
      </c>
      <c r="P2727" s="49" t="n">
        <v>42283</v>
      </c>
      <c r="Q2727" s="47" t="n">
        <v>541</v>
      </c>
      <c r="R2727" s="47" t="inlineStr">
        <is>
          <t>No Video ID yet</t>
        </is>
      </c>
      <c r="S2727" s="49" t="n"/>
      <c r="T2727" s="49" t="n"/>
      <c r="U2727" s="47" t="inlineStr">
        <is>
          <t>Did You ever think you had a monster? What do you want to know about The Good Dinosaur? Who is Andy's Monster ::</t>
        </is>
      </c>
      <c r="V2727" s="47">
        <f>IF(AND(P2727&gt;=Calendar!$K$2,P2727&lt;EDATE(Calendar!$K$2,1),OR(Calendar!$K$4="*",N2727=Calendar!$K$4)),P2727*100+COUNTIFS($P$6:$P$3267,P2727,$Q$6:$Q$3267,"&lt;="&amp;Q2727,$N$6:$N$3267,Calendar!$K$4),"")</f>
        <v/>
      </c>
      <c r="W2727" s="47">
        <f>IF(AND(B2727=Queue!$C$4,OR(Queue!$K$4="*",N2727=Queue!$K$4)),Q2727,"")</f>
        <v/>
      </c>
    </row>
    <row r="2728">
      <c r="A2728" s="38">
        <f>IF(M2728="","",HYPERLINK("https://www.youtube.com/watch?v="&amp;M2728,"▶"))</f>
        <v/>
      </c>
      <c r="B2728" s="39">
        <f>IF(C2728&lt;&gt;"",C2728,IF(P2728&lt;=IFERROR(INDEX(tblChannels[Watched Through],MATCH(N2728,tblChannels[Channel ID],0)),0),"Watched","Unwatched"))</f>
        <v/>
      </c>
      <c r="C2728" s="40" t="n"/>
      <c r="D2728" s="41" t="n"/>
      <c r="E2728" s="42" t="n">
        <v>42278.90972222222</v>
      </c>
      <c r="F2728" s="50" t="inlineStr">
        <is>
          <t>Super Carlin Brothers</t>
        </is>
      </c>
      <c r="G2728" t="inlineStr">
        <is>
          <t>Fast Facts: Harry Potter and the Goblet of Fire</t>
        </is>
      </c>
      <c r="H2728" s="44" t="n">
        <v>0.002060185185185185</v>
      </c>
      <c r="I2728" s="45" t="n">
        <v>199034</v>
      </c>
      <c r="J2728" s="45" t="n">
        <v>4103</v>
      </c>
      <c r="K2728" s="45" t="n">
        <v>223</v>
      </c>
      <c r="L2728" s="46" t="n"/>
      <c r="M2728" s="47" t="n"/>
      <c r="N2728" s="47" t="inlineStr">
        <is>
          <t>UCKZo4N0lVPccBkSiuyVh4yg</t>
        </is>
      </c>
      <c r="O2728" s="48" t="n">
        <v>42279.07638888889</v>
      </c>
      <c r="P2728" s="49" t="n">
        <v>42278</v>
      </c>
      <c r="Q2728" s="47" t="n">
        <v>540</v>
      </c>
      <c r="R2728" s="47" t="inlineStr">
        <is>
          <t>No Video ID yet</t>
        </is>
      </c>
      <c r="S2728" s="49" t="n"/>
      <c r="T2728" s="49" t="n"/>
      <c r="U2728" s="47" t="inlineStr">
        <is>
          <t>Business Inquiries Only: CarlinBrosRTP@gmail.com</t>
        </is>
      </c>
      <c r="V2728" s="47">
        <f>IF(AND(P2728&gt;=Calendar!$K$2,P2728&lt;EDATE(Calendar!$K$2,1),OR(Calendar!$K$4="*",N2728=Calendar!$K$4)),P2728*100+COUNTIFS($P$6:$P$3267,P2728,$Q$6:$Q$3267,"&lt;="&amp;Q2728,$N$6:$N$3267,Calendar!$K$4),"")</f>
        <v/>
      </c>
      <c r="W2728" s="47">
        <f>IF(AND(B2728=Queue!$C$4,OR(Queue!$K$4="*",N2728=Queue!$K$4)),Q2728,"")</f>
        <v/>
      </c>
    </row>
    <row r="2729">
      <c r="A2729" s="38">
        <f>IF(M2729="","",HYPERLINK("https://www.youtube.com/watch?v="&amp;M2729,"▶"))</f>
        <v/>
      </c>
      <c r="B2729" s="39">
        <f>IF(C2729&lt;&gt;"",C2729,IF(P2729&lt;=IFERROR(INDEX(tblChannels[Watched Through],MATCH(N2729,tblChannels[Channel ID],0)),0),"Watched","Unwatched"))</f>
        <v/>
      </c>
      <c r="C2729" s="40" t="n"/>
      <c r="D2729" s="41" t="n"/>
      <c r="E2729" s="42" t="n">
        <v>42276.90902777778</v>
      </c>
      <c r="F2729" s="50" t="inlineStr">
        <is>
          <t>Super Carlin Brothers</t>
        </is>
      </c>
      <c r="G2729" t="inlineStr">
        <is>
          <t>Loot Crate Unboxing | Summon</t>
        </is>
      </c>
      <c r="H2729" s="44" t="n">
        <v>0.005277777777777778</v>
      </c>
      <c r="I2729" s="45" t="n">
        <v>98182</v>
      </c>
      <c r="J2729" s="45" t="n">
        <v>2259</v>
      </c>
      <c r="K2729" s="45" t="n">
        <v>668</v>
      </c>
      <c r="L2729" s="46" t="n"/>
      <c r="M2729" s="47" t="n"/>
      <c r="N2729" s="47" t="inlineStr">
        <is>
          <t>UCKZo4N0lVPccBkSiuyVh4yg</t>
        </is>
      </c>
      <c r="O2729" s="48" t="n">
        <v>42277.07569444444</v>
      </c>
      <c r="P2729" s="49" t="n">
        <v>42276</v>
      </c>
      <c r="Q2729" s="47" t="n">
        <v>539</v>
      </c>
      <c r="R2729" s="47" t="inlineStr">
        <is>
          <t>No Video ID yet</t>
        </is>
      </c>
      <c r="S2729" s="49" t="n"/>
      <c r="T2729" s="49" t="n"/>
      <c r="U2729" s="47" t="inlineStr">
        <is>
          <t>Share this video if you want Ben to get that tattoo!!! Get your own Loot Crate :: Promo Code: CARLIN Business Inquiries Only: CarlinBrosRTP@gmail.com</t>
        </is>
      </c>
      <c r="V2729" s="47">
        <f>IF(AND(P2729&gt;=Calendar!$K$2,P2729&lt;EDATE(Calendar!$K$2,1),OR(Calendar!$K$4="*",N2729=Calendar!$K$4)),P2729*100+COUNTIFS($P$6:$P$3267,P2729,$Q$6:$Q$3267,"&lt;="&amp;Q2729,$N$6:$N$3267,Calendar!$K$4),"")</f>
        <v/>
      </c>
      <c r="W2729" s="47">
        <f>IF(AND(B2729=Queue!$C$4,OR(Queue!$K$4="*",N2729=Queue!$K$4)),Q2729,"")</f>
        <v/>
      </c>
    </row>
    <row r="2730">
      <c r="A2730" s="38">
        <f>IF(M2730="","",HYPERLINK("https://www.youtube.com/watch?v="&amp;M2730,"▶"))</f>
        <v/>
      </c>
      <c r="B2730" s="39">
        <f>IF(C2730&lt;&gt;"",C2730,IF(P2730&lt;=IFERROR(INDEX(tblChannels[Watched Through],MATCH(N2730,tblChannels[Channel ID],0)),0),"Watched","Unwatched"))</f>
        <v/>
      </c>
      <c r="C2730" s="40" t="n"/>
      <c r="D2730" s="41" t="n"/>
      <c r="E2730" s="42" t="n">
        <v>42271.85833333333</v>
      </c>
      <c r="F2730" s="50" t="inlineStr">
        <is>
          <t>Super Carlin Brothers</t>
        </is>
      </c>
      <c r="G2730" t="inlineStr">
        <is>
          <t>Fast Facts: Harry Potter and the Prisoner of Azkaban</t>
        </is>
      </c>
      <c r="H2730" s="44" t="n">
        <v>0.00193287037037037</v>
      </c>
      <c r="I2730" s="45" t="n">
        <v>227131</v>
      </c>
      <c r="J2730" s="45" t="n">
        <v>4401</v>
      </c>
      <c r="K2730" s="45" t="n">
        <v>294</v>
      </c>
      <c r="L2730" s="46" t="n"/>
      <c r="M2730" s="47" t="n"/>
      <c r="N2730" s="47" t="inlineStr">
        <is>
          <t>UCKZo4N0lVPccBkSiuyVh4yg</t>
        </is>
      </c>
      <c r="O2730" s="48" t="n">
        <v>42272.025</v>
      </c>
      <c r="P2730" s="49" t="n">
        <v>42271</v>
      </c>
      <c r="Q2730" s="47" t="n">
        <v>538</v>
      </c>
      <c r="R2730" s="47" t="inlineStr">
        <is>
          <t>No Video ID yet</t>
        </is>
      </c>
      <c r="S2730" s="49" t="n"/>
      <c r="T2730" s="49" t="n"/>
      <c r="U2730" s="47" t="inlineStr">
        <is>
          <t>Business Inquiries Only: CarlinBrosRTP@gmail.com</t>
        </is>
      </c>
      <c r="V2730" s="47">
        <f>IF(AND(P2730&gt;=Calendar!$K$2,P2730&lt;EDATE(Calendar!$K$2,1),OR(Calendar!$K$4="*",N2730=Calendar!$K$4)),P2730*100+COUNTIFS($P$6:$P$3267,P2730,$Q$6:$Q$3267,"&lt;="&amp;Q2730,$N$6:$N$3267,Calendar!$K$4),"")</f>
        <v/>
      </c>
      <c r="W2730" s="47">
        <f>IF(AND(B2730=Queue!$C$4,OR(Queue!$K$4="*",N2730=Queue!$K$4)),Q2730,"")</f>
        <v/>
      </c>
    </row>
    <row r="2731">
      <c r="A2731" s="38">
        <f>IF(M2731="","",HYPERLINK("https://www.youtube.com/watch?v="&amp;M2731,"▶"))</f>
        <v/>
      </c>
      <c r="B2731" s="39">
        <f>IF(C2731&lt;&gt;"",C2731,IF(P2731&lt;=IFERROR(INDEX(tblChannels[Watched Through],MATCH(N2731,tblChannels[Channel ID],0)),0),"Watched","Unwatched"))</f>
        <v/>
      </c>
      <c r="C2731" s="40" t="n"/>
      <c r="D2731" s="41" t="n"/>
      <c r="E2731" s="42" t="n">
        <v>42269.94861111111</v>
      </c>
      <c r="F2731" s="50" t="inlineStr">
        <is>
          <t>Super Carlin Brothers</t>
        </is>
      </c>
      <c r="G2731" t="inlineStr">
        <is>
          <t>Should Heroes Wear Capes?!</t>
        </is>
      </c>
      <c r="H2731" s="44" t="n">
        <v>0.004537037037037037</v>
      </c>
      <c r="I2731" s="45" t="n">
        <v>1805428</v>
      </c>
      <c r="J2731" s="45" t="n">
        <v>33688</v>
      </c>
      <c r="K2731" s="45" t="n">
        <v>4304</v>
      </c>
      <c r="L2731" s="46" t="n"/>
      <c r="M2731" s="47" t="n"/>
      <c r="N2731" s="47" t="inlineStr">
        <is>
          <t>UCKZo4N0lVPccBkSiuyVh4yg</t>
        </is>
      </c>
      <c r="O2731" s="48" t="n">
        <v>42270.11527777778</v>
      </c>
      <c r="P2731" s="49" t="n">
        <v>42269</v>
      </c>
      <c r="Q2731" s="47" t="n">
        <v>537</v>
      </c>
      <c r="R2731" s="47" t="inlineStr">
        <is>
          <t>No Video ID yet</t>
        </is>
      </c>
      <c r="S2731" s="49" t="n"/>
      <c r="T2731" s="49" t="n"/>
      <c r="U2731" s="47" t="inlineStr">
        <is>
          <t>Should Heroes wear capes? Is Edna the secret savior of The Incredibles?? Business Inquiries Only: CarlinBrosRTP@gmail.com</t>
        </is>
      </c>
      <c r="V2731" s="47">
        <f>IF(AND(P2731&gt;=Calendar!$K$2,P2731&lt;EDATE(Calendar!$K$2,1),OR(Calendar!$K$4="*",N2731=Calendar!$K$4)),P2731*100+COUNTIFS($P$6:$P$3267,P2731,$Q$6:$Q$3267,"&lt;="&amp;Q2731,$N$6:$N$3267,Calendar!$K$4),"")</f>
        <v/>
      </c>
      <c r="W2731" s="47">
        <f>IF(AND(B2731=Queue!$C$4,OR(Queue!$K$4="*",N2731=Queue!$K$4)),Q2731,"")</f>
        <v/>
      </c>
    </row>
    <row r="2732">
      <c r="A2732" s="38">
        <f>IF(M2732="","",HYPERLINK("https://www.youtube.com/watch?v="&amp;M2732,"▶"))</f>
        <v/>
      </c>
      <c r="B2732" s="39">
        <f>IF(C2732&lt;&gt;"",C2732,IF(P2732&lt;=IFERROR(INDEX(tblChannels[Watched Through],MATCH(N2732,tblChannels[Channel ID],0)),0),"Watched","Unwatched"))</f>
        <v/>
      </c>
      <c r="C2732" s="40" t="n"/>
      <c r="D2732" s="41" t="n"/>
      <c r="E2732" s="42" t="n">
        <v>42264.94791666666</v>
      </c>
      <c r="F2732" s="50" t="inlineStr">
        <is>
          <t>Super Carlin Brothers</t>
        </is>
      </c>
      <c r="G2732" t="inlineStr">
        <is>
          <t>Fast Facts: Harry Potter and the Chamber of Secrets</t>
        </is>
      </c>
      <c r="H2732" s="44" t="n">
        <v>0.001793981481481481</v>
      </c>
      <c r="I2732" s="45" t="n">
        <v>207588</v>
      </c>
      <c r="J2732" s="45" t="n">
        <v>4474</v>
      </c>
      <c r="K2732" s="45" t="n">
        <v>248</v>
      </c>
      <c r="L2732" s="46" t="n"/>
      <c r="M2732" s="47" t="n"/>
      <c r="N2732" s="47" t="inlineStr">
        <is>
          <t>UCKZo4N0lVPccBkSiuyVh4yg</t>
        </is>
      </c>
      <c r="O2732" s="48" t="n">
        <v>42265.11458333334</v>
      </c>
      <c r="P2732" s="49" t="n">
        <v>42264</v>
      </c>
      <c r="Q2732" s="47" t="n">
        <v>536</v>
      </c>
      <c r="R2732" s="47" t="inlineStr">
        <is>
          <t>No Video ID yet</t>
        </is>
      </c>
      <c r="S2732" s="49" t="n"/>
      <c r="T2732" s="49" t="n"/>
      <c r="U2732" s="47" t="inlineStr">
        <is>
          <t>Business Inquiries Only: CarlinBrosRTP@gmail.com</t>
        </is>
      </c>
      <c r="V2732" s="47">
        <f>IF(AND(P2732&gt;=Calendar!$K$2,P2732&lt;EDATE(Calendar!$K$2,1),OR(Calendar!$K$4="*",N2732=Calendar!$K$4)),P2732*100+COUNTIFS($P$6:$P$3267,P2732,$Q$6:$Q$3267,"&lt;="&amp;Q2732,$N$6:$N$3267,Calendar!$K$4),"")</f>
        <v/>
      </c>
      <c r="W2732" s="47">
        <f>IF(AND(B2732=Queue!$C$4,OR(Queue!$K$4="*",N2732=Queue!$K$4)),Q2732,"")</f>
        <v/>
      </c>
    </row>
    <row r="2733">
      <c r="A2733" s="38">
        <f>IF(M2733="","",HYPERLINK("https://www.youtube.com/watch?v="&amp;M2733,"▶"))</f>
        <v/>
      </c>
      <c r="B2733" s="39">
        <f>IF(C2733&lt;&gt;"",C2733,IF(P2733&lt;=IFERROR(INDEX(tblChannels[Watched Through],MATCH(N2733,tblChannels[Channel ID],0)),0),"Watched","Unwatched"))</f>
        <v/>
      </c>
      <c r="C2733" s="40" t="n"/>
      <c r="D2733" s="41" t="n"/>
      <c r="E2733" s="42" t="n">
        <v>42262.93055555555</v>
      </c>
      <c r="F2733" s="50" t="inlineStr">
        <is>
          <t>Super Carlin Brothers</t>
        </is>
      </c>
      <c r="G2733" t="inlineStr">
        <is>
          <t>What Happened to Pixar's Newt?</t>
        </is>
      </c>
      <c r="H2733" s="44" t="n">
        <v>0.004525462962962963</v>
      </c>
      <c r="I2733" s="45" t="n">
        <v>3242669</v>
      </c>
      <c r="J2733" s="45" t="n">
        <v>45129</v>
      </c>
      <c r="K2733" s="45" t="n">
        <v>7197</v>
      </c>
      <c r="L2733" s="46" t="n"/>
      <c r="M2733" s="47" t="n"/>
      <c r="N2733" s="47" t="inlineStr">
        <is>
          <t>UCKZo4N0lVPccBkSiuyVh4yg</t>
        </is>
      </c>
      <c r="O2733" s="48" t="n">
        <v>42263.09722222222</v>
      </c>
      <c r="P2733" s="49" t="n">
        <v>42262</v>
      </c>
      <c r="Q2733" s="47" t="n">
        <v>535</v>
      </c>
      <c r="R2733" s="47" t="inlineStr">
        <is>
          <t>No Video ID yet</t>
        </is>
      </c>
      <c r="S2733" s="49" t="n"/>
      <c r="T2733" s="49" t="n"/>
      <c r="U2733" s="47" t="inlineStr">
        <is>
          <t>Read more about Newt Here: Never look back darling it distracts from the now -Edna Mode Are you happy with the way things worked out?? Business Inquiries Only: CarlinBrosRTP@gmail.com</t>
        </is>
      </c>
      <c r="V2733" s="47">
        <f>IF(AND(P2733&gt;=Calendar!$K$2,P2733&lt;EDATE(Calendar!$K$2,1),OR(Calendar!$K$4="*",N2733=Calendar!$K$4)),P2733*100+COUNTIFS($P$6:$P$3267,P2733,$Q$6:$Q$3267,"&lt;="&amp;Q2733,$N$6:$N$3267,Calendar!$K$4),"")</f>
        <v/>
      </c>
      <c r="W2733" s="47">
        <f>IF(AND(B2733=Queue!$C$4,OR(Queue!$K$4="*",N2733=Queue!$K$4)),Q2733,"")</f>
        <v/>
      </c>
    </row>
    <row r="2734">
      <c r="A2734" s="38">
        <f>IF(M2734="","",HYPERLINK("https://www.youtube.com/watch?v="&amp;M2734,"▶"))</f>
        <v/>
      </c>
      <c r="B2734" s="39">
        <f>IF(C2734&lt;&gt;"",C2734,IF(P2734&lt;=IFERROR(INDEX(tblChannels[Watched Through],MATCH(N2734,tblChannels[Channel ID],0)),0),"Watched","Unwatched"))</f>
        <v/>
      </c>
      <c r="C2734" s="40" t="n"/>
      <c r="D2734" s="41" t="n"/>
      <c r="E2734" s="42" t="n">
        <v>42257.95555555556</v>
      </c>
      <c r="F2734" s="50" t="inlineStr">
        <is>
          <t>Super Carlin Brothers</t>
        </is>
      </c>
      <c r="G2734" t="inlineStr">
        <is>
          <t>Fast Facts: Harry Potter and the Sorcerer's Stone</t>
        </is>
      </c>
      <c r="H2734" s="44" t="n">
        <v>0.00193287037037037</v>
      </c>
      <c r="I2734" s="45" t="n">
        <v>265258</v>
      </c>
      <c r="J2734" s="45" t="n">
        <v>5503</v>
      </c>
      <c r="K2734" s="45" t="n">
        <v>391</v>
      </c>
      <c r="L2734" s="46" t="n"/>
      <c r="M2734" s="47" t="n"/>
      <c r="N2734" s="47" t="inlineStr">
        <is>
          <t>UCKZo4N0lVPccBkSiuyVh4yg</t>
        </is>
      </c>
      <c r="O2734" s="48" t="n">
        <v>42258.12222222222</v>
      </c>
      <c r="P2734" s="49" t="n">
        <v>42257</v>
      </c>
      <c r="Q2734" s="47" t="n">
        <v>534</v>
      </c>
      <c r="R2734" s="47" t="inlineStr">
        <is>
          <t>No Video ID yet</t>
        </is>
      </c>
      <c r="S2734" s="49" t="n"/>
      <c r="T2734" s="49" t="n"/>
      <c r="U2734" s="47" t="inlineStr">
        <is>
          <t>Business Inquiries Only: CarlinBrosRTP@gmail.com</t>
        </is>
      </c>
      <c r="V2734" s="47">
        <f>IF(AND(P2734&gt;=Calendar!$K$2,P2734&lt;EDATE(Calendar!$K$2,1),OR(Calendar!$K$4="*",N2734=Calendar!$K$4)),P2734*100+COUNTIFS($P$6:$P$3267,P2734,$Q$6:$Q$3267,"&lt;="&amp;Q2734,$N$6:$N$3267,Calendar!$K$4),"")</f>
        <v/>
      </c>
      <c r="W2734" s="47">
        <f>IF(AND(B2734=Queue!$C$4,OR(Queue!$K$4="*",N2734=Queue!$K$4)),Q2734,"")</f>
        <v/>
      </c>
    </row>
    <row r="2735">
      <c r="A2735" s="38">
        <f>IF(M2735="","",HYPERLINK("https://www.youtube.com/watch?v="&amp;M2735,"▶"))</f>
        <v/>
      </c>
      <c r="B2735" s="39">
        <f>IF(C2735&lt;&gt;"",C2735,IF(P2735&lt;=IFERROR(INDEX(tblChannels[Watched Through],MATCH(N2735,tblChannels[Channel ID],0)),0),"Watched","Unwatched"))</f>
        <v/>
      </c>
      <c r="C2735" s="40" t="n"/>
      <c r="D2735" s="41" t="n"/>
      <c r="E2735" s="42" t="n">
        <v>42257.54652777778</v>
      </c>
      <c r="F2735" s="52" t="inlineStr">
        <is>
          <t>Super Carlin Gaming</t>
        </is>
      </c>
      <c r="G2735" t="inlineStr">
        <is>
          <t>Pokemon HeartGold Nuzlocke #16 | Iron Tail</t>
        </is>
      </c>
      <c r="H2735" s="44" t="n">
        <v>0.02040509259259259</v>
      </c>
      <c r="I2735" s="45" t="n">
        <v>27170</v>
      </c>
      <c r="J2735" s="45" t="n">
        <v>553</v>
      </c>
      <c r="K2735" s="45" t="n">
        <v>132</v>
      </c>
      <c r="L2735" s="46" t="n"/>
      <c r="M2735" s="47" t="n"/>
      <c r="N2735" s="47" t="inlineStr">
        <is>
          <t>UCor_9jRnNNZVzTuQ92PKsaQ</t>
        </is>
      </c>
      <c r="O2735" s="48" t="n">
        <v>42257.71319444444</v>
      </c>
      <c r="P2735" s="49" t="n">
        <v>42257</v>
      </c>
      <c r="Q2735" s="47" t="n">
        <v>533</v>
      </c>
      <c r="R2735" s="47" t="inlineStr">
        <is>
          <t>No Video ID yet</t>
        </is>
      </c>
      <c r="S2735" s="49" t="n"/>
      <c r="T2735" s="49" t="n"/>
      <c r="U2735" s="47" t="inlineStr">
        <is>
          <t>The team is in mourning after the loss of Bananas but comes together through training - We say hello to a new friend and take on the 6th gym... is the training enough??</t>
        </is>
      </c>
      <c r="V2735" s="47">
        <f>IF(AND(P2735&gt;=Calendar!$K$2,P2735&lt;EDATE(Calendar!$K$2,1),OR(Calendar!$K$4="*",N2735=Calendar!$K$4)),P2735*100+COUNTIFS($P$6:$P$3267,P2735,$Q$6:$Q$3267,"&lt;="&amp;Q2735,$N$6:$N$3267,Calendar!$K$4),"")</f>
        <v/>
      </c>
      <c r="W2735" s="47">
        <f>IF(AND(B2735=Queue!$C$4,OR(Queue!$K$4="*",N2735=Queue!$K$4)),Q2735,"")</f>
        <v/>
      </c>
    </row>
    <row r="2736">
      <c r="A2736" s="38">
        <f>IF(M2736="","",HYPERLINK("https://www.youtube.com/watch?v="&amp;M2736,"▶"))</f>
        <v/>
      </c>
      <c r="B2736" s="39">
        <f>IF(C2736&lt;&gt;"",C2736,IF(P2736&lt;=IFERROR(INDEX(tblChannels[Watched Through],MATCH(N2736,tblChannels[Channel ID],0)),0),"Watched","Unwatched"))</f>
        <v/>
      </c>
      <c r="C2736" s="40" t="n"/>
      <c r="D2736" s="41" t="n"/>
      <c r="E2736" s="42" t="n">
        <v>42255.97430555556</v>
      </c>
      <c r="F2736" s="50" t="inlineStr">
        <is>
          <t>Super Carlin Brothers</t>
        </is>
      </c>
      <c r="G2736" t="inlineStr">
        <is>
          <t>Can Spider-Man Google Autofill!?</t>
        </is>
      </c>
      <c r="H2736" s="44" t="n">
        <v>0.004398148148148148</v>
      </c>
      <c r="I2736" s="45" t="n">
        <v>448788</v>
      </c>
      <c r="J2736" s="45" t="n">
        <v>6679</v>
      </c>
      <c r="K2736" s="45" t="n">
        <v>1834</v>
      </c>
      <c r="L2736" s="46" t="n"/>
      <c r="M2736" s="47" t="n"/>
      <c r="N2736" s="47" t="inlineStr">
        <is>
          <t>UCKZo4N0lVPccBkSiuyVh4yg</t>
        </is>
      </c>
      <c r="O2736" s="48" t="n">
        <v>42256.14097222222</v>
      </c>
      <c r="P2736" s="49" t="n">
        <v>42255</v>
      </c>
      <c r="Q2736" s="47" t="n">
        <v>532</v>
      </c>
      <c r="R2736" s="47" t="inlineStr">
        <is>
          <t>No Video ID yet</t>
        </is>
      </c>
      <c r="S2736" s="49" t="n"/>
      <c r="T2736" s="49" t="n"/>
      <c r="U2736" s="47" t="inlineStr">
        <is>
          <t>Where do you stand? Natural Webbing vs Man Made?? Business Inquiries Only: CarlinBrosRTP@gmail.com</t>
        </is>
      </c>
      <c r="V2736" s="47">
        <f>IF(AND(P2736&gt;=Calendar!$K$2,P2736&lt;EDATE(Calendar!$K$2,1),OR(Calendar!$K$4="*",N2736=Calendar!$K$4)),P2736*100+COUNTIFS($P$6:$P$3267,P2736,$Q$6:$Q$3267,"&lt;="&amp;Q2736,$N$6:$N$3267,Calendar!$K$4),"")</f>
        <v/>
      </c>
      <c r="W2736" s="47">
        <f>IF(AND(B2736=Queue!$C$4,OR(Queue!$K$4="*",N2736=Queue!$K$4)),Q2736,"")</f>
        <v/>
      </c>
    </row>
    <row r="2737">
      <c r="A2737" s="38">
        <f>IF(M2737="","",HYPERLINK("https://www.youtube.com/watch?v="&amp;M2737,"▶"))</f>
        <v/>
      </c>
      <c r="B2737" s="39">
        <f>IF(C2737&lt;&gt;"",C2737,IF(P2737&lt;=IFERROR(INDEX(tblChannels[Watched Through],MATCH(N2737,tblChannels[Channel ID],0)),0),"Watched","Unwatched"))</f>
        <v/>
      </c>
      <c r="C2737" s="40" t="n"/>
      <c r="D2737" s="41" t="n"/>
      <c r="E2737" s="42" t="n">
        <v>42252.41666666666</v>
      </c>
      <c r="F2737" s="52" t="inlineStr">
        <is>
          <t>Super Carlin Gaming</t>
        </is>
      </c>
      <c r="G2737" t="inlineStr">
        <is>
          <t>Pokemon HeartGold Nuzlocke #15: Focus Punch</t>
        </is>
      </c>
      <c r="H2737" s="44" t="n">
        <v>0.01737268518518519</v>
      </c>
      <c r="I2737" s="45" t="n">
        <v>26741</v>
      </c>
      <c r="J2737" s="45" t="n">
        <v>504</v>
      </c>
      <c r="K2737" s="45" t="n">
        <v>222</v>
      </c>
      <c r="L2737" s="46" t="n"/>
      <c r="M2737" s="47" t="n"/>
      <c r="N2737" s="47" t="inlineStr">
        <is>
          <t>UCor_9jRnNNZVzTuQ92PKsaQ</t>
        </is>
      </c>
      <c r="O2737" s="48" t="n">
        <v>42252.58333333334</v>
      </c>
      <c r="P2737" s="49" t="n">
        <v>42252</v>
      </c>
      <c r="Q2737" s="47" t="n">
        <v>531</v>
      </c>
      <c r="R2737" s="47" t="inlineStr">
        <is>
          <t>No Video ID yet</t>
        </is>
      </c>
      <c r="S2737" s="49" t="n"/>
      <c r="T2737" s="49" t="n"/>
      <c r="U2737" s="47" t="inlineStr">
        <is>
          <t>Today we take on the tough hitting 5th gym and its fighting types, can the team survive?</t>
        </is>
      </c>
      <c r="V2737" s="47">
        <f>IF(AND(P2737&gt;=Calendar!$K$2,P2737&lt;EDATE(Calendar!$K$2,1),OR(Calendar!$K$4="*",N2737=Calendar!$K$4)),P2737*100+COUNTIFS($P$6:$P$3267,P2737,$Q$6:$Q$3267,"&lt;="&amp;Q2737,$N$6:$N$3267,Calendar!$K$4),"")</f>
        <v/>
      </c>
      <c r="W2737" s="47">
        <f>IF(AND(B2737=Queue!$C$4,OR(Queue!$K$4="*",N2737=Queue!$K$4)),Q2737,"")</f>
        <v/>
      </c>
    </row>
    <row r="2738">
      <c r="A2738" s="38">
        <f>IF(M2738="","",HYPERLINK("https://www.youtube.com/watch?v="&amp;M2738,"▶"))</f>
        <v/>
      </c>
      <c r="B2738" s="39">
        <f>IF(C2738&lt;&gt;"",C2738,IF(P2738&lt;=IFERROR(INDEX(tblChannels[Watched Through],MATCH(N2738,tblChannels[Channel ID],0)),0),"Watched","Unwatched"))</f>
        <v/>
      </c>
      <c r="C2738" s="40" t="n"/>
      <c r="D2738" s="41" t="n"/>
      <c r="E2738" s="42" t="n">
        <v>42250.92222222222</v>
      </c>
      <c r="F2738" s="50" t="inlineStr">
        <is>
          <t>Super Carlin Brothers</t>
        </is>
      </c>
      <c r="G2738" t="inlineStr">
        <is>
          <t>Pixar Fast Facts: Cars 2</t>
        </is>
      </c>
      <c r="H2738" s="44" t="n">
        <v>0.001770833333333333</v>
      </c>
      <c r="I2738" s="45" t="n">
        <v>204872</v>
      </c>
      <c r="J2738" s="45" t="n">
        <v>3172</v>
      </c>
      <c r="K2738" s="45" t="n">
        <v>310</v>
      </c>
      <c r="L2738" s="46" t="n"/>
      <c r="M2738" s="47" t="n"/>
      <c r="N2738" s="47" t="inlineStr">
        <is>
          <t>UCKZo4N0lVPccBkSiuyVh4yg</t>
        </is>
      </c>
      <c r="O2738" s="48" t="n">
        <v>42251.08888888889</v>
      </c>
      <c r="P2738" s="49" t="n">
        <v>42250</v>
      </c>
      <c r="Q2738" s="47" t="n">
        <v>530</v>
      </c>
      <c r="R2738" s="47" t="inlineStr">
        <is>
          <t>No Video ID yet</t>
        </is>
      </c>
      <c r="S2738" s="49" t="n"/>
      <c r="T2738" s="49" t="n"/>
      <c r="U2738" s="47" t="inlineStr">
        <is>
          <t>Business Inquiries Only: CarlinBrosRTP@gmail.com</t>
        </is>
      </c>
      <c r="V2738" s="47">
        <f>IF(AND(P2738&gt;=Calendar!$K$2,P2738&lt;EDATE(Calendar!$K$2,1),OR(Calendar!$K$4="*",N2738=Calendar!$K$4)),P2738*100+COUNTIFS($P$6:$P$3267,P2738,$Q$6:$Q$3267,"&lt;="&amp;Q2738,$N$6:$N$3267,Calendar!$K$4),"")</f>
        <v/>
      </c>
      <c r="W2738" s="47">
        <f>IF(AND(B2738=Queue!$C$4,OR(Queue!$K$4="*",N2738=Queue!$K$4)),Q2738,"")</f>
        <v/>
      </c>
    </row>
    <row r="2739">
      <c r="A2739" s="38">
        <f>IF(M2739="","",HYPERLINK("https://www.youtube.com/watch?v="&amp;M2739,"▶"))</f>
        <v/>
      </c>
      <c r="B2739" s="39">
        <f>IF(C2739&lt;&gt;"",C2739,IF(P2739&lt;=IFERROR(INDEX(tblChannels[Watched Through],MATCH(N2739,tblChannels[Channel ID],0)),0),"Watched","Unwatched"))</f>
        <v/>
      </c>
      <c r="C2739" s="40" t="n"/>
      <c r="D2739" s="41" t="n"/>
      <c r="E2739" s="42" t="n">
        <v>42248.88472222222</v>
      </c>
      <c r="F2739" s="50" t="inlineStr">
        <is>
          <t>Super Carlin Brothers</t>
        </is>
      </c>
      <c r="G2739" t="inlineStr">
        <is>
          <t>Loot Crate Unboxing | Villains 2 + GIVEAWAY!</t>
        </is>
      </c>
      <c r="H2739" s="44" t="n">
        <v>0.005787037037037037</v>
      </c>
      <c r="I2739" s="45" t="n">
        <v>90009</v>
      </c>
      <c r="J2739" s="45" t="n">
        <v>1896</v>
      </c>
      <c r="K2739" s="45" t="n">
        <v>332</v>
      </c>
      <c r="L2739" s="46" t="n"/>
      <c r="M2739" s="47" t="n"/>
      <c r="N2739" s="47" t="inlineStr">
        <is>
          <t>UCKZo4N0lVPccBkSiuyVh4yg</t>
        </is>
      </c>
      <c r="O2739" s="48" t="n">
        <v>42249.05138888889</v>
      </c>
      <c r="P2739" s="49" t="n">
        <v>42248</v>
      </c>
      <c r="Q2739" s="47" t="n">
        <v>529</v>
      </c>
      <c r="R2739" s="47" t="inlineStr">
        <is>
          <t>No Video ID yet</t>
        </is>
      </c>
      <c r="S2739" s="49" t="n"/>
      <c r="T2739" s="49" t="n"/>
      <c r="U2739" s="47" t="inlineStr">
        <is>
          <t>Get 10% off your Loot Crate at: Promo Code: CARLIN Giveaway Rules: Follow @Jonkerlin and @BPCarlin on Instagram and like the photos featured in the video - Winner will be randomly chosen next Tuesday! Business Inquiries Only: CarlinBrosRTP@gmail.com</t>
        </is>
      </c>
      <c r="V2739" s="47">
        <f>IF(AND(P2739&gt;=Calendar!$K$2,P2739&lt;EDATE(Calendar!$K$2,1),OR(Calendar!$K$4="*",N2739=Calendar!$K$4)),P2739*100+COUNTIFS($P$6:$P$3267,P2739,$Q$6:$Q$3267,"&lt;="&amp;Q2739,$N$6:$N$3267,Calendar!$K$4),"")</f>
        <v/>
      </c>
      <c r="W2739" s="47">
        <f>IF(AND(B2739=Queue!$C$4,OR(Queue!$K$4="*",N2739=Queue!$K$4)),Q2739,"")</f>
        <v/>
      </c>
    </row>
    <row r="2740">
      <c r="A2740" s="38">
        <f>IF(M2740="","",HYPERLINK("https://www.youtube.com/watch?v="&amp;M2740,"▶"))</f>
        <v/>
      </c>
      <c r="B2740" s="39">
        <f>IF(C2740&lt;&gt;"",C2740,IF(P2740&lt;=IFERROR(INDEX(tblChannels[Watched Through],MATCH(N2740,tblChannels[Channel ID],0)),0),"Watched","Unwatched"))</f>
        <v/>
      </c>
      <c r="C2740" s="40" t="n"/>
      <c r="D2740" s="41" t="n"/>
      <c r="E2740" s="42" t="n">
        <v>42245.47291666667</v>
      </c>
      <c r="F2740" s="52" t="inlineStr">
        <is>
          <t>Super Carlin Gaming</t>
        </is>
      </c>
      <c r="G2740" t="inlineStr">
        <is>
          <t>Pokemon HeartGold Nuzlocke #14: Bananas vs Tentacool</t>
        </is>
      </c>
      <c r="H2740" s="44" t="n">
        <v>0.0144212962962963</v>
      </c>
      <c r="I2740" s="45" t="n">
        <v>23925</v>
      </c>
      <c r="J2740" s="45" t="n">
        <v>495</v>
      </c>
      <c r="K2740" s="45" t="n">
        <v>95</v>
      </c>
      <c r="L2740" s="46" t="n"/>
      <c r="M2740" s="47" t="n"/>
      <c r="N2740" s="47" t="inlineStr">
        <is>
          <t>UCor_9jRnNNZVzTuQ92PKsaQ</t>
        </is>
      </c>
      <c r="O2740" s="48" t="n">
        <v>42245.63958333333</v>
      </c>
      <c r="P2740" s="49" t="n">
        <v>42245</v>
      </c>
      <c r="Q2740" s="47" t="n">
        <v>528</v>
      </c>
      <c r="R2740" s="47" t="inlineStr">
        <is>
          <t>No Video ID yet</t>
        </is>
      </c>
      <c r="S2740" s="49" t="n"/>
      <c r="T2740" s="49" t="n"/>
      <c r="U2740" s="47" t="n"/>
      <c r="V2740" s="47">
        <f>IF(AND(P2740&gt;=Calendar!$K$2,P2740&lt;EDATE(Calendar!$K$2,1),OR(Calendar!$K$4="*",N2740=Calendar!$K$4)),P2740*100+COUNTIFS($P$6:$P$3267,P2740,$Q$6:$Q$3267,"&lt;="&amp;Q2740,$N$6:$N$3267,Calendar!$K$4),"")</f>
        <v/>
      </c>
      <c r="W2740" s="47">
        <f>IF(AND(B2740=Queue!$C$4,OR(Queue!$K$4="*",N2740=Queue!$K$4)),Q2740,"")</f>
        <v/>
      </c>
    </row>
    <row r="2741">
      <c r="A2741" s="38">
        <f>IF(M2741="","",HYPERLINK("https://www.youtube.com/watch?v="&amp;M2741,"▶"))</f>
        <v/>
      </c>
      <c r="B2741" s="39">
        <f>IF(C2741&lt;&gt;"",C2741,IF(P2741&lt;=IFERROR(INDEX(tblChannels[Watched Through],MATCH(N2741,tblChannels[Channel ID],0)),0),"Watched","Unwatched"))</f>
        <v/>
      </c>
      <c r="C2741" s="40" t="n"/>
      <c r="D2741" s="41" t="n"/>
      <c r="E2741" s="42" t="n">
        <v>42243.96319444444</v>
      </c>
      <c r="F2741" s="50" t="inlineStr">
        <is>
          <t>Super Carlin Brothers</t>
        </is>
      </c>
      <c r="G2741" t="inlineStr">
        <is>
          <t>Pixar Fast Facts: Ratatouille</t>
        </is>
      </c>
      <c r="H2741" s="44" t="n">
        <v>0.001539351851851852</v>
      </c>
      <c r="I2741" s="45" t="n">
        <v>204121</v>
      </c>
      <c r="J2741" s="45" t="n">
        <v>4033</v>
      </c>
      <c r="K2741" s="45" t="n">
        <v>206</v>
      </c>
      <c r="L2741" s="46" t="n"/>
      <c r="M2741" s="47" t="n"/>
      <c r="N2741" s="47" t="inlineStr">
        <is>
          <t>UCKZo4N0lVPccBkSiuyVh4yg</t>
        </is>
      </c>
      <c r="O2741" s="48" t="n">
        <v>42244.12986111111</v>
      </c>
      <c r="P2741" s="49" t="n">
        <v>42243</v>
      </c>
      <c r="Q2741" s="47" t="n">
        <v>527</v>
      </c>
      <c r="R2741" s="47" t="inlineStr">
        <is>
          <t>No Video ID yet</t>
        </is>
      </c>
      <c r="S2741" s="49" t="n"/>
      <c r="T2741" s="49" t="n"/>
      <c r="U2741" s="47" t="inlineStr">
        <is>
          <t>Business Inquiries Only: CarlinBrosRTP@gmail.com</t>
        </is>
      </c>
      <c r="V2741" s="47">
        <f>IF(AND(P2741&gt;=Calendar!$K$2,P2741&lt;EDATE(Calendar!$K$2,1),OR(Calendar!$K$4="*",N2741=Calendar!$K$4)),P2741*100+COUNTIFS($P$6:$P$3267,P2741,$Q$6:$Q$3267,"&lt;="&amp;Q2741,$N$6:$N$3267,Calendar!$K$4),"")</f>
        <v/>
      </c>
      <c r="W2741" s="47">
        <f>IF(AND(B2741=Queue!$C$4,OR(Queue!$K$4="*",N2741=Queue!$K$4)),Q2741,"")</f>
        <v/>
      </c>
    </row>
    <row r="2742">
      <c r="A2742" s="38">
        <f>IF(M2742="","",HYPERLINK("https://www.youtube.com/watch?v="&amp;M2742,"▶"))</f>
        <v/>
      </c>
      <c r="B2742" s="39">
        <f>IF(C2742&lt;&gt;"",C2742,IF(P2742&lt;=IFERROR(INDEX(tblChannels[Watched Through],MATCH(N2742,tblChannels[Channel ID],0)),0),"Watched","Unwatched"))</f>
        <v/>
      </c>
      <c r="C2742" s="40" t="n"/>
      <c r="D2742" s="41" t="n"/>
      <c r="E2742" s="42" t="n">
        <v>42241.95972222222</v>
      </c>
      <c r="F2742" s="50" t="inlineStr">
        <is>
          <t>Super Carlin Brothers</t>
        </is>
      </c>
      <c r="G2742" t="inlineStr">
        <is>
          <t>Is Draco Malfoy a Werewolf!?</t>
        </is>
      </c>
      <c r="H2742" s="44" t="n">
        <v>0.004675925925925926</v>
      </c>
      <c r="I2742" s="45" t="n">
        <v>2425519</v>
      </c>
      <c r="J2742" s="45" t="n">
        <v>48284</v>
      </c>
      <c r="K2742" s="45" t="n">
        <v>7377</v>
      </c>
      <c r="L2742" s="46" t="n"/>
      <c r="M2742" s="47" t="n"/>
      <c r="N2742" s="47" t="inlineStr">
        <is>
          <t>UCKZo4N0lVPccBkSiuyVh4yg</t>
        </is>
      </c>
      <c r="O2742" s="48" t="n">
        <v>42242.12638888889</v>
      </c>
      <c r="P2742" s="49" t="n">
        <v>42241</v>
      </c>
      <c r="Q2742" s="47" t="n">
        <v>526</v>
      </c>
      <c r="R2742" s="47" t="inlineStr">
        <is>
          <t>No Video ID yet</t>
        </is>
      </c>
      <c r="S2742" s="49" t="n"/>
      <c r="T2742" s="49" t="n"/>
      <c r="U2742" s="47" t="inlineStr">
        <is>
          <t>Could it be true?? Tweet to @jk_rowling and lets find out! More info at Business Inquiries Only: CarlinBrosRTP@gmail.com</t>
        </is>
      </c>
      <c r="V2742" s="47">
        <f>IF(AND(P2742&gt;=Calendar!$K$2,P2742&lt;EDATE(Calendar!$K$2,1),OR(Calendar!$K$4="*",N2742=Calendar!$K$4)),P2742*100+COUNTIFS($P$6:$P$3267,P2742,$Q$6:$Q$3267,"&lt;="&amp;Q2742,$N$6:$N$3267,Calendar!$K$4),"")</f>
        <v/>
      </c>
      <c r="W2742" s="47">
        <f>IF(AND(B2742=Queue!$C$4,OR(Queue!$K$4="*",N2742=Queue!$K$4)),Q2742,"")</f>
        <v/>
      </c>
    </row>
    <row r="2743">
      <c r="A2743" s="38">
        <f>IF(M2743="","",HYPERLINK("https://www.youtube.com/watch?v="&amp;M2743,"▶"))</f>
        <v/>
      </c>
      <c r="B2743" s="39">
        <f>IF(C2743&lt;&gt;"",C2743,IF(P2743&lt;=IFERROR(INDEX(tblChannels[Watched Through],MATCH(N2743,tblChannels[Channel ID],0)),0),"Watched","Unwatched"))</f>
        <v/>
      </c>
      <c r="C2743" s="40" t="n"/>
      <c r="D2743" s="41" t="n"/>
      <c r="E2743" s="42" t="n">
        <v>42236.84097222222</v>
      </c>
      <c r="F2743" s="50" t="inlineStr">
        <is>
          <t>Super Carlin Brothers</t>
        </is>
      </c>
      <c r="G2743" t="inlineStr">
        <is>
          <t>Pixar Fast Facts: Brave</t>
        </is>
      </c>
      <c r="H2743" s="44" t="n">
        <v>0.001666666666666667</v>
      </c>
      <c r="I2743" s="45" t="n">
        <v>219043</v>
      </c>
      <c r="J2743" s="45" t="n">
        <v>4496</v>
      </c>
      <c r="K2743" s="45" t="n">
        <v>250</v>
      </c>
      <c r="L2743" s="46" t="n"/>
      <c r="M2743" s="47" t="n"/>
      <c r="N2743" s="47" t="inlineStr">
        <is>
          <t>UCKZo4N0lVPccBkSiuyVh4yg</t>
        </is>
      </c>
      <c r="O2743" s="48" t="n">
        <v>42237.00763888889</v>
      </c>
      <c r="P2743" s="49" t="n">
        <v>42236</v>
      </c>
      <c r="Q2743" s="47" t="n">
        <v>525</v>
      </c>
      <c r="R2743" s="47" t="inlineStr">
        <is>
          <t>No Video ID yet</t>
        </is>
      </c>
      <c r="S2743" s="49" t="n"/>
      <c r="T2743" s="49" t="n"/>
      <c r="U2743" s="47" t="inlineStr">
        <is>
          <t>Business Inquiries Only: CarlinBrosRTP@gmail.com</t>
        </is>
      </c>
      <c r="V2743" s="47">
        <f>IF(AND(P2743&gt;=Calendar!$K$2,P2743&lt;EDATE(Calendar!$K$2,1),OR(Calendar!$K$4="*",N2743=Calendar!$K$4)),P2743*100+COUNTIFS($P$6:$P$3267,P2743,$Q$6:$Q$3267,"&lt;="&amp;Q2743,$N$6:$N$3267,Calendar!$K$4),"")</f>
        <v/>
      </c>
      <c r="W2743" s="47">
        <f>IF(AND(B2743=Queue!$C$4,OR(Queue!$K$4="*",N2743=Queue!$K$4)),Q2743,"")</f>
        <v/>
      </c>
    </row>
    <row r="2744">
      <c r="A2744" s="38">
        <f>IF(M2744="","",HYPERLINK("https://www.youtube.com/watch?v="&amp;M2744,"▶"))</f>
        <v/>
      </c>
      <c r="B2744" s="39">
        <f>IF(C2744&lt;&gt;"",C2744,IF(P2744&lt;=IFERROR(INDEX(tblChannels[Watched Through],MATCH(N2744,tblChannels[Channel ID],0)),0),"Watched","Unwatched"))</f>
        <v/>
      </c>
      <c r="C2744" s="40" t="n"/>
      <c r="D2744" s="41" t="n"/>
      <c r="E2744" s="42" t="n">
        <v>42234.95277777778</v>
      </c>
      <c r="F2744" s="50" t="inlineStr">
        <is>
          <t>Super Carlin Brothers</t>
        </is>
      </c>
      <c r="G2744" t="inlineStr">
        <is>
          <t>What Does KRONOS Mean?</t>
        </is>
      </c>
      <c r="H2744" s="44" t="n">
        <v>0.004965277777777778</v>
      </c>
      <c r="I2744" s="45" t="n">
        <v>2551250</v>
      </c>
      <c r="J2744" s="45" t="n">
        <v>50778</v>
      </c>
      <c r="K2744" s="45" t="n">
        <v>7209</v>
      </c>
      <c r="L2744" s="46" t="n"/>
      <c r="M2744" s="47" t="n"/>
      <c r="N2744" s="47" t="inlineStr">
        <is>
          <t>UCKZo4N0lVPccBkSiuyVh4yg</t>
        </is>
      </c>
      <c r="O2744" s="48" t="n">
        <v>42235.11944444444</v>
      </c>
      <c r="P2744" s="49" t="n">
        <v>42234</v>
      </c>
      <c r="Q2744" s="47" t="n">
        <v>524</v>
      </c>
      <c r="R2744" s="47" t="inlineStr">
        <is>
          <t>No Video ID yet</t>
        </is>
      </c>
      <c r="S2744" s="49" t="n"/>
      <c r="T2744" s="49" t="n"/>
      <c r="U2744" s="47" t="inlineStr">
        <is>
          <t>The mysterious word "KRONOS" explained! Listen to us on The D-Cast: Get Awesome Socks :: Business Inquiries Only: jCarlinBrosRTP@gmail.com</t>
        </is>
      </c>
      <c r="V2744" s="47">
        <f>IF(AND(P2744&gt;=Calendar!$K$2,P2744&lt;EDATE(Calendar!$K$2,1),OR(Calendar!$K$4="*",N2744=Calendar!$K$4)),P2744*100+COUNTIFS($P$6:$P$3267,P2744,$Q$6:$Q$3267,"&lt;="&amp;Q2744,$N$6:$N$3267,Calendar!$K$4),"")</f>
        <v/>
      </c>
      <c r="W2744" s="47">
        <f>IF(AND(B2744=Queue!$C$4,OR(Queue!$K$4="*",N2744=Queue!$K$4)),Q2744,"")</f>
        <v/>
      </c>
    </row>
    <row r="2745">
      <c r="A2745" s="38">
        <f>IF(M2745="","",HYPERLINK("https://www.youtube.com/watch?v="&amp;M2745,"▶"))</f>
        <v/>
      </c>
      <c r="B2745" s="39">
        <f>IF(C2745&lt;&gt;"",C2745,IF(P2745&lt;=IFERROR(INDEX(tblChannels[Watched Through],MATCH(N2745,tblChannels[Channel ID],0)),0),"Watched","Unwatched"))</f>
        <v/>
      </c>
      <c r="C2745" s="40" t="n"/>
      <c r="D2745" s="41" t="n"/>
      <c r="E2745" s="42" t="n">
        <v>42229.91527777778</v>
      </c>
      <c r="F2745" s="50" t="inlineStr">
        <is>
          <t>Super Carlin Brothers</t>
        </is>
      </c>
      <c r="G2745" t="inlineStr">
        <is>
          <t>Pixar Fast Facts: Cars</t>
        </is>
      </c>
      <c r="H2745" s="44" t="n">
        <v>0.001805555555555555</v>
      </c>
      <c r="I2745" s="45" t="n">
        <v>211616</v>
      </c>
      <c r="J2745" s="45" t="n">
        <v>3537</v>
      </c>
      <c r="K2745" s="45" t="n">
        <v>287</v>
      </c>
      <c r="L2745" s="46" t="n"/>
      <c r="M2745" s="47" t="n"/>
      <c r="N2745" s="47" t="inlineStr">
        <is>
          <t>UCKZo4N0lVPccBkSiuyVh4yg</t>
        </is>
      </c>
      <c r="O2745" s="48" t="n">
        <v>42230.08194444444</v>
      </c>
      <c r="P2745" s="49" t="n">
        <v>42229</v>
      </c>
      <c r="Q2745" s="47" t="n">
        <v>523</v>
      </c>
      <c r="R2745" s="47" t="inlineStr">
        <is>
          <t>No Video ID yet</t>
        </is>
      </c>
      <c r="S2745" s="49" t="n"/>
      <c r="T2745" s="49" t="n"/>
      <c r="U2745" s="47" t="inlineStr">
        <is>
          <t>If you read description boxes, you should follow Ben on instagram! @bpcarlin Business Inquiries Only: CarlinBrosRTP@gmail.com</t>
        </is>
      </c>
      <c r="V2745" s="47">
        <f>IF(AND(P2745&gt;=Calendar!$K$2,P2745&lt;EDATE(Calendar!$K$2,1),OR(Calendar!$K$4="*",N2745=Calendar!$K$4)),P2745*100+COUNTIFS($P$6:$P$3267,P2745,$Q$6:$Q$3267,"&lt;="&amp;Q2745,$N$6:$N$3267,Calendar!$K$4),"")</f>
        <v/>
      </c>
      <c r="W2745" s="47">
        <f>IF(AND(B2745=Queue!$C$4,OR(Queue!$K$4="*",N2745=Queue!$K$4)),Q2745,"")</f>
        <v/>
      </c>
    </row>
    <row r="2746">
      <c r="A2746" s="38">
        <f>IF(M2746="","",HYPERLINK("https://www.youtube.com/watch?v="&amp;M2746,"▶"))</f>
        <v/>
      </c>
      <c r="B2746" s="39">
        <f>IF(C2746&lt;&gt;"",C2746,IF(P2746&lt;=IFERROR(INDEX(tblChannels[Watched Through],MATCH(N2746,tblChannels[Channel ID],0)),0),"Watched","Unwatched"))</f>
        <v/>
      </c>
      <c r="C2746" s="40" t="n"/>
      <c r="D2746" s="41" t="n"/>
      <c r="E2746" s="42" t="n">
        <v>42227.96944444445</v>
      </c>
      <c r="F2746" s="50" t="inlineStr">
        <is>
          <t>Super Carlin Brothers</t>
        </is>
      </c>
      <c r="G2746" t="inlineStr">
        <is>
          <t>Did Inside Out Reveal the Next iPhone?!</t>
        </is>
      </c>
      <c r="H2746" s="44" t="n">
        <v>0.003981481481481482</v>
      </c>
      <c r="I2746" s="45" t="n">
        <v>2543127</v>
      </c>
      <c r="J2746" s="45" t="n">
        <v>25789</v>
      </c>
      <c r="K2746" s="45" t="n">
        <v>5027</v>
      </c>
      <c r="L2746" s="46" t="n"/>
      <c r="M2746" s="47" t="n"/>
      <c r="N2746" s="47" t="inlineStr">
        <is>
          <t>UCKZo4N0lVPccBkSiuyVh4yg</t>
        </is>
      </c>
      <c r="O2746" s="48" t="n">
        <v>42228.13611111111</v>
      </c>
      <c r="P2746" s="49" t="n">
        <v>42227</v>
      </c>
      <c r="Q2746" s="47" t="n">
        <v>522</v>
      </c>
      <c r="R2746" s="47" t="inlineStr">
        <is>
          <t>No Video ID yet</t>
        </is>
      </c>
      <c r="S2746" s="49" t="n"/>
      <c r="T2746" s="49" t="n"/>
      <c r="U2746" s="47" t="inlineStr">
        <is>
          <t>Did Inside Out reveal the next iPhone??? Business Inquiries Only: CarlinBrosRTP@gmail.com</t>
        </is>
      </c>
      <c r="V2746" s="47">
        <f>IF(AND(P2746&gt;=Calendar!$K$2,P2746&lt;EDATE(Calendar!$K$2,1),OR(Calendar!$K$4="*",N2746=Calendar!$K$4)),P2746*100+COUNTIFS($P$6:$P$3267,P2746,$Q$6:$Q$3267,"&lt;="&amp;Q2746,$N$6:$N$3267,Calendar!$K$4),"")</f>
        <v/>
      </c>
      <c r="W2746" s="47">
        <f>IF(AND(B2746=Queue!$C$4,OR(Queue!$K$4="*",N2746=Queue!$K$4)),Q2746,"")</f>
        <v/>
      </c>
    </row>
    <row r="2747">
      <c r="A2747" s="38">
        <f>IF(M2747="","",HYPERLINK("https://www.youtube.com/watch?v="&amp;M2747,"▶"))</f>
        <v/>
      </c>
      <c r="B2747" s="39">
        <f>IF(C2747&lt;&gt;"",C2747,IF(P2747&lt;=IFERROR(INDEX(tblChannels[Watched Through],MATCH(N2747,tblChannels[Channel ID],0)),0),"Watched","Unwatched"))</f>
        <v/>
      </c>
      <c r="C2747" s="40" t="n"/>
      <c r="D2747" s="41" t="n"/>
      <c r="E2747" s="42" t="n">
        <v>42222.90277777778</v>
      </c>
      <c r="F2747" s="50" t="inlineStr">
        <is>
          <t>Super Carlin Brothers</t>
        </is>
      </c>
      <c r="G2747" t="inlineStr">
        <is>
          <t>Pixar Fast Facts: A Bug's Life</t>
        </is>
      </c>
      <c r="H2747" s="44" t="n">
        <v>0.001481481481481481</v>
      </c>
      <c r="I2747" s="45" t="n">
        <v>165272</v>
      </c>
      <c r="J2747" s="45" t="n">
        <v>3099</v>
      </c>
      <c r="K2747" s="45" t="n">
        <v>180</v>
      </c>
      <c r="L2747" s="46" t="n"/>
      <c r="M2747" s="47" t="n"/>
      <c r="N2747" s="47" t="inlineStr">
        <is>
          <t>UCKZo4N0lVPccBkSiuyVh4yg</t>
        </is>
      </c>
      <c r="O2747" s="48" t="n">
        <v>42223.06944444445</v>
      </c>
      <c r="P2747" s="49" t="n">
        <v>42222</v>
      </c>
      <c r="Q2747" s="47" t="n">
        <v>521</v>
      </c>
      <c r="R2747" s="47" t="inlineStr">
        <is>
          <t>No Video ID yet</t>
        </is>
      </c>
      <c r="S2747" s="49" t="n"/>
      <c r="T2747" s="49" t="n"/>
      <c r="U2747" s="47" t="inlineStr">
        <is>
          <t>Business Inquiries Only: CarlinBrosRTP@gmail.com</t>
        </is>
      </c>
      <c r="V2747" s="47">
        <f>IF(AND(P2747&gt;=Calendar!$K$2,P2747&lt;EDATE(Calendar!$K$2,1),OR(Calendar!$K$4="*",N2747=Calendar!$K$4)),P2747*100+COUNTIFS($P$6:$P$3267,P2747,$Q$6:$Q$3267,"&lt;="&amp;Q2747,$N$6:$N$3267,Calendar!$K$4),"")</f>
        <v/>
      </c>
      <c r="W2747" s="47">
        <f>IF(AND(B2747=Queue!$C$4,OR(Queue!$K$4="*",N2747=Queue!$K$4)),Q2747,"")</f>
        <v/>
      </c>
    </row>
    <row r="2748">
      <c r="A2748" s="38">
        <f>IF(M2748="","",HYPERLINK("https://www.youtube.com/watch?v="&amp;M2748,"▶"))</f>
        <v/>
      </c>
      <c r="B2748" s="39">
        <f>IF(C2748&lt;&gt;"",C2748,IF(P2748&lt;=IFERROR(INDEX(tblChannels[Watched Through],MATCH(N2748,tblChannels[Channel ID],0)),0),"Watched","Unwatched"))</f>
        <v/>
      </c>
      <c r="C2748" s="40" t="n"/>
      <c r="D2748" s="41" t="n"/>
      <c r="E2748" s="42" t="n">
        <v>42220.92083333333</v>
      </c>
      <c r="F2748" s="50" t="inlineStr">
        <is>
          <t>Super Carlin Brothers</t>
        </is>
      </c>
      <c r="G2748" t="inlineStr">
        <is>
          <t>Loot Crate Unboxing | Heroes 2</t>
        </is>
      </c>
      <c r="H2748" s="44" t="n">
        <v>0.0046875</v>
      </c>
      <c r="I2748" s="45" t="n">
        <v>100357</v>
      </c>
      <c r="J2748" s="45" t="n">
        <v>1958</v>
      </c>
      <c r="K2748" s="45" t="n">
        <v>263</v>
      </c>
      <c r="L2748" s="46" t="n"/>
      <c r="M2748" s="47" t="n"/>
      <c r="N2748" s="47" t="inlineStr">
        <is>
          <t>UCKZo4N0lVPccBkSiuyVh4yg</t>
        </is>
      </c>
      <c r="O2748" s="48" t="n">
        <v>42221.0875</v>
      </c>
      <c r="P2748" s="49" t="n">
        <v>42220</v>
      </c>
      <c r="Q2748" s="47" t="n">
        <v>520</v>
      </c>
      <c r="R2748" s="47" t="inlineStr">
        <is>
          <t>No Video ID yet</t>
        </is>
      </c>
      <c r="S2748" s="49" t="n"/>
      <c r="T2748" s="49" t="n"/>
      <c r="U2748" s="47" t="inlineStr">
        <is>
          <t>Want to get your own Loot Crate - Head over to Enter Promo Code: CARLIN for 10% off your order 'Like' us on Facebook: Business Inquiries Only: CarlinBrosRTP@gmail.com</t>
        </is>
      </c>
      <c r="V2748" s="47">
        <f>IF(AND(P2748&gt;=Calendar!$K$2,P2748&lt;EDATE(Calendar!$K$2,1),OR(Calendar!$K$4="*",N2748=Calendar!$K$4)),P2748*100+COUNTIFS($P$6:$P$3267,P2748,$Q$6:$Q$3267,"&lt;="&amp;Q2748,$N$6:$N$3267,Calendar!$K$4),"")</f>
        <v/>
      </c>
      <c r="W2748" s="47">
        <f>IF(AND(B2748=Queue!$C$4,OR(Queue!$K$4="*",N2748=Queue!$K$4)),Q2748,"")</f>
        <v/>
      </c>
    </row>
    <row r="2749">
      <c r="A2749" s="38">
        <f>IF(M2749="","",HYPERLINK("https://www.youtube.com/watch?v="&amp;M2749,"▶"))</f>
        <v/>
      </c>
      <c r="B2749" s="39">
        <f>IF(C2749&lt;&gt;"",C2749,IF(P2749&lt;=IFERROR(INDEX(tblChannels[Watched Through],MATCH(N2749,tblChannels[Channel ID],0)),0),"Watched","Unwatched"))</f>
        <v/>
      </c>
      <c r="C2749" s="40" t="n"/>
      <c r="D2749" s="41" t="n"/>
      <c r="E2749" s="42" t="n">
        <v>42215.98402777778</v>
      </c>
      <c r="F2749" s="50" t="inlineStr">
        <is>
          <t>Super Carlin Brothers</t>
        </is>
      </c>
      <c r="G2749" t="inlineStr">
        <is>
          <t>Pixar Fast Facts: Monsters University</t>
        </is>
      </c>
      <c r="H2749" s="44" t="n">
        <v>0.001782407407407407</v>
      </c>
      <c r="I2749" s="45" t="n">
        <v>234529</v>
      </c>
      <c r="J2749" s="45" t="n">
        <v>3763</v>
      </c>
      <c r="K2749" s="45" t="n">
        <v>179</v>
      </c>
      <c r="L2749" s="46" t="n"/>
      <c r="M2749" s="47" t="n"/>
      <c r="N2749" s="47" t="inlineStr">
        <is>
          <t>UCKZo4N0lVPccBkSiuyVh4yg</t>
        </is>
      </c>
      <c r="O2749" s="48" t="n">
        <v>42216.15069444444</v>
      </c>
      <c r="P2749" s="49" t="n">
        <v>42215</v>
      </c>
      <c r="Q2749" s="47" t="n">
        <v>519</v>
      </c>
      <c r="R2749" s="47" t="inlineStr">
        <is>
          <t>No Video ID yet</t>
        </is>
      </c>
      <c r="S2749" s="49" t="n"/>
      <c r="T2749" s="49" t="n"/>
      <c r="U2749" s="47" t="inlineStr">
        <is>
          <t>Follow Ben and J on Instagram! @bpcarlin @jonkerlin Business Inquiries Only: CarlinBrosRTP@gmail.com</t>
        </is>
      </c>
      <c r="V2749" s="47">
        <f>IF(AND(P2749&gt;=Calendar!$K$2,P2749&lt;EDATE(Calendar!$K$2,1),OR(Calendar!$K$4="*",N2749=Calendar!$K$4)),P2749*100+COUNTIFS($P$6:$P$3267,P2749,$Q$6:$Q$3267,"&lt;="&amp;Q2749,$N$6:$N$3267,Calendar!$K$4),"")</f>
        <v/>
      </c>
      <c r="W2749" s="47">
        <f>IF(AND(B2749=Queue!$C$4,OR(Queue!$K$4="*",N2749=Queue!$K$4)),Q2749,"")</f>
        <v/>
      </c>
    </row>
    <row r="2750">
      <c r="A2750" s="38">
        <f>IF(M2750="","",HYPERLINK("https://www.youtube.com/watch?v="&amp;M2750,"▶"))</f>
        <v/>
      </c>
      <c r="B2750" s="39">
        <f>IF(C2750&lt;&gt;"",C2750,IF(P2750&lt;=IFERROR(INDEX(tblChannels[Watched Through],MATCH(N2750,tblChannels[Channel ID],0)),0),"Watched","Unwatched"))</f>
        <v/>
      </c>
      <c r="C2750" s="40" t="n"/>
      <c r="D2750" s="41" t="n"/>
      <c r="E2750" s="42" t="n">
        <v>42213.99444444444</v>
      </c>
      <c r="F2750" s="50" t="inlineStr">
        <is>
          <t>Super Carlin Brothers</t>
        </is>
      </c>
      <c r="G2750" t="inlineStr">
        <is>
          <t>The Good Dinosaur Trailer | Review, Analysis and Predictions</t>
        </is>
      </c>
      <c r="H2750" s="44" t="n">
        <v>0.005381944444444444</v>
      </c>
      <c r="I2750" s="45" t="n">
        <v>167506</v>
      </c>
      <c r="J2750" s="45" t="n">
        <v>3767</v>
      </c>
      <c r="K2750" s="45" t="n">
        <v>575</v>
      </c>
      <c r="L2750" s="46" t="n"/>
      <c r="M2750" s="47" t="n"/>
      <c r="N2750" s="47" t="inlineStr">
        <is>
          <t>UCKZo4N0lVPccBkSiuyVh4yg</t>
        </is>
      </c>
      <c r="O2750" s="48" t="n">
        <v>42214.16111111111</v>
      </c>
      <c r="P2750" s="49" t="n">
        <v>42213</v>
      </c>
      <c r="Q2750" s="47" t="n">
        <v>518</v>
      </c>
      <c r="R2750" s="47" t="inlineStr">
        <is>
          <t>No Video ID yet</t>
        </is>
      </c>
      <c r="S2750" s="49" t="n"/>
      <c r="T2750" s="49" t="n"/>
      <c r="U2750" s="47" t="inlineStr">
        <is>
          <t>Good Dinosaur Trailer: Are you looking forward to this movie? What do you think of the Dino's animation?</t>
        </is>
      </c>
      <c r="V2750" s="47">
        <f>IF(AND(P2750&gt;=Calendar!$K$2,P2750&lt;EDATE(Calendar!$K$2,1),OR(Calendar!$K$4="*",N2750=Calendar!$K$4)),P2750*100+COUNTIFS($P$6:$P$3267,P2750,$Q$6:$Q$3267,"&lt;="&amp;Q2750,$N$6:$N$3267,Calendar!$K$4),"")</f>
        <v/>
      </c>
      <c r="W2750" s="47">
        <f>IF(AND(B2750=Queue!$C$4,OR(Queue!$K$4="*",N2750=Queue!$K$4)),Q2750,"")</f>
        <v/>
      </c>
    </row>
    <row r="2751">
      <c r="A2751" s="38">
        <f>IF(M2751="","",HYPERLINK("https://www.youtube.com/watch?v="&amp;M2751,"▶"))</f>
        <v/>
      </c>
      <c r="B2751" s="39">
        <f>IF(C2751&lt;&gt;"",C2751,IF(P2751&lt;=IFERROR(INDEX(tblChannels[Watched Through],MATCH(N2751,tblChannels[Channel ID],0)),0),"Watched","Unwatched"))</f>
        <v/>
      </c>
      <c r="C2751" s="40" t="n"/>
      <c r="D2751" s="41" t="n"/>
      <c r="E2751" s="42" t="n">
        <v>42208.75</v>
      </c>
      <c r="F2751" s="50" t="inlineStr">
        <is>
          <t>Super Carlin Brothers</t>
        </is>
      </c>
      <c r="G2751" t="inlineStr">
        <is>
          <t>Pixar Fast Facts: Toy Story 3</t>
        </is>
      </c>
      <c r="H2751" s="44" t="n">
        <v>0.00162037037037037</v>
      </c>
      <c r="I2751" s="45" t="n">
        <v>231484</v>
      </c>
      <c r="J2751" s="45" t="n">
        <v>3368</v>
      </c>
      <c r="K2751" s="45" t="n">
        <v>156</v>
      </c>
      <c r="L2751" s="46" t="n"/>
      <c r="M2751" s="47" t="n"/>
      <c r="N2751" s="47" t="inlineStr">
        <is>
          <t>UCKZo4N0lVPccBkSiuyVh4yg</t>
        </is>
      </c>
      <c r="O2751" s="48" t="n">
        <v>42208.91666666666</v>
      </c>
      <c r="P2751" s="49" t="n">
        <v>42208</v>
      </c>
      <c r="Q2751" s="47" t="n">
        <v>517</v>
      </c>
      <c r="R2751" s="47" t="inlineStr">
        <is>
          <t>No Video ID yet</t>
        </is>
      </c>
      <c r="S2751" s="49" t="n"/>
      <c r="T2751" s="49" t="n"/>
      <c r="U2751" s="47" t="n"/>
      <c r="V2751" s="47">
        <f>IF(AND(P2751&gt;=Calendar!$K$2,P2751&lt;EDATE(Calendar!$K$2,1),OR(Calendar!$K$4="*",N2751=Calendar!$K$4)),P2751*100+COUNTIFS($P$6:$P$3267,P2751,$Q$6:$Q$3267,"&lt;="&amp;Q2751,$N$6:$N$3267,Calendar!$K$4),"")</f>
        <v/>
      </c>
      <c r="W2751" s="47">
        <f>IF(AND(B2751=Queue!$C$4,OR(Queue!$K$4="*",N2751=Queue!$K$4)),Q2751,"")</f>
        <v/>
      </c>
    </row>
    <row r="2752">
      <c r="A2752" s="38">
        <f>IF(M2752="","",HYPERLINK("https://www.youtube.com/watch?v="&amp;M2752,"▶"))</f>
        <v/>
      </c>
      <c r="B2752" s="39">
        <f>IF(C2752&lt;&gt;"",C2752,IF(P2752&lt;=IFERROR(INDEX(tblChannels[Watched Through],MATCH(N2752,tblChannels[Channel ID],0)),0),"Watched","Unwatched"))</f>
        <v/>
      </c>
      <c r="C2752" s="40" t="n"/>
      <c r="D2752" s="41" t="n"/>
      <c r="E2752" s="42" t="n">
        <v>42206.75</v>
      </c>
      <c r="F2752" s="50" t="inlineStr">
        <is>
          <t>Super Carlin Brothers</t>
        </is>
      </c>
      <c r="G2752" t="inlineStr">
        <is>
          <t>Does Pizza Google Autofill</t>
        </is>
      </c>
      <c r="H2752" s="44" t="n">
        <v>0.003680555555555555</v>
      </c>
      <c r="I2752" s="45" t="n">
        <v>352276</v>
      </c>
      <c r="J2752" s="45" t="n">
        <v>5896</v>
      </c>
      <c r="K2752" s="45" t="n">
        <v>1733</v>
      </c>
      <c r="L2752" s="46" t="n"/>
      <c r="M2752" s="47" t="n"/>
      <c r="N2752" s="47" t="inlineStr">
        <is>
          <t>UCKZo4N0lVPccBkSiuyVh4yg</t>
        </is>
      </c>
      <c r="O2752" s="48" t="n">
        <v>42206.91666666666</v>
      </c>
      <c r="P2752" s="49" t="n">
        <v>42206</v>
      </c>
      <c r="Q2752" s="47" t="n">
        <v>516</v>
      </c>
      <c r="R2752" s="47" t="inlineStr">
        <is>
          <t>No Video ID yet</t>
        </is>
      </c>
      <c r="S2752" s="49" t="n"/>
      <c r="T2752" s="49" t="n"/>
      <c r="U2752" s="47" t="n"/>
      <c r="V2752" s="47">
        <f>IF(AND(P2752&gt;=Calendar!$K$2,P2752&lt;EDATE(Calendar!$K$2,1),OR(Calendar!$K$4="*",N2752=Calendar!$K$4)),P2752*100+COUNTIFS($P$6:$P$3267,P2752,$Q$6:$Q$3267,"&lt;="&amp;Q2752,$N$6:$N$3267,Calendar!$K$4),"")</f>
        <v/>
      </c>
      <c r="W2752" s="47">
        <f>IF(AND(B2752=Queue!$C$4,OR(Queue!$K$4="*",N2752=Queue!$K$4)),Q2752,"")</f>
        <v/>
      </c>
    </row>
    <row r="2753">
      <c r="A2753" s="38">
        <f>IF(M2753="","",HYPERLINK("https://www.youtube.com/watch?v="&amp;M2753,"▶"))</f>
        <v/>
      </c>
      <c r="B2753" s="39">
        <f>IF(C2753&lt;&gt;"",C2753,IF(P2753&lt;=IFERROR(INDEX(tblChannels[Watched Through],MATCH(N2753,tblChannels[Channel ID],0)),0),"Watched","Unwatched"))</f>
        <v/>
      </c>
      <c r="C2753" s="40" t="n"/>
      <c r="D2753" s="41" t="n"/>
      <c r="E2753" s="42" t="n">
        <v>42201.75</v>
      </c>
      <c r="F2753" s="50" t="inlineStr">
        <is>
          <t>Super Carlin Brothers</t>
        </is>
      </c>
      <c r="G2753" t="inlineStr">
        <is>
          <t>Pixar Fast Facts: Wall-E</t>
        </is>
      </c>
      <c r="H2753" s="44" t="n">
        <v>0.002106481481481481</v>
      </c>
      <c r="I2753" s="45" t="n">
        <v>220561</v>
      </c>
      <c r="J2753" s="45" t="n">
        <v>3818</v>
      </c>
      <c r="K2753" s="45" t="n">
        <v>196</v>
      </c>
      <c r="L2753" s="46" t="n"/>
      <c r="M2753" s="47" t="n"/>
      <c r="N2753" s="47" t="inlineStr">
        <is>
          <t>UCKZo4N0lVPccBkSiuyVh4yg</t>
        </is>
      </c>
      <c r="O2753" s="48" t="n">
        <v>42201.91666666666</v>
      </c>
      <c r="P2753" s="49" t="n">
        <v>42201</v>
      </c>
      <c r="Q2753" s="47" t="n">
        <v>515</v>
      </c>
      <c r="R2753" s="47" t="inlineStr">
        <is>
          <t>No Video ID yet</t>
        </is>
      </c>
      <c r="S2753" s="49" t="n"/>
      <c r="T2753" s="49" t="n"/>
      <c r="U2753" s="47" t="n"/>
      <c r="V2753" s="47">
        <f>IF(AND(P2753&gt;=Calendar!$K$2,P2753&lt;EDATE(Calendar!$K$2,1),OR(Calendar!$K$4="*",N2753=Calendar!$K$4)),P2753*100+COUNTIFS($P$6:$P$3267,P2753,$Q$6:$Q$3267,"&lt;="&amp;Q2753,$N$6:$N$3267,Calendar!$K$4),"")</f>
        <v/>
      </c>
      <c r="W2753" s="47">
        <f>IF(AND(B2753=Queue!$C$4,OR(Queue!$K$4="*",N2753=Queue!$K$4)),Q2753,"")</f>
        <v/>
      </c>
    </row>
    <row r="2754">
      <c r="A2754" s="38">
        <f>IF(M2754="","",HYPERLINK("https://www.youtube.com/watch?v="&amp;M2754,"▶"))</f>
        <v/>
      </c>
      <c r="B2754" s="39">
        <f>IF(C2754&lt;&gt;"",C2754,IF(P2754&lt;=IFERROR(INDEX(tblChannels[Watched Through],MATCH(N2754,tblChannels[Channel ID],0)),0),"Watched","Unwatched"))</f>
        <v/>
      </c>
      <c r="C2754" s="40" t="n"/>
      <c r="D2754" s="41" t="n"/>
      <c r="E2754" s="42" t="n">
        <v>42199.96180555555</v>
      </c>
      <c r="F2754" s="50" t="inlineStr">
        <is>
          <t>Super Carlin Brothers</t>
        </is>
      </c>
      <c r="G2754" t="inlineStr">
        <is>
          <t>Why Does Riley Have Male and Female Emotions!?</t>
        </is>
      </c>
      <c r="H2754" s="44" t="n">
        <v>0.004016203703703704</v>
      </c>
      <c r="I2754" s="45" t="n">
        <v>6493831</v>
      </c>
      <c r="J2754" s="45" t="n">
        <v>92609</v>
      </c>
      <c r="K2754" s="45" t="n">
        <v>27559</v>
      </c>
      <c r="L2754" s="46" t="n"/>
      <c r="M2754" s="47" t="n"/>
      <c r="N2754" s="47" t="inlineStr">
        <is>
          <t>UCKZo4N0lVPccBkSiuyVh4yg</t>
        </is>
      </c>
      <c r="O2754" s="48" t="n">
        <v>42200.12847222222</v>
      </c>
      <c r="P2754" s="49" t="n">
        <v>42199</v>
      </c>
      <c r="Q2754" s="47" t="n">
        <v>514</v>
      </c>
      <c r="R2754" s="47" t="inlineStr">
        <is>
          <t>No Video ID yet</t>
        </is>
      </c>
      <c r="S2754" s="49" t="n"/>
      <c r="T2754" s="49" t="n"/>
      <c r="U2754" s="47" t="inlineStr">
        <is>
          <t>Why do you think Riley has multi-gender emotions?? Article:</t>
        </is>
      </c>
      <c r="V2754" s="47">
        <f>IF(AND(P2754&gt;=Calendar!$K$2,P2754&lt;EDATE(Calendar!$K$2,1),OR(Calendar!$K$4="*",N2754=Calendar!$K$4)),P2754*100+COUNTIFS($P$6:$P$3267,P2754,$Q$6:$Q$3267,"&lt;="&amp;Q2754,$N$6:$N$3267,Calendar!$K$4),"")</f>
        <v/>
      </c>
      <c r="W2754" s="47">
        <f>IF(AND(B2754=Queue!$C$4,OR(Queue!$K$4="*",N2754=Queue!$K$4)),Q2754,"")</f>
        <v/>
      </c>
    </row>
    <row r="2755">
      <c r="A2755" s="38">
        <f>IF(M2755="","",HYPERLINK("https://www.youtube.com/watch?v="&amp;M2755,"▶"))</f>
        <v/>
      </c>
      <c r="B2755" s="39">
        <f>IF(C2755&lt;&gt;"",C2755,IF(P2755&lt;=IFERROR(INDEX(tblChannels[Watched Through],MATCH(N2755,tblChannels[Channel ID],0)),0),"Watched","Unwatched"))</f>
        <v/>
      </c>
      <c r="C2755" s="40" t="n"/>
      <c r="D2755" s="41" t="n"/>
      <c r="E2755" s="42" t="n">
        <v>42194.89166666667</v>
      </c>
      <c r="F2755" s="50" t="inlineStr">
        <is>
          <t>Super Carlin Brothers</t>
        </is>
      </c>
      <c r="G2755" t="inlineStr">
        <is>
          <t>Pixar Fast Facts: Inside Out</t>
        </is>
      </c>
      <c r="H2755" s="44" t="n">
        <v>0.001840277777777778</v>
      </c>
      <c r="I2755" s="45" t="n">
        <v>302670</v>
      </c>
      <c r="J2755" s="45" t="n">
        <v>4684</v>
      </c>
      <c r="K2755" s="45" t="n">
        <v>422</v>
      </c>
      <c r="L2755" s="46" t="n"/>
      <c r="M2755" s="47" t="n"/>
      <c r="N2755" s="47" t="inlineStr">
        <is>
          <t>UCKZo4N0lVPccBkSiuyVh4yg</t>
        </is>
      </c>
      <c r="O2755" s="48" t="n">
        <v>42195.05833333333</v>
      </c>
      <c r="P2755" s="49" t="n">
        <v>42194</v>
      </c>
      <c r="Q2755" s="47" t="n">
        <v>513</v>
      </c>
      <c r="R2755" s="47" t="inlineStr">
        <is>
          <t>No Video ID yet</t>
        </is>
      </c>
      <c r="S2755" s="49" t="n"/>
      <c r="T2755" s="49" t="n"/>
      <c r="U2755" s="47" t="n"/>
      <c r="V2755" s="47">
        <f>IF(AND(P2755&gt;=Calendar!$K$2,P2755&lt;EDATE(Calendar!$K$2,1),OR(Calendar!$K$4="*",N2755=Calendar!$K$4)),P2755*100+COUNTIFS($P$6:$P$3267,P2755,$Q$6:$Q$3267,"&lt;="&amp;Q2755,$N$6:$N$3267,Calendar!$K$4),"")</f>
        <v/>
      </c>
      <c r="W2755" s="47">
        <f>IF(AND(B2755=Queue!$C$4,OR(Queue!$K$4="*",N2755=Queue!$K$4)),Q2755,"")</f>
        <v/>
      </c>
    </row>
    <row r="2756">
      <c r="A2756" s="38">
        <f>IF(M2756="","",HYPERLINK("https://www.youtube.com/watch?v="&amp;M2756,"▶"))</f>
        <v/>
      </c>
      <c r="B2756" s="39">
        <f>IF(C2756&lt;&gt;"",C2756,IF(P2756&lt;=IFERROR(INDEX(tblChannels[Watched Through],MATCH(N2756,tblChannels[Channel ID],0)),0),"Watched","Unwatched"))</f>
        <v/>
      </c>
      <c r="C2756" s="40" t="n"/>
      <c r="D2756" s="41" t="n"/>
      <c r="E2756" s="42" t="n">
        <v>42192.94930555556</v>
      </c>
      <c r="F2756" s="50" t="inlineStr">
        <is>
          <t>Super Carlin Brothers</t>
        </is>
      </c>
      <c r="G2756" t="inlineStr">
        <is>
          <t>How Inside Out fits into The Pixar Theory</t>
        </is>
      </c>
      <c r="H2756" s="44" t="n">
        <v>0.004375</v>
      </c>
      <c r="I2756" s="45" t="n">
        <v>2545435</v>
      </c>
      <c r="J2756" s="45" t="n">
        <v>35520</v>
      </c>
      <c r="K2756" s="45" t="n">
        <v>2962</v>
      </c>
      <c r="L2756" s="46" t="n"/>
      <c r="M2756" s="47" t="n"/>
      <c r="N2756" s="47" t="inlineStr">
        <is>
          <t>UCKZo4N0lVPccBkSiuyVh4yg</t>
        </is>
      </c>
      <c r="O2756" s="48" t="n">
        <v>42193.11597222222</v>
      </c>
      <c r="P2756" s="49" t="n">
        <v>42192</v>
      </c>
      <c r="Q2756" s="47" t="n">
        <v>512</v>
      </c>
      <c r="R2756" s="47" t="inlineStr">
        <is>
          <t>No Video ID yet</t>
        </is>
      </c>
      <c r="S2756" s="49" t="n"/>
      <c r="T2756" s="49" t="n"/>
      <c r="U2756" s="47" t="inlineStr">
        <is>
          <t>How does Inside out fit into the Pixar Theory?!</t>
        </is>
      </c>
      <c r="V2756" s="47">
        <f>IF(AND(P2756&gt;=Calendar!$K$2,P2756&lt;EDATE(Calendar!$K$2,1),OR(Calendar!$K$4="*",N2756=Calendar!$K$4)),P2756*100+COUNTIFS($P$6:$P$3267,P2756,$Q$6:$Q$3267,"&lt;="&amp;Q2756,$N$6:$N$3267,Calendar!$K$4),"")</f>
        <v/>
      </c>
      <c r="W2756" s="47">
        <f>IF(AND(B2756=Queue!$C$4,OR(Queue!$K$4="*",N2756=Queue!$K$4)),Q2756,"")</f>
        <v/>
      </c>
    </row>
    <row r="2757">
      <c r="A2757" s="38">
        <f>IF(M2757="","",HYPERLINK("https://www.youtube.com/watch?v="&amp;M2757,"▶"))</f>
        <v/>
      </c>
      <c r="B2757" s="39">
        <f>IF(C2757&lt;&gt;"",C2757,IF(P2757&lt;=IFERROR(INDEX(tblChannels[Watched Through],MATCH(N2757,tblChannels[Channel ID],0)),0),"Watched","Unwatched"))</f>
        <v/>
      </c>
      <c r="C2757" s="40" t="n"/>
      <c r="D2757" s="41" t="n"/>
      <c r="E2757" s="42" t="n">
        <v>42187.91388888889</v>
      </c>
      <c r="F2757" s="50" t="inlineStr">
        <is>
          <t>Super Carlin Brothers</t>
        </is>
      </c>
      <c r="G2757" t="inlineStr">
        <is>
          <t>Pixar Fast Facts: Toy Story 2</t>
        </is>
      </c>
      <c r="H2757" s="44" t="n">
        <v>0.001944444444444444</v>
      </c>
      <c r="I2757" s="45" t="n">
        <v>199001</v>
      </c>
      <c r="J2757" s="45" t="n">
        <v>2741</v>
      </c>
      <c r="K2757" s="45" t="n">
        <v>143</v>
      </c>
      <c r="L2757" s="46" t="n"/>
      <c r="M2757" s="47" t="n"/>
      <c r="N2757" s="47" t="inlineStr">
        <is>
          <t>UCKZo4N0lVPccBkSiuyVh4yg</t>
        </is>
      </c>
      <c r="O2757" s="48" t="n">
        <v>42188.08055555556</v>
      </c>
      <c r="P2757" s="49" t="n">
        <v>42187</v>
      </c>
      <c r="Q2757" s="47" t="n">
        <v>511</v>
      </c>
      <c r="R2757" s="47" t="inlineStr">
        <is>
          <t>No Video ID yet</t>
        </is>
      </c>
      <c r="S2757" s="49" t="n"/>
      <c r="T2757" s="49" t="n"/>
      <c r="U2757" s="47" t="n"/>
      <c r="V2757" s="47">
        <f>IF(AND(P2757&gt;=Calendar!$K$2,P2757&lt;EDATE(Calendar!$K$2,1),OR(Calendar!$K$4="*",N2757=Calendar!$K$4)),P2757*100+COUNTIFS($P$6:$P$3267,P2757,$Q$6:$Q$3267,"&lt;="&amp;Q2757,$N$6:$N$3267,Calendar!$K$4),"")</f>
        <v/>
      </c>
      <c r="W2757" s="47">
        <f>IF(AND(B2757=Queue!$C$4,OR(Queue!$K$4="*",N2757=Queue!$K$4)),Q2757,"")</f>
        <v/>
      </c>
    </row>
    <row r="2758">
      <c r="A2758" s="38">
        <f>IF(M2758="","",HYPERLINK("https://www.youtube.com/watch?v="&amp;M2758,"▶"))</f>
        <v/>
      </c>
      <c r="B2758" s="39">
        <f>IF(C2758&lt;&gt;"",C2758,IF(P2758&lt;=IFERROR(INDEX(tblChannels[Watched Through],MATCH(N2758,tblChannels[Channel ID],0)),0),"Watched","Unwatched"))</f>
        <v/>
      </c>
      <c r="C2758" s="40" t="n"/>
      <c r="D2758" s="41" t="n"/>
      <c r="E2758" s="42" t="n">
        <v>42185.81527777778</v>
      </c>
      <c r="F2758" s="50" t="inlineStr">
        <is>
          <t>Super Carlin Brothers</t>
        </is>
      </c>
      <c r="G2758" t="inlineStr">
        <is>
          <t>LOOT CRATE UNBOXING | FEAT TYLER</t>
        </is>
      </c>
      <c r="H2758" s="44" t="n">
        <v>0.003680555555555555</v>
      </c>
      <c r="I2758" s="45" t="n">
        <v>89909</v>
      </c>
      <c r="J2758" s="45" t="n">
        <v>1594</v>
      </c>
      <c r="K2758" s="45" t="n">
        <v>222</v>
      </c>
      <c r="L2758" s="46" t="n"/>
      <c r="M2758" s="47" t="n"/>
      <c r="N2758" s="47" t="inlineStr">
        <is>
          <t>UCKZo4N0lVPccBkSiuyVh4yg</t>
        </is>
      </c>
      <c r="O2758" s="48" t="n">
        <v>42185.98194444444</v>
      </c>
      <c r="P2758" s="49" t="n">
        <v>42185</v>
      </c>
      <c r="Q2758" s="47" t="n">
        <v>510</v>
      </c>
      <c r="R2758" s="47" t="inlineStr">
        <is>
          <t>No Video ID yet</t>
        </is>
      </c>
      <c r="S2758" s="49" t="n"/>
      <c r="T2758" s="49" t="n"/>
      <c r="U2758" s="47" t="inlineStr">
        <is>
          <t>Man oh man, so while J is away on his honeymoon we had to call in the little guns. In the form of younger brother Tyler (yeah, there's a third one!) What'd you guys think! How'd Ty do?!</t>
        </is>
      </c>
      <c r="V2758" s="47">
        <f>IF(AND(P2758&gt;=Calendar!$K$2,P2758&lt;EDATE(Calendar!$K$2,1),OR(Calendar!$K$4="*",N2758=Calendar!$K$4)),P2758*100+COUNTIFS($P$6:$P$3267,P2758,$Q$6:$Q$3267,"&lt;="&amp;Q2758,$N$6:$N$3267,Calendar!$K$4),"")</f>
        <v/>
      </c>
      <c r="W2758" s="47">
        <f>IF(AND(B2758=Queue!$C$4,OR(Queue!$K$4="*",N2758=Queue!$K$4)),Q2758,"")</f>
        <v/>
      </c>
    </row>
    <row r="2759">
      <c r="A2759" s="38">
        <f>IF(M2759="","",HYPERLINK("https://www.youtube.com/watch?v="&amp;M2759,"▶"))</f>
        <v/>
      </c>
      <c r="B2759" s="39">
        <f>IF(C2759&lt;&gt;"",C2759,IF(P2759&lt;=IFERROR(INDEX(tblChannels[Watched Through],MATCH(N2759,tblChannels[Channel ID],0)),0),"Watched","Unwatched"))</f>
        <v/>
      </c>
      <c r="C2759" s="40" t="n"/>
      <c r="D2759" s="41" t="n"/>
      <c r="E2759" s="42" t="n">
        <v>42180.92847222222</v>
      </c>
      <c r="F2759" s="50" t="inlineStr">
        <is>
          <t>Super Carlin Brothers</t>
        </is>
      </c>
      <c r="G2759" t="inlineStr">
        <is>
          <t>Pixar Fast Facts: Up</t>
        </is>
      </c>
      <c r="H2759" s="44" t="n">
        <v>0.001851851851851852</v>
      </c>
      <c r="I2759" s="45" t="n">
        <v>174903</v>
      </c>
      <c r="J2759" s="45" t="n">
        <v>3204</v>
      </c>
      <c r="K2759" s="45" t="n">
        <v>278</v>
      </c>
      <c r="L2759" s="46" t="n"/>
      <c r="M2759" s="47" t="n"/>
      <c r="N2759" s="47" t="inlineStr">
        <is>
          <t>UCKZo4N0lVPccBkSiuyVh4yg</t>
        </is>
      </c>
      <c r="O2759" s="48" t="n">
        <v>42181.09513888889</v>
      </c>
      <c r="P2759" s="49" t="n">
        <v>42180</v>
      </c>
      <c r="Q2759" s="47" t="n">
        <v>509</v>
      </c>
      <c r="R2759" s="47" t="inlineStr">
        <is>
          <t>No Video ID yet</t>
        </is>
      </c>
      <c r="S2759" s="49" t="n"/>
      <c r="T2759" s="49" t="n"/>
      <c r="U2759" s="47" t="inlineStr">
        <is>
          <t>What was your favorite Up moment?!</t>
        </is>
      </c>
      <c r="V2759" s="47">
        <f>IF(AND(P2759&gt;=Calendar!$K$2,P2759&lt;EDATE(Calendar!$K$2,1),OR(Calendar!$K$4="*",N2759=Calendar!$K$4)),P2759*100+COUNTIFS($P$6:$P$3267,P2759,$Q$6:$Q$3267,"&lt;="&amp;Q2759,$N$6:$N$3267,Calendar!$K$4),"")</f>
        <v/>
      </c>
      <c r="W2759" s="47">
        <f>IF(AND(B2759=Queue!$C$4,OR(Queue!$K$4="*",N2759=Queue!$K$4)),Q2759,"")</f>
        <v/>
      </c>
    </row>
    <row r="2760">
      <c r="A2760" s="38">
        <f>IF(M2760="","",HYPERLINK("https://www.youtube.com/watch?v="&amp;M2760,"▶"))</f>
        <v/>
      </c>
      <c r="B2760" s="39">
        <f>IF(C2760&lt;&gt;"",C2760,IF(P2760&lt;=IFERROR(INDEX(tblChannels[Watched Through],MATCH(N2760,tblChannels[Channel ID],0)),0),"Watched","Unwatched"))</f>
        <v/>
      </c>
      <c r="C2760" s="40" t="n"/>
      <c r="D2760" s="41" t="n"/>
      <c r="E2760" s="42" t="n">
        <v>42178.75</v>
      </c>
      <c r="F2760" s="50" t="inlineStr">
        <is>
          <t>Super Carlin Brothers</t>
        </is>
      </c>
      <c r="G2760" t="inlineStr">
        <is>
          <t>Ask J and Beth! Inside Out and #SuperCarlinWedding</t>
        </is>
      </c>
      <c r="H2760" s="44" t="n">
        <v>0.00494212962962963</v>
      </c>
      <c r="I2760" s="45" t="n">
        <v>142440</v>
      </c>
      <c r="J2760" s="45" t="n">
        <v>3285</v>
      </c>
      <c r="K2760" s="45" t="n">
        <v>566</v>
      </c>
      <c r="L2760" s="46" t="n"/>
      <c r="M2760" s="47" t="n"/>
      <c r="N2760" s="47" t="inlineStr">
        <is>
          <t>UCKZo4N0lVPccBkSiuyVh4yg</t>
        </is>
      </c>
      <c r="O2760" s="48" t="n">
        <v>42178.91666666666</v>
      </c>
      <c r="P2760" s="49" t="n">
        <v>42178</v>
      </c>
      <c r="Q2760" s="47" t="n">
        <v>508</v>
      </c>
      <c r="R2760" s="47" t="inlineStr">
        <is>
          <t>No Video ID yet</t>
        </is>
      </c>
      <c r="S2760" s="49" t="n"/>
      <c r="T2760" s="49" t="n"/>
      <c r="U2760" s="47" t="inlineStr">
        <is>
          <t>Have you seen Inside Out? Who was your favorite Emotion?? Follow the #SuperCarlinWedding ::</t>
        </is>
      </c>
      <c r="V2760" s="47">
        <f>IF(AND(P2760&gt;=Calendar!$K$2,P2760&lt;EDATE(Calendar!$K$2,1),OR(Calendar!$K$4="*",N2760=Calendar!$K$4)),P2760*100+COUNTIFS($P$6:$P$3267,P2760,$Q$6:$Q$3267,"&lt;="&amp;Q2760,$N$6:$N$3267,Calendar!$K$4),"")</f>
        <v/>
      </c>
      <c r="W2760" s="47">
        <f>IF(AND(B2760=Queue!$C$4,OR(Queue!$K$4="*",N2760=Queue!$K$4)),Q2760,"")</f>
        <v/>
      </c>
    </row>
    <row r="2761">
      <c r="A2761" s="38">
        <f>IF(M2761="","",HYPERLINK("https://www.youtube.com/watch?v="&amp;M2761,"▶"))</f>
        <v/>
      </c>
      <c r="B2761" s="39">
        <f>IF(C2761&lt;&gt;"",C2761,IF(P2761&lt;=IFERROR(INDEX(tblChannels[Watched Through],MATCH(N2761,tblChannels[Channel ID],0)),0),"Watched","Unwatched"))</f>
        <v/>
      </c>
      <c r="C2761" s="40" t="n"/>
      <c r="D2761" s="41" t="n"/>
      <c r="E2761" s="42" t="n">
        <v>42173.99097222222</v>
      </c>
      <c r="F2761" s="50" t="inlineStr">
        <is>
          <t>Super Carlin Brothers</t>
        </is>
      </c>
      <c r="G2761" t="inlineStr">
        <is>
          <t>Pixar Fast Facts: Monsters Inc</t>
        </is>
      </c>
      <c r="H2761" s="44" t="n">
        <v>0.001886574074074074</v>
      </c>
      <c r="I2761" s="45" t="n">
        <v>202145</v>
      </c>
      <c r="J2761" s="45" t="n">
        <v>2916</v>
      </c>
      <c r="K2761" s="45" t="n">
        <v>252</v>
      </c>
      <c r="L2761" s="46" t="n"/>
      <c r="M2761" s="47" t="n"/>
      <c r="N2761" s="47" t="inlineStr">
        <is>
          <t>UCKZo4N0lVPccBkSiuyVh4yg</t>
        </is>
      </c>
      <c r="O2761" s="48" t="n">
        <v>42174.15763888889</v>
      </c>
      <c r="P2761" s="49" t="n">
        <v>42173</v>
      </c>
      <c r="Q2761" s="47" t="n">
        <v>507</v>
      </c>
      <c r="R2761" s="47" t="inlineStr">
        <is>
          <t>No Video ID yet</t>
        </is>
      </c>
      <c r="S2761" s="49" t="n"/>
      <c r="T2761" s="49" t="n"/>
      <c r="U2761" s="47" t="inlineStr">
        <is>
          <t>And so the hunt for the ever-elusive Monsters Inc A113 Begins!!</t>
        </is>
      </c>
      <c r="V2761" s="47">
        <f>IF(AND(P2761&gt;=Calendar!$K$2,P2761&lt;EDATE(Calendar!$K$2,1),OR(Calendar!$K$4="*",N2761=Calendar!$K$4)),P2761*100+COUNTIFS($P$6:$P$3267,P2761,$Q$6:$Q$3267,"&lt;="&amp;Q2761,$N$6:$N$3267,Calendar!$K$4),"")</f>
        <v/>
      </c>
      <c r="W2761" s="47">
        <f>IF(AND(B2761=Queue!$C$4,OR(Queue!$K$4="*",N2761=Queue!$K$4)),Q2761,"")</f>
        <v/>
      </c>
    </row>
    <row r="2762">
      <c r="A2762" s="38">
        <f>IF(M2762="","",HYPERLINK("https://www.youtube.com/watch?v="&amp;M2762,"▶"))</f>
        <v/>
      </c>
      <c r="B2762" s="39">
        <f>IF(C2762&lt;&gt;"",C2762,IF(P2762&lt;=IFERROR(INDEX(tblChannels[Watched Through],MATCH(N2762,tblChannels[Channel ID],0)),0),"Watched","Unwatched"))</f>
        <v/>
      </c>
      <c r="C2762" s="40" t="n"/>
      <c r="D2762" s="41" t="n"/>
      <c r="E2762" s="42" t="n">
        <v>42171.92569444444</v>
      </c>
      <c r="F2762" s="50" t="inlineStr">
        <is>
          <t>Super Carlin Brothers</t>
        </is>
      </c>
      <c r="G2762" t="inlineStr">
        <is>
          <t>The Utah Teapot and 100,000 Subscribers!</t>
        </is>
      </c>
      <c r="H2762" s="44" t="n">
        <v>0.003877314814814815</v>
      </c>
      <c r="I2762" s="45" t="n">
        <v>409360</v>
      </c>
      <c r="J2762" s="45" t="n">
        <v>9313</v>
      </c>
      <c r="K2762" s="45" t="n">
        <v>1311</v>
      </c>
      <c r="L2762" s="46" t="n"/>
      <c r="M2762" s="47" t="n"/>
      <c r="N2762" s="47" t="inlineStr">
        <is>
          <t>UCKZo4N0lVPccBkSiuyVh4yg</t>
        </is>
      </c>
      <c r="O2762" s="48" t="n">
        <v>42172.09236111111</v>
      </c>
      <c r="P2762" s="49" t="n">
        <v>42171</v>
      </c>
      <c r="Q2762" s="47" t="n">
        <v>506</v>
      </c>
      <c r="R2762" s="47" t="inlineStr">
        <is>
          <t>No Video ID yet</t>
        </is>
      </c>
      <c r="S2762" s="49" t="n"/>
      <c r="T2762" s="49" t="n"/>
      <c r="U2762" s="47" t="inlineStr">
        <is>
          <t>Let us know if you find the teapot!! Purchase Tickets Here: Facebook Event:</t>
        </is>
      </c>
      <c r="V2762" s="47">
        <f>IF(AND(P2762&gt;=Calendar!$K$2,P2762&lt;EDATE(Calendar!$K$2,1),OR(Calendar!$K$4="*",N2762=Calendar!$K$4)),P2762*100+COUNTIFS($P$6:$P$3267,P2762,$Q$6:$Q$3267,"&lt;="&amp;Q2762,$N$6:$N$3267,Calendar!$K$4),"")</f>
        <v/>
      </c>
      <c r="W2762" s="47">
        <f>IF(AND(B2762=Queue!$C$4,OR(Queue!$K$4="*",N2762=Queue!$K$4)),Q2762,"")</f>
        <v/>
      </c>
    </row>
    <row r="2763">
      <c r="A2763" s="38">
        <f>IF(M2763="","",HYPERLINK("https://www.youtube.com/watch?v="&amp;M2763,"▶"))</f>
        <v/>
      </c>
      <c r="B2763" s="39">
        <f>IF(C2763&lt;&gt;"",C2763,IF(P2763&lt;=IFERROR(INDEX(tblChannels[Watched Through],MATCH(N2763,tblChannels[Channel ID],0)),0),"Watched","Unwatched"))</f>
        <v/>
      </c>
      <c r="C2763" s="40" t="n"/>
      <c r="D2763" s="41" t="n"/>
      <c r="E2763" s="42" t="n">
        <v>42166.90416666667</v>
      </c>
      <c r="F2763" s="50" t="inlineStr">
        <is>
          <t>Super Carlin Brothers</t>
        </is>
      </c>
      <c r="G2763" t="inlineStr">
        <is>
          <t>Pixar Fast Facts: Finding Nemo</t>
        </is>
      </c>
      <c r="H2763" s="44" t="n">
        <v>0.001643518518518519</v>
      </c>
      <c r="I2763" s="45" t="n">
        <v>199098</v>
      </c>
      <c r="J2763" s="45" t="n">
        <v>2959</v>
      </c>
      <c r="K2763" s="45" t="n">
        <v>143</v>
      </c>
      <c r="L2763" s="46" t="n"/>
      <c r="M2763" s="47" t="n"/>
      <c r="N2763" s="47" t="inlineStr">
        <is>
          <t>UCKZo4N0lVPccBkSiuyVh4yg</t>
        </is>
      </c>
      <c r="O2763" s="48" t="n">
        <v>42167.07083333333</v>
      </c>
      <c r="P2763" s="49" t="n">
        <v>42166</v>
      </c>
      <c r="Q2763" s="47" t="n">
        <v>505</v>
      </c>
      <c r="R2763" s="47" t="inlineStr">
        <is>
          <t>No Video ID yet</t>
        </is>
      </c>
      <c r="S2763" s="49" t="n"/>
      <c r="T2763" s="49" t="n"/>
      <c r="U2763" s="47" t="n"/>
      <c r="V2763" s="47">
        <f>IF(AND(P2763&gt;=Calendar!$K$2,P2763&lt;EDATE(Calendar!$K$2,1),OR(Calendar!$K$4="*",N2763=Calendar!$K$4)),P2763*100+COUNTIFS($P$6:$P$3267,P2763,$Q$6:$Q$3267,"&lt;="&amp;Q2763,$N$6:$N$3267,Calendar!$K$4),"")</f>
        <v/>
      </c>
      <c r="W2763" s="47">
        <f>IF(AND(B2763=Queue!$C$4,OR(Queue!$K$4="*",N2763=Queue!$K$4)),Q2763,"")</f>
        <v/>
      </c>
    </row>
    <row r="2764">
      <c r="A2764" s="38">
        <f>IF(M2764="","",HYPERLINK("https://www.youtube.com/watch?v="&amp;M2764,"▶"))</f>
        <v/>
      </c>
      <c r="B2764" s="39">
        <f>IF(C2764&lt;&gt;"",C2764,IF(P2764&lt;=IFERROR(INDEX(tblChannels[Watched Through],MATCH(N2764,tblChannels[Channel ID],0)),0),"Watched","Unwatched"))</f>
        <v/>
      </c>
      <c r="C2764" s="40" t="n"/>
      <c r="D2764" s="41" t="n"/>
      <c r="E2764" s="42" t="n">
        <v>42164.99583333333</v>
      </c>
      <c r="F2764" s="50" t="inlineStr">
        <is>
          <t>Super Carlin Brothers</t>
        </is>
      </c>
      <c r="G2764" t="inlineStr">
        <is>
          <t>Top 10 Things To Look For In Inside Out</t>
        </is>
      </c>
      <c r="H2764" s="44" t="n">
        <v>0.004583333333333333</v>
      </c>
      <c r="I2764" s="45" t="n">
        <v>888751</v>
      </c>
      <c r="J2764" s="45" t="n">
        <v>9810</v>
      </c>
      <c r="K2764" s="45" t="n">
        <v>1588</v>
      </c>
      <c r="L2764" s="46" t="n"/>
      <c r="M2764" s="47" t="n"/>
      <c r="N2764" s="47" t="inlineStr">
        <is>
          <t>UCKZo4N0lVPccBkSiuyVh4yg</t>
        </is>
      </c>
      <c r="O2764" s="48" t="n">
        <v>42165.1625</v>
      </c>
      <c r="P2764" s="49" t="n">
        <v>42164</v>
      </c>
      <c r="Q2764" s="47" t="n">
        <v>504</v>
      </c>
      <c r="R2764" s="47" t="inlineStr">
        <is>
          <t>No Video ID yet</t>
        </is>
      </c>
      <c r="S2764" s="49" t="n"/>
      <c r="T2764" s="49" t="n"/>
      <c r="U2764" s="47" t="inlineStr">
        <is>
          <t>Come see Inside Out with Us: Jon Negroni Post:</t>
        </is>
      </c>
      <c r="V2764" s="47">
        <f>IF(AND(P2764&gt;=Calendar!$K$2,P2764&lt;EDATE(Calendar!$K$2,1),OR(Calendar!$K$4="*",N2764=Calendar!$K$4)),P2764*100+COUNTIFS($P$6:$P$3267,P2764,$Q$6:$Q$3267,"&lt;="&amp;Q2764,$N$6:$N$3267,Calendar!$K$4),"")</f>
        <v/>
      </c>
      <c r="W2764" s="47">
        <f>IF(AND(B2764=Queue!$C$4,OR(Queue!$K$4="*",N2764=Queue!$K$4)),Q2764,"")</f>
        <v/>
      </c>
    </row>
    <row r="2765">
      <c r="A2765" s="38">
        <f>IF(M2765="","",HYPERLINK("https://www.youtube.com/watch?v="&amp;M2765,"▶"))</f>
        <v/>
      </c>
      <c r="B2765" s="39">
        <f>IF(C2765&lt;&gt;"",C2765,IF(P2765&lt;=IFERROR(INDEX(tblChannels[Watched Through],MATCH(N2765,tblChannels[Channel ID],0)),0),"Watched","Unwatched"))</f>
        <v/>
      </c>
      <c r="C2765" s="40" t="n"/>
      <c r="D2765" s="41" t="n"/>
      <c r="E2765" s="42" t="n">
        <v>42159.94027777778</v>
      </c>
      <c r="F2765" s="50" t="inlineStr">
        <is>
          <t>Super Carlin Brothers</t>
        </is>
      </c>
      <c r="G2765" t="inlineStr">
        <is>
          <t>Pixar Fast Facts: Toy Story</t>
        </is>
      </c>
      <c r="H2765" s="44" t="n">
        <v>0.001643518518518519</v>
      </c>
      <c r="I2765" s="45" t="n">
        <v>143854</v>
      </c>
      <c r="J2765" s="45" t="n">
        <v>2388</v>
      </c>
      <c r="K2765" s="45" t="n">
        <v>88</v>
      </c>
      <c r="L2765" s="46" t="n"/>
      <c r="M2765" s="47" t="n"/>
      <c r="N2765" s="47" t="inlineStr">
        <is>
          <t>UCKZo4N0lVPccBkSiuyVh4yg</t>
        </is>
      </c>
      <c r="O2765" s="48" t="n">
        <v>42160.10694444444</v>
      </c>
      <c r="P2765" s="49" t="n">
        <v>42159</v>
      </c>
      <c r="Q2765" s="47" t="n">
        <v>503</v>
      </c>
      <c r="R2765" s="47" t="inlineStr">
        <is>
          <t>No Video ID yet</t>
        </is>
      </c>
      <c r="S2765" s="49" t="n"/>
      <c r="T2765" s="49" t="n"/>
      <c r="U2765" s="47" t="n"/>
      <c r="V2765" s="47">
        <f>IF(AND(P2765&gt;=Calendar!$K$2,P2765&lt;EDATE(Calendar!$K$2,1),OR(Calendar!$K$4="*",N2765=Calendar!$K$4)),P2765*100+COUNTIFS($P$6:$P$3267,P2765,$Q$6:$Q$3267,"&lt;="&amp;Q2765,$N$6:$N$3267,Calendar!$K$4),"")</f>
        <v/>
      </c>
      <c r="W2765" s="47">
        <f>IF(AND(B2765=Queue!$C$4,OR(Queue!$K$4="*",N2765=Queue!$K$4)),Q2765,"")</f>
        <v/>
      </c>
    </row>
    <row r="2766">
      <c r="A2766" s="38">
        <f>IF(M2766="","",HYPERLINK("https://www.youtube.com/watch?v="&amp;M2766,"▶"))</f>
        <v/>
      </c>
      <c r="B2766" s="39">
        <f>IF(C2766&lt;&gt;"",C2766,IF(P2766&lt;=IFERROR(INDEX(tblChannels[Watched Through],MATCH(N2766,tblChannels[Channel ID],0)),0),"Watched","Unwatched"))</f>
        <v/>
      </c>
      <c r="C2766" s="40" t="n"/>
      <c r="D2766" s="41" t="n"/>
      <c r="E2766" s="42" t="n">
        <v>42157.9875</v>
      </c>
      <c r="F2766" s="50" t="inlineStr">
        <is>
          <t>Super Carlin Brothers</t>
        </is>
      </c>
      <c r="G2766" t="inlineStr">
        <is>
          <t>Does Captain America Google Autofill</t>
        </is>
      </c>
      <c r="H2766" s="44" t="n">
        <v>0.003518518518518518</v>
      </c>
      <c r="I2766" s="45" t="n">
        <v>265920</v>
      </c>
      <c r="J2766" s="45" t="n">
        <v>4292</v>
      </c>
      <c r="K2766" s="45" t="n">
        <v>883</v>
      </c>
      <c r="L2766" s="46" t="n"/>
      <c r="M2766" s="47" t="n"/>
      <c r="N2766" s="47" t="inlineStr">
        <is>
          <t>UCKZo4N0lVPccBkSiuyVh4yg</t>
        </is>
      </c>
      <c r="O2766" s="48" t="n">
        <v>42158.15416666667</v>
      </c>
      <c r="P2766" s="49" t="n">
        <v>42157</v>
      </c>
      <c r="Q2766" s="47" t="n">
        <v>502</v>
      </c>
      <c r="R2766" s="47" t="inlineStr">
        <is>
          <t>No Video ID yet</t>
        </is>
      </c>
      <c r="S2766" s="49" t="n"/>
      <c r="T2766" s="49" t="n"/>
      <c r="U2766" s="47" t="inlineStr">
        <is>
          <t>Seriously, what is up with Thor's Hammer?</t>
        </is>
      </c>
      <c r="V2766" s="47">
        <f>IF(AND(P2766&gt;=Calendar!$K$2,P2766&lt;EDATE(Calendar!$K$2,1),OR(Calendar!$K$4="*",N2766=Calendar!$K$4)),P2766*100+COUNTIFS($P$6:$P$3267,P2766,$Q$6:$Q$3267,"&lt;="&amp;Q2766,$N$6:$N$3267,Calendar!$K$4),"")</f>
        <v/>
      </c>
      <c r="W2766" s="47">
        <f>IF(AND(B2766=Queue!$C$4,OR(Queue!$K$4="*",N2766=Queue!$K$4)),Q2766,"")</f>
        <v/>
      </c>
    </row>
    <row r="2767">
      <c r="A2767" s="38">
        <f>IF(M2767="","",HYPERLINK("https://www.youtube.com/watch?v="&amp;M2767,"▶"))</f>
        <v/>
      </c>
      <c r="B2767" s="39">
        <f>IF(C2767&lt;&gt;"",C2767,IF(P2767&lt;=IFERROR(INDEX(tblChannels[Watched Through],MATCH(N2767,tblChannels[Channel ID],0)),0),"Watched","Unwatched"))</f>
        <v/>
      </c>
      <c r="C2767" s="40" t="n"/>
      <c r="D2767" s="41" t="n"/>
      <c r="E2767" s="42" t="n">
        <v>42152.96736111111</v>
      </c>
      <c r="F2767" s="50" t="inlineStr">
        <is>
          <t>Super Carlin Brothers</t>
        </is>
      </c>
      <c r="G2767" t="inlineStr">
        <is>
          <t>Pixar Fast Facts: The Incredibles</t>
        </is>
      </c>
      <c r="H2767" s="44" t="n">
        <v>0.001967592592592592</v>
      </c>
      <c r="I2767" s="45" t="n">
        <v>248996</v>
      </c>
      <c r="J2767" s="45" t="n">
        <v>3917</v>
      </c>
      <c r="K2767" s="45" t="n">
        <v>229</v>
      </c>
      <c r="L2767" s="46" t="n"/>
      <c r="M2767" s="47" t="n"/>
      <c r="N2767" s="47" t="inlineStr">
        <is>
          <t>UCKZo4N0lVPccBkSiuyVh4yg</t>
        </is>
      </c>
      <c r="O2767" s="48" t="n">
        <v>42153.13402777778</v>
      </c>
      <c r="P2767" s="49" t="n">
        <v>42152</v>
      </c>
      <c r="Q2767" s="47" t="n">
        <v>501</v>
      </c>
      <c r="R2767" s="47" t="inlineStr">
        <is>
          <t>No Video ID yet</t>
        </is>
      </c>
      <c r="S2767" s="49" t="n"/>
      <c r="T2767" s="49" t="n"/>
      <c r="U2767" s="47" t="n"/>
      <c r="V2767" s="47">
        <f>IF(AND(P2767&gt;=Calendar!$K$2,P2767&lt;EDATE(Calendar!$K$2,1),OR(Calendar!$K$4="*",N2767=Calendar!$K$4)),P2767*100+COUNTIFS($P$6:$P$3267,P2767,$Q$6:$Q$3267,"&lt;="&amp;Q2767,$N$6:$N$3267,Calendar!$K$4),"")</f>
        <v/>
      </c>
      <c r="W2767" s="47">
        <f>IF(AND(B2767=Queue!$C$4,OR(Queue!$K$4="*",N2767=Queue!$K$4)),Q2767,"")</f>
        <v/>
      </c>
    </row>
    <row r="2768">
      <c r="A2768" s="38">
        <f>IF(M2768="","",HYPERLINK("https://www.youtube.com/watch?v="&amp;M2768,"▶"))</f>
        <v/>
      </c>
      <c r="B2768" s="39">
        <f>IF(C2768&lt;&gt;"",C2768,IF(P2768&lt;=IFERROR(INDEX(tblChannels[Watched Through],MATCH(N2768,tblChannels[Channel ID],0)),0),"Watched","Unwatched"))</f>
        <v/>
      </c>
      <c r="C2768" s="40" t="n"/>
      <c r="D2768" s="41" t="n"/>
      <c r="E2768" s="42" t="n">
        <v>42150.90972222222</v>
      </c>
      <c r="F2768" s="50" t="inlineStr">
        <is>
          <t>Super Carlin Brothers</t>
        </is>
      </c>
      <c r="G2768" t="inlineStr">
        <is>
          <t>The Faulty Thermometer - My First Video</t>
        </is>
      </c>
      <c r="H2768" s="44" t="n">
        <v>0.003344907407407408</v>
      </c>
      <c r="I2768" s="45" t="n">
        <v>57192</v>
      </c>
      <c r="J2768" s="45" t="n">
        <v>1477</v>
      </c>
      <c r="K2768" s="45" t="n">
        <v>268</v>
      </c>
      <c r="L2768" s="46" t="n"/>
      <c r="M2768" s="47" t="n"/>
      <c r="N2768" s="47" t="inlineStr">
        <is>
          <t>UCKZo4N0lVPccBkSiuyVh4yg</t>
        </is>
      </c>
      <c r="O2768" s="48" t="n">
        <v>42151.07638888889</v>
      </c>
      <c r="P2768" s="49" t="n">
        <v>42150</v>
      </c>
      <c r="Q2768" s="47" t="n">
        <v>500</v>
      </c>
      <c r="R2768" s="47" t="inlineStr">
        <is>
          <t>No Video ID yet</t>
        </is>
      </c>
      <c r="S2768" s="49" t="n"/>
      <c r="T2768" s="49" t="n"/>
      <c r="U2768" s="47" t="inlineStr">
        <is>
          <t>Having a bit of a sick day =( .. Hope you enjoy the first video I ever made, we've come a long way!</t>
        </is>
      </c>
      <c r="V2768" s="47">
        <f>IF(AND(P2768&gt;=Calendar!$K$2,P2768&lt;EDATE(Calendar!$K$2,1),OR(Calendar!$K$4="*",N2768=Calendar!$K$4)),P2768*100+COUNTIFS($P$6:$P$3267,P2768,$Q$6:$Q$3267,"&lt;="&amp;Q2768,$N$6:$N$3267,Calendar!$K$4),"")</f>
        <v/>
      </c>
      <c r="W2768" s="47">
        <f>IF(AND(B2768=Queue!$C$4,OR(Queue!$K$4="*",N2768=Queue!$K$4)),Q2768,"")</f>
        <v/>
      </c>
    </row>
    <row r="2769">
      <c r="A2769" s="38">
        <f>IF(M2769="","",HYPERLINK("https://www.youtube.com/watch?v="&amp;M2769,"▶"))</f>
        <v/>
      </c>
      <c r="B2769" s="39">
        <f>IF(C2769&lt;&gt;"",C2769,IF(P2769&lt;=IFERROR(INDEX(tblChannels[Watched Through],MATCH(N2769,tblChannels[Channel ID],0)),0),"Watched","Unwatched"))</f>
        <v/>
      </c>
      <c r="C2769" s="40" t="n"/>
      <c r="D2769" s="41" t="n"/>
      <c r="E2769" s="42" t="n">
        <v>42145.91319444445</v>
      </c>
      <c r="F2769" s="50" t="inlineStr">
        <is>
          <t>Super Carlin Brothers</t>
        </is>
      </c>
      <c r="G2769" t="inlineStr">
        <is>
          <t>LOOT CRATE UNBOXING | UNITE</t>
        </is>
      </c>
      <c r="H2769" s="44" t="n">
        <v>0.004375</v>
      </c>
      <c r="I2769" s="45" t="n">
        <v>40988</v>
      </c>
      <c r="J2769" s="45" t="n">
        <v>800</v>
      </c>
      <c r="K2769" s="45" t="n">
        <v>205</v>
      </c>
      <c r="L2769" s="46" t="n"/>
      <c r="M2769" s="47" t="n"/>
      <c r="N2769" s="47" t="inlineStr">
        <is>
          <t>UCKZo4N0lVPccBkSiuyVh4yg</t>
        </is>
      </c>
      <c r="O2769" s="48" t="n">
        <v>42146.07986111111</v>
      </c>
      <c r="P2769" s="49" t="n">
        <v>42145</v>
      </c>
      <c r="Q2769" s="47" t="n">
        <v>499</v>
      </c>
      <c r="R2769" s="47" t="inlineStr">
        <is>
          <t>No Video ID yet</t>
        </is>
      </c>
      <c r="S2769" s="49" t="n"/>
      <c r="T2769" s="49" t="n"/>
      <c r="U2769" s="47" t="inlineStr">
        <is>
          <t>Thank you to everyone that submitted a "Heeeeey Brother!!" If you would like to submit one to our Facebook page... I can guarantee it will make our day.</t>
        </is>
      </c>
      <c r="V2769" s="47">
        <f>IF(AND(P2769&gt;=Calendar!$K$2,P2769&lt;EDATE(Calendar!$K$2,1),OR(Calendar!$K$4="*",N2769=Calendar!$K$4)),P2769*100+COUNTIFS($P$6:$P$3267,P2769,$Q$6:$Q$3267,"&lt;="&amp;Q2769,$N$6:$N$3267,Calendar!$K$4),"")</f>
        <v/>
      </c>
      <c r="W2769" s="47">
        <f>IF(AND(B2769=Queue!$C$4,OR(Queue!$K$4="*",N2769=Queue!$K$4)),Q2769,"")</f>
        <v/>
      </c>
    </row>
    <row r="2770">
      <c r="A2770" s="38">
        <f>IF(M2770="","",HYPERLINK("https://www.youtube.com/watch?v="&amp;M2770,"▶"))</f>
        <v/>
      </c>
      <c r="B2770" s="39">
        <f>IF(C2770&lt;&gt;"",C2770,IF(P2770&lt;=IFERROR(INDEX(tblChannels[Watched Through],MATCH(N2770,tblChannels[Channel ID],0)),0),"Watched","Unwatched"))</f>
        <v/>
      </c>
      <c r="C2770" s="40" t="n"/>
      <c r="D2770" s="41" t="n"/>
      <c r="E2770" s="42" t="n">
        <v>42143.98680555556</v>
      </c>
      <c r="F2770" s="50" t="inlineStr">
        <is>
          <t>Super Carlin Brothers</t>
        </is>
      </c>
      <c r="G2770" t="inlineStr">
        <is>
          <t>How to Watch Star Wars</t>
        </is>
      </c>
      <c r="H2770" s="44" t="n">
        <v>0.005289351851851852</v>
      </c>
      <c r="I2770" s="45" t="n">
        <v>668386</v>
      </c>
      <c r="J2770" s="45" t="n">
        <v>15618</v>
      </c>
      <c r="K2770" s="45" t="n">
        <v>4567</v>
      </c>
      <c r="L2770" s="46" t="n"/>
      <c r="M2770" s="47" t="n"/>
      <c r="N2770" s="47" t="inlineStr">
        <is>
          <t>UCKZo4N0lVPccBkSiuyVh4yg</t>
        </is>
      </c>
      <c r="O2770" s="48" t="n">
        <v>42144.15347222222</v>
      </c>
      <c r="P2770" s="49" t="n">
        <v>42143</v>
      </c>
      <c r="Q2770" s="47" t="n">
        <v>498</v>
      </c>
      <c r="R2770" s="47" t="inlineStr">
        <is>
          <t>No Video ID yet</t>
        </is>
      </c>
      <c r="S2770" s="49" t="n"/>
      <c r="T2770" s="49" t="n"/>
      <c r="U2770" s="47" t="inlineStr">
        <is>
          <t>Machete Order :: The D-Cast ::</t>
        </is>
      </c>
      <c r="V2770" s="47">
        <f>IF(AND(P2770&gt;=Calendar!$K$2,P2770&lt;EDATE(Calendar!$K$2,1),OR(Calendar!$K$4="*",N2770=Calendar!$K$4)),P2770*100+COUNTIFS($P$6:$P$3267,P2770,$Q$6:$Q$3267,"&lt;="&amp;Q2770,$N$6:$N$3267,Calendar!$K$4),"")</f>
        <v/>
      </c>
      <c r="W2770" s="47">
        <f>IF(AND(B2770=Queue!$C$4,OR(Queue!$K$4="*",N2770=Queue!$K$4)),Q2770,"")</f>
        <v/>
      </c>
    </row>
    <row r="2771">
      <c r="A2771" s="38">
        <f>IF(M2771="","",HYPERLINK("https://www.youtube.com/watch?v="&amp;M2771,"▶"))</f>
        <v/>
      </c>
      <c r="B2771" s="39">
        <f>IF(C2771&lt;&gt;"",C2771,IF(P2771&lt;=IFERROR(INDEX(tblChannels[Watched Through],MATCH(N2771,tblChannels[Channel ID],0)),0),"Watched","Unwatched"))</f>
        <v/>
      </c>
      <c r="C2771" s="40" t="n"/>
      <c r="D2771" s="41" t="n"/>
      <c r="E2771" s="42" t="n">
        <v>42138.97291666667</v>
      </c>
      <c r="F2771" s="50" t="inlineStr">
        <is>
          <t>Super Carlin Brothers</t>
        </is>
      </c>
      <c r="G2771" t="inlineStr">
        <is>
          <t>2319! WHAT DOES IT MEAN?!</t>
        </is>
      </c>
      <c r="H2771" s="44" t="n">
        <v>0.003113425925925926</v>
      </c>
      <c r="I2771" s="45" t="n">
        <v>1744332</v>
      </c>
      <c r="J2771" s="45" t="n">
        <v>20429</v>
      </c>
      <c r="K2771" s="45" t="n">
        <v>2664</v>
      </c>
      <c r="L2771" s="46" t="n"/>
      <c r="M2771" s="47" t="n"/>
      <c r="N2771" s="47" t="inlineStr">
        <is>
          <t>UCKZo4N0lVPccBkSiuyVh4yg</t>
        </is>
      </c>
      <c r="O2771" s="48" t="n">
        <v>42139.13958333333</v>
      </c>
      <c r="P2771" s="49" t="n">
        <v>42138</v>
      </c>
      <c r="Q2771" s="47" t="n">
        <v>497</v>
      </c>
      <c r="R2771" s="47" t="inlineStr">
        <is>
          <t>No Video ID yet</t>
        </is>
      </c>
      <c r="S2771" s="49" t="n"/>
      <c r="T2771" s="49" t="n"/>
      <c r="U2771" s="47" t="inlineStr">
        <is>
          <t>Wow, So... I uploaded apparently raw footage instead of my actual video on the first go round. I am really sorry for the bizarre nature of that upload. Probably ranking pretty high on the more embarrassing moments in SCB history so far. Let's try again with take two. Thanks for your support guys.</t>
        </is>
      </c>
      <c r="V2771" s="47">
        <f>IF(AND(P2771&gt;=Calendar!$K$2,P2771&lt;EDATE(Calendar!$K$2,1),OR(Calendar!$K$4="*",N2771=Calendar!$K$4)),P2771*100+COUNTIFS($P$6:$P$3267,P2771,$Q$6:$Q$3267,"&lt;="&amp;Q2771,$N$6:$N$3267,Calendar!$K$4),"")</f>
        <v/>
      </c>
      <c r="W2771" s="47">
        <f>IF(AND(B2771=Queue!$C$4,OR(Queue!$K$4="*",N2771=Queue!$K$4)),Q2771,"")</f>
        <v/>
      </c>
    </row>
    <row r="2772">
      <c r="A2772" s="38">
        <f>IF(M2772="","",HYPERLINK("https://www.youtube.com/watch?v="&amp;M2772,"▶"))</f>
        <v/>
      </c>
      <c r="B2772" s="39">
        <f>IF(C2772&lt;&gt;"",C2772,IF(P2772&lt;=IFERROR(INDEX(tblChannels[Watched Through],MATCH(N2772,tblChannels[Channel ID],0)),0),"Watched","Unwatched"))</f>
        <v/>
      </c>
      <c r="C2772" s="40" t="n"/>
      <c r="D2772" s="41" t="n"/>
      <c r="E2772" s="42" t="n">
        <v>42136.93055555555</v>
      </c>
      <c r="F2772" s="50" t="inlineStr">
        <is>
          <t>Super Carlin Brothers</t>
        </is>
      </c>
      <c r="G2772" t="inlineStr">
        <is>
          <t>Pixar Theory: Who is Andy's Monster?</t>
        </is>
      </c>
      <c r="H2772" s="44" t="n">
        <v>0.004282407407407408</v>
      </c>
      <c r="I2772" s="45" t="n">
        <v>5113000</v>
      </c>
      <c r="J2772" s="45" t="n">
        <v>93162</v>
      </c>
      <c r="K2772" s="45" t="n">
        <v>11806</v>
      </c>
      <c r="L2772" s="46" t="n"/>
      <c r="M2772" s="47" t="n"/>
      <c r="N2772" s="47" t="inlineStr">
        <is>
          <t>UCKZo4N0lVPccBkSiuyVh4yg</t>
        </is>
      </c>
      <c r="O2772" s="48" t="n">
        <v>42137.09722222222</v>
      </c>
      <c r="P2772" s="49" t="n">
        <v>42136</v>
      </c>
      <c r="Q2772" s="47" t="n">
        <v>496</v>
      </c>
      <c r="R2772" s="47" t="inlineStr">
        <is>
          <t>No Video ID yet</t>
        </is>
      </c>
      <c r="S2772" s="49" t="n"/>
      <c r="T2772" s="49" t="n"/>
      <c r="U2772" s="47" t="inlineStr">
        <is>
          <t>Who is Andy's Monster??? Reminder :: Each monster scares a LOT of kids, they are not assigned to only a single child.</t>
        </is>
      </c>
      <c r="V2772" s="47">
        <f>IF(AND(P2772&gt;=Calendar!$K$2,P2772&lt;EDATE(Calendar!$K$2,1),OR(Calendar!$K$4="*",N2772=Calendar!$K$4)),P2772*100+COUNTIFS($P$6:$P$3267,P2772,$Q$6:$Q$3267,"&lt;="&amp;Q2772,$N$6:$N$3267,Calendar!$K$4),"")</f>
        <v/>
      </c>
      <c r="W2772" s="47">
        <f>IF(AND(B2772=Queue!$C$4,OR(Queue!$K$4="*",N2772=Queue!$K$4)),Q2772,"")</f>
        <v/>
      </c>
    </row>
    <row r="2773">
      <c r="A2773" s="38">
        <f>IF(M2773="","",HYPERLINK("https://www.youtube.com/watch?v="&amp;M2773,"▶"))</f>
        <v/>
      </c>
      <c r="B2773" s="39">
        <f>IF(C2773&lt;&gt;"",C2773,IF(P2773&lt;=IFERROR(INDEX(tblChannels[Watched Through],MATCH(N2773,tblChannels[Channel ID],0)),0),"Watched","Unwatched"))</f>
        <v/>
      </c>
      <c r="C2773" s="40" t="n"/>
      <c r="D2773" s="41" t="n"/>
      <c r="E2773" s="42" t="n">
        <v>42131.89722222222</v>
      </c>
      <c r="F2773" s="50" t="inlineStr">
        <is>
          <t>Super Carlin Brothers</t>
        </is>
      </c>
      <c r="G2773" t="inlineStr">
        <is>
          <t>Dumbledore is DEATH</t>
        </is>
      </c>
      <c r="H2773" s="44" t="n">
        <v>0.003344907407407408</v>
      </c>
      <c r="I2773" s="45" t="n">
        <v>885524</v>
      </c>
      <c r="J2773" s="45" t="n">
        <v>13589</v>
      </c>
      <c r="K2773" s="45" t="n">
        <v>1973</v>
      </c>
      <c r="L2773" s="46" t="n"/>
      <c r="M2773" s="47" t="n"/>
      <c r="N2773" s="47" t="inlineStr">
        <is>
          <t>UCKZo4N0lVPccBkSiuyVh4yg</t>
        </is>
      </c>
      <c r="O2773" s="48" t="n">
        <v>42132.06388888889</v>
      </c>
      <c r="P2773" s="49" t="n">
        <v>42131</v>
      </c>
      <c r="Q2773" s="47" t="n">
        <v>495</v>
      </c>
      <c r="R2773" s="47" t="inlineStr">
        <is>
          <t>No Video ID yet</t>
        </is>
      </c>
      <c r="S2773" s="49" t="n"/>
      <c r="T2773" s="49" t="n"/>
      <c r="U2773" s="47" t="n"/>
      <c r="V2773" s="47">
        <f>IF(AND(P2773&gt;=Calendar!$K$2,P2773&lt;EDATE(Calendar!$K$2,1),OR(Calendar!$K$4="*",N2773=Calendar!$K$4)),P2773*100+COUNTIFS($P$6:$P$3267,P2773,$Q$6:$Q$3267,"&lt;="&amp;Q2773,$N$6:$N$3267,Calendar!$K$4),"")</f>
        <v/>
      </c>
      <c r="W2773" s="47">
        <f>IF(AND(B2773=Queue!$C$4,OR(Queue!$K$4="*",N2773=Queue!$K$4)),Q2773,"")</f>
        <v/>
      </c>
    </row>
    <row r="2774">
      <c r="A2774" s="38">
        <f>IF(M2774="","",HYPERLINK("https://www.youtube.com/watch?v="&amp;M2774,"▶"))</f>
        <v/>
      </c>
      <c r="B2774" s="39">
        <f>IF(C2774&lt;&gt;"",C2774,IF(P2774&lt;=IFERROR(INDEX(tblChannels[Watched Through],MATCH(N2774,tblChannels[Channel ID],0)),0),"Watched","Unwatched"))</f>
        <v/>
      </c>
      <c r="C2774" s="40" t="n"/>
      <c r="D2774" s="41" t="n"/>
      <c r="E2774" s="42" t="n">
        <v>42130.01041666666</v>
      </c>
      <c r="F2774" s="50" t="inlineStr">
        <is>
          <t>Super Carlin Brothers</t>
        </is>
      </c>
      <c r="G2774" t="inlineStr">
        <is>
          <t>Why Does Voldemort Google Autofill</t>
        </is>
      </c>
      <c r="H2774" s="44" t="n">
        <v>0.005011574074074074</v>
      </c>
      <c r="I2774" s="45" t="n">
        <v>980936</v>
      </c>
      <c r="J2774" s="45" t="n">
        <v>15898</v>
      </c>
      <c r="K2774" s="45" t="n">
        <v>3647</v>
      </c>
      <c r="L2774" s="46" t="n"/>
      <c r="M2774" s="47" t="n"/>
      <c r="N2774" s="47" t="inlineStr">
        <is>
          <t>UCKZo4N0lVPccBkSiuyVh4yg</t>
        </is>
      </c>
      <c r="O2774" s="48" t="n">
        <v>42130.17708333334</v>
      </c>
      <c r="P2774" s="49" t="n">
        <v>42130</v>
      </c>
      <c r="Q2774" s="47" t="n">
        <v>494</v>
      </c>
      <c r="R2774" s="47" t="inlineStr">
        <is>
          <t>No Video ID yet</t>
        </is>
      </c>
      <c r="S2774" s="49" t="n"/>
      <c r="T2774" s="49" t="n"/>
      <c r="U2774" s="47" t="inlineStr">
        <is>
          <t>The real question is why does Voldemort keep stealing your shampoo..</t>
        </is>
      </c>
      <c r="V2774" s="47">
        <f>IF(AND(P2774&gt;=Calendar!$K$2,P2774&lt;EDATE(Calendar!$K$2,1),OR(Calendar!$K$4="*",N2774=Calendar!$K$4)),P2774*100+COUNTIFS($P$6:$P$3267,P2774,$Q$6:$Q$3267,"&lt;="&amp;Q2774,$N$6:$N$3267,Calendar!$K$4),"")</f>
        <v/>
      </c>
      <c r="W2774" s="47">
        <f>IF(AND(B2774=Queue!$C$4,OR(Queue!$K$4="*",N2774=Queue!$K$4)),Q2774,"")</f>
        <v/>
      </c>
    </row>
    <row r="2775">
      <c r="A2775" s="38">
        <f>IF(M2775="","",HYPERLINK("https://www.youtube.com/watch?v="&amp;M2775,"▶"))</f>
        <v/>
      </c>
      <c r="B2775" s="39">
        <f>IF(C2775&lt;&gt;"",C2775,IF(P2775&lt;=IFERROR(INDEX(tblChannels[Watched Through],MATCH(N2775,tblChannels[Channel ID],0)),0),"Watched","Unwatched"))</f>
        <v/>
      </c>
      <c r="C2775" s="40" t="n"/>
      <c r="D2775" s="41" t="n"/>
      <c r="E2775" s="42" t="n">
        <v>42127.73958333334</v>
      </c>
      <c r="F2775" s="52" t="inlineStr">
        <is>
          <t>Super Carlin Gaming</t>
        </is>
      </c>
      <c r="G2775" t="inlineStr">
        <is>
          <t>Pokemon HeartGold Nuzlocke #13 | Woes of Axelot</t>
        </is>
      </c>
      <c r="H2775" s="44" t="n">
        <v>0.01675925925925926</v>
      </c>
      <c r="I2775" s="45" t="n">
        <v>29051</v>
      </c>
      <c r="J2775" s="45" t="n">
        <v>618</v>
      </c>
      <c r="K2775" s="45" t="n">
        <v>103</v>
      </c>
      <c r="L2775" s="46" t="n"/>
      <c r="M2775" s="47" t="n"/>
      <c r="N2775" s="47" t="inlineStr">
        <is>
          <t>UCor_9jRnNNZVzTuQ92PKsaQ</t>
        </is>
      </c>
      <c r="O2775" s="48" t="n">
        <v>42127.90625</v>
      </c>
      <c r="P2775" s="49" t="n">
        <v>42127</v>
      </c>
      <c r="Q2775" s="47" t="n">
        <v>493</v>
      </c>
      <c r="R2775" s="47" t="inlineStr">
        <is>
          <t>No Video ID yet</t>
        </is>
      </c>
      <c r="S2775" s="49" t="n"/>
      <c r="T2775" s="49" t="n"/>
      <c r="U2775" s="47" t="inlineStr">
        <is>
          <t>Despite his overwhelming strength Axelot doubts his abilities in the face of new team members..</t>
        </is>
      </c>
      <c r="V2775" s="47">
        <f>IF(AND(P2775&gt;=Calendar!$K$2,P2775&lt;EDATE(Calendar!$K$2,1),OR(Calendar!$K$4="*",N2775=Calendar!$K$4)),P2775*100+COUNTIFS($P$6:$P$3267,P2775,$Q$6:$Q$3267,"&lt;="&amp;Q2775,$N$6:$N$3267,Calendar!$K$4),"")</f>
        <v/>
      </c>
      <c r="W2775" s="47">
        <f>IF(AND(B2775=Queue!$C$4,OR(Queue!$K$4="*",N2775=Queue!$K$4)),Q2775,"")</f>
        <v/>
      </c>
    </row>
    <row r="2776">
      <c r="A2776" s="38">
        <f>IF(M2776="","",HYPERLINK("https://www.youtube.com/watch?v="&amp;M2776,"▶"))</f>
        <v/>
      </c>
      <c r="B2776" s="39">
        <f>IF(C2776&lt;&gt;"",C2776,IF(P2776&lt;=IFERROR(INDEX(tblChannels[Watched Through],MATCH(N2776,tblChannels[Channel ID],0)),0),"Watched","Unwatched"))</f>
        <v/>
      </c>
      <c r="C2776" s="40" t="n"/>
      <c r="D2776" s="41" t="n"/>
      <c r="E2776" s="42" t="n">
        <v>42124.975</v>
      </c>
      <c r="F2776" s="50" t="inlineStr">
        <is>
          <t>Super Carlin Brothers</t>
        </is>
      </c>
      <c r="G2776" t="inlineStr">
        <is>
          <t>ASK BEN: Guinea Pigs, Emma Jean, and KNIVES</t>
        </is>
      </c>
      <c r="H2776" s="44" t="n">
        <v>0.004571759259259259</v>
      </c>
      <c r="I2776" s="45" t="n">
        <v>25931</v>
      </c>
      <c r="J2776" s="45" t="n">
        <v>699</v>
      </c>
      <c r="K2776" s="45" t="n">
        <v>141</v>
      </c>
      <c r="L2776" s="46" t="n"/>
      <c r="M2776" s="47" t="n"/>
      <c r="N2776" s="47" t="inlineStr">
        <is>
          <t>UCKZo4N0lVPccBkSiuyVh4yg</t>
        </is>
      </c>
      <c r="O2776" s="48" t="n">
        <v>42125.14166666667</v>
      </c>
      <c r="P2776" s="49" t="n">
        <v>42124</v>
      </c>
      <c r="Q2776" s="47" t="n">
        <v>492</v>
      </c>
      <c r="R2776" s="47" t="inlineStr">
        <is>
          <t>No Video ID yet</t>
        </is>
      </c>
      <c r="S2776" s="49" t="n"/>
      <c r="T2776" s="49" t="n"/>
      <c r="U2776" s="47" t="n"/>
      <c r="V2776" s="47">
        <f>IF(AND(P2776&gt;=Calendar!$K$2,P2776&lt;EDATE(Calendar!$K$2,1),OR(Calendar!$K$4="*",N2776=Calendar!$K$4)),P2776*100+COUNTIFS($P$6:$P$3267,P2776,$Q$6:$Q$3267,"&lt;="&amp;Q2776,$N$6:$N$3267,Calendar!$K$4),"")</f>
        <v/>
      </c>
      <c r="W2776" s="47">
        <f>IF(AND(B2776=Queue!$C$4,OR(Queue!$K$4="*",N2776=Queue!$K$4)),Q2776,"")</f>
        <v/>
      </c>
    </row>
    <row r="2777">
      <c r="A2777" s="38">
        <f>IF(M2777="","",HYPERLINK("https://www.youtube.com/watch?v="&amp;M2777,"▶"))</f>
        <v/>
      </c>
      <c r="B2777" s="39">
        <f>IF(C2777&lt;&gt;"",C2777,IF(P2777&lt;=IFERROR(INDEX(tblChannels[Watched Through],MATCH(N2777,tblChannels[Channel ID],0)),0),"Watched","Unwatched"))</f>
        <v/>
      </c>
      <c r="C2777" s="40" t="n"/>
      <c r="D2777" s="41" t="n"/>
      <c r="E2777" s="42" t="n">
        <v>42122.94722222222</v>
      </c>
      <c r="F2777" s="50" t="inlineStr">
        <is>
          <t>Super Carlin Brothers</t>
        </is>
      </c>
      <c r="G2777" t="inlineStr">
        <is>
          <t>LOOT CRATE UNBOXING | FANTASY</t>
        </is>
      </c>
      <c r="H2777" s="44" t="n">
        <v>0.005266203703703703</v>
      </c>
      <c r="I2777" s="45" t="n">
        <v>93977</v>
      </c>
      <c r="J2777" s="45" t="n">
        <v>1899</v>
      </c>
      <c r="K2777" s="45" t="n">
        <v>339</v>
      </c>
      <c r="L2777" s="46" t="n"/>
      <c r="M2777" s="47" t="n"/>
      <c r="N2777" s="47" t="inlineStr">
        <is>
          <t>UCKZo4N0lVPccBkSiuyVh4yg</t>
        </is>
      </c>
      <c r="O2777" s="48" t="n">
        <v>42123.11388888889</v>
      </c>
      <c r="P2777" s="49" t="n">
        <v>42122</v>
      </c>
      <c r="Q2777" s="47" t="n">
        <v>491</v>
      </c>
      <c r="R2777" s="47" t="inlineStr">
        <is>
          <t>No Video ID yet</t>
        </is>
      </c>
      <c r="S2777" s="49" t="n"/>
      <c r="T2777" s="49" t="n"/>
      <c r="U2777" s="47" t="inlineStr">
        <is>
          <t>Loot Crate has the best geek and gamer gear around! Use Promo Code: CARLIN to get 10% off your LootCrate order at Http://LootCrate.com/SuperCarlinBrothers</t>
        </is>
      </c>
      <c r="V2777" s="47">
        <f>IF(AND(P2777&gt;=Calendar!$K$2,P2777&lt;EDATE(Calendar!$K$2,1),OR(Calendar!$K$4="*",N2777=Calendar!$K$4)),P2777*100+COUNTIFS($P$6:$P$3267,P2777,$Q$6:$Q$3267,"&lt;="&amp;Q2777,$N$6:$N$3267,Calendar!$K$4),"")</f>
        <v/>
      </c>
      <c r="W2777" s="47">
        <f>IF(AND(B2777=Queue!$C$4,OR(Queue!$K$4="*",N2777=Queue!$K$4)),Q2777,"")</f>
        <v/>
      </c>
    </row>
    <row r="2778">
      <c r="A2778" s="38">
        <f>IF(M2778="","",HYPERLINK("https://www.youtube.com/watch?v="&amp;M2778,"▶"))</f>
        <v/>
      </c>
      <c r="B2778" s="39">
        <f>IF(C2778&lt;&gt;"",C2778,IF(P2778&lt;=IFERROR(INDEX(tblChannels[Watched Through],MATCH(N2778,tblChannels[Channel ID],0)),0),"Watched","Unwatched"))</f>
        <v/>
      </c>
      <c r="C2778" s="40" t="n"/>
      <c r="D2778" s="41" t="n"/>
      <c r="E2778" s="42" t="n">
        <v>42117.95625</v>
      </c>
      <c r="F2778" s="50" t="inlineStr">
        <is>
          <t>Super Carlin Brothers</t>
        </is>
      </c>
      <c r="G2778" t="inlineStr">
        <is>
          <t>Pixar Fan Theories: WHO is Emma Jean?!</t>
        </is>
      </c>
      <c r="H2778" s="44" t="n">
        <v>0.004120370370370371</v>
      </c>
      <c r="I2778" s="45" t="n">
        <v>496580</v>
      </c>
      <c r="J2778" s="45" t="n">
        <v>6575</v>
      </c>
      <c r="K2778" s="45" t="n">
        <v>992</v>
      </c>
      <c r="L2778" s="46" t="n"/>
      <c r="M2778" s="47" t="n"/>
      <c r="N2778" s="47" t="inlineStr">
        <is>
          <t>UCKZo4N0lVPccBkSiuyVh4yg</t>
        </is>
      </c>
      <c r="O2778" s="48" t="n">
        <v>42118.12291666667</v>
      </c>
      <c r="P2778" s="49" t="n">
        <v>42117</v>
      </c>
      <c r="Q2778" s="47" t="n">
        <v>490</v>
      </c>
      <c r="R2778" s="47" t="inlineStr">
        <is>
          <t>No Video ID yet</t>
        </is>
      </c>
      <c r="S2778" s="49" t="n"/>
      <c r="T2778" s="49" t="n"/>
      <c r="U2778" s="47" t="inlineStr">
        <is>
          <t>Last week I asked for fan theories to try to explain certain pieces of a theory puzzle. Today I discuss a few of the popular ideas.</t>
        </is>
      </c>
      <c r="V2778" s="47">
        <f>IF(AND(P2778&gt;=Calendar!$K$2,P2778&lt;EDATE(Calendar!$K$2,1),OR(Calendar!$K$4="*",N2778=Calendar!$K$4)),P2778*100+COUNTIFS($P$6:$P$3267,P2778,$Q$6:$Q$3267,"&lt;="&amp;Q2778,$N$6:$N$3267,Calendar!$K$4),"")</f>
        <v/>
      </c>
      <c r="W2778" s="47">
        <f>IF(AND(B2778=Queue!$C$4,OR(Queue!$K$4="*",N2778=Queue!$K$4)),Q2778,"")</f>
        <v/>
      </c>
    </row>
    <row r="2779">
      <c r="A2779" s="38">
        <f>IF(M2779="","",HYPERLINK("https://www.youtube.com/watch?v="&amp;M2779,"▶"))</f>
        <v/>
      </c>
      <c r="B2779" s="39">
        <f>IF(C2779&lt;&gt;"",C2779,IF(P2779&lt;=IFERROR(INDEX(tblChannels[Watched Through],MATCH(N2779,tblChannels[Channel ID],0)),0),"Watched","Unwatched"))</f>
        <v/>
      </c>
      <c r="C2779" s="40" t="n"/>
      <c r="D2779" s="41" t="n"/>
      <c r="E2779" s="42" t="n">
        <v>42115.98194444444</v>
      </c>
      <c r="F2779" s="50" t="inlineStr">
        <is>
          <t>Super Carlin Brothers</t>
        </is>
      </c>
      <c r="G2779" t="inlineStr">
        <is>
          <t>Pixar Theory: Carl is Crazy</t>
        </is>
      </c>
      <c r="H2779" s="44" t="n">
        <v>0.006145833333333333</v>
      </c>
      <c r="I2779" s="45" t="n">
        <v>2685065</v>
      </c>
      <c r="J2779" s="45" t="n">
        <v>35913</v>
      </c>
      <c r="K2779" s="45" t="n">
        <v>4656</v>
      </c>
      <c r="L2779" s="46" t="n"/>
      <c r="M2779" s="47" t="n"/>
      <c r="N2779" s="47" t="inlineStr">
        <is>
          <t>UCKZo4N0lVPccBkSiuyVh4yg</t>
        </is>
      </c>
      <c r="O2779" s="48" t="n">
        <v>42116.14861111111</v>
      </c>
      <c r="P2779" s="49" t="n">
        <v>42115</v>
      </c>
      <c r="Q2779" s="47" t="n">
        <v>489</v>
      </c>
      <c r="R2779" s="47" t="inlineStr">
        <is>
          <t>No Video ID yet</t>
        </is>
      </c>
      <c r="S2779" s="49" t="n"/>
      <c r="T2779" s="49" t="n"/>
      <c r="U2779" s="47" t="inlineStr">
        <is>
          <t>Is Carl Crazy??? To answer your question: Muntz becomes a villain so Carl can become the hero of his own imagination</t>
        </is>
      </c>
      <c r="V2779" s="47">
        <f>IF(AND(P2779&gt;=Calendar!$K$2,P2779&lt;EDATE(Calendar!$K$2,1),OR(Calendar!$K$4="*",N2779=Calendar!$K$4)),P2779*100+COUNTIFS($P$6:$P$3267,P2779,$Q$6:$Q$3267,"&lt;="&amp;Q2779,$N$6:$N$3267,Calendar!$K$4),"")</f>
        <v/>
      </c>
      <c r="W2779" s="47">
        <f>IF(AND(B2779=Queue!$C$4,OR(Queue!$K$4="*",N2779=Queue!$K$4)),Q2779,"")</f>
        <v/>
      </c>
    </row>
    <row r="2780">
      <c r="A2780" s="38">
        <f>IF(M2780="","",HYPERLINK("https://www.youtube.com/watch?v="&amp;M2780,"▶"))</f>
        <v/>
      </c>
      <c r="B2780" s="39">
        <f>IF(C2780&lt;&gt;"",C2780,IF(P2780&lt;=IFERROR(INDEX(tblChannels[Watched Through],MATCH(N2780,tblChannels[Channel ID],0)),0),"Watched","Unwatched"))</f>
        <v/>
      </c>
      <c r="C2780" s="40" t="n"/>
      <c r="D2780" s="41" t="n"/>
      <c r="E2780" s="42" t="n">
        <v>42110.98402777778</v>
      </c>
      <c r="F2780" s="50" t="inlineStr">
        <is>
          <t>Super Carlin Brothers</t>
        </is>
      </c>
      <c r="G2780" t="inlineStr">
        <is>
          <t>Create Your Own Pixar Theory</t>
        </is>
      </c>
      <c r="H2780" s="44" t="n">
        <v>0.003275462962962963</v>
      </c>
      <c r="I2780" s="45" t="n">
        <v>95126</v>
      </c>
      <c r="J2780" s="45" t="n">
        <v>1662</v>
      </c>
      <c r="K2780" s="45" t="n">
        <v>441</v>
      </c>
      <c r="L2780" s="46" t="n"/>
      <c r="M2780" s="47" t="n"/>
      <c r="N2780" s="47" t="inlineStr">
        <is>
          <t>UCKZo4N0lVPccBkSiuyVh4yg</t>
        </is>
      </c>
      <c r="O2780" s="48" t="n">
        <v>42111.15069444444</v>
      </c>
      <c r="P2780" s="49" t="n">
        <v>42110</v>
      </c>
      <c r="Q2780" s="47" t="n">
        <v>488</v>
      </c>
      <c r="R2780" s="47" t="inlineStr">
        <is>
          <t>No Video ID yet</t>
        </is>
      </c>
      <c r="S2780" s="49" t="n"/>
      <c r="T2780" s="49" t="n"/>
      <c r="U2780" s="47" t="inlineStr">
        <is>
          <t>Do you have a theory to explain any of these questions?! Or do you have a Pixar related theory at all?! We would love to share it!</t>
        </is>
      </c>
      <c r="V2780" s="47">
        <f>IF(AND(P2780&gt;=Calendar!$K$2,P2780&lt;EDATE(Calendar!$K$2,1),OR(Calendar!$K$4="*",N2780=Calendar!$K$4)),P2780*100+COUNTIFS($P$6:$P$3267,P2780,$Q$6:$Q$3267,"&lt;="&amp;Q2780,$N$6:$N$3267,Calendar!$K$4),"")</f>
        <v/>
      </c>
      <c r="W2780" s="47">
        <f>IF(AND(B2780=Queue!$C$4,OR(Queue!$K$4="*",N2780=Queue!$K$4)),Q2780,"")</f>
        <v/>
      </c>
    </row>
    <row r="2781">
      <c r="A2781" s="38">
        <f>IF(M2781="","",HYPERLINK("https://www.youtube.com/watch?v="&amp;M2781,"▶"))</f>
        <v/>
      </c>
      <c r="B2781" s="39">
        <f>IF(C2781&lt;&gt;"",C2781,IF(P2781&lt;=IFERROR(INDEX(tblChannels[Watched Through],MATCH(N2781,tblChannels[Channel ID],0)),0),"Watched","Unwatched"))</f>
        <v/>
      </c>
      <c r="C2781" s="40" t="n"/>
      <c r="D2781" s="41" t="n"/>
      <c r="E2781" s="42" t="n">
        <v>42108.97222222222</v>
      </c>
      <c r="F2781" s="50" t="inlineStr">
        <is>
          <t>Super Carlin Brothers</t>
        </is>
      </c>
      <c r="G2781" t="inlineStr">
        <is>
          <t>Woody Was Almost Bad?!!</t>
        </is>
      </c>
      <c r="H2781" s="44" t="n">
        <v>0.004189814814814815</v>
      </c>
      <c r="I2781" s="45" t="n">
        <v>2341595</v>
      </c>
      <c r="J2781" s="45" t="n">
        <v>32152</v>
      </c>
      <c r="K2781" s="45" t="n">
        <v>3327</v>
      </c>
      <c r="L2781" s="46" t="n"/>
      <c r="M2781" s="47" t="n"/>
      <c r="N2781" s="47" t="inlineStr">
        <is>
          <t>UCKZo4N0lVPccBkSiuyVh4yg</t>
        </is>
      </c>
      <c r="O2781" s="48" t="n">
        <v>42109.13888888889</v>
      </c>
      <c r="P2781" s="49" t="n">
        <v>42108</v>
      </c>
      <c r="Q2781" s="47" t="n">
        <v>487</v>
      </c>
      <c r="R2781" s="47" t="inlineStr">
        <is>
          <t>No Video ID yet</t>
        </is>
      </c>
      <c r="S2781" s="49" t="n"/>
      <c r="T2781" s="49" t="n"/>
      <c r="U2781" s="47" t="inlineStr">
        <is>
          <t>The Black Friday Reel:</t>
        </is>
      </c>
      <c r="V2781" s="47">
        <f>IF(AND(P2781&gt;=Calendar!$K$2,P2781&lt;EDATE(Calendar!$K$2,1),OR(Calendar!$K$4="*",N2781=Calendar!$K$4)),P2781*100+COUNTIFS($P$6:$P$3267,P2781,$Q$6:$Q$3267,"&lt;="&amp;Q2781,$N$6:$N$3267,Calendar!$K$4),"")</f>
        <v/>
      </c>
      <c r="W2781" s="47">
        <f>IF(AND(B2781=Queue!$C$4,OR(Queue!$K$4="*",N2781=Queue!$K$4)),Q2781,"")</f>
        <v/>
      </c>
    </row>
    <row r="2782">
      <c r="A2782" s="38">
        <f>IF(M2782="","",HYPERLINK("https://www.youtube.com/watch?v="&amp;M2782,"▶"))</f>
        <v/>
      </c>
      <c r="B2782" s="39">
        <f>IF(C2782&lt;&gt;"",C2782,IF(P2782&lt;=IFERROR(INDEX(tblChannels[Watched Through],MATCH(N2782,tblChannels[Channel ID],0)),0),"Watched","Unwatched"))</f>
        <v/>
      </c>
      <c r="C2782" s="40" t="n"/>
      <c r="D2782" s="41" t="n"/>
      <c r="E2782" s="42" t="n">
        <v>42107.32152777778</v>
      </c>
      <c r="F2782" s="52" t="inlineStr">
        <is>
          <t>Super Carlin Gaming</t>
        </is>
      </c>
      <c r="G2782" t="inlineStr">
        <is>
          <t>Pokemon HeartGold Nuzlocke #12 | Super Nova</t>
        </is>
      </c>
      <c r="H2782" s="44" t="n">
        <v>0.0221412037037037</v>
      </c>
      <c r="I2782" s="45" t="n">
        <v>30947</v>
      </c>
      <c r="J2782" s="45" t="n">
        <v>592</v>
      </c>
      <c r="K2782" s="45" t="n">
        <v>132</v>
      </c>
      <c r="L2782" s="46" t="n"/>
      <c r="M2782" s="47" t="n"/>
      <c r="N2782" s="47" t="inlineStr">
        <is>
          <t>UCor_9jRnNNZVzTuQ92PKsaQ</t>
        </is>
      </c>
      <c r="O2782" s="48" t="n">
        <v>42107.48819444444</v>
      </c>
      <c r="P2782" s="49" t="n">
        <v>42107</v>
      </c>
      <c r="Q2782" s="47" t="n">
        <v>486</v>
      </c>
      <c r="R2782" s="47" t="inlineStr">
        <is>
          <t>No Video ID yet</t>
        </is>
      </c>
      <c r="S2782" s="49" t="n"/>
      <c r="T2782" s="49" t="n"/>
      <c r="U2782" s="47" t="inlineStr">
        <is>
          <t>It's a bright and Shining day for the team, but as we head into Morty's dark Ghost gym fear settles in.. can they survive the gym leaders tricks?</t>
        </is>
      </c>
      <c r="V2782" s="47">
        <f>IF(AND(P2782&gt;=Calendar!$K$2,P2782&lt;EDATE(Calendar!$K$2,1),OR(Calendar!$K$4="*",N2782=Calendar!$K$4)),P2782*100+COUNTIFS($P$6:$P$3267,P2782,$Q$6:$Q$3267,"&lt;="&amp;Q2782,$N$6:$N$3267,Calendar!$K$4),"")</f>
        <v/>
      </c>
      <c r="W2782" s="47">
        <f>IF(AND(B2782=Queue!$C$4,OR(Queue!$K$4="*",N2782=Queue!$K$4)),Q2782,"")</f>
        <v/>
      </c>
    </row>
    <row r="2783">
      <c r="A2783" s="38">
        <f>IF(M2783="","",HYPERLINK("https://www.youtube.com/watch?v="&amp;M2783,"▶"))</f>
        <v/>
      </c>
      <c r="B2783" s="39">
        <f>IF(C2783&lt;&gt;"",C2783,IF(P2783&lt;=IFERROR(INDEX(tblChannels[Watched Through],MATCH(N2783,tblChannels[Channel ID],0)),0),"Watched","Unwatched"))</f>
        <v/>
      </c>
      <c r="C2783" s="40" t="n"/>
      <c r="D2783" s="41" t="n"/>
      <c r="E2783" s="42" t="n">
        <v>42105.41388888889</v>
      </c>
      <c r="F2783" s="52" t="inlineStr">
        <is>
          <t>Super Carlin Gaming</t>
        </is>
      </c>
      <c r="G2783" t="inlineStr">
        <is>
          <t>Pokemon HeartGold Nuzlocke #11 | Time to SHINE</t>
        </is>
      </c>
      <c r="H2783" s="44" t="n">
        <v>0.02199074074074074</v>
      </c>
      <c r="I2783" s="45" t="n">
        <v>32983</v>
      </c>
      <c r="J2783" s="45" t="n">
        <v>566</v>
      </c>
      <c r="K2783" s="45" t="n">
        <v>110</v>
      </c>
      <c r="L2783" s="46" t="n"/>
      <c r="M2783" s="47" t="n"/>
      <c r="N2783" s="47" t="inlineStr">
        <is>
          <t>UCor_9jRnNNZVzTuQ92PKsaQ</t>
        </is>
      </c>
      <c r="O2783" s="48" t="n">
        <v>42105.58055555556</v>
      </c>
      <c r="P2783" s="49" t="n">
        <v>42105</v>
      </c>
      <c r="Q2783" s="47" t="n">
        <v>485</v>
      </c>
      <c r="R2783" s="47" t="inlineStr">
        <is>
          <t>No Video ID yet</t>
        </is>
      </c>
      <c r="S2783" s="49" t="n"/>
      <c r="T2783" s="49" t="n"/>
      <c r="U2783" s="47" t="inlineStr">
        <is>
          <t>A new member is added to the team, and we run into some VERY RARE Pokemon!</t>
        </is>
      </c>
      <c r="V2783" s="47">
        <f>IF(AND(P2783&gt;=Calendar!$K$2,P2783&lt;EDATE(Calendar!$K$2,1),OR(Calendar!$K$4="*",N2783=Calendar!$K$4)),P2783*100+COUNTIFS($P$6:$P$3267,P2783,$Q$6:$Q$3267,"&lt;="&amp;Q2783,$N$6:$N$3267,Calendar!$K$4),"")</f>
        <v/>
      </c>
      <c r="W2783" s="47">
        <f>IF(AND(B2783=Queue!$C$4,OR(Queue!$K$4="*",N2783=Queue!$K$4)),Q2783,"")</f>
        <v/>
      </c>
    </row>
    <row r="2784">
      <c r="A2784" s="38">
        <f>IF(M2784="","",HYPERLINK("https://www.youtube.com/watch?v="&amp;M2784,"▶"))</f>
        <v/>
      </c>
      <c r="B2784" s="39">
        <f>IF(C2784&lt;&gt;"",C2784,IF(P2784&lt;=IFERROR(INDEX(tblChannels[Watched Through],MATCH(N2784,tblChannels[Channel ID],0)),0),"Watched","Unwatched"))</f>
        <v/>
      </c>
      <c r="C2784" s="40" t="n"/>
      <c r="D2784" s="41" t="n"/>
      <c r="E2784" s="42" t="n">
        <v>42103.96597222222</v>
      </c>
      <c r="F2784" s="50" t="inlineStr">
        <is>
          <t>Super Carlin Brothers</t>
        </is>
      </c>
      <c r="G2784" t="inlineStr">
        <is>
          <t>The Pixar Theory: Andy and Carl Related?!</t>
        </is>
      </c>
      <c r="H2784" s="44" t="n">
        <v>0.00400462962962963</v>
      </c>
      <c r="I2784" s="45" t="n">
        <v>1156063</v>
      </c>
      <c r="J2784" s="45" t="n">
        <v>14011</v>
      </c>
      <c r="K2784" s="45" t="n">
        <v>1529</v>
      </c>
      <c r="L2784" s="46" t="n"/>
      <c r="M2784" s="47" t="n"/>
      <c r="N2784" s="47" t="inlineStr">
        <is>
          <t>UCKZo4N0lVPccBkSiuyVh4yg</t>
        </is>
      </c>
      <c r="O2784" s="48" t="n">
        <v>42104.13263888889</v>
      </c>
      <c r="P2784" s="49" t="n">
        <v>42103</v>
      </c>
      <c r="Q2784" s="47" t="n">
        <v>484</v>
      </c>
      <c r="R2784" s="47" t="inlineStr">
        <is>
          <t>No Video ID yet</t>
        </is>
      </c>
      <c r="S2784" s="49" t="n"/>
      <c r="T2784" s="49" t="n"/>
      <c r="U2784" s="47" t="inlineStr">
        <is>
          <t>What do you think!? Could these two iconic Pixar Women actually be sisters?!</t>
        </is>
      </c>
      <c r="V2784" s="47">
        <f>IF(AND(P2784&gt;=Calendar!$K$2,P2784&lt;EDATE(Calendar!$K$2,1),OR(Calendar!$K$4="*",N2784=Calendar!$K$4)),P2784*100+COUNTIFS($P$6:$P$3267,P2784,$Q$6:$Q$3267,"&lt;="&amp;Q2784,$N$6:$N$3267,Calendar!$K$4),"")</f>
        <v/>
      </c>
      <c r="W2784" s="47">
        <f>IF(AND(B2784=Queue!$C$4,OR(Queue!$K$4="*",N2784=Queue!$K$4)),Q2784,"")</f>
        <v/>
      </c>
    </row>
    <row r="2785">
      <c r="A2785" s="38">
        <f>IF(M2785="","",HYPERLINK("https://www.youtube.com/watch?v="&amp;M2785,"▶"))</f>
        <v/>
      </c>
      <c r="B2785" s="39">
        <f>IF(C2785&lt;&gt;"",C2785,IF(P2785&lt;=IFERROR(INDEX(tblChannels[Watched Through],MATCH(N2785,tblChannels[Channel ID],0)),0),"Watched","Unwatched"))</f>
        <v/>
      </c>
      <c r="C2785" s="40" t="n"/>
      <c r="D2785" s="41" t="n"/>
      <c r="E2785" s="42" t="n">
        <v>42102.01736111111</v>
      </c>
      <c r="F2785" s="50" t="inlineStr">
        <is>
          <t>Super Carlin Brothers</t>
        </is>
      </c>
      <c r="G2785" t="inlineStr">
        <is>
          <t>Top 5 Snubbed Disney Princesses</t>
        </is>
      </c>
      <c r="H2785" s="44" t="n">
        <v>0.008032407407407408</v>
      </c>
      <c r="I2785" s="45" t="n">
        <v>3573213</v>
      </c>
      <c r="J2785" s="45" t="n">
        <v>62150</v>
      </c>
      <c r="K2785" s="45" t="n">
        <v>15117</v>
      </c>
      <c r="L2785" s="46" t="n"/>
      <c r="M2785" s="47" t="n"/>
      <c r="N2785" s="47" t="inlineStr">
        <is>
          <t>UCKZo4N0lVPccBkSiuyVh4yg</t>
        </is>
      </c>
      <c r="O2785" s="48" t="n">
        <v>42102.18402777778</v>
      </c>
      <c r="P2785" s="49" t="n">
        <v>42102</v>
      </c>
      <c r="Q2785" s="47" t="n">
        <v>483</v>
      </c>
      <c r="R2785" s="47" t="inlineStr">
        <is>
          <t>No Video ID yet</t>
        </is>
      </c>
      <c r="S2785" s="49" t="n"/>
      <c r="T2785" s="49" t="n"/>
      <c r="U2785" s="47" t="inlineStr">
        <is>
          <t>Do you agree with the list? Who else has been snubbed?? The sequel rule means you cant appear for the first time in a sequel - Don't think I explained that well =D</t>
        </is>
      </c>
      <c r="V2785" s="47">
        <f>IF(AND(P2785&gt;=Calendar!$K$2,P2785&lt;EDATE(Calendar!$K$2,1),OR(Calendar!$K$4="*",N2785=Calendar!$K$4)),P2785*100+COUNTIFS($P$6:$P$3267,P2785,$Q$6:$Q$3267,"&lt;="&amp;Q2785,$N$6:$N$3267,Calendar!$K$4),"")</f>
        <v/>
      </c>
      <c r="W2785" s="47">
        <f>IF(AND(B2785=Queue!$C$4,OR(Queue!$K$4="*",N2785=Queue!$K$4)),Q2785,"")</f>
        <v/>
      </c>
    </row>
    <row r="2786">
      <c r="A2786" s="38">
        <f>IF(M2786="","",HYPERLINK("https://www.youtube.com/watch?v="&amp;M2786,"▶"))</f>
        <v/>
      </c>
      <c r="B2786" s="39">
        <f>IF(C2786&lt;&gt;"",C2786,IF(P2786&lt;=IFERROR(INDEX(tblChannels[Watched Through],MATCH(N2786,tblChannels[Channel ID],0)),0),"Watched","Unwatched"))</f>
        <v/>
      </c>
      <c r="C2786" s="40" t="n"/>
      <c r="D2786" s="41" t="n"/>
      <c r="E2786" s="42" t="n">
        <v>42100.44930555556</v>
      </c>
      <c r="F2786" s="52" t="inlineStr">
        <is>
          <t>Super Carlin Gaming</t>
        </is>
      </c>
      <c r="G2786" t="inlineStr">
        <is>
          <t>Pokemon HeartGold Nuzlocke #10 | Burned Tower of DEATH</t>
        </is>
      </c>
      <c r="H2786" s="44" t="n">
        <v>0.02436342592592593</v>
      </c>
      <c r="I2786" s="45" t="n">
        <v>30200</v>
      </c>
      <c r="J2786" s="45" t="n">
        <v>509</v>
      </c>
      <c r="K2786" s="45" t="n">
        <v>132</v>
      </c>
      <c r="L2786" s="46" t="n"/>
      <c r="M2786" s="47" t="n"/>
      <c r="N2786" s="47" t="inlineStr">
        <is>
          <t>UCor_9jRnNNZVzTuQ92PKsaQ</t>
        </is>
      </c>
      <c r="O2786" s="48" t="n">
        <v>42100.61597222222</v>
      </c>
      <c r="P2786" s="49" t="n">
        <v>42100</v>
      </c>
      <c r="Q2786" s="47" t="n">
        <v>482</v>
      </c>
      <c r="R2786" s="47" t="inlineStr">
        <is>
          <t>No Video ID yet</t>
        </is>
      </c>
      <c r="S2786" s="49" t="n"/>
      <c r="T2786" s="49" t="n"/>
      <c r="U2786" s="47" t="inlineStr">
        <is>
          <t>NOOOOOOOO!!!!!!!!!!!!!!!</t>
        </is>
      </c>
      <c r="V2786" s="47">
        <f>IF(AND(P2786&gt;=Calendar!$K$2,P2786&lt;EDATE(Calendar!$K$2,1),OR(Calendar!$K$4="*",N2786=Calendar!$K$4)),P2786*100+COUNTIFS($P$6:$P$3267,P2786,$Q$6:$Q$3267,"&lt;="&amp;Q2786,$N$6:$N$3267,Calendar!$K$4),"")</f>
        <v/>
      </c>
      <c r="W2786" s="47">
        <f>IF(AND(B2786=Queue!$C$4,OR(Queue!$K$4="*",N2786=Queue!$K$4)),Q2786,"")</f>
        <v/>
      </c>
    </row>
    <row r="2787">
      <c r="A2787" s="38">
        <f>IF(M2787="","",HYPERLINK("https://www.youtube.com/watch?v="&amp;M2787,"▶"))</f>
        <v/>
      </c>
      <c r="B2787" s="39">
        <f>IF(C2787&lt;&gt;"",C2787,IF(P2787&lt;=IFERROR(INDEX(tblChannels[Watched Through],MATCH(N2787,tblChannels[Channel ID],0)),0),"Watched","Unwatched"))</f>
        <v/>
      </c>
      <c r="C2787" s="40" t="n"/>
      <c r="D2787" s="41" t="n"/>
      <c r="E2787" s="42" t="n">
        <v>42098.73194444444</v>
      </c>
      <c r="F2787" s="52" t="inlineStr">
        <is>
          <t>Super Carlin Gaming</t>
        </is>
      </c>
      <c r="G2787" t="inlineStr">
        <is>
          <t>Pokemon HeartGold Nuzlocke #9 | Whitney's Miltank</t>
        </is>
      </c>
      <c r="H2787" s="44" t="n">
        <v>0.02438657407407407</v>
      </c>
      <c r="I2787" s="45" t="n">
        <v>36290</v>
      </c>
      <c r="J2787" s="45" t="n">
        <v>719</v>
      </c>
      <c r="K2787" s="45" t="n">
        <v>124</v>
      </c>
      <c r="L2787" s="46" t="n"/>
      <c r="M2787" s="47" t="n"/>
      <c r="N2787" s="47" t="inlineStr">
        <is>
          <t>UCor_9jRnNNZVzTuQ92PKsaQ</t>
        </is>
      </c>
      <c r="O2787" s="48" t="n">
        <v>42098.89861111111</v>
      </c>
      <c r="P2787" s="49" t="n">
        <v>42098</v>
      </c>
      <c r="Q2787" s="47" t="n">
        <v>481</v>
      </c>
      <c r="R2787" s="47" t="inlineStr">
        <is>
          <t>No Video ID yet</t>
        </is>
      </c>
      <c r="S2787" s="49" t="n"/>
      <c r="T2787" s="49" t="n"/>
      <c r="U2787" s="47" t="inlineStr">
        <is>
          <t>Anybody thirsty for some Milk? Sorry this is a longer episode.. thats what happens when you fight Whitney's Miltank!</t>
        </is>
      </c>
      <c r="V2787" s="47">
        <f>IF(AND(P2787&gt;=Calendar!$K$2,P2787&lt;EDATE(Calendar!$K$2,1),OR(Calendar!$K$4="*",N2787=Calendar!$K$4)),P2787*100+COUNTIFS($P$6:$P$3267,P2787,$Q$6:$Q$3267,"&lt;="&amp;Q2787,$N$6:$N$3267,Calendar!$K$4),"")</f>
        <v/>
      </c>
      <c r="W2787" s="47">
        <f>IF(AND(B2787=Queue!$C$4,OR(Queue!$K$4="*",N2787=Queue!$K$4)),Q2787,"")</f>
        <v/>
      </c>
    </row>
    <row r="2788">
      <c r="A2788" s="38">
        <f>IF(M2788="","",HYPERLINK("https://www.youtube.com/watch?v="&amp;M2788,"▶"))</f>
        <v/>
      </c>
      <c r="B2788" s="39">
        <f>IF(C2788&lt;&gt;"",C2788,IF(P2788&lt;=IFERROR(INDEX(tblChannels[Watched Through],MATCH(N2788,tblChannels[Channel ID],0)),0),"Watched","Unwatched"))</f>
        <v/>
      </c>
      <c r="C2788" s="40" t="n"/>
      <c r="D2788" s="41" t="n"/>
      <c r="E2788" s="42" t="n">
        <v>42097.02708333333</v>
      </c>
      <c r="F2788" s="50" t="inlineStr">
        <is>
          <t>Super Carlin Brothers</t>
        </is>
      </c>
      <c r="G2788" t="inlineStr">
        <is>
          <t>My Top 10 Pixar Quotes</t>
        </is>
      </c>
      <c r="H2788" s="44" t="n">
        <v>0.004444444444444444</v>
      </c>
      <c r="I2788" s="45" t="n">
        <v>277160</v>
      </c>
      <c r="J2788" s="45" t="n">
        <v>5060</v>
      </c>
      <c r="K2788" s="45" t="n">
        <v>1601</v>
      </c>
      <c r="L2788" s="46" t="n"/>
      <c r="M2788" s="47" t="n"/>
      <c r="N2788" s="47" t="inlineStr">
        <is>
          <t>UCKZo4N0lVPccBkSiuyVh4yg</t>
        </is>
      </c>
      <c r="O2788" s="48" t="n">
        <v>42097.19375</v>
      </c>
      <c r="P2788" s="49" t="n">
        <v>42097</v>
      </c>
      <c r="Q2788" s="47" t="n">
        <v>480</v>
      </c>
      <c r="R2788" s="47" t="inlineStr">
        <is>
          <t>No Video ID yet</t>
        </is>
      </c>
      <c r="S2788" s="49" t="n"/>
      <c r="T2788" s="49" t="n"/>
      <c r="U2788" s="47" t="inlineStr">
        <is>
          <t>What is your favorite Pixar Quote?! To Infinity and beyond?! I'm gonna touch the butt! With Pixar can you really go wrong?</t>
        </is>
      </c>
      <c r="V2788" s="47">
        <f>IF(AND(P2788&gt;=Calendar!$K$2,P2788&lt;EDATE(Calendar!$K$2,1),OR(Calendar!$K$4="*",N2788=Calendar!$K$4)),P2788*100+COUNTIFS($P$6:$P$3267,P2788,$Q$6:$Q$3267,"&lt;="&amp;Q2788,$N$6:$N$3267,Calendar!$K$4),"")</f>
        <v/>
      </c>
      <c r="W2788" s="47">
        <f>IF(AND(B2788=Queue!$C$4,OR(Queue!$K$4="*",N2788=Queue!$K$4)),Q2788,"")</f>
        <v/>
      </c>
    </row>
    <row r="2789">
      <c r="A2789" s="38">
        <f>IF(M2789="","",HYPERLINK("https://www.youtube.com/watch?v="&amp;M2789,"▶"))</f>
        <v/>
      </c>
      <c r="B2789" s="39">
        <f>IF(C2789&lt;&gt;"",C2789,IF(P2789&lt;=IFERROR(INDEX(tblChannels[Watched Through],MATCH(N2789,tblChannels[Channel ID],0)),0),"Watched","Unwatched"))</f>
        <v/>
      </c>
      <c r="C2789" s="40" t="n"/>
      <c r="D2789" s="41" t="n"/>
      <c r="E2789" s="42" t="n">
        <v>42095.78402777778</v>
      </c>
      <c r="F2789" s="52" t="inlineStr">
        <is>
          <t>Super Carlin Gaming</t>
        </is>
      </c>
      <c r="G2789" t="inlineStr">
        <is>
          <t>Pokemon HeartGold Nuzlocke #8 | Sonic Boom</t>
        </is>
      </c>
      <c r="H2789" s="44" t="n">
        <v>0.01321759259259259</v>
      </c>
      <c r="I2789" s="45" t="n">
        <v>26511</v>
      </c>
      <c r="J2789" s="45" t="n">
        <v>482</v>
      </c>
      <c r="K2789" s="45" t="n">
        <v>68</v>
      </c>
      <c r="L2789" s="46" t="n"/>
      <c r="M2789" s="47" t="n"/>
      <c r="N2789" s="47" t="inlineStr">
        <is>
          <t>UCor_9jRnNNZVzTuQ92PKsaQ</t>
        </is>
      </c>
      <c r="O2789" s="48" t="n">
        <v>42095.95069444444</v>
      </c>
      <c r="P2789" s="49" t="n">
        <v>42095</v>
      </c>
      <c r="Q2789" s="47" t="n">
        <v>479</v>
      </c>
      <c r="R2789" s="47" t="inlineStr">
        <is>
          <t>No Video ID yet</t>
        </is>
      </c>
      <c r="S2789" s="49" t="n"/>
      <c r="T2789" s="49" t="n"/>
      <c r="U2789" s="47" t="inlineStr">
        <is>
          <t>As we continue to prepare for Whitney we encounter a very dangerous group of Voltorb...</t>
        </is>
      </c>
      <c r="V2789" s="47">
        <f>IF(AND(P2789&gt;=Calendar!$K$2,P2789&lt;EDATE(Calendar!$K$2,1),OR(Calendar!$K$4="*",N2789=Calendar!$K$4)),P2789*100+COUNTIFS($P$6:$P$3267,P2789,$Q$6:$Q$3267,"&lt;="&amp;Q2789,$N$6:$N$3267,Calendar!$K$4),"")</f>
        <v/>
      </c>
      <c r="W2789" s="47">
        <f>IF(AND(B2789=Queue!$C$4,OR(Queue!$K$4="*",N2789=Queue!$K$4)),Q2789,"")</f>
        <v/>
      </c>
    </row>
    <row r="2790">
      <c r="A2790" s="38">
        <f>IF(M2790="","",HYPERLINK("https://www.youtube.com/watch?v="&amp;M2790,"▶"))</f>
        <v/>
      </c>
      <c r="B2790" s="39">
        <f>IF(C2790&lt;&gt;"",C2790,IF(P2790&lt;=IFERROR(INDEX(tblChannels[Watched Through],MATCH(N2790,tblChannels[Channel ID],0)),0),"Watched","Unwatched"))</f>
        <v/>
      </c>
      <c r="C2790" s="40" t="n"/>
      <c r="D2790" s="41" t="n"/>
      <c r="E2790" s="42" t="n">
        <v>42094.99930555555</v>
      </c>
      <c r="F2790" s="50" t="inlineStr">
        <is>
          <t>Super Carlin Brothers</t>
        </is>
      </c>
      <c r="G2790" t="inlineStr">
        <is>
          <t>ASK J! Princes, Bagels and Fried Calamari!</t>
        </is>
      </c>
      <c r="H2790" s="44" t="n">
        <v>0.004386574074074074</v>
      </c>
      <c r="I2790" s="45" t="n">
        <v>44254</v>
      </c>
      <c r="J2790" s="45" t="n">
        <v>1044</v>
      </c>
      <c r="K2790" s="45" t="n">
        <v>362</v>
      </c>
      <c r="L2790" s="46" t="n"/>
      <c r="M2790" s="47" t="n"/>
      <c r="N2790" s="47" t="inlineStr">
        <is>
          <t>UCKZo4N0lVPccBkSiuyVh4yg</t>
        </is>
      </c>
      <c r="O2790" s="48" t="n">
        <v>42095.16597222222</v>
      </c>
      <c r="P2790" s="49" t="n">
        <v>42094</v>
      </c>
      <c r="Q2790" s="47" t="n">
        <v>478</v>
      </c>
      <c r="R2790" s="47" t="inlineStr">
        <is>
          <t>No Video ID yet</t>
        </is>
      </c>
      <c r="S2790" s="49" t="n"/>
      <c r="T2790" s="49" t="n"/>
      <c r="U2790" s="47" t="inlineStr">
        <is>
          <t>You guys always ask such good questions! Who is your favorite Disney Prince? What would you miss about being human if you were turned into a squid??</t>
        </is>
      </c>
      <c r="V2790" s="47">
        <f>IF(AND(P2790&gt;=Calendar!$K$2,P2790&lt;EDATE(Calendar!$K$2,1),OR(Calendar!$K$4="*",N2790=Calendar!$K$4)),P2790*100+COUNTIFS($P$6:$P$3267,P2790,$Q$6:$Q$3267,"&lt;="&amp;Q2790,$N$6:$N$3267,Calendar!$K$4),"")</f>
        <v/>
      </c>
      <c r="W2790" s="47">
        <f>IF(AND(B2790=Queue!$C$4,OR(Queue!$K$4="*",N2790=Queue!$K$4)),Q2790,"")</f>
        <v/>
      </c>
    </row>
    <row r="2791">
      <c r="A2791" s="38">
        <f>IF(M2791="","",HYPERLINK("https://www.youtube.com/watch?v="&amp;M2791,"▶"))</f>
        <v/>
      </c>
      <c r="B2791" s="39">
        <f>IF(C2791&lt;&gt;"",C2791,IF(P2791&lt;=IFERROR(INDEX(tblChannels[Watched Through],MATCH(N2791,tblChannels[Channel ID],0)),0),"Watched","Unwatched"))</f>
        <v/>
      </c>
      <c r="C2791" s="40" t="n"/>
      <c r="D2791" s="41" t="n"/>
      <c r="E2791" s="42" t="n">
        <v>42093.58472222222</v>
      </c>
      <c r="F2791" s="52" t="inlineStr">
        <is>
          <t>Super Carlin Gaming</t>
        </is>
      </c>
      <c r="G2791" t="inlineStr">
        <is>
          <t>Pokemon HeartGold Nuzlocke #7 | Ilex Forrest</t>
        </is>
      </c>
      <c r="H2791" s="44" t="n">
        <v>0.01972222222222222</v>
      </c>
      <c r="I2791" s="45" t="n">
        <v>29766</v>
      </c>
      <c r="J2791" s="45" t="n">
        <v>516</v>
      </c>
      <c r="K2791" s="45" t="n">
        <v>81</v>
      </c>
      <c r="L2791" s="46" t="n"/>
      <c r="M2791" s="47" t="n"/>
      <c r="N2791" s="47" t="inlineStr">
        <is>
          <t>UCor_9jRnNNZVzTuQ92PKsaQ</t>
        </is>
      </c>
      <c r="O2791" s="48" t="n">
        <v>42093.75138888889</v>
      </c>
      <c r="P2791" s="49" t="n">
        <v>42093</v>
      </c>
      <c r="Q2791" s="47" t="n">
        <v>477</v>
      </c>
      <c r="R2791" s="47" t="inlineStr">
        <is>
          <t>No Video ID yet</t>
        </is>
      </c>
      <c r="S2791" s="49" t="n"/>
      <c r="T2791" s="49" t="n"/>
      <c r="U2791" s="47" t="inlineStr">
        <is>
          <t>Our journey towards Whitney's Miltank and the third gym badge continues as we navigate Ilex Forrest...</t>
        </is>
      </c>
      <c r="V2791" s="47">
        <f>IF(AND(P2791&gt;=Calendar!$K$2,P2791&lt;EDATE(Calendar!$K$2,1),OR(Calendar!$K$4="*",N2791=Calendar!$K$4)),P2791*100+COUNTIFS($P$6:$P$3267,P2791,$Q$6:$Q$3267,"&lt;="&amp;Q2791,$N$6:$N$3267,Calendar!$K$4),"")</f>
        <v/>
      </c>
      <c r="W2791" s="47">
        <f>IF(AND(B2791=Queue!$C$4,OR(Queue!$K$4="*",N2791=Queue!$K$4)),Q2791,"")</f>
        <v/>
      </c>
    </row>
    <row r="2792">
      <c r="A2792" s="38">
        <f>IF(M2792="","",HYPERLINK("https://www.youtube.com/watch?v="&amp;M2792,"▶"))</f>
        <v/>
      </c>
      <c r="B2792" s="39">
        <f>IF(C2792&lt;&gt;"",C2792,IF(P2792&lt;=IFERROR(INDEX(tblChannels[Watched Through],MATCH(N2792,tblChannels[Channel ID],0)),0),"Watched","Unwatched"))</f>
        <v/>
      </c>
      <c r="C2792" s="40" t="n"/>
      <c r="D2792" s="41" t="n"/>
      <c r="E2792" s="42" t="n">
        <v>42092.45277777778</v>
      </c>
      <c r="F2792" s="52" t="inlineStr">
        <is>
          <t>Super Carlin Gaming</t>
        </is>
      </c>
      <c r="G2792" t="inlineStr">
        <is>
          <t>Pokemon HeartGold Nuzlocke #6 | Celery Attacks!</t>
        </is>
      </c>
      <c r="H2792" s="44" t="n">
        <v>0.01974537037037037</v>
      </c>
      <c r="I2792" s="45" t="n">
        <v>31952</v>
      </c>
      <c r="J2792" s="45" t="n">
        <v>655</v>
      </c>
      <c r="K2792" s="45" t="n">
        <v>77</v>
      </c>
      <c r="L2792" s="46" t="n"/>
      <c r="M2792" s="47" t="n"/>
      <c r="N2792" s="47" t="inlineStr">
        <is>
          <t>UCor_9jRnNNZVzTuQ92PKsaQ</t>
        </is>
      </c>
      <c r="O2792" s="48" t="n">
        <v>42092.61944444444</v>
      </c>
      <c r="P2792" s="49" t="n">
        <v>42092</v>
      </c>
      <c r="Q2792" s="47" t="n">
        <v>476</v>
      </c>
      <c r="R2792" s="47" t="inlineStr">
        <is>
          <t>No Video ID yet</t>
        </is>
      </c>
      <c r="S2792" s="49" t="n"/>
      <c r="T2792" s="49" t="n"/>
      <c r="U2792" s="47" t="inlineStr">
        <is>
          <t>Mousguin and Jatoshi's pokemosity has reached at boiling point and a difficult decision must be made, and while preparing for the 2nd gym Celery makes a vicious surprise attack, will the team walk away unscathed?</t>
        </is>
      </c>
      <c r="V2792" s="47">
        <f>IF(AND(P2792&gt;=Calendar!$K$2,P2792&lt;EDATE(Calendar!$K$2,1),OR(Calendar!$K$4="*",N2792=Calendar!$K$4)),P2792*100+COUNTIFS($P$6:$P$3267,P2792,$Q$6:$Q$3267,"&lt;="&amp;Q2792,$N$6:$N$3267,Calendar!$K$4),"")</f>
        <v/>
      </c>
      <c r="W2792" s="47">
        <f>IF(AND(B2792=Queue!$C$4,OR(Queue!$K$4="*",N2792=Queue!$K$4)),Q2792,"")</f>
        <v/>
      </c>
    </row>
    <row r="2793">
      <c r="A2793" s="38">
        <f>IF(M2793="","",HYPERLINK("https://www.youtube.com/watch?v="&amp;M2793,"▶"))</f>
        <v/>
      </c>
      <c r="B2793" s="39">
        <f>IF(C2793&lt;&gt;"",C2793,IF(P2793&lt;=IFERROR(INDEX(tblChannels[Watched Through],MATCH(N2793,tblChannels[Channel ID],0)),0),"Watched","Unwatched"))</f>
        <v/>
      </c>
      <c r="C2793" s="40" t="n"/>
      <c r="D2793" s="41" t="n"/>
      <c r="E2793" s="42" t="n">
        <v>42089.92291666667</v>
      </c>
      <c r="F2793" s="50" t="inlineStr">
        <is>
          <t>Super Carlin Brothers</t>
        </is>
      </c>
      <c r="G2793" t="inlineStr">
        <is>
          <t>LOOT CRATE UNBOXING | COVERT</t>
        </is>
      </c>
      <c r="H2793" s="44" t="n">
        <v>0.005127314814814815</v>
      </c>
      <c r="I2793" s="45" t="n">
        <v>63087</v>
      </c>
      <c r="J2793" s="45" t="n">
        <v>1023</v>
      </c>
      <c r="K2793" s="45" t="n">
        <v>100</v>
      </c>
      <c r="L2793" s="46" t="n"/>
      <c r="M2793" s="47" t="n"/>
      <c r="N2793" s="47" t="inlineStr">
        <is>
          <t>UCKZo4N0lVPccBkSiuyVh4yg</t>
        </is>
      </c>
      <c r="O2793" s="48" t="n">
        <v>42090.08958333333</v>
      </c>
      <c r="P2793" s="49" t="n">
        <v>42089</v>
      </c>
      <c r="Q2793" s="47" t="n">
        <v>475</v>
      </c>
      <c r="R2793" s="47" t="inlineStr">
        <is>
          <t>No Video ID yet</t>
        </is>
      </c>
      <c r="S2793" s="49" t="n"/>
      <c r="T2793" s="49" t="n"/>
      <c r="U2793" s="47" t="inlineStr">
        <is>
          <t>10% Off your LootCrate order with Promo Code: CARLIN at Play MadLibs with us!!! We need: Adjective Noun Verb Adjective Celebrity Plural Noun Plural Noun Adjective Verb Plural Noun Adverb Exclamation Noun Part of the Body Verb Noun Plural Noun Plural Noun Person in Room Also check out our shirts!!! www.DistrictLines.com/SuperCarlinBrothers</t>
        </is>
      </c>
      <c r="V2793" s="47">
        <f>IF(AND(P2793&gt;=Calendar!$K$2,P2793&lt;EDATE(Calendar!$K$2,1),OR(Calendar!$K$4="*",N2793=Calendar!$K$4)),P2793*100+COUNTIFS($P$6:$P$3267,P2793,$Q$6:$Q$3267,"&lt;="&amp;Q2793,$N$6:$N$3267,Calendar!$K$4),"")</f>
        <v/>
      </c>
      <c r="W2793" s="47">
        <f>IF(AND(B2793=Queue!$C$4,OR(Queue!$K$4="*",N2793=Queue!$K$4)),Q2793,"")</f>
        <v/>
      </c>
    </row>
    <row r="2794">
      <c r="A2794" s="38">
        <f>IF(M2794="","",HYPERLINK("https://www.youtube.com/watch?v="&amp;M2794,"▶"))</f>
        <v/>
      </c>
      <c r="B2794" s="39">
        <f>IF(C2794&lt;&gt;"",C2794,IF(P2794&lt;=IFERROR(INDEX(tblChannels[Watched Through],MATCH(N2794,tblChannels[Channel ID],0)),0),"Watched","Unwatched"))</f>
        <v/>
      </c>
      <c r="C2794" s="40" t="n"/>
      <c r="D2794" s="41" t="n"/>
      <c r="E2794" s="42" t="n">
        <v>42087.97013888889</v>
      </c>
      <c r="F2794" s="50" t="inlineStr">
        <is>
          <t>Super Carlin Brothers</t>
        </is>
      </c>
      <c r="G2794" t="inlineStr">
        <is>
          <t>Does Coffee Google Autofill</t>
        </is>
      </c>
      <c r="H2794" s="44" t="n">
        <v>0.003703703703703704</v>
      </c>
      <c r="I2794" s="45" t="n">
        <v>234932</v>
      </c>
      <c r="J2794" s="45" t="n">
        <v>4146</v>
      </c>
      <c r="K2794" s="45" t="n">
        <v>865</v>
      </c>
      <c r="L2794" s="46" t="n"/>
      <c r="M2794" s="47" t="n"/>
      <c r="N2794" s="47" t="inlineStr">
        <is>
          <t>UCKZo4N0lVPccBkSiuyVh4yg</t>
        </is>
      </c>
      <c r="O2794" s="48" t="n">
        <v>42088.13680555556</v>
      </c>
      <c r="P2794" s="49" t="n">
        <v>42087</v>
      </c>
      <c r="Q2794" s="47" t="n">
        <v>474</v>
      </c>
      <c r="R2794" s="47" t="inlineStr">
        <is>
          <t>No Video ID yet</t>
        </is>
      </c>
      <c r="S2794" s="49" t="n"/>
      <c r="T2794" s="49" t="n"/>
      <c r="U2794" s="47" t="inlineStr">
        <is>
          <t>Do you drink Coffee? What is your favorite thing to order!?</t>
        </is>
      </c>
      <c r="V2794" s="47">
        <f>IF(AND(P2794&gt;=Calendar!$K$2,P2794&lt;EDATE(Calendar!$K$2,1),OR(Calendar!$K$4="*",N2794=Calendar!$K$4)),P2794*100+COUNTIFS($P$6:$P$3267,P2794,$Q$6:$Q$3267,"&lt;="&amp;Q2794,$N$6:$N$3267,Calendar!$K$4),"")</f>
        <v/>
      </c>
      <c r="W2794" s="47">
        <f>IF(AND(B2794=Queue!$C$4,OR(Queue!$K$4="*",N2794=Queue!$K$4)),Q2794,"")</f>
        <v/>
      </c>
    </row>
    <row r="2795">
      <c r="A2795" s="38">
        <f>IF(M2795="","",HYPERLINK("https://www.youtube.com/watch?v="&amp;M2795,"▶"))</f>
        <v/>
      </c>
      <c r="B2795" s="39">
        <f>IF(C2795&lt;&gt;"",C2795,IF(P2795&lt;=IFERROR(INDEX(tblChannels[Watched Through],MATCH(N2795,tblChannels[Channel ID],0)),0),"Watched","Unwatched"))</f>
        <v/>
      </c>
      <c r="C2795" s="40" t="n"/>
      <c r="D2795" s="41" t="n"/>
      <c r="E2795" s="42" t="n">
        <v>42084.60555555556</v>
      </c>
      <c r="F2795" s="52" t="inlineStr">
        <is>
          <t>Super Carlin Gaming</t>
        </is>
      </c>
      <c r="G2795" t="inlineStr">
        <is>
          <t>Pac-Man Challenge #2</t>
        </is>
      </c>
      <c r="H2795" s="44" t="n">
        <v>0.007488425925925926</v>
      </c>
      <c r="I2795" s="45" t="n">
        <v>7017</v>
      </c>
      <c r="J2795" s="45" t="n">
        <v>293</v>
      </c>
      <c r="K2795" s="45" t="n">
        <v>20</v>
      </c>
      <c r="L2795" s="46" t="n"/>
      <c r="M2795" s="47" t="n"/>
      <c r="N2795" s="47" t="inlineStr">
        <is>
          <t>UCor_9jRnNNZVzTuQ92PKsaQ</t>
        </is>
      </c>
      <c r="O2795" s="48" t="n">
        <v>42084.77222222222</v>
      </c>
      <c r="P2795" s="49" t="n">
        <v>42084</v>
      </c>
      <c r="Q2795" s="47" t="n">
        <v>473</v>
      </c>
      <c r="R2795" s="47" t="inlineStr">
        <is>
          <t>No Video ID yet</t>
        </is>
      </c>
      <c r="S2795" s="49" t="n"/>
      <c r="T2795" s="49" t="n"/>
      <c r="U2795" s="47" t="inlineStr">
        <is>
          <t>T-SHIRTS :: The Pac-Man Challenge continues.. can we get a new high score??? Can we get 100 Likes on this video??? Every time you like a video on Super Carlin Gaming a baby narwhal is born.. maybe.</t>
        </is>
      </c>
      <c r="V2795" s="47">
        <f>IF(AND(P2795&gt;=Calendar!$K$2,P2795&lt;EDATE(Calendar!$K$2,1),OR(Calendar!$K$4="*",N2795=Calendar!$K$4)),P2795*100+COUNTIFS($P$6:$P$3267,P2795,$Q$6:$Q$3267,"&lt;="&amp;Q2795,$N$6:$N$3267,Calendar!$K$4),"")</f>
        <v/>
      </c>
      <c r="W2795" s="47">
        <f>IF(AND(B2795=Queue!$C$4,OR(Queue!$K$4="*",N2795=Queue!$K$4)),Q2795,"")</f>
        <v/>
      </c>
    </row>
    <row r="2796">
      <c r="A2796" s="38">
        <f>IF(M2796="","",HYPERLINK("https://www.youtube.com/watch?v="&amp;M2796,"▶"))</f>
        <v/>
      </c>
      <c r="B2796" s="39">
        <f>IF(C2796&lt;&gt;"",C2796,IF(P2796&lt;=IFERROR(INDEX(tblChannels[Watched Through],MATCH(N2796,tblChannels[Channel ID],0)),0),"Watched","Unwatched"))</f>
        <v/>
      </c>
      <c r="C2796" s="40" t="n"/>
      <c r="D2796" s="41" t="n"/>
      <c r="E2796" s="42" t="n">
        <v>42082.96805555555</v>
      </c>
      <c r="F2796" s="50" t="inlineStr">
        <is>
          <t>Super Carlin Brothers</t>
        </is>
      </c>
      <c r="G2796" t="inlineStr">
        <is>
          <t>My Addiction and NEW T SHIRTS!!!</t>
        </is>
      </c>
      <c r="H2796" s="44" t="n">
        <v>0.003449074074074074</v>
      </c>
      <c r="I2796" s="45" t="n">
        <v>12147</v>
      </c>
      <c r="J2796" s="45" t="n">
        <v>365</v>
      </c>
      <c r="K2796" s="45" t="n">
        <v>56</v>
      </c>
      <c r="L2796" s="46" t="n"/>
      <c r="M2796" s="47" t="n"/>
      <c r="N2796" s="47" t="inlineStr">
        <is>
          <t>UCKZo4N0lVPccBkSiuyVh4yg</t>
        </is>
      </c>
      <c r="O2796" s="48" t="n">
        <v>42083.13472222222</v>
      </c>
      <c r="P2796" s="49" t="n">
        <v>42082</v>
      </c>
      <c r="Q2796" s="47" t="n">
        <v>472</v>
      </c>
      <c r="R2796" s="47" t="inlineStr">
        <is>
          <t>No Video ID yet</t>
        </is>
      </c>
      <c r="S2796" s="49" t="n"/>
      <c r="T2796" s="49" t="n"/>
      <c r="U2796" s="47" t="inlineStr">
        <is>
          <t>CHECK OUT OUR NEW T-SHIRTS AT: Dear Diary, Today was the first day I made a video since J moved out. I was using all new equipment which absolutely came with it's woes... Batteries died, memory cards filled, lights were a total pain in the *** to assemble... Good times for sure. It's absolutely a strange sensation. The whole time we've been at this thing he's always been around. I've always bounced ideas with him. But above all else it was always an accountability factor. We always say not every video will be "the best video yet" and I don't see today as an exception. That's sort of the thing about brain crack... the longer you wait to publish new content, it can almost make it harder and harder to press "upload" because you've built up the anticipation in your head for so long. SCB has slowly changed the way I approach the world. I'm very grateful for this project. HEY SUPER CARLIN FRIENDS ►► Every time you give us a thumbs up an imaginary Narwhal is born! =D</t>
        </is>
      </c>
      <c r="V2796" s="47">
        <f>IF(AND(P2796&gt;=Calendar!$K$2,P2796&lt;EDATE(Calendar!$K$2,1),OR(Calendar!$K$4="*",N2796=Calendar!$K$4)),P2796*100+COUNTIFS($P$6:$P$3267,P2796,$Q$6:$Q$3267,"&lt;="&amp;Q2796,$N$6:$N$3267,Calendar!$K$4),"")</f>
        <v/>
      </c>
      <c r="W2796" s="47">
        <f>IF(AND(B2796=Queue!$C$4,OR(Queue!$K$4="*",N2796=Queue!$K$4)),Q2796,"")</f>
        <v/>
      </c>
    </row>
    <row r="2797">
      <c r="A2797" s="38">
        <f>IF(M2797="","",HYPERLINK("https://www.youtube.com/watch?v="&amp;M2797,"▶"))</f>
        <v/>
      </c>
      <c r="B2797" s="39">
        <f>IF(C2797&lt;&gt;"",C2797,IF(P2797&lt;=IFERROR(INDEX(tblChannels[Watched Through],MATCH(N2797,tblChannels[Channel ID],0)),0),"Watched","Unwatched"))</f>
        <v/>
      </c>
      <c r="C2797" s="40" t="n"/>
      <c r="D2797" s="41" t="n"/>
      <c r="E2797" s="42" t="n">
        <v>42080.95902777778</v>
      </c>
      <c r="F2797" s="50" t="inlineStr">
        <is>
          <t>Super Carlin Brothers</t>
        </is>
      </c>
      <c r="G2797" t="inlineStr">
        <is>
          <t>WHAT'S BEHIND THE DOOR?!?</t>
        </is>
      </c>
      <c r="H2797" s="44" t="n">
        <v>0.004085648148148148</v>
      </c>
      <c r="I2797" s="45" t="n">
        <v>443204</v>
      </c>
      <c r="J2797" s="45" t="n">
        <v>8709</v>
      </c>
      <c r="K2797" s="45" t="n">
        <v>868</v>
      </c>
      <c r="L2797" s="46" t="n"/>
      <c r="M2797" s="47" t="n"/>
      <c r="N2797" s="47" t="inlineStr">
        <is>
          <t>UCKZo4N0lVPccBkSiuyVh4yg</t>
        </is>
      </c>
      <c r="O2797" s="48" t="n">
        <v>42081.12569444445</v>
      </c>
      <c r="P2797" s="49" t="n">
        <v>42080</v>
      </c>
      <c r="Q2797" s="47" t="n">
        <v>471</v>
      </c>
      <c r="R2797" s="47" t="inlineStr">
        <is>
          <t>No Video ID yet</t>
        </is>
      </c>
      <c r="S2797" s="49" t="n"/>
      <c r="T2797" s="49" t="n"/>
      <c r="U2797" s="47" t="inlineStr">
        <is>
          <t>Today is the day we finally open the door... What is the scariest thing you have ever done? HEY SUPER CARLIN FRIENDS ►► Every time you give us a thumbs up an imaginary Narwhal is born! =D</t>
        </is>
      </c>
      <c r="V2797" s="47">
        <f>IF(AND(P2797&gt;=Calendar!$K$2,P2797&lt;EDATE(Calendar!$K$2,1),OR(Calendar!$K$4="*",N2797=Calendar!$K$4)),P2797*100+COUNTIFS($P$6:$P$3267,P2797,$Q$6:$Q$3267,"&lt;="&amp;Q2797,$N$6:$N$3267,Calendar!$K$4),"")</f>
        <v/>
      </c>
      <c r="W2797" s="47">
        <f>IF(AND(B2797=Queue!$C$4,OR(Queue!$K$4="*",N2797=Queue!$K$4)),Q2797,"")</f>
        <v/>
      </c>
    </row>
    <row r="2798">
      <c r="A2798" s="38">
        <f>IF(M2798="","",HYPERLINK("https://www.youtube.com/watch?v="&amp;M2798,"▶"))</f>
        <v/>
      </c>
      <c r="B2798" s="39">
        <f>IF(C2798&lt;&gt;"",C2798,IF(P2798&lt;=IFERROR(INDEX(tblChannels[Watched Through],MATCH(N2798,tblChannels[Channel ID],0)),0),"Watched","Unwatched"))</f>
        <v/>
      </c>
      <c r="C2798" s="40" t="n"/>
      <c r="D2798" s="41" t="n"/>
      <c r="E2798" s="42" t="n">
        <v>42075.92847222222</v>
      </c>
      <c r="F2798" s="50" t="inlineStr">
        <is>
          <t>Super Carlin Brothers</t>
        </is>
      </c>
      <c r="G2798" t="inlineStr">
        <is>
          <t>How Harry Ruined the Dursley's Lives</t>
        </is>
      </c>
      <c r="H2798" s="44" t="n">
        <v>0.003333333333333334</v>
      </c>
      <c r="I2798" s="45" t="n">
        <v>1108218</v>
      </c>
      <c r="J2798" s="45" t="n">
        <v>20283</v>
      </c>
      <c r="K2798" s="45" t="n">
        <v>4198</v>
      </c>
      <c r="L2798" s="46" t="n"/>
      <c r="M2798" s="47" t="n"/>
      <c r="N2798" s="47" t="inlineStr">
        <is>
          <t>UCKZo4N0lVPccBkSiuyVh4yg</t>
        </is>
      </c>
      <c r="O2798" s="48" t="n">
        <v>42076.09513888889</v>
      </c>
      <c r="P2798" s="49" t="n">
        <v>42075</v>
      </c>
      <c r="Q2798" s="47" t="n">
        <v>470</v>
      </c>
      <c r="R2798" s="47" t="inlineStr">
        <is>
          <t>No Video ID yet</t>
        </is>
      </c>
      <c r="S2798" s="49" t="n"/>
      <c r="T2798" s="49" t="n"/>
      <c r="U2798" s="47" t="inlineStr">
        <is>
          <t>Dorkly Article: Tristan Cooper HEY SUPER CARLIN FRIENDS ►► Every time you give us a thumbs up an imaginary Narwhal is born! =D</t>
        </is>
      </c>
      <c r="V2798" s="47">
        <f>IF(AND(P2798&gt;=Calendar!$K$2,P2798&lt;EDATE(Calendar!$K$2,1),OR(Calendar!$K$4="*",N2798=Calendar!$K$4)),P2798*100+COUNTIFS($P$6:$P$3267,P2798,$Q$6:$Q$3267,"&lt;="&amp;Q2798,$N$6:$N$3267,Calendar!$K$4),"")</f>
        <v/>
      </c>
      <c r="W2798" s="47">
        <f>IF(AND(B2798=Queue!$C$4,OR(Queue!$K$4="*",N2798=Queue!$K$4)),Q2798,"")</f>
        <v/>
      </c>
    </row>
    <row r="2799">
      <c r="A2799" s="38">
        <f>IF(M2799="","",HYPERLINK("https://www.youtube.com/watch?v="&amp;M2799,"▶"))</f>
        <v/>
      </c>
      <c r="B2799" s="39">
        <f>IF(C2799&lt;&gt;"",C2799,IF(P2799&lt;=IFERROR(INDEX(tblChannels[Watched Through],MATCH(N2799,tblChannels[Channel ID],0)),0),"Watched","Unwatched"))</f>
        <v/>
      </c>
      <c r="C2799" s="40" t="n"/>
      <c r="D2799" s="41" t="n"/>
      <c r="E2799" s="42" t="n">
        <v>42073.83263888889</v>
      </c>
      <c r="F2799" s="50" t="inlineStr">
        <is>
          <t>Super Carlin Brothers</t>
        </is>
      </c>
      <c r="G2799" t="inlineStr">
        <is>
          <t>The Sorting Hat Makes No Sense!!!</t>
        </is>
      </c>
      <c r="H2799" s="44" t="n">
        <v>0.003912037037037037</v>
      </c>
      <c r="I2799" s="45" t="n">
        <v>2079003</v>
      </c>
      <c r="J2799" s="45" t="n">
        <v>36672</v>
      </c>
      <c r="K2799" s="45" t="n">
        <v>8956</v>
      </c>
      <c r="L2799" s="46" t="n"/>
      <c r="M2799" s="47" t="n"/>
      <c r="N2799" s="47" t="inlineStr">
        <is>
          <t>UCKZo4N0lVPccBkSiuyVh4yg</t>
        </is>
      </c>
      <c r="O2799" s="48" t="n">
        <v>42073.99930555555</v>
      </c>
      <c r="P2799" s="49" t="n">
        <v>42073</v>
      </c>
      <c r="Q2799" s="47" t="n">
        <v>469</v>
      </c>
      <c r="R2799" s="47" t="inlineStr">
        <is>
          <t>No Video ID yet</t>
        </is>
      </c>
      <c r="S2799" s="49" t="n"/>
      <c r="T2799" s="49" t="n"/>
      <c r="U2799" s="47" t="inlineStr">
        <is>
          <t>What do you think! Should Hogwarts students be resorted or sorted based on something other than their personality?! HEY SUPER CARLIN FRIENDS ►► Every time you give us a thumbs up an imaginary Narwhal is born! =D</t>
        </is>
      </c>
      <c r="V2799" s="47">
        <f>IF(AND(P2799&gt;=Calendar!$K$2,P2799&lt;EDATE(Calendar!$K$2,1),OR(Calendar!$K$4="*",N2799=Calendar!$K$4)),P2799*100+COUNTIFS($P$6:$P$3267,P2799,$Q$6:$Q$3267,"&lt;="&amp;Q2799,$N$6:$N$3267,Calendar!$K$4),"")</f>
        <v/>
      </c>
      <c r="W2799" s="47">
        <f>IF(AND(B2799=Queue!$C$4,OR(Queue!$K$4="*",N2799=Queue!$K$4)),Q2799,"")</f>
        <v/>
      </c>
    </row>
    <row r="2800">
      <c r="A2800" s="38">
        <f>IF(M2800="","",HYPERLINK("https://www.youtube.com/watch?v="&amp;M2800,"▶"))</f>
        <v/>
      </c>
      <c r="B2800" s="39">
        <f>IF(C2800&lt;&gt;"",C2800,IF(P2800&lt;=IFERROR(INDEX(tblChannels[Watched Through],MATCH(N2800,tblChannels[Channel ID],0)),0),"Watched","Unwatched"))</f>
        <v/>
      </c>
      <c r="C2800" s="40" t="n"/>
      <c r="D2800" s="41" t="n"/>
      <c r="E2800" s="42" t="n">
        <v>42071.44236111111</v>
      </c>
      <c r="F2800" s="52" t="inlineStr">
        <is>
          <t>Super Carlin Gaming</t>
        </is>
      </c>
      <c r="G2800" t="inlineStr">
        <is>
          <t>Pokemon Heart Gold Nuzlocke  #5 | Fast Friends</t>
        </is>
      </c>
      <c r="H2800" s="44" t="n">
        <v>0.01868055555555555</v>
      </c>
      <c r="I2800" s="45" t="n">
        <v>35636</v>
      </c>
      <c r="J2800" s="45" t="n">
        <v>599</v>
      </c>
      <c r="K2800" s="45" t="n">
        <v>86</v>
      </c>
      <c r="L2800" s="46" t="n"/>
      <c r="M2800" s="47" t="n"/>
      <c r="N2800" s="47" t="inlineStr">
        <is>
          <t>UCor_9jRnNNZVzTuQ92PKsaQ</t>
        </is>
      </c>
      <c r="O2800" s="48" t="n">
        <v>42071.60902777778</v>
      </c>
      <c r="P2800" s="49" t="n">
        <v>42071</v>
      </c>
      <c r="Q2800" s="47" t="n">
        <v>468</v>
      </c>
      <c r="R2800" s="47" t="inlineStr">
        <is>
          <t>No Video ID yet</t>
        </is>
      </c>
      <c r="S2800" s="49" t="n"/>
      <c r="T2800" s="49" t="n"/>
      <c r="U2800" s="47" t="inlineStr">
        <is>
          <t>Azelea Town is on the Horizon and a new friendship is emerging on the team, but can they survive Team Rocket in the Slowpoke Well???</t>
        </is>
      </c>
      <c r="V2800" s="47">
        <f>IF(AND(P2800&gt;=Calendar!$K$2,P2800&lt;EDATE(Calendar!$K$2,1),OR(Calendar!$K$4="*",N2800=Calendar!$K$4)),P2800*100+COUNTIFS($P$6:$P$3267,P2800,$Q$6:$Q$3267,"&lt;="&amp;Q2800,$N$6:$N$3267,Calendar!$K$4),"")</f>
        <v/>
      </c>
      <c r="W2800" s="47">
        <f>IF(AND(B2800=Queue!$C$4,OR(Queue!$K$4="*",N2800=Queue!$K$4)),Q2800,"")</f>
        <v/>
      </c>
    </row>
    <row r="2801">
      <c r="A2801" s="38">
        <f>IF(M2801="","",HYPERLINK("https://www.youtube.com/watch?v="&amp;M2801,"▶"))</f>
        <v/>
      </c>
      <c r="B2801" s="39">
        <f>IF(C2801&lt;&gt;"",C2801,IF(P2801&lt;=IFERROR(INDEX(tblChannels[Watched Through],MATCH(N2801,tblChannels[Channel ID],0)),0),"Watched","Unwatched"))</f>
        <v/>
      </c>
      <c r="C2801" s="40" t="n"/>
      <c r="D2801" s="41" t="n"/>
      <c r="E2801" s="42" t="n">
        <v>42069.62361111111</v>
      </c>
      <c r="F2801" s="52" t="inlineStr">
        <is>
          <t>Super Carlin Gaming</t>
        </is>
      </c>
      <c r="G2801" t="inlineStr">
        <is>
          <t>Pac-Man Challenge #1</t>
        </is>
      </c>
      <c r="H2801" s="44" t="n">
        <v>0.007962962962962963</v>
      </c>
      <c r="I2801" s="45" t="n">
        <v>26615</v>
      </c>
      <c r="J2801" s="45" t="n">
        <v>503</v>
      </c>
      <c r="K2801" s="45" t="n">
        <v>71</v>
      </c>
      <c r="L2801" s="46" t="n"/>
      <c r="M2801" s="47" t="n"/>
      <c r="N2801" s="47" t="inlineStr">
        <is>
          <t>UCor_9jRnNNZVzTuQ92PKsaQ</t>
        </is>
      </c>
      <c r="O2801" s="48" t="n">
        <v>42069.83194444444</v>
      </c>
      <c r="P2801" s="49" t="n">
        <v>42069</v>
      </c>
      <c r="Q2801" s="47" t="n">
        <v>467</v>
      </c>
      <c r="R2801" s="47" t="inlineStr">
        <is>
          <t>No Video ID yet</t>
        </is>
      </c>
      <c r="S2801" s="49" t="n"/>
      <c r="T2801" s="49" t="n"/>
      <c r="U2801" s="47" t="inlineStr">
        <is>
          <t>I'll be honest I'm not very good at Pac-Man... YET! This is a challenge only against myself for the time being to get better and better at Pac-Man and beat my own "High" Scores. The more I learn about the history of this game the more it fascinates me, its super addicting and much more strategy than I initially anticipated.</t>
        </is>
      </c>
      <c r="V2801" s="47">
        <f>IF(AND(P2801&gt;=Calendar!$K$2,P2801&lt;EDATE(Calendar!$K$2,1),OR(Calendar!$K$4="*",N2801=Calendar!$K$4)),P2801*100+COUNTIFS($P$6:$P$3267,P2801,$Q$6:$Q$3267,"&lt;="&amp;Q2801,$N$6:$N$3267,Calendar!$K$4),"")</f>
        <v/>
      </c>
      <c r="W2801" s="47">
        <f>IF(AND(B2801=Queue!$C$4,OR(Queue!$K$4="*",N2801=Queue!$K$4)),Q2801,"")</f>
        <v/>
      </c>
    </row>
    <row r="2802">
      <c r="A2802" s="38">
        <f>IF(M2802="","",HYPERLINK("https://www.youtube.com/watch?v="&amp;M2802,"▶"))</f>
        <v/>
      </c>
      <c r="B2802" s="39">
        <f>IF(C2802&lt;&gt;"",C2802,IF(P2802&lt;=IFERROR(INDEX(tblChannels[Watched Through],MATCH(N2802,tblChannels[Channel ID],0)),0),"Watched","Unwatched"))</f>
        <v/>
      </c>
      <c r="C2802" s="40" t="n"/>
      <c r="D2802" s="41" t="n"/>
      <c r="E2802" s="42" t="n">
        <v>42068.94513888889</v>
      </c>
      <c r="F2802" s="50" t="inlineStr">
        <is>
          <t>Super Carlin Brothers</t>
        </is>
      </c>
      <c r="G2802" t="inlineStr">
        <is>
          <t>Online Shopping and Offline Dating</t>
        </is>
      </c>
      <c r="H2802" s="44" t="n">
        <v>0.003483796296296296</v>
      </c>
      <c r="I2802" s="45" t="n">
        <v>15018</v>
      </c>
      <c r="J2802" s="45" t="n">
        <v>455</v>
      </c>
      <c r="K2802" s="45" t="n">
        <v>86</v>
      </c>
      <c r="L2802" s="46" t="n"/>
      <c r="M2802" s="47" t="n"/>
      <c r="N2802" s="47" t="inlineStr">
        <is>
          <t>UCKZo4N0lVPccBkSiuyVh4yg</t>
        </is>
      </c>
      <c r="O2802" s="48" t="n">
        <v>42069.15347222222</v>
      </c>
      <c r="P2802" s="49" t="n">
        <v>42068</v>
      </c>
      <c r="Q2802" s="47" t="n">
        <v>466</v>
      </c>
      <c r="R2802" s="47" t="inlineStr">
        <is>
          <t>No Video ID yet</t>
        </is>
      </c>
      <c r="S2802" s="49" t="n"/>
      <c r="T2802" s="49" t="n"/>
      <c r="U2802" s="47" t="inlineStr">
        <is>
          <t>Tyler's Video!! HEY SUPER CARLIN FRIENDS ►► Every time you give us a thumbs up an imaginary Narwhal is born! =D</t>
        </is>
      </c>
      <c r="V2802" s="47">
        <f>IF(AND(P2802&gt;=Calendar!$K$2,P2802&lt;EDATE(Calendar!$K$2,1),OR(Calendar!$K$4="*",N2802=Calendar!$K$4)),P2802*100+COUNTIFS($P$6:$P$3267,P2802,$Q$6:$Q$3267,"&lt;="&amp;Q2802,$N$6:$N$3267,Calendar!$K$4),"")</f>
        <v/>
      </c>
      <c r="W2802" s="47">
        <f>IF(AND(B2802=Queue!$C$4,OR(Queue!$K$4="*",N2802=Queue!$K$4)),Q2802,"")</f>
        <v/>
      </c>
    </row>
    <row r="2803">
      <c r="A2803" s="38">
        <f>IF(M2803="","",HYPERLINK("https://www.youtube.com/watch?v="&amp;M2803,"▶"))</f>
        <v/>
      </c>
      <c r="B2803" s="39">
        <f>IF(C2803&lt;&gt;"",C2803,IF(P2803&lt;=IFERROR(INDEX(tblChannels[Watched Through],MATCH(N2803,tblChannels[Channel ID],0)),0),"Watched","Unwatched"))</f>
        <v/>
      </c>
      <c r="C2803" s="40" t="n"/>
      <c r="D2803" s="41" t="n"/>
      <c r="E2803" s="42" t="n">
        <v>42066.6875</v>
      </c>
      <c r="F2803" s="50" t="inlineStr">
        <is>
          <t>Super Carlin Brothers</t>
        </is>
      </c>
      <c r="G2803" t="inlineStr">
        <is>
          <t>LOOT CRATE UNBOXING | PLAY</t>
        </is>
      </c>
      <c r="H2803" s="44" t="n">
        <v>0.006099537037037037</v>
      </c>
      <c r="I2803" s="45" t="n">
        <v>75750</v>
      </c>
      <c r="J2803" s="45" t="n">
        <v>1217</v>
      </c>
      <c r="K2803" s="45" t="n">
        <v>196</v>
      </c>
      <c r="L2803" s="46" t="n"/>
      <c r="M2803" s="47" t="n"/>
      <c r="N2803" s="47" t="inlineStr">
        <is>
          <t>UCKZo4N0lVPccBkSiuyVh4yg</t>
        </is>
      </c>
      <c r="O2803" s="48" t="n">
        <v>42066.89583333334</v>
      </c>
      <c r="P2803" s="49" t="n">
        <v>42066</v>
      </c>
      <c r="Q2803" s="47" t="n">
        <v>465</v>
      </c>
      <c r="R2803" s="47" t="inlineStr">
        <is>
          <t>No Video ID yet</t>
        </is>
      </c>
      <c r="S2803" s="49" t="n"/>
      <c r="T2803" s="49" t="n"/>
      <c r="U2803" s="47" t="inlineStr">
        <is>
          <t>Get 10% off your LootCrate Order with Promo Code: CARLIN Who would win in a fight Literal Teen Wolf vs. Trapper HEY SUPER CARLIN FRIENDS ►► Every time you give us a thumbs up an imaginary Narwhal is born! =D</t>
        </is>
      </c>
      <c r="V2803" s="47">
        <f>IF(AND(P2803&gt;=Calendar!$K$2,P2803&lt;EDATE(Calendar!$K$2,1),OR(Calendar!$K$4="*",N2803=Calendar!$K$4)),P2803*100+COUNTIFS($P$6:$P$3267,P2803,$Q$6:$Q$3267,"&lt;="&amp;Q2803,$N$6:$N$3267,Calendar!$K$4),"")</f>
        <v/>
      </c>
      <c r="W2803" s="47">
        <f>IF(AND(B2803=Queue!$C$4,OR(Queue!$K$4="*",N2803=Queue!$K$4)),Q2803,"")</f>
        <v/>
      </c>
    </row>
    <row r="2804">
      <c r="A2804" s="38">
        <f>IF(M2804="","",HYPERLINK("https://www.youtube.com/watch?v="&amp;M2804,"▶"))</f>
        <v/>
      </c>
      <c r="B2804" s="39">
        <f>IF(C2804&lt;&gt;"",C2804,IF(P2804&lt;=IFERROR(INDEX(tblChannels[Watched Through],MATCH(N2804,tblChannels[Channel ID],0)),0),"Watched","Unwatched"))</f>
        <v/>
      </c>
      <c r="C2804" s="40" t="n"/>
      <c r="D2804" s="41" t="n"/>
      <c r="E2804" s="42" t="n">
        <v>42061.81666666667</v>
      </c>
      <c r="F2804" s="50" t="inlineStr">
        <is>
          <t>Super Carlin Brothers</t>
        </is>
      </c>
      <c r="G2804" t="inlineStr">
        <is>
          <t>Humble Grumble</t>
        </is>
      </c>
      <c r="H2804" s="44" t="n">
        <v>0.002789351851851852</v>
      </c>
      <c r="I2804" s="45" t="n">
        <v>12633</v>
      </c>
      <c r="J2804" s="45" t="n">
        <v>432</v>
      </c>
      <c r="K2804" s="45" t="n">
        <v>99</v>
      </c>
      <c r="L2804" s="46" t="n"/>
      <c r="M2804" s="47" t="n"/>
      <c r="N2804" s="47" t="inlineStr">
        <is>
          <t>UCKZo4N0lVPccBkSiuyVh4yg</t>
        </is>
      </c>
      <c r="O2804" s="48" t="n">
        <v>42062.025</v>
      </c>
      <c r="P2804" s="49" t="n">
        <v>42061</v>
      </c>
      <c r="Q2804" s="47" t="n">
        <v>464</v>
      </c>
      <c r="R2804" s="47" t="inlineStr">
        <is>
          <t>No Video ID yet</t>
        </is>
      </c>
      <c r="S2804" s="49" t="n"/>
      <c r="T2804" s="49" t="n"/>
      <c r="U2804" s="47" t="inlineStr">
        <is>
          <t>HEY SUPER CARLIN FRIENDS ►► Every time you give us a thumbs up an imaginary Narwhal is born! =D</t>
        </is>
      </c>
      <c r="V2804" s="47">
        <f>IF(AND(P2804&gt;=Calendar!$K$2,P2804&lt;EDATE(Calendar!$K$2,1),OR(Calendar!$K$4="*",N2804=Calendar!$K$4)),P2804*100+COUNTIFS($P$6:$P$3267,P2804,$Q$6:$Q$3267,"&lt;="&amp;Q2804,$N$6:$N$3267,Calendar!$K$4),"")</f>
        <v/>
      </c>
      <c r="W2804" s="47">
        <f>IF(AND(B2804=Queue!$C$4,OR(Queue!$K$4="*",N2804=Queue!$K$4)),Q2804,"")</f>
        <v/>
      </c>
    </row>
    <row r="2805">
      <c r="A2805" s="38">
        <f>IF(M2805="","",HYPERLINK("https://www.youtube.com/watch?v="&amp;M2805,"▶"))</f>
        <v/>
      </c>
      <c r="B2805" s="39">
        <f>IF(C2805&lt;&gt;"",C2805,IF(P2805&lt;=IFERROR(INDEX(tblChannels[Watched Through],MATCH(N2805,tblChannels[Channel ID],0)),0),"Watched","Unwatched"))</f>
        <v/>
      </c>
      <c r="C2805" s="40" t="n"/>
      <c r="D2805" s="41" t="n"/>
      <c r="E2805" s="42" t="n">
        <v>42059.97361111111</v>
      </c>
      <c r="F2805" s="50" t="inlineStr">
        <is>
          <t>Super Carlin Brothers</t>
        </is>
      </c>
      <c r="G2805" t="inlineStr">
        <is>
          <t>WANNA GET LUNCH?!</t>
        </is>
      </c>
      <c r="H2805" s="44" t="n">
        <v>0.002881944444444444</v>
      </c>
      <c r="I2805" s="45" t="n">
        <v>36486</v>
      </c>
      <c r="J2805" s="45" t="n">
        <v>1111</v>
      </c>
      <c r="K2805" s="45" t="n">
        <v>163</v>
      </c>
      <c r="L2805" s="46" t="n"/>
      <c r="M2805" s="47" t="n"/>
      <c r="N2805" s="47" t="inlineStr">
        <is>
          <t>UCKZo4N0lVPccBkSiuyVh4yg</t>
        </is>
      </c>
      <c r="O2805" s="48" t="n">
        <v>42060.18194444444</v>
      </c>
      <c r="P2805" s="49" t="n">
        <v>42059</v>
      </c>
      <c r="Q2805" s="47" t="n">
        <v>463</v>
      </c>
      <c r="R2805" s="47" t="inlineStr">
        <is>
          <t>No Video ID yet</t>
        </is>
      </c>
      <c r="S2805" s="49" t="n"/>
      <c r="T2805" s="49" t="n"/>
      <c r="U2805" s="47" t="inlineStr">
        <is>
          <t>Seriously though.. Narwhal Detective.. great comic right? HEY SUPER CARLIN FRIENDS ►► Every time you give us a thumbs up an imaginary Narwhal is born! =D</t>
        </is>
      </c>
      <c r="V2805" s="47">
        <f>IF(AND(P2805&gt;=Calendar!$K$2,P2805&lt;EDATE(Calendar!$K$2,1),OR(Calendar!$K$4="*",N2805=Calendar!$K$4)),P2805*100+COUNTIFS($P$6:$P$3267,P2805,$Q$6:$Q$3267,"&lt;="&amp;Q2805,$N$6:$N$3267,Calendar!$K$4),"")</f>
        <v/>
      </c>
      <c r="W2805" s="47">
        <f>IF(AND(B2805=Queue!$C$4,OR(Queue!$K$4="*",N2805=Queue!$K$4)),Q2805,"")</f>
        <v/>
      </c>
    </row>
    <row r="2806">
      <c r="A2806" s="38">
        <f>IF(M2806="","",HYPERLINK("https://www.youtube.com/watch?v="&amp;M2806,"▶"))</f>
        <v/>
      </c>
      <c r="B2806" s="39">
        <f>IF(C2806&lt;&gt;"",C2806,IF(P2806&lt;=IFERROR(INDEX(tblChannels[Watched Through],MATCH(N2806,tblChannels[Channel ID],0)),0),"Watched","Unwatched"))</f>
        <v/>
      </c>
      <c r="C2806" s="40" t="n"/>
      <c r="D2806" s="41" t="n"/>
      <c r="E2806" s="42" t="n">
        <v>42057.62708333333</v>
      </c>
      <c r="F2806" s="52" t="inlineStr">
        <is>
          <t>Super Carlin Gaming</t>
        </is>
      </c>
      <c r="G2806" t="inlineStr">
        <is>
          <t>Pokemon Heart Gold Nuzlocke #4 | A New Shock</t>
        </is>
      </c>
      <c r="H2806" s="44" t="n">
        <v>0.0228587962962963</v>
      </c>
      <c r="I2806" s="45" t="n">
        <v>40509</v>
      </c>
      <c r="J2806" s="45" t="n">
        <v>593</v>
      </c>
      <c r="K2806" s="45" t="n">
        <v>115</v>
      </c>
      <c r="L2806" s="46" t="n"/>
      <c r="M2806" s="47" t="n"/>
      <c r="N2806" s="47" t="inlineStr">
        <is>
          <t>UCor_9jRnNNZVzTuQ92PKsaQ</t>
        </is>
      </c>
      <c r="O2806" s="48" t="n">
        <v>42057.83541666667</v>
      </c>
      <c r="P2806" s="49" t="n">
        <v>42057</v>
      </c>
      <c r="Q2806" s="47" t="n">
        <v>462</v>
      </c>
      <c r="R2806" s="47" t="inlineStr">
        <is>
          <t>No Video ID yet</t>
        </is>
      </c>
      <c r="S2806" s="49" t="n"/>
      <c r="T2806" s="49" t="n"/>
      <c r="U2806" s="47" t="inlineStr">
        <is>
          <t>4 more friends means someone has to take a seat in the box...</t>
        </is>
      </c>
      <c r="V2806" s="47">
        <f>IF(AND(P2806&gt;=Calendar!$K$2,P2806&lt;EDATE(Calendar!$K$2,1),OR(Calendar!$K$4="*",N2806=Calendar!$K$4)),P2806*100+COUNTIFS($P$6:$P$3267,P2806,$Q$6:$Q$3267,"&lt;="&amp;Q2806,$N$6:$N$3267,Calendar!$K$4),"")</f>
        <v/>
      </c>
      <c r="W2806" s="47">
        <f>IF(AND(B2806=Queue!$C$4,OR(Queue!$K$4="*",N2806=Queue!$K$4)),Q2806,"")</f>
        <v/>
      </c>
    </row>
    <row r="2807">
      <c r="A2807" s="38">
        <f>IF(M2807="","",HYPERLINK("https://www.youtube.com/watch?v="&amp;M2807,"▶"))</f>
        <v/>
      </c>
      <c r="B2807" s="39">
        <f>IF(C2807&lt;&gt;"",C2807,IF(P2807&lt;=IFERROR(INDEX(tblChannels[Watched Through],MATCH(N2807,tblChannels[Channel ID],0)),0),"Watched","Unwatched"))</f>
        <v/>
      </c>
      <c r="C2807" s="40" t="n"/>
      <c r="D2807" s="41" t="n"/>
      <c r="E2807" s="42" t="n">
        <v>42054.95833333334</v>
      </c>
      <c r="F2807" s="50" t="inlineStr">
        <is>
          <t>Super Carlin Brothers</t>
        </is>
      </c>
      <c r="G2807" t="inlineStr">
        <is>
          <t>The Foolish Beauty Pageant</t>
        </is>
      </c>
      <c r="H2807" s="44" t="n">
        <v>0.002951388888888889</v>
      </c>
      <c r="I2807" s="45" t="n">
        <v>13481</v>
      </c>
      <c r="J2807" s="45" t="n">
        <v>415</v>
      </c>
      <c r="K2807" s="45" t="n">
        <v>44</v>
      </c>
      <c r="L2807" s="46" t="n"/>
      <c r="M2807" s="47" t="n"/>
      <c r="N2807" s="47" t="inlineStr">
        <is>
          <t>UCKZo4N0lVPccBkSiuyVh4yg</t>
        </is>
      </c>
      <c r="O2807" s="48" t="n">
        <v>42055.16666666666</v>
      </c>
      <c r="P2807" s="49" t="n">
        <v>42054</v>
      </c>
      <c r="Q2807" s="47" t="n">
        <v>461</v>
      </c>
      <c r="R2807" s="47" t="inlineStr">
        <is>
          <t>No Video ID yet</t>
        </is>
      </c>
      <c r="S2807" s="49" t="n"/>
      <c r="T2807" s="49" t="n"/>
      <c r="U2807" s="47" t="inlineStr">
        <is>
          <t>Help Tyler by liking this photo on instagram!!!! HEY SUPER CARLIN FRIENDS ►► Every time you give us a thumbs up an imaginary Narwhal is born! =D</t>
        </is>
      </c>
      <c r="V2807" s="47">
        <f>IF(AND(P2807&gt;=Calendar!$K$2,P2807&lt;EDATE(Calendar!$K$2,1),OR(Calendar!$K$4="*",N2807=Calendar!$K$4)),P2807*100+COUNTIFS($P$6:$P$3267,P2807,$Q$6:$Q$3267,"&lt;="&amp;Q2807,$N$6:$N$3267,Calendar!$K$4),"")</f>
        <v/>
      </c>
      <c r="W2807" s="47">
        <f>IF(AND(B2807=Queue!$C$4,OR(Queue!$K$4="*",N2807=Queue!$K$4)),Q2807,"")</f>
        <v/>
      </c>
    </row>
    <row r="2808">
      <c r="A2808" s="38">
        <f>IF(M2808="","",HYPERLINK("https://www.youtube.com/watch?v="&amp;M2808,"▶"))</f>
        <v/>
      </c>
      <c r="B2808" s="39">
        <f>IF(C2808&lt;&gt;"",C2808,IF(P2808&lt;=IFERROR(INDEX(tblChannels[Watched Through],MATCH(N2808,tblChannels[Channel ID],0)),0),"Watched","Unwatched"))</f>
        <v/>
      </c>
      <c r="C2808" s="40" t="n"/>
      <c r="D2808" s="41" t="n"/>
      <c r="E2808" s="42" t="n">
        <v>42052.77847222222</v>
      </c>
      <c r="F2808" s="50" t="inlineStr">
        <is>
          <t>Super Carlin Brothers</t>
        </is>
      </c>
      <c r="G2808" t="inlineStr">
        <is>
          <t>The Whisper Challenge with Beth!</t>
        </is>
      </c>
      <c r="H2808" s="44" t="n">
        <v>0.003888888888888889</v>
      </c>
      <c r="I2808" s="45" t="n">
        <v>81221</v>
      </c>
      <c r="J2808" s="45" t="n">
        <v>1792</v>
      </c>
      <c r="K2808" s="45" t="n">
        <v>448</v>
      </c>
      <c r="L2808" s="46" t="n"/>
      <c r="M2808" s="47" t="n"/>
      <c r="N2808" s="47" t="inlineStr">
        <is>
          <t>UCKZo4N0lVPccBkSiuyVh4yg</t>
        </is>
      </c>
      <c r="O2808" s="48" t="n">
        <v>42052.98680555556</v>
      </c>
      <c r="P2808" s="49" t="n">
        <v>42052</v>
      </c>
      <c r="Q2808" s="47" t="n">
        <v>460</v>
      </c>
      <c r="R2808" s="47" t="inlineStr">
        <is>
          <t>No Video ID yet</t>
        </is>
      </c>
      <c r="S2808" s="49" t="n"/>
      <c r="T2808" s="49" t="n"/>
      <c r="U2808" s="47" t="inlineStr">
        <is>
          <t>Ooga-Chaka Ooga-Ooga Ooga-Chaka Ooga-Ooga Ooga-Chaka HEY SUPER CARLIN FRIENDS ►► Every time you give us a thumbs up an imaginary Narwhal is born! =D</t>
        </is>
      </c>
      <c r="V2808" s="47">
        <f>IF(AND(P2808&gt;=Calendar!$K$2,P2808&lt;EDATE(Calendar!$K$2,1),OR(Calendar!$K$4="*",N2808=Calendar!$K$4)),P2808*100+COUNTIFS($P$6:$P$3267,P2808,$Q$6:$Q$3267,"&lt;="&amp;Q2808,$N$6:$N$3267,Calendar!$K$4),"")</f>
        <v/>
      </c>
      <c r="W2808" s="47">
        <f>IF(AND(B2808=Queue!$C$4,OR(Queue!$K$4="*",N2808=Queue!$K$4)),Q2808,"")</f>
        <v/>
      </c>
    </row>
    <row r="2809">
      <c r="A2809" s="38">
        <f>IF(M2809="","",HYPERLINK("https://www.youtube.com/watch?v="&amp;M2809,"▶"))</f>
        <v/>
      </c>
      <c r="B2809" s="39">
        <f>IF(C2809&lt;&gt;"",C2809,IF(P2809&lt;=IFERROR(INDEX(tblChannels[Watched Through],MATCH(N2809,tblChannels[Channel ID],0)),0),"Watched","Unwatched"))</f>
        <v/>
      </c>
      <c r="C2809" s="40" t="n"/>
      <c r="D2809" s="41" t="n"/>
      <c r="E2809" s="42" t="n">
        <v>42047.91180555556</v>
      </c>
      <c r="F2809" s="50" t="inlineStr">
        <is>
          <t>Super Carlin Brothers</t>
        </is>
      </c>
      <c r="G2809" t="inlineStr">
        <is>
          <t>The Viewer Interview</t>
        </is>
      </c>
      <c r="H2809" s="44" t="n">
        <v>0.002951388888888889</v>
      </c>
      <c r="I2809" s="45" t="n">
        <v>10107</v>
      </c>
      <c r="J2809" s="45" t="n">
        <v>345</v>
      </c>
      <c r="K2809" s="45" t="n">
        <v>131</v>
      </c>
      <c r="L2809" s="46" t="n"/>
      <c r="M2809" s="47" t="n"/>
      <c r="N2809" s="47" t="inlineStr">
        <is>
          <t>UCKZo4N0lVPccBkSiuyVh4yg</t>
        </is>
      </c>
      <c r="O2809" s="48" t="n">
        <v>42048.12013888889</v>
      </c>
      <c r="P2809" s="49" t="n">
        <v>42047</v>
      </c>
      <c r="Q2809" s="47" t="n">
        <v>459</v>
      </c>
      <c r="R2809" s="47" t="inlineStr">
        <is>
          <t>No Video ID yet</t>
        </is>
      </c>
      <c r="S2809" s="49" t="n"/>
      <c r="T2809" s="49" t="n"/>
      <c r="U2809" s="47" t="inlineStr">
        <is>
          <t>HEY SUPER CARLIN FRIENDS ►► Every time you give us a thumbs up an imaginary Narwhal is born! =D</t>
        </is>
      </c>
      <c r="V2809" s="47">
        <f>IF(AND(P2809&gt;=Calendar!$K$2,P2809&lt;EDATE(Calendar!$K$2,1),OR(Calendar!$K$4="*",N2809=Calendar!$K$4)),P2809*100+COUNTIFS($P$6:$P$3267,P2809,$Q$6:$Q$3267,"&lt;="&amp;Q2809,$N$6:$N$3267,Calendar!$K$4),"")</f>
        <v/>
      </c>
      <c r="W2809" s="47">
        <f>IF(AND(B2809=Queue!$C$4,OR(Queue!$K$4="*",N2809=Queue!$K$4)),Q2809,"")</f>
        <v/>
      </c>
    </row>
    <row r="2810">
      <c r="A2810" s="38">
        <f>IF(M2810="","",HYPERLINK("https://www.youtube.com/watch?v="&amp;M2810,"▶"))</f>
        <v/>
      </c>
      <c r="B2810" s="39">
        <f>IF(C2810&lt;&gt;"",C2810,IF(P2810&lt;=IFERROR(INDEX(tblChannels[Watched Through],MATCH(N2810,tblChannels[Channel ID],0)),0),"Watched","Unwatched"))</f>
        <v/>
      </c>
      <c r="C2810" s="40" t="n"/>
      <c r="D2810" s="41" t="n"/>
      <c r="E2810" s="42" t="n">
        <v>42045.97569444445</v>
      </c>
      <c r="F2810" s="50" t="inlineStr">
        <is>
          <t>Super Carlin Brothers</t>
        </is>
      </c>
      <c r="G2810" t="inlineStr">
        <is>
          <t>Does Love Google Autofill</t>
        </is>
      </c>
      <c r="H2810" s="44" t="n">
        <v>0.004699074074074074</v>
      </c>
      <c r="I2810" s="45" t="n">
        <v>273344</v>
      </c>
      <c r="J2810" s="45" t="n">
        <v>5210</v>
      </c>
      <c r="K2810" s="45" t="n">
        <v>855</v>
      </c>
      <c r="L2810" s="46" t="n"/>
      <c r="M2810" s="47" t="n"/>
      <c r="N2810" s="47" t="inlineStr">
        <is>
          <t>UCKZo4N0lVPccBkSiuyVh4yg</t>
        </is>
      </c>
      <c r="O2810" s="48" t="n">
        <v>42046.18402777778</v>
      </c>
      <c r="P2810" s="49" t="n">
        <v>42045</v>
      </c>
      <c r="Q2810" s="47" t="n">
        <v>458</v>
      </c>
      <c r="R2810" s="47" t="inlineStr">
        <is>
          <t>No Video ID yet</t>
        </is>
      </c>
      <c r="S2810" s="49" t="n"/>
      <c r="T2810" s="49" t="n"/>
      <c r="U2810" s="47" t="inlineStr">
        <is>
          <t>Does love need a reason? Thoughts on Valentines Day? HEY SUPER CARLIN FRIENDS ►► Every time you give us a thumbs up an imaginary Narwhal is born! =D</t>
        </is>
      </c>
      <c r="V2810" s="47">
        <f>IF(AND(P2810&gt;=Calendar!$K$2,P2810&lt;EDATE(Calendar!$K$2,1),OR(Calendar!$K$4="*",N2810=Calendar!$K$4)),P2810*100+COUNTIFS($P$6:$P$3267,P2810,$Q$6:$Q$3267,"&lt;="&amp;Q2810,$N$6:$N$3267,Calendar!$K$4),"")</f>
        <v/>
      </c>
      <c r="W2810" s="47">
        <f>IF(AND(B2810=Queue!$C$4,OR(Queue!$K$4="*",N2810=Queue!$K$4)),Q2810,"")</f>
        <v/>
      </c>
    </row>
    <row r="2811">
      <c r="A2811" s="38">
        <f>IF(M2811="","",HYPERLINK("https://www.youtube.com/watch?v="&amp;M2811,"▶"))</f>
        <v/>
      </c>
      <c r="B2811" s="39">
        <f>IF(C2811&lt;&gt;"",C2811,IF(P2811&lt;=IFERROR(INDEX(tblChannels[Watched Through],MATCH(N2811,tblChannels[Channel ID],0)),0),"Watched","Unwatched"))</f>
        <v/>
      </c>
      <c r="C2811" s="40" t="n"/>
      <c r="D2811" s="41" t="n"/>
      <c r="E2811" s="42" t="n">
        <v>42041.42361111111</v>
      </c>
      <c r="F2811" s="50" t="inlineStr">
        <is>
          <t>Super Carlin Brothers</t>
        </is>
      </c>
      <c r="G2811" t="inlineStr">
        <is>
          <t>JUXTABROS - PLAYLIST LIVE - LIGHTNING ROUND!</t>
        </is>
      </c>
      <c r="H2811" s="44" t="n">
        <v>0.004351851851851852</v>
      </c>
      <c r="I2811" s="45" t="n">
        <v>10723</v>
      </c>
      <c r="J2811" s="45" t="n">
        <v>356</v>
      </c>
      <c r="K2811" s="45" t="n">
        <v>72</v>
      </c>
      <c r="L2811" s="46" t="n"/>
      <c r="M2811" s="47" t="n"/>
      <c r="N2811" s="47" t="inlineStr">
        <is>
          <t>UCKZo4N0lVPccBkSiuyVh4yg</t>
        </is>
      </c>
      <c r="O2811" s="48" t="n">
        <v>42041.63194444445</v>
      </c>
      <c r="P2811" s="49" t="n">
        <v>42041</v>
      </c>
      <c r="Q2811" s="47" t="n">
        <v>457</v>
      </c>
      <c r="R2811" s="47" t="inlineStr">
        <is>
          <t>No Video ID yet</t>
        </is>
      </c>
      <c r="S2811" s="49" t="n"/>
      <c r="T2811" s="49" t="n"/>
      <c r="U2811" s="47" t="inlineStr">
        <is>
          <t>We are at Playlist Live! Are you?!? Tweet us @Jonkerlin and @SCB_Ben ...and for the record it's our neighbors dogs that are barking =D</t>
        </is>
      </c>
      <c r="V2811" s="47">
        <f>IF(AND(P2811&gt;=Calendar!$K$2,P2811&lt;EDATE(Calendar!$K$2,1),OR(Calendar!$K$4="*",N2811=Calendar!$K$4)),P2811*100+COUNTIFS($P$6:$P$3267,P2811,$Q$6:$Q$3267,"&lt;="&amp;Q2811,$N$6:$N$3267,Calendar!$K$4),"")</f>
        <v/>
      </c>
      <c r="W2811" s="47">
        <f>IF(AND(B2811=Queue!$C$4,OR(Queue!$K$4="*",N2811=Queue!$K$4)),Q2811,"")</f>
        <v/>
      </c>
    </row>
    <row r="2812">
      <c r="A2812" s="38">
        <f>IF(M2812="","",HYPERLINK("https://www.youtube.com/watch?v="&amp;M2812,"▶"))</f>
        <v/>
      </c>
      <c r="B2812" s="39">
        <f>IF(C2812&lt;&gt;"",C2812,IF(P2812&lt;=IFERROR(INDEX(tblChannels[Watched Through],MATCH(N2812,tblChannels[Channel ID],0)),0),"Watched","Unwatched"))</f>
        <v/>
      </c>
      <c r="C2812" s="40" t="n"/>
      <c r="D2812" s="41" t="n"/>
      <c r="E2812" s="42" t="n">
        <v>42038.75277777778</v>
      </c>
      <c r="F2812" s="50" t="inlineStr">
        <is>
          <t>Super Carlin Brothers</t>
        </is>
      </c>
      <c r="G2812" t="inlineStr">
        <is>
          <t>Is Pixar Sexist? (feat. Ashley Mardell)</t>
        </is>
      </c>
      <c r="H2812" s="44" t="n">
        <v>0.005381944444444444</v>
      </c>
      <c r="I2812" s="45" t="n">
        <v>3001551</v>
      </c>
      <c r="J2812" s="45" t="n">
        <v>41875</v>
      </c>
      <c r="K2812" s="45" t="n">
        <v>8529</v>
      </c>
      <c r="L2812" s="46" t="n"/>
      <c r="M2812" s="47" t="n"/>
      <c r="N2812" s="47" t="inlineStr">
        <is>
          <t>UCKZo4N0lVPccBkSiuyVh4yg</t>
        </is>
      </c>
      <c r="O2812" s="48" t="n">
        <v>42038.96111111111</v>
      </c>
      <c r="P2812" s="49" t="n">
        <v>42038</v>
      </c>
      <c r="Q2812" s="47" t="n">
        <v>456</v>
      </c>
      <c r="R2812" s="47" t="inlineStr">
        <is>
          <t>No Video ID yet</t>
        </is>
      </c>
      <c r="S2812" s="49" t="n"/>
      <c r="T2812" s="49" t="n"/>
      <c r="U2812" s="47" t="inlineStr">
        <is>
          <t>Who is your favorite Pixar Character that breaks gender norms or is a positive female role model? ASHLEY MARDELL: Read the full Article here: PATREON:</t>
        </is>
      </c>
      <c r="V2812" s="47">
        <f>IF(AND(P2812&gt;=Calendar!$K$2,P2812&lt;EDATE(Calendar!$K$2,1),OR(Calendar!$K$4="*",N2812=Calendar!$K$4)),P2812*100+COUNTIFS($P$6:$P$3267,P2812,$Q$6:$Q$3267,"&lt;="&amp;Q2812,$N$6:$N$3267,Calendar!$K$4),"")</f>
        <v/>
      </c>
      <c r="W2812" s="47">
        <f>IF(AND(B2812=Queue!$C$4,OR(Queue!$K$4="*",N2812=Queue!$K$4)),Q2812,"")</f>
        <v/>
      </c>
    </row>
    <row r="2813">
      <c r="A2813" s="38">
        <f>IF(M2813="","",HYPERLINK("https://www.youtube.com/watch?v="&amp;M2813,"▶"))</f>
        <v/>
      </c>
      <c r="B2813" s="39">
        <f>IF(C2813&lt;&gt;"",C2813,IF(P2813&lt;=IFERROR(INDEX(tblChannels[Watched Through],MATCH(N2813,tblChannels[Channel ID],0)),0),"Watched","Unwatched"))</f>
        <v/>
      </c>
      <c r="C2813" s="40" t="n"/>
      <c r="D2813" s="41" t="n"/>
      <c r="E2813" s="42" t="n">
        <v>42033.88194444445</v>
      </c>
      <c r="F2813" s="50" t="inlineStr">
        <is>
          <t>Super Carlin Brothers</t>
        </is>
      </c>
      <c r="G2813" t="inlineStr">
        <is>
          <t>Best Day of Your Life</t>
        </is>
      </c>
      <c r="H2813" s="44" t="n">
        <v>0.003622685185185185</v>
      </c>
      <c r="I2813" s="45" t="n">
        <v>10645</v>
      </c>
      <c r="J2813" s="45" t="n">
        <v>387</v>
      </c>
      <c r="K2813" s="45" t="n">
        <v>68</v>
      </c>
      <c r="L2813" s="46" t="n"/>
      <c r="M2813" s="47" t="n"/>
      <c r="N2813" s="47" t="inlineStr">
        <is>
          <t>UCKZo4N0lVPccBkSiuyVh4yg</t>
        </is>
      </c>
      <c r="O2813" s="48" t="n">
        <v>42034.09027777778</v>
      </c>
      <c r="P2813" s="49" t="n">
        <v>42033</v>
      </c>
      <c r="Q2813" s="47" t="n">
        <v>455</v>
      </c>
      <c r="R2813" s="47" t="inlineStr">
        <is>
          <t>No Video ID yet</t>
        </is>
      </c>
      <c r="S2813" s="49" t="n"/>
      <c r="T2813" s="49" t="n"/>
      <c r="U2813" s="47" t="inlineStr">
        <is>
          <t>Do you know the best day of your life (thus far)?</t>
        </is>
      </c>
      <c r="V2813" s="47">
        <f>IF(AND(P2813&gt;=Calendar!$K$2,P2813&lt;EDATE(Calendar!$K$2,1),OR(Calendar!$K$4="*",N2813=Calendar!$K$4)),P2813*100+COUNTIFS($P$6:$P$3267,P2813,$Q$6:$Q$3267,"&lt;="&amp;Q2813,$N$6:$N$3267,Calendar!$K$4),"")</f>
        <v/>
      </c>
      <c r="W2813" s="47">
        <f>IF(AND(B2813=Queue!$C$4,OR(Queue!$K$4="*",N2813=Queue!$K$4)),Q2813,"")</f>
        <v/>
      </c>
    </row>
    <row r="2814">
      <c r="A2814" s="38">
        <f>IF(M2814="","",HYPERLINK("https://www.youtube.com/watch?v="&amp;M2814,"▶"))</f>
        <v/>
      </c>
      <c r="B2814" s="39">
        <f>IF(C2814&lt;&gt;"",C2814,IF(P2814&lt;=IFERROR(INDEX(tblChannels[Watched Through],MATCH(N2814,tblChannels[Channel ID],0)),0),"Watched","Unwatched"))</f>
        <v/>
      </c>
      <c r="C2814" s="40" t="n"/>
      <c r="D2814" s="41" t="n"/>
      <c r="E2814" s="42" t="n">
        <v>42033.31875</v>
      </c>
      <c r="F2814" s="52" t="inlineStr">
        <is>
          <t>Super Carlin Gaming</t>
        </is>
      </c>
      <c r="G2814" t="inlineStr">
        <is>
          <t>Pokemon Heart Gold Nuzlocke  #3 | The First Test</t>
        </is>
      </c>
      <c r="H2814" s="44" t="n">
        <v>0.0178587962962963</v>
      </c>
      <c r="I2814" s="45" t="n">
        <v>41043</v>
      </c>
      <c r="J2814" s="45" t="n">
        <v>628</v>
      </c>
      <c r="K2814" s="45" t="n">
        <v>140</v>
      </c>
      <c r="L2814" s="46" t="n"/>
      <c r="M2814" s="47" t="n"/>
      <c r="N2814" s="47" t="inlineStr">
        <is>
          <t>UCor_9jRnNNZVzTuQ92PKsaQ</t>
        </is>
      </c>
      <c r="O2814" s="48" t="n">
        <v>42033.52708333333</v>
      </c>
      <c r="P2814" s="49" t="n">
        <v>42033</v>
      </c>
      <c r="Q2814" s="47" t="n">
        <v>454</v>
      </c>
      <c r="R2814" s="47" t="inlineStr">
        <is>
          <t>No Video ID yet</t>
        </is>
      </c>
      <c r="S2814" s="49" t="n"/>
      <c r="T2814" s="49" t="n"/>
      <c r="U2814" s="47" t="inlineStr">
        <is>
          <t>As the team begins to get to know each other, rivalries start to form - Can they overcome each other to defeat the first gym leader?</t>
        </is>
      </c>
      <c r="V2814" s="47">
        <f>IF(AND(P2814&gt;=Calendar!$K$2,P2814&lt;EDATE(Calendar!$K$2,1),OR(Calendar!$K$4="*",N2814=Calendar!$K$4)),P2814*100+COUNTIFS($P$6:$P$3267,P2814,$Q$6:$Q$3267,"&lt;="&amp;Q2814,$N$6:$N$3267,Calendar!$K$4),"")</f>
        <v/>
      </c>
      <c r="W2814" s="47">
        <f>IF(AND(B2814=Queue!$C$4,OR(Queue!$K$4="*",N2814=Queue!$K$4)),Q2814,"")</f>
        <v/>
      </c>
    </row>
    <row r="2815">
      <c r="A2815" s="38">
        <f>IF(M2815="","",HYPERLINK("https://www.youtube.com/watch?v="&amp;M2815,"▶"))</f>
        <v/>
      </c>
      <c r="B2815" s="39">
        <f>IF(C2815&lt;&gt;"",C2815,IF(P2815&lt;=IFERROR(INDEX(tblChannels[Watched Through],MATCH(N2815,tblChannels[Channel ID],0)),0),"Watched","Unwatched"))</f>
        <v/>
      </c>
      <c r="C2815" s="40" t="n"/>
      <c r="D2815" s="41" t="n"/>
      <c r="E2815" s="42" t="n">
        <v>42031.94652777778</v>
      </c>
      <c r="F2815" s="50" t="inlineStr">
        <is>
          <t>Super Carlin Brothers</t>
        </is>
      </c>
      <c r="G2815" t="inlineStr">
        <is>
          <t>Save Trees, Use Paper</t>
        </is>
      </c>
      <c r="H2815" s="44" t="n">
        <v>0.003043981481481481</v>
      </c>
      <c r="I2815" s="45" t="n">
        <v>129333</v>
      </c>
      <c r="J2815" s="45" t="n">
        <v>2831</v>
      </c>
      <c r="K2815" s="45" t="n">
        <v>232</v>
      </c>
      <c r="L2815" s="46" t="n"/>
      <c r="M2815" s="47" t="n"/>
      <c r="N2815" s="47" t="inlineStr">
        <is>
          <t>UCKZo4N0lVPccBkSiuyVh4yg</t>
        </is>
      </c>
      <c r="O2815" s="48" t="n">
        <v>42032.15486111111</v>
      </c>
      <c r="P2815" s="49" t="n">
        <v>42031</v>
      </c>
      <c r="Q2815" s="47" t="n">
        <v>453</v>
      </c>
      <c r="R2815" s="47" t="inlineStr">
        <is>
          <t>No Video ID yet</t>
        </is>
      </c>
      <c r="S2815" s="49" t="n"/>
      <c r="T2815" s="49" t="n"/>
      <c r="U2815" s="47" t="inlineStr">
        <is>
          <t>Here's the thing, if you are in the business of selling paper, you are not in the business of running our of trees. How Using Paper Leads to More Trees: Save Trees Use Paper:</t>
        </is>
      </c>
      <c r="V2815" s="47">
        <f>IF(AND(P2815&gt;=Calendar!$K$2,P2815&lt;EDATE(Calendar!$K$2,1),OR(Calendar!$K$4="*",N2815=Calendar!$K$4)),P2815*100+COUNTIFS($P$6:$P$3267,P2815,$Q$6:$Q$3267,"&lt;="&amp;Q2815,$N$6:$N$3267,Calendar!$K$4),"")</f>
        <v/>
      </c>
      <c r="W2815" s="47">
        <f>IF(AND(B2815=Queue!$C$4,OR(Queue!$K$4="*",N2815=Queue!$K$4)),Q2815,"")</f>
        <v/>
      </c>
    </row>
    <row r="2816">
      <c r="A2816" s="38">
        <f>IF(M2816="","",HYPERLINK("https://www.youtube.com/watch?v="&amp;M2816,"▶"))</f>
        <v/>
      </c>
      <c r="B2816" s="39">
        <f>IF(C2816&lt;&gt;"",C2816,IF(P2816&lt;=IFERROR(INDEX(tblChannels[Watched Through],MATCH(N2816,tblChannels[Channel ID],0)),0),"Watched","Unwatched"))</f>
        <v/>
      </c>
      <c r="C2816" s="40" t="n"/>
      <c r="D2816" s="41" t="n"/>
      <c r="E2816" s="42" t="n">
        <v>42029.67847222222</v>
      </c>
      <c r="F2816" s="52" t="inlineStr">
        <is>
          <t>Super Carlin Gaming</t>
        </is>
      </c>
      <c r="G2816" t="inlineStr">
        <is>
          <t>Pokemon Heart Gold Nuzlocke #2 | New Friends!</t>
        </is>
      </c>
      <c r="H2816" s="44" t="n">
        <v>0.01980324074074074</v>
      </c>
      <c r="I2816" s="45" t="n">
        <v>48065</v>
      </c>
      <c r="J2816" s="45" t="n">
        <v>669</v>
      </c>
      <c r="K2816" s="45" t="n">
        <v>133</v>
      </c>
      <c r="L2816" s="46" t="n"/>
      <c r="M2816" s="47" t="n"/>
      <c r="N2816" s="47" t="inlineStr">
        <is>
          <t>UCor_9jRnNNZVzTuQ92PKsaQ</t>
        </is>
      </c>
      <c r="O2816" s="48" t="n">
        <v>42029.88680555556</v>
      </c>
      <c r="P2816" s="49" t="n">
        <v>42029</v>
      </c>
      <c r="Q2816" s="47" t="n">
        <v>452</v>
      </c>
      <c r="R2816" s="47" t="inlineStr">
        <is>
          <t>No Video ID yet</t>
        </is>
      </c>
      <c r="S2816" s="49" t="n"/>
      <c r="T2816" s="49" t="n"/>
      <c r="U2816" s="47" t="inlineStr">
        <is>
          <t>We continue our trip to Violet City for our first gym badge, and pick up a lot of new friends, but will they all get along? *Bear with me on the bottom screen I will be adding it in!!</t>
        </is>
      </c>
      <c r="V2816" s="47">
        <f>IF(AND(P2816&gt;=Calendar!$K$2,P2816&lt;EDATE(Calendar!$K$2,1),OR(Calendar!$K$4="*",N2816=Calendar!$K$4)),P2816*100+COUNTIFS($P$6:$P$3267,P2816,$Q$6:$Q$3267,"&lt;="&amp;Q2816,$N$6:$N$3267,Calendar!$K$4),"")</f>
        <v/>
      </c>
      <c r="W2816" s="47">
        <f>IF(AND(B2816=Queue!$C$4,OR(Queue!$K$4="*",N2816=Queue!$K$4)),Q2816,"")</f>
        <v/>
      </c>
    </row>
    <row r="2817">
      <c r="A2817" s="38">
        <f>IF(M2817="","",HYPERLINK("https://www.youtube.com/watch?v="&amp;M2817,"▶"))</f>
        <v/>
      </c>
      <c r="B2817" s="39">
        <f>IF(C2817&lt;&gt;"",C2817,IF(P2817&lt;=IFERROR(INDEX(tblChannels[Watched Through],MATCH(N2817,tblChannels[Channel ID],0)),0),"Watched","Unwatched"))</f>
        <v/>
      </c>
      <c r="C2817" s="40" t="n"/>
      <c r="D2817" s="41" t="n"/>
      <c r="E2817" s="42" t="n">
        <v>42028.36875</v>
      </c>
      <c r="F2817" s="52" t="inlineStr">
        <is>
          <t>Super Carlin Gaming</t>
        </is>
      </c>
      <c r="G2817" t="inlineStr">
        <is>
          <t>Pokemon Heart Gold Nuzlocke #1 | A New Journey!</t>
        </is>
      </c>
      <c r="H2817" s="44" t="n">
        <v>0.0225462962962963</v>
      </c>
      <c r="I2817" s="45" t="n">
        <v>118530</v>
      </c>
      <c r="J2817" s="45" t="n">
        <v>1448</v>
      </c>
      <c r="K2817" s="45" t="n">
        <v>268</v>
      </c>
      <c r="L2817" s="46" t="n"/>
      <c r="M2817" s="47" t="n"/>
      <c r="N2817" s="47" t="inlineStr">
        <is>
          <t>UCor_9jRnNNZVzTuQ92PKsaQ</t>
        </is>
      </c>
      <c r="O2817" s="48" t="n">
        <v>42028.57708333333</v>
      </c>
      <c r="P2817" s="49" t="n">
        <v>42028</v>
      </c>
      <c r="Q2817" s="47" t="n">
        <v>451</v>
      </c>
      <c r="R2817" s="47" t="inlineStr">
        <is>
          <t>No Video ID yet</t>
        </is>
      </c>
      <c r="S2817" s="49" t="n"/>
      <c r="T2817" s="49" t="n"/>
      <c r="U2817" s="47" t="inlineStr">
        <is>
          <t>Welcome back everyone to the Super Carlin Gaming Pokemon Nuzlocke challenge! We continue our adventures in the Johto region, with a new starter and a new rival... (whats his name again?). Leave some comments so I have people to name our new friends after!</t>
        </is>
      </c>
      <c r="V2817" s="47">
        <f>IF(AND(P2817&gt;=Calendar!$K$2,P2817&lt;EDATE(Calendar!$K$2,1),OR(Calendar!$K$4="*",N2817=Calendar!$K$4)),P2817*100+COUNTIFS($P$6:$P$3267,P2817,$Q$6:$Q$3267,"&lt;="&amp;Q2817,$N$6:$N$3267,Calendar!$K$4),"")</f>
        <v/>
      </c>
      <c r="W2817" s="47">
        <f>IF(AND(B2817=Queue!$C$4,OR(Queue!$K$4="*",N2817=Queue!$K$4)),Q2817,"")</f>
        <v/>
      </c>
    </row>
    <row r="2818">
      <c r="A2818" s="38">
        <f>IF(M2818="","",HYPERLINK("https://www.youtube.com/watch?v="&amp;M2818,"▶"))</f>
        <v/>
      </c>
      <c r="B2818" s="39">
        <f>IF(C2818&lt;&gt;"",C2818,IF(P2818&lt;=IFERROR(INDEX(tblChannels[Watched Through],MATCH(N2818,tblChannels[Channel ID],0)),0),"Watched","Unwatched"))</f>
        <v/>
      </c>
      <c r="C2818" s="40" t="n"/>
      <c r="D2818" s="41" t="n"/>
      <c r="E2818" s="42" t="n">
        <v>42026.92222222222</v>
      </c>
      <c r="F2818" s="50" t="inlineStr">
        <is>
          <t>Super Carlin Brothers</t>
        </is>
      </c>
      <c r="G2818" t="inlineStr">
        <is>
          <t>The Royal They</t>
        </is>
      </c>
      <c r="H2818" s="44" t="n">
        <v>0.002708333333333333</v>
      </c>
      <c r="I2818" s="45" t="n">
        <v>14043</v>
      </c>
      <c r="J2818" s="45" t="n">
        <v>411</v>
      </c>
      <c r="K2818" s="45" t="n">
        <v>62</v>
      </c>
      <c r="L2818" s="46" t="n"/>
      <c r="M2818" s="47" t="n"/>
      <c r="N2818" s="47" t="inlineStr">
        <is>
          <t>UCKZo4N0lVPccBkSiuyVh4yg</t>
        </is>
      </c>
      <c r="O2818" s="48" t="n">
        <v>42027.13055555556</v>
      </c>
      <c r="P2818" s="49" t="n">
        <v>42026</v>
      </c>
      <c r="Q2818" s="47" t="n">
        <v>450</v>
      </c>
      <c r="R2818" s="47" t="inlineStr">
        <is>
          <t>No Video ID yet</t>
        </is>
      </c>
      <c r="S2818" s="49" t="n"/>
      <c r="T2818" s="49" t="n"/>
      <c r="U2818" s="47" t="inlineStr">
        <is>
          <t>They say this will be a good one.</t>
        </is>
      </c>
      <c r="V2818" s="47">
        <f>IF(AND(P2818&gt;=Calendar!$K$2,P2818&lt;EDATE(Calendar!$K$2,1),OR(Calendar!$K$4="*",N2818=Calendar!$K$4)),P2818*100+COUNTIFS($P$6:$P$3267,P2818,$Q$6:$Q$3267,"&lt;="&amp;Q2818,$N$6:$N$3267,Calendar!$K$4),"")</f>
        <v/>
      </c>
      <c r="W2818" s="47">
        <f>IF(AND(B2818=Queue!$C$4,OR(Queue!$K$4="*",N2818=Queue!$K$4)),Q2818,"")</f>
        <v/>
      </c>
    </row>
    <row r="2819">
      <c r="A2819" s="38">
        <f>IF(M2819="","",HYPERLINK("https://www.youtube.com/watch?v="&amp;M2819,"▶"))</f>
        <v/>
      </c>
      <c r="B2819" s="39">
        <f>IF(C2819&lt;&gt;"",C2819,IF(P2819&lt;=IFERROR(INDEX(tblChannels[Watched Through],MATCH(N2819,tblChannels[Channel ID],0)),0),"Watched","Unwatched"))</f>
        <v/>
      </c>
      <c r="C2819" s="40" t="n"/>
      <c r="D2819" s="41" t="n"/>
      <c r="E2819" s="42" t="n">
        <v>42024.94166666667</v>
      </c>
      <c r="F2819" s="50" t="inlineStr">
        <is>
          <t>Super Carlin Brothers</t>
        </is>
      </c>
      <c r="G2819" t="inlineStr">
        <is>
          <t>Loot Crate Unboxing | REWIND</t>
        </is>
      </c>
      <c r="H2819" s="44" t="n">
        <v>0.005138888888888889</v>
      </c>
      <c r="I2819" s="45" t="n">
        <v>69231</v>
      </c>
      <c r="J2819" s="45" t="n">
        <v>1192</v>
      </c>
      <c r="K2819" s="45" t="n">
        <v>233</v>
      </c>
      <c r="L2819" s="46" t="n"/>
      <c r="M2819" s="47" t="n"/>
      <c r="N2819" s="47" t="inlineStr">
        <is>
          <t>UCKZo4N0lVPccBkSiuyVh4yg</t>
        </is>
      </c>
      <c r="O2819" s="48" t="n">
        <v>42025.15</v>
      </c>
      <c r="P2819" s="49" t="n">
        <v>42024</v>
      </c>
      <c r="Q2819" s="47" t="n">
        <v>449</v>
      </c>
      <c r="R2819" s="47" t="inlineStr">
        <is>
          <t>No Video ID yet</t>
        </is>
      </c>
      <c r="S2819" s="49" t="n"/>
      <c r="T2819" s="49" t="n"/>
      <c r="U2819" s="47" t="inlineStr">
        <is>
          <t>The best geek &amp; gamer gear comes from Loot Crate! Sign up at: and get 10% off with Promo Code: CARLIN So apparently Ben and I dont know who Voltron is... whoops! What should we make our comics about???</t>
        </is>
      </c>
      <c r="V2819" s="47">
        <f>IF(AND(P2819&gt;=Calendar!$K$2,P2819&lt;EDATE(Calendar!$K$2,1),OR(Calendar!$K$4="*",N2819=Calendar!$K$4)),P2819*100+COUNTIFS($P$6:$P$3267,P2819,$Q$6:$Q$3267,"&lt;="&amp;Q2819,$N$6:$N$3267,Calendar!$K$4),"")</f>
        <v/>
      </c>
      <c r="W2819" s="47">
        <f>IF(AND(B2819=Queue!$C$4,OR(Queue!$K$4="*",N2819=Queue!$K$4)),Q2819,"")</f>
        <v/>
      </c>
    </row>
    <row r="2820">
      <c r="A2820" s="38">
        <f>IF(M2820="","",HYPERLINK("https://www.youtube.com/watch?v="&amp;M2820,"▶"))</f>
        <v/>
      </c>
      <c r="B2820" s="39">
        <f>IF(C2820&lt;&gt;"",C2820,IF(P2820&lt;=IFERROR(INDEX(tblChannels[Watched Through],MATCH(N2820,tblChannels[Channel ID],0)),0),"Watched","Unwatched"))</f>
        <v/>
      </c>
      <c r="C2820" s="40" t="n"/>
      <c r="D2820" s="41" t="n"/>
      <c r="E2820" s="42" t="n">
        <v>42019.97013888889</v>
      </c>
      <c r="F2820" s="50" t="inlineStr">
        <is>
          <t>Super Carlin Brothers</t>
        </is>
      </c>
      <c r="G2820" t="inlineStr">
        <is>
          <t>I Need Advice on Google Autofill</t>
        </is>
      </c>
      <c r="H2820" s="44" t="n">
        <v>0.004756944444444445</v>
      </c>
      <c r="I2820" s="45" t="n">
        <v>75833</v>
      </c>
      <c r="J2820" s="45" t="n">
        <v>1173</v>
      </c>
      <c r="K2820" s="45" t="n">
        <v>186</v>
      </c>
      <c r="L2820" s="46" t="n"/>
      <c r="M2820" s="47" t="n"/>
      <c r="N2820" s="47" t="inlineStr">
        <is>
          <t>UCKZo4N0lVPccBkSiuyVh4yg</t>
        </is>
      </c>
      <c r="O2820" s="48" t="n">
        <v>42020.17847222222</v>
      </c>
      <c r="P2820" s="49" t="n">
        <v>42019</v>
      </c>
      <c r="Q2820" s="47" t="n">
        <v>448</v>
      </c>
      <c r="R2820" s="47" t="inlineStr">
        <is>
          <t>No Video ID yet</t>
        </is>
      </c>
      <c r="S2820" s="49" t="n"/>
      <c r="T2820" s="49" t="n"/>
      <c r="U2820" s="47" t="inlineStr">
        <is>
          <t>Someone here can surely explain the hard boiled egg references.</t>
        </is>
      </c>
      <c r="V2820" s="47">
        <f>IF(AND(P2820&gt;=Calendar!$K$2,P2820&lt;EDATE(Calendar!$K$2,1),OR(Calendar!$K$4="*",N2820=Calendar!$K$4)),P2820*100+COUNTIFS($P$6:$P$3267,P2820,$Q$6:$Q$3267,"&lt;="&amp;Q2820,$N$6:$N$3267,Calendar!$K$4),"")</f>
        <v/>
      </c>
      <c r="W2820" s="47">
        <f>IF(AND(B2820=Queue!$C$4,OR(Queue!$K$4="*",N2820=Queue!$K$4)),Q2820,"")</f>
        <v/>
      </c>
    </row>
    <row r="2821">
      <c r="A2821" s="38">
        <f>IF(M2821="","",HYPERLINK("https://www.youtube.com/watch?v="&amp;M2821,"▶"))</f>
        <v/>
      </c>
      <c r="B2821" s="39">
        <f>IF(C2821&lt;&gt;"",C2821,IF(P2821&lt;=IFERROR(INDEX(tblChannels[Watched Through],MATCH(N2821,tblChannels[Channel ID],0)),0),"Watched","Unwatched"))</f>
        <v/>
      </c>
      <c r="C2821" s="40" t="n"/>
      <c r="D2821" s="41" t="n"/>
      <c r="E2821" s="42" t="n">
        <v>42017.96319444444</v>
      </c>
      <c r="F2821" s="50" t="inlineStr">
        <is>
          <t>Super Carlin Brothers</t>
        </is>
      </c>
      <c r="G2821" t="inlineStr">
        <is>
          <t>Pixar Theory: Secret Code A113</t>
        </is>
      </c>
      <c r="H2821" s="44" t="n">
        <v>0.004224537037037037</v>
      </c>
      <c r="I2821" s="45" t="n">
        <v>865310</v>
      </c>
      <c r="J2821" s="45" t="n">
        <v>12987</v>
      </c>
      <c r="K2821" s="45" t="n">
        <v>2657</v>
      </c>
      <c r="L2821" s="46" t="n"/>
      <c r="M2821" s="47" t="n"/>
      <c r="N2821" s="47" t="inlineStr">
        <is>
          <t>UCKZo4N0lVPccBkSiuyVh4yg</t>
        </is>
      </c>
      <c r="O2821" s="48" t="n">
        <v>42018.17152777778</v>
      </c>
      <c r="P2821" s="49" t="n">
        <v>42017</v>
      </c>
      <c r="Q2821" s="47" t="n">
        <v>447</v>
      </c>
      <c r="R2821" s="47" t="inlineStr">
        <is>
          <t>No Video ID yet</t>
        </is>
      </c>
      <c r="S2821" s="49" t="n"/>
      <c r="T2821" s="49" t="n"/>
      <c r="U2821" s="47" t="inlineStr">
        <is>
          <t>What does the secret code A113 that appears in every Pixar Franchise mean??</t>
        </is>
      </c>
      <c r="V2821" s="47">
        <f>IF(AND(P2821&gt;=Calendar!$K$2,P2821&lt;EDATE(Calendar!$K$2,1),OR(Calendar!$K$4="*",N2821=Calendar!$K$4)),P2821*100+COUNTIFS($P$6:$P$3267,P2821,$Q$6:$Q$3267,"&lt;="&amp;Q2821,$N$6:$N$3267,Calendar!$K$4),"")</f>
        <v/>
      </c>
      <c r="W2821" s="47">
        <f>IF(AND(B2821=Queue!$C$4,OR(Queue!$K$4="*",N2821=Queue!$K$4)),Q2821,"")</f>
        <v/>
      </c>
    </row>
    <row r="2822">
      <c r="A2822" s="38">
        <f>IF(M2822="","",HYPERLINK("https://www.youtube.com/watch?v="&amp;M2822,"▶"))</f>
        <v/>
      </c>
      <c r="B2822" s="39">
        <f>IF(C2822&lt;&gt;"",C2822,IF(P2822&lt;=IFERROR(INDEX(tblChannels[Watched Through],MATCH(N2822,tblChannels[Channel ID],0)),0),"Watched","Unwatched"))</f>
        <v/>
      </c>
      <c r="C2822" s="40" t="n"/>
      <c r="D2822" s="41" t="n"/>
      <c r="E2822" s="42" t="n">
        <v>42016.90902777778</v>
      </c>
      <c r="F2822" s="52" t="inlineStr">
        <is>
          <t>Super Carlin Gaming</t>
        </is>
      </c>
      <c r="G2822" t="inlineStr">
        <is>
          <t>Pokemon FireRed Nuzlocke Challenge #28 | THE FINAL BATTLE</t>
        </is>
      </c>
      <c r="H2822" s="44" t="n">
        <v>0.01398148148148148</v>
      </c>
      <c r="I2822" s="45" t="n">
        <v>36060</v>
      </c>
      <c r="J2822" s="45" t="n">
        <v>754</v>
      </c>
      <c r="K2822" s="45" t="n">
        <v>179</v>
      </c>
      <c r="L2822" s="46" t="n"/>
      <c r="M2822" s="47" t="n"/>
      <c r="N2822" s="47" t="inlineStr">
        <is>
          <t>UCor_9jRnNNZVzTuQ92PKsaQ</t>
        </is>
      </c>
      <c r="O2822" s="48" t="n">
        <v>42017.11736111111</v>
      </c>
      <c r="P2822" s="49" t="n">
        <v>42016</v>
      </c>
      <c r="Q2822" s="47" t="n">
        <v>446</v>
      </c>
      <c r="R2822" s="47" t="inlineStr">
        <is>
          <t>No Video ID yet</t>
        </is>
      </c>
      <c r="S2822" s="49" t="n"/>
      <c r="T2822" s="49" t="n"/>
      <c r="U2822" s="47" t="inlineStr">
        <is>
          <t>Win or lose we have reached the final battle - Here we go! Thank you guys so much for watching! P.O. Box 657 Salem, Va 24153</t>
        </is>
      </c>
      <c r="V2822" s="47">
        <f>IF(AND(P2822&gt;=Calendar!$K$2,P2822&lt;EDATE(Calendar!$K$2,1),OR(Calendar!$K$4="*",N2822=Calendar!$K$4)),P2822*100+COUNTIFS($P$6:$P$3267,P2822,$Q$6:$Q$3267,"&lt;="&amp;Q2822,$N$6:$N$3267,Calendar!$K$4),"")</f>
        <v/>
      </c>
      <c r="W2822" s="47">
        <f>IF(AND(B2822=Queue!$C$4,OR(Queue!$K$4="*",N2822=Queue!$K$4)),Q2822,"")</f>
        <v/>
      </c>
    </row>
    <row r="2823">
      <c r="A2823" s="38">
        <f>IF(M2823="","",HYPERLINK("https://www.youtube.com/watch?v="&amp;M2823,"▶"))</f>
        <v/>
      </c>
      <c r="B2823" s="39">
        <f>IF(C2823&lt;&gt;"",C2823,IF(P2823&lt;=IFERROR(INDEX(tblChannels[Watched Through],MATCH(N2823,tblChannels[Channel ID],0)),0),"Watched","Unwatched"))</f>
        <v/>
      </c>
      <c r="C2823" s="40" t="n"/>
      <c r="D2823" s="41" t="n"/>
      <c r="E2823" s="42" t="n">
        <v>42012.91319444445</v>
      </c>
      <c r="F2823" s="50" t="inlineStr">
        <is>
          <t>Super Carlin Brothers</t>
        </is>
      </c>
      <c r="G2823" t="inlineStr">
        <is>
          <t>Vanity Interview Tag</t>
        </is>
      </c>
      <c r="H2823" s="44" t="n">
        <v>0.004212962962962963</v>
      </c>
      <c r="I2823" s="45" t="n">
        <v>10835</v>
      </c>
      <c r="J2823" s="45" t="n">
        <v>346</v>
      </c>
      <c r="K2823" s="45" t="n">
        <v>49</v>
      </c>
      <c r="L2823" s="46" t="n"/>
      <c r="M2823" s="47" t="n"/>
      <c r="N2823" s="47" t="inlineStr">
        <is>
          <t>UCKZo4N0lVPccBkSiuyVh4yg</t>
        </is>
      </c>
      <c r="O2823" s="48" t="n">
        <v>42013.12152777778</v>
      </c>
      <c r="P2823" s="49" t="n">
        <v>42012</v>
      </c>
      <c r="Q2823" s="47" t="n">
        <v>445</v>
      </c>
      <c r="R2823" s="47" t="inlineStr">
        <is>
          <t>No Video ID yet</t>
        </is>
      </c>
      <c r="S2823" s="49" t="n"/>
      <c r="T2823" s="49" t="n"/>
      <c r="U2823" s="47" t="inlineStr">
        <is>
          <t>ONE: Do you care what other people think of you? TWO: Do you care about money? THREE: Do you compare yourself to the success of others? FOUR: Do you care about how you look?</t>
        </is>
      </c>
      <c r="V2823" s="47">
        <f>IF(AND(P2823&gt;=Calendar!$K$2,P2823&lt;EDATE(Calendar!$K$2,1),OR(Calendar!$K$4="*",N2823=Calendar!$K$4)),P2823*100+COUNTIFS($P$6:$P$3267,P2823,$Q$6:$Q$3267,"&lt;="&amp;Q2823,$N$6:$N$3267,Calendar!$K$4),"")</f>
        <v/>
      </c>
      <c r="W2823" s="47">
        <f>IF(AND(B2823=Queue!$C$4,OR(Queue!$K$4="*",N2823=Queue!$K$4)),Q2823,"")</f>
        <v/>
      </c>
    </row>
    <row r="2824">
      <c r="A2824" s="38">
        <f>IF(M2824="","",HYPERLINK("https://www.youtube.com/watch?v="&amp;M2824,"▶"))</f>
        <v/>
      </c>
      <c r="B2824" s="39">
        <f>IF(C2824&lt;&gt;"",C2824,IF(P2824&lt;=IFERROR(INDEX(tblChannels[Watched Through],MATCH(N2824,tblChannels[Channel ID],0)),0),"Watched","Unwatched"))</f>
        <v/>
      </c>
      <c r="C2824" s="40" t="n"/>
      <c r="D2824" s="41" t="n"/>
      <c r="E2824" s="42" t="n">
        <v>42010.95069444444</v>
      </c>
      <c r="F2824" s="50" t="inlineStr">
        <is>
          <t>Super Carlin Brothers</t>
        </is>
      </c>
      <c r="G2824" t="inlineStr">
        <is>
          <t>BEST IN ROANOKE!</t>
        </is>
      </c>
      <c r="H2824" s="44" t="n">
        <v>0.004444444444444444</v>
      </c>
      <c r="I2824" s="45" t="n">
        <v>19543</v>
      </c>
      <c r="J2824" s="45" t="n">
        <v>672</v>
      </c>
      <c r="K2824" s="45" t="n">
        <v>135</v>
      </c>
      <c r="L2824" s="46" t="n"/>
      <c r="M2824" s="47" t="n"/>
      <c r="N2824" s="47" t="inlineStr">
        <is>
          <t>UCKZo4N0lVPccBkSiuyVh4yg</t>
        </is>
      </c>
      <c r="O2824" s="48" t="n">
        <v>42011.15902777778</v>
      </c>
      <c r="P2824" s="49" t="n">
        <v>42010</v>
      </c>
      <c r="Q2824" s="47" t="n">
        <v>444</v>
      </c>
      <c r="R2824" s="47" t="inlineStr">
        <is>
          <t>No Video ID yet</t>
        </is>
      </c>
      <c r="S2824" s="49" t="n"/>
      <c r="T2824" s="49" t="n"/>
      <c r="U2824" s="47" t="inlineStr">
        <is>
          <t>VOTE HERE: Click the Yellow Box that reads: "Let Them Do It: The Best in Services" Fill in the following categories with these answers: Best Mens Hair Cut: Jacks Fido's Favorite Place for a Walk: The Greenway Best Wedding Caterer: Pumpernickel Pickle Best Place to buy Engagement Jewelry - Jewells Fine Jewelry Best Local Wedding Venue: Center In the Square Rooftop Local Website you visit the most: MountainCorals.org Best Local Facebook Page: Super Carlin Brothers Best Twitter Feed: Jonkerlin - Jonathan Carlin Best Local Pinterest Board: MCGEEEJ - Beth McGee Best Local YouTube Channel: Super Carlin Brothers</t>
        </is>
      </c>
      <c r="V2824" s="47">
        <f>IF(AND(P2824&gt;=Calendar!$K$2,P2824&lt;EDATE(Calendar!$K$2,1),OR(Calendar!$K$4="*",N2824=Calendar!$K$4)),P2824*100+COUNTIFS($P$6:$P$3267,P2824,$Q$6:$Q$3267,"&lt;="&amp;Q2824,$N$6:$N$3267,Calendar!$K$4),"")</f>
        <v/>
      </c>
      <c r="W2824" s="47">
        <f>IF(AND(B2824=Queue!$C$4,OR(Queue!$K$4="*",N2824=Queue!$K$4)),Q2824,"")</f>
        <v/>
      </c>
    </row>
    <row r="2825">
      <c r="A2825" s="38">
        <f>IF(M2825="","",HYPERLINK("https://www.youtube.com/watch?v="&amp;M2825,"▶"))</f>
        <v/>
      </c>
      <c r="B2825" s="39">
        <f>IF(C2825&lt;&gt;"",C2825,IF(P2825&lt;=IFERROR(INDEX(tblChannels[Watched Through],MATCH(N2825,tblChannels[Channel ID],0)),0),"Watched","Unwatched"))</f>
        <v/>
      </c>
      <c r="C2825" s="40" t="n"/>
      <c r="D2825" s="41" t="n"/>
      <c r="E2825" s="42" t="n">
        <v>42008.84583333333</v>
      </c>
      <c r="F2825" s="52" t="inlineStr">
        <is>
          <t>Super Carlin Gaming</t>
        </is>
      </c>
      <c r="G2825" t="inlineStr">
        <is>
          <t>Pokemon FireRed Nuzlocke Challenge #27: The Elite 4</t>
        </is>
      </c>
      <c r="H2825" s="44" t="n">
        <v>0.01996527777777778</v>
      </c>
      <c r="I2825" s="45" t="n">
        <v>28624</v>
      </c>
      <c r="J2825" s="45" t="n">
        <v>460</v>
      </c>
      <c r="K2825" s="45" t="n">
        <v>105</v>
      </c>
      <c r="L2825" s="46" t="n"/>
      <c r="M2825" s="47" t="n"/>
      <c r="N2825" s="47" t="inlineStr">
        <is>
          <t>UCor_9jRnNNZVzTuQ92PKsaQ</t>
        </is>
      </c>
      <c r="O2825" s="48" t="n">
        <v>42009.05416666667</v>
      </c>
      <c r="P2825" s="49" t="n">
        <v>42008</v>
      </c>
      <c r="Q2825" s="47" t="n">
        <v>443</v>
      </c>
      <c r="R2825" s="47" t="inlineStr">
        <is>
          <t>No Video ID yet</t>
        </is>
      </c>
      <c r="S2825" s="49" t="n"/>
      <c r="T2825" s="49" t="n"/>
      <c r="U2825" s="47" t="inlineStr">
        <is>
          <t>The day we have been training for has finally arrived - Can the team hold their own against Kanto's best?</t>
        </is>
      </c>
      <c r="V2825" s="47">
        <f>IF(AND(P2825&gt;=Calendar!$K$2,P2825&lt;EDATE(Calendar!$K$2,1),OR(Calendar!$K$4="*",N2825=Calendar!$K$4)),P2825*100+COUNTIFS($P$6:$P$3267,P2825,$Q$6:$Q$3267,"&lt;="&amp;Q2825,$N$6:$N$3267,Calendar!$K$4),"")</f>
        <v/>
      </c>
      <c r="W2825" s="47">
        <f>IF(AND(B2825=Queue!$C$4,OR(Queue!$K$4="*",N2825=Queue!$K$4)),Q2825,"")</f>
        <v/>
      </c>
    </row>
    <row r="2826">
      <c r="A2826" s="38">
        <f>IF(M2826="","",HYPERLINK("https://www.youtube.com/watch?v="&amp;M2826,"▶"))</f>
        <v/>
      </c>
      <c r="B2826" s="39">
        <f>IF(C2826&lt;&gt;"",C2826,IF(P2826&lt;=IFERROR(INDEX(tblChannels[Watched Through],MATCH(N2826,tblChannels[Channel ID],0)),0),"Watched","Unwatched"))</f>
        <v/>
      </c>
      <c r="C2826" s="40" t="n"/>
      <c r="D2826" s="41" t="n"/>
      <c r="E2826" s="42" t="n">
        <v>42005.77916666667</v>
      </c>
      <c r="F2826" s="50" t="inlineStr">
        <is>
          <t>Super Carlin Brothers</t>
        </is>
      </c>
      <c r="G2826" t="inlineStr">
        <is>
          <t>Hey Brother!</t>
        </is>
      </c>
      <c r="H2826" s="44" t="n">
        <v>0.001076388888888889</v>
      </c>
      <c r="I2826" s="45" t="n">
        <v>30933</v>
      </c>
      <c r="J2826" s="45" t="n">
        <v>915</v>
      </c>
      <c r="K2826" s="45" t="n">
        <v>122</v>
      </c>
      <c r="L2826" s="46" t="n"/>
      <c r="M2826" s="47" t="n"/>
      <c r="N2826" s="47" t="inlineStr">
        <is>
          <t>UCKZo4N0lVPccBkSiuyVh4yg</t>
        </is>
      </c>
      <c r="O2826" s="48" t="n">
        <v>42005.9875</v>
      </c>
      <c r="P2826" s="49" t="n">
        <v>42005</v>
      </c>
      <c r="Q2826" s="47" t="n">
        <v>442</v>
      </c>
      <c r="R2826" s="47" t="inlineStr">
        <is>
          <t>No Video ID yet</t>
        </is>
      </c>
      <c r="S2826" s="49" t="n"/>
      <c r="T2826" s="49" t="n"/>
      <c r="U2826" s="47" t="inlineStr">
        <is>
          <t>Thank you to all of the wonderful SuperCarlinFriends that have supported us through 2014! What would you like to see us talk about in 2015?! Leave your thoughts down below!</t>
        </is>
      </c>
      <c r="V2826" s="47">
        <f>IF(AND(P2826&gt;=Calendar!$K$2,P2826&lt;EDATE(Calendar!$K$2,1),OR(Calendar!$K$4="*",N2826=Calendar!$K$4)),P2826*100+COUNTIFS($P$6:$P$3267,P2826,$Q$6:$Q$3267,"&lt;="&amp;Q2826,$N$6:$N$3267,Calendar!$K$4),"")</f>
        <v/>
      </c>
      <c r="W2826" s="47">
        <f>IF(AND(B2826=Queue!$C$4,OR(Queue!$K$4="*",N2826=Queue!$K$4)),Q2826,"")</f>
        <v/>
      </c>
    </row>
    <row r="2827">
      <c r="A2827" s="38">
        <f>IF(M2827="","",HYPERLINK("https://www.youtube.com/watch?v="&amp;M2827,"▶"))</f>
        <v/>
      </c>
      <c r="B2827" s="39">
        <f>IF(C2827&lt;&gt;"",C2827,IF(P2827&lt;=IFERROR(INDEX(tblChannels[Watched Through],MATCH(N2827,tblChannels[Channel ID],0)),0),"Watched","Unwatched"))</f>
        <v/>
      </c>
      <c r="C2827" s="40" t="n"/>
      <c r="D2827" s="41" t="n"/>
      <c r="E2827" s="42" t="n">
        <v>42005.71111111111</v>
      </c>
      <c r="F2827" s="52" t="inlineStr">
        <is>
          <t>Super Carlin Gaming</t>
        </is>
      </c>
      <c r="G2827" t="inlineStr">
        <is>
          <t>Pokemon FireRed Nuzlocke Challenge #26 | Victory Road</t>
        </is>
      </c>
      <c r="H2827" s="44" t="n">
        <v>0.02262731481481482</v>
      </c>
      <c r="I2827" s="45" t="n">
        <v>26321</v>
      </c>
      <c r="J2827" s="45" t="n">
        <v>459</v>
      </c>
      <c r="K2827" s="45" t="n">
        <v>76</v>
      </c>
      <c r="L2827" s="46" t="n"/>
      <c r="M2827" s="47" t="n"/>
      <c r="N2827" s="47" t="inlineStr">
        <is>
          <t>UCor_9jRnNNZVzTuQ92PKsaQ</t>
        </is>
      </c>
      <c r="O2827" s="48" t="n">
        <v>42005.91944444444</v>
      </c>
      <c r="P2827" s="49" t="n">
        <v>42005</v>
      </c>
      <c r="Q2827" s="47" t="n">
        <v>441</v>
      </c>
      <c r="R2827" s="47" t="inlineStr">
        <is>
          <t>No Video ID yet</t>
        </is>
      </c>
      <c r="S2827" s="49" t="n"/>
      <c r="T2827" s="49" t="n"/>
      <c r="U2827" s="47" t="inlineStr">
        <is>
          <t>We have selected and trained a new teammate for Victory Road.. but will their lack of real battle experience hold them back against very experienced trainers??</t>
        </is>
      </c>
      <c r="V2827" s="47">
        <f>IF(AND(P2827&gt;=Calendar!$K$2,P2827&lt;EDATE(Calendar!$K$2,1),OR(Calendar!$K$4="*",N2827=Calendar!$K$4)),P2827*100+COUNTIFS($P$6:$P$3267,P2827,$Q$6:$Q$3267,"&lt;="&amp;Q2827,$N$6:$N$3267,Calendar!$K$4),"")</f>
        <v/>
      </c>
      <c r="W2827" s="47">
        <f>IF(AND(B2827=Queue!$C$4,OR(Queue!$K$4="*",N2827=Queue!$K$4)),Q2827,"")</f>
        <v/>
      </c>
    </row>
    <row r="2828">
      <c r="A2828" s="38">
        <f>IF(M2828="","",HYPERLINK("https://www.youtube.com/watch?v="&amp;M2828,"▶"))</f>
        <v/>
      </c>
      <c r="B2828" s="39">
        <f>IF(C2828&lt;&gt;"",C2828,IF(P2828&lt;=IFERROR(INDEX(tblChannels[Watched Through],MATCH(N2828,tblChannels[Channel ID],0)),0),"Watched","Unwatched"))</f>
        <v/>
      </c>
      <c r="C2828" s="40" t="n"/>
      <c r="D2828" s="41" t="n"/>
      <c r="E2828" s="42" t="n">
        <v>42003.96111111111</v>
      </c>
      <c r="F2828" s="50" t="inlineStr">
        <is>
          <t>Super Carlin Brothers</t>
        </is>
      </c>
      <c r="G2828" t="inlineStr">
        <is>
          <t>Top 10 Favorite Pokemon | Kanto</t>
        </is>
      </c>
      <c r="H2828" s="44" t="n">
        <v>0.005439814814814815</v>
      </c>
      <c r="I2828" s="45" t="n">
        <v>149584</v>
      </c>
      <c r="J2828" s="45" t="n">
        <v>3059</v>
      </c>
      <c r="K2828" s="45" t="n">
        <v>917</v>
      </c>
      <c r="L2828" s="46" t="n"/>
      <c r="M2828" s="47" t="n"/>
      <c r="N2828" s="47" t="inlineStr">
        <is>
          <t>UCKZo4N0lVPccBkSiuyVh4yg</t>
        </is>
      </c>
      <c r="O2828" s="48" t="n">
        <v>42004.16944444444</v>
      </c>
      <c r="P2828" s="49" t="n">
        <v>42003</v>
      </c>
      <c r="Q2828" s="47" t="n">
        <v>440</v>
      </c>
      <c r="R2828" s="47" t="inlineStr">
        <is>
          <t>No Video ID yet</t>
        </is>
      </c>
      <c r="S2828" s="49" t="n"/>
      <c r="T2828" s="49" t="n"/>
      <c r="U2828" s="47" t="inlineStr">
        <is>
          <t>Who is your favorite Pokemon? Dont forget to post your #SuperCarlinSockClubPhoto SuperCarlinGaming: If you want a print like the one Ty got me you can order them from this Etsy Shop:</t>
        </is>
      </c>
      <c r="V2828" s="47">
        <f>IF(AND(P2828&gt;=Calendar!$K$2,P2828&lt;EDATE(Calendar!$K$2,1),OR(Calendar!$K$4="*",N2828=Calendar!$K$4)),P2828*100+COUNTIFS($P$6:$P$3267,P2828,$Q$6:$Q$3267,"&lt;="&amp;Q2828,$N$6:$N$3267,Calendar!$K$4),"")</f>
        <v/>
      </c>
      <c r="W2828" s="47">
        <f>IF(AND(B2828=Queue!$C$4,OR(Queue!$K$4="*",N2828=Queue!$K$4)),Q2828,"")</f>
        <v/>
      </c>
    </row>
    <row r="2829">
      <c r="A2829" s="38">
        <f>IF(M2829="","",HYPERLINK("https://www.youtube.com/watch?v="&amp;M2829,"▶"))</f>
        <v/>
      </c>
      <c r="B2829" s="39">
        <f>IF(C2829&lt;&gt;"",C2829,IF(P2829&lt;=IFERROR(INDEX(tblChannels[Watched Through],MATCH(N2829,tblChannels[Channel ID],0)),0),"Watched","Unwatched"))</f>
        <v/>
      </c>
      <c r="C2829" s="40" t="n"/>
      <c r="D2829" s="41" t="n"/>
      <c r="E2829" s="42" t="n">
        <v>42003.7625</v>
      </c>
      <c r="F2829" s="52" t="inlineStr">
        <is>
          <t>Super Carlin Gaming</t>
        </is>
      </c>
      <c r="G2829" t="inlineStr">
        <is>
          <t>Pokemon FireRed Nuzlocke Challenge #25 | Team Re-Building</t>
        </is>
      </c>
      <c r="H2829" s="44" t="n">
        <v>0.009409722222222222</v>
      </c>
      <c r="I2829" s="45" t="n">
        <v>25476</v>
      </c>
      <c r="J2829" s="45" t="n">
        <v>425</v>
      </c>
      <c r="K2829" s="45" t="n">
        <v>94</v>
      </c>
      <c r="L2829" s="46" t="n"/>
      <c r="M2829" s="47" t="n"/>
      <c r="N2829" s="47" t="inlineStr">
        <is>
          <t>UCor_9jRnNNZVzTuQ92PKsaQ</t>
        </is>
      </c>
      <c r="O2829" s="48" t="n">
        <v>42003.97083333333</v>
      </c>
      <c r="P2829" s="49" t="n">
        <v>42003</v>
      </c>
      <c r="Q2829" s="47" t="n">
        <v>439</v>
      </c>
      <c r="R2829" s="47" t="inlineStr">
        <is>
          <t>No Video ID yet</t>
        </is>
      </c>
      <c r="S2829" s="49" t="n"/>
      <c r="T2829" s="49" t="n"/>
      <c r="U2829" s="47" t="inlineStr">
        <is>
          <t>It's been a rough few weeks guys, the team has been very distraught so I decided we needed to do some team building before taking on Victory Road - Who should our 6th man be??</t>
        </is>
      </c>
      <c r="V2829" s="47">
        <f>IF(AND(P2829&gt;=Calendar!$K$2,P2829&lt;EDATE(Calendar!$K$2,1),OR(Calendar!$K$4="*",N2829=Calendar!$K$4)),P2829*100+COUNTIFS($P$6:$P$3267,P2829,$Q$6:$Q$3267,"&lt;="&amp;Q2829,$N$6:$N$3267,Calendar!$K$4),"")</f>
        <v/>
      </c>
      <c r="W2829" s="47">
        <f>IF(AND(B2829=Queue!$C$4,OR(Queue!$K$4="*",N2829=Queue!$K$4)),Q2829,"")</f>
        <v/>
      </c>
    </row>
    <row r="2830">
      <c r="A2830" s="38">
        <f>IF(M2830="","",HYPERLINK("https://www.youtube.com/watch?v="&amp;M2830,"▶"))</f>
        <v/>
      </c>
      <c r="B2830" s="39">
        <f>IF(C2830&lt;&gt;"",C2830,IF(P2830&lt;=IFERROR(INDEX(tblChannels[Watched Through],MATCH(N2830,tblChannels[Channel ID],0)),0),"Watched","Unwatched"))</f>
        <v/>
      </c>
      <c r="C2830" s="40" t="n"/>
      <c r="D2830" s="41" t="n"/>
      <c r="E2830" s="42" t="n">
        <v>41996.81597222222</v>
      </c>
      <c r="F2830" s="50" t="inlineStr">
        <is>
          <t>Super Carlin Brothers</t>
        </is>
      </c>
      <c r="G2830" t="inlineStr">
        <is>
          <t>Loot Crate Unboxing | GROOT SOCKS</t>
        </is>
      </c>
      <c r="H2830" s="44" t="n">
        <v>0.004247685185185185</v>
      </c>
      <c r="I2830" s="45" t="n">
        <v>60525</v>
      </c>
      <c r="J2830" s="45" t="n">
        <v>1171</v>
      </c>
      <c r="K2830" s="45" t="n">
        <v>232</v>
      </c>
      <c r="L2830" s="46" t="n"/>
      <c r="M2830" s="47" t="n"/>
      <c r="N2830" s="47" t="inlineStr">
        <is>
          <t>UCKZo4N0lVPccBkSiuyVh4yg</t>
        </is>
      </c>
      <c r="O2830" s="48" t="n">
        <v>41997.02430555555</v>
      </c>
      <c r="P2830" s="49" t="n">
        <v>41996</v>
      </c>
      <c r="Q2830" s="47" t="n">
        <v>438</v>
      </c>
      <c r="R2830" s="47" t="inlineStr">
        <is>
          <t>No Video ID yet</t>
        </is>
      </c>
      <c r="S2830" s="49" t="n"/>
      <c r="T2830" s="49" t="n"/>
      <c r="U2830" s="47" t="inlineStr">
        <is>
          <t>Giveaway! All you have to do is follow J (@jonkerlin) and Ben (@bpcarlin) on Instagram and like this weeks Loot Crate photos! (It's okay if you already follow us, we don't hold that against you) Interested in getting your own Subscription to Loot Crate? We can helps! Just use the link www.LootCrate.com/SuperCarlinBrothers and use the promo code: CARLIN for 10% off!</t>
        </is>
      </c>
      <c r="V2830" s="47">
        <f>IF(AND(P2830&gt;=Calendar!$K$2,P2830&lt;EDATE(Calendar!$K$2,1),OR(Calendar!$K$4="*",N2830=Calendar!$K$4)),P2830*100+COUNTIFS($P$6:$P$3267,P2830,$Q$6:$Q$3267,"&lt;="&amp;Q2830,$N$6:$N$3267,Calendar!$K$4),"")</f>
        <v/>
      </c>
      <c r="W2830" s="47">
        <f>IF(AND(B2830=Queue!$C$4,OR(Queue!$K$4="*",N2830=Queue!$K$4)),Q2830,"")</f>
        <v/>
      </c>
    </row>
    <row r="2831">
      <c r="A2831" s="38">
        <f>IF(M2831="","",HYPERLINK("https://www.youtube.com/watch?v="&amp;M2831,"▶"))</f>
        <v/>
      </c>
      <c r="B2831" s="39">
        <f>IF(C2831&lt;&gt;"",C2831,IF(P2831&lt;=IFERROR(INDEX(tblChannels[Watched Through],MATCH(N2831,tblChannels[Channel ID],0)),0),"Watched","Unwatched"))</f>
        <v/>
      </c>
      <c r="C2831" s="40" t="n"/>
      <c r="D2831" s="41" t="n"/>
      <c r="E2831" s="42" t="n">
        <v>41991.95416666667</v>
      </c>
      <c r="F2831" s="50" t="inlineStr">
        <is>
          <t>Super Carlin Brothers</t>
        </is>
      </c>
      <c r="G2831" t="inlineStr">
        <is>
          <t>P4A: Mountain Corals</t>
        </is>
      </c>
      <c r="H2831" s="44" t="n">
        <v>0.00349537037037037</v>
      </c>
      <c r="I2831" s="45" t="n">
        <v>7448</v>
      </c>
      <c r="J2831" s="45" t="n">
        <v>241</v>
      </c>
      <c r="K2831" s="45" t="n">
        <v>106</v>
      </c>
      <c r="L2831" s="46" t="n"/>
      <c r="M2831" s="47" t="n"/>
      <c r="N2831" s="47" t="inlineStr">
        <is>
          <t>UCKZo4N0lVPccBkSiuyVh4yg</t>
        </is>
      </c>
      <c r="O2831" s="48" t="n">
        <v>41992.1625</v>
      </c>
      <c r="P2831" s="49" t="n">
        <v>41991</v>
      </c>
      <c r="Q2831" s="47" t="n">
        <v>437</v>
      </c>
      <c r="R2831" s="47" t="inlineStr">
        <is>
          <t>No Video ID yet</t>
        </is>
      </c>
      <c r="S2831" s="49" t="n"/>
      <c r="T2831" s="49" t="n"/>
      <c r="U2831" s="47" t="inlineStr">
        <is>
          <t>We are giving away 5 Mountain Corals t-shirts!! I designed these shirts myself and probably take for more pride in them than is necessary... so the more you love them the happier it will make me. Also we wear Mountain Corals shirts on Friday. I can't lie, yall are already really cool. But you'd be even cooler and we could match if you had you're very own MC shirt to rock. So if interested! Just leave a comment!</t>
        </is>
      </c>
      <c r="V2831" s="47">
        <f>IF(AND(P2831&gt;=Calendar!$K$2,P2831&lt;EDATE(Calendar!$K$2,1),OR(Calendar!$K$4="*",N2831=Calendar!$K$4)),P2831*100+COUNTIFS($P$6:$P$3267,P2831,$Q$6:$Q$3267,"&lt;="&amp;Q2831,$N$6:$N$3267,Calendar!$K$4),"")</f>
        <v/>
      </c>
      <c r="W2831" s="47">
        <f>IF(AND(B2831=Queue!$C$4,OR(Queue!$K$4="*",N2831=Queue!$K$4)),Q2831,"")</f>
        <v/>
      </c>
    </row>
    <row r="2832">
      <c r="A2832" s="38">
        <f>IF(M2832="","",HYPERLINK("https://www.youtube.com/watch?v="&amp;M2832,"▶"))</f>
        <v/>
      </c>
      <c r="B2832" s="39">
        <f>IF(C2832&lt;&gt;"",C2832,IF(P2832&lt;=IFERROR(INDEX(tblChannels[Watched Through],MATCH(N2832,tblChannels[Channel ID],0)),0),"Watched","Unwatched"))</f>
        <v/>
      </c>
      <c r="C2832" s="40" t="n"/>
      <c r="D2832" s="41" t="n"/>
      <c r="E2832" s="42" t="n">
        <v>41989.3625</v>
      </c>
      <c r="F2832" s="50" t="inlineStr">
        <is>
          <t>Super Carlin Brothers</t>
        </is>
      </c>
      <c r="G2832" t="inlineStr">
        <is>
          <t>Do Bagels Google Autofill</t>
        </is>
      </c>
      <c r="H2832" s="44" t="n">
        <v>0.002766203703703704</v>
      </c>
      <c r="I2832" s="45" t="n">
        <v>219836</v>
      </c>
      <c r="J2832" s="45" t="n">
        <v>3353</v>
      </c>
      <c r="K2832" s="45" t="n">
        <v>502</v>
      </c>
      <c r="L2832" s="46" t="n"/>
      <c r="M2832" s="47" t="n"/>
      <c r="N2832" s="47" t="inlineStr">
        <is>
          <t>UCKZo4N0lVPccBkSiuyVh4yg</t>
        </is>
      </c>
      <c r="O2832" s="48" t="n">
        <v>41989.57083333333</v>
      </c>
      <c r="P2832" s="49" t="n">
        <v>41989</v>
      </c>
      <c r="Q2832" s="47" t="n">
        <v>436</v>
      </c>
      <c r="R2832" s="47" t="inlineStr">
        <is>
          <t>No Video ID yet</t>
        </is>
      </c>
      <c r="S2832" s="49" t="n"/>
      <c r="T2832" s="49" t="n"/>
      <c r="U2832" s="47" t="inlineStr">
        <is>
          <t>Bread.. what a loser am I right? But which came first, the bagel or the hole? Google Autofill is super easy! All you have to do is go in to Google type the first half of a question and let google fill in the rest with each letter of the alphabet and then you answer them! Have you done a google autofill? Share it with us!</t>
        </is>
      </c>
      <c r="V2832" s="47">
        <f>IF(AND(P2832&gt;=Calendar!$K$2,P2832&lt;EDATE(Calendar!$K$2,1),OR(Calendar!$K$4="*",N2832=Calendar!$K$4)),P2832*100+COUNTIFS($P$6:$P$3267,P2832,$Q$6:$Q$3267,"&lt;="&amp;Q2832,$N$6:$N$3267,Calendar!$K$4),"")</f>
        <v/>
      </c>
      <c r="W2832" s="47">
        <f>IF(AND(B2832=Queue!$C$4,OR(Queue!$K$4="*",N2832=Queue!$K$4)),Q2832,"")</f>
        <v/>
      </c>
    </row>
    <row r="2833">
      <c r="A2833" s="38">
        <f>IF(M2833="","",HYPERLINK("https://www.youtube.com/watch?v="&amp;M2833,"▶"))</f>
        <v/>
      </c>
      <c r="B2833" s="39">
        <f>IF(C2833&lt;&gt;"",C2833,IF(P2833&lt;=IFERROR(INDEX(tblChannels[Watched Through],MATCH(N2833,tblChannels[Channel ID],0)),0),"Watched","Unwatched"))</f>
        <v/>
      </c>
      <c r="C2833" s="40" t="n"/>
      <c r="D2833" s="41" t="n"/>
      <c r="E2833" s="42" t="n">
        <v>41984.96944444445</v>
      </c>
      <c r="F2833" s="50" t="inlineStr">
        <is>
          <t>Super Carlin Brothers</t>
        </is>
      </c>
      <c r="G2833" t="inlineStr">
        <is>
          <t>Trashcan Society</t>
        </is>
      </c>
      <c r="H2833" s="44" t="n">
        <v>0.003784722222222222</v>
      </c>
      <c r="I2833" s="45" t="n">
        <v>16758</v>
      </c>
      <c r="J2833" s="45" t="n">
        <v>602</v>
      </c>
      <c r="K2833" s="45" t="n">
        <v>116</v>
      </c>
      <c r="L2833" s="46" t="n"/>
      <c r="M2833" s="47" t="n"/>
      <c r="N2833" s="47" t="inlineStr">
        <is>
          <t>UCKZo4N0lVPccBkSiuyVh4yg</t>
        </is>
      </c>
      <c r="O2833" s="48" t="n">
        <v>41985.17777777778</v>
      </c>
      <c r="P2833" s="49" t="n">
        <v>41984</v>
      </c>
      <c r="Q2833" s="47" t="n">
        <v>435</v>
      </c>
      <c r="R2833" s="47" t="inlineStr">
        <is>
          <t>No Video ID yet</t>
        </is>
      </c>
      <c r="S2833" s="49" t="n"/>
      <c r="T2833" s="49" t="n"/>
      <c r="U2833" s="47" t="n"/>
      <c r="V2833" s="47">
        <f>IF(AND(P2833&gt;=Calendar!$K$2,P2833&lt;EDATE(Calendar!$K$2,1),OR(Calendar!$K$4="*",N2833=Calendar!$K$4)),P2833*100+COUNTIFS($P$6:$P$3267,P2833,$Q$6:$Q$3267,"&lt;="&amp;Q2833,$N$6:$N$3267,Calendar!$K$4),"")</f>
        <v/>
      </c>
      <c r="W2833" s="47">
        <f>IF(AND(B2833=Queue!$C$4,OR(Queue!$K$4="*",N2833=Queue!$K$4)),Q2833,"")</f>
        <v/>
      </c>
    </row>
    <row r="2834">
      <c r="A2834" s="38">
        <f>IF(M2834="","",HYPERLINK("https://www.youtube.com/watch?v="&amp;M2834,"▶"))</f>
        <v/>
      </c>
      <c r="B2834" s="39">
        <f>IF(C2834&lt;&gt;"",C2834,IF(P2834&lt;=IFERROR(INDEX(tblChannels[Watched Through],MATCH(N2834,tblChannels[Channel ID],0)),0),"Watched","Unwatched"))</f>
        <v/>
      </c>
      <c r="C2834" s="40" t="n"/>
      <c r="D2834" s="41" t="n"/>
      <c r="E2834" s="42" t="n">
        <v>41982.92013888889</v>
      </c>
      <c r="F2834" s="50" t="inlineStr">
        <is>
          <t>Super Carlin Brothers</t>
        </is>
      </c>
      <c r="G2834" t="inlineStr">
        <is>
          <t>WE GOT ENGAGED!!</t>
        </is>
      </c>
      <c r="H2834" s="44" t="n">
        <v>0.003993055555555555</v>
      </c>
      <c r="I2834" s="45" t="n">
        <v>232244</v>
      </c>
      <c r="J2834" s="45" t="n">
        <v>6292</v>
      </c>
      <c r="K2834" s="45" t="n">
        <v>993</v>
      </c>
      <c r="L2834" s="46" t="n"/>
      <c r="M2834" s="47" t="n"/>
      <c r="N2834" s="47" t="inlineStr">
        <is>
          <t>UCKZo4N0lVPccBkSiuyVh4yg</t>
        </is>
      </c>
      <c r="O2834" s="48" t="n">
        <v>41983.12847222222</v>
      </c>
      <c r="P2834" s="49" t="n">
        <v>41982</v>
      </c>
      <c r="Q2834" s="47" t="n">
        <v>434</v>
      </c>
      <c r="R2834" s="47" t="inlineStr">
        <is>
          <t>No Video ID yet</t>
        </is>
      </c>
      <c r="S2834" s="49" t="n"/>
      <c r="T2834" s="49" t="n"/>
      <c r="U2834" s="47" t="inlineStr">
        <is>
          <t>200 Days and counting until the #SuperCarlinWedding !!! Follow the action on our Instagrams: @Jonkerlin and @JMUBeth History of December 5th ::</t>
        </is>
      </c>
      <c r="V2834" s="47">
        <f>IF(AND(P2834&gt;=Calendar!$K$2,P2834&lt;EDATE(Calendar!$K$2,1),OR(Calendar!$K$4="*",N2834=Calendar!$K$4)),P2834*100+COUNTIFS($P$6:$P$3267,P2834,$Q$6:$Q$3267,"&lt;="&amp;Q2834,$N$6:$N$3267,Calendar!$K$4),"")</f>
        <v/>
      </c>
      <c r="W2834" s="47">
        <f>IF(AND(B2834=Queue!$C$4,OR(Queue!$K$4="*",N2834=Queue!$K$4)),Q2834,"")</f>
        <v/>
      </c>
    </row>
    <row r="2835">
      <c r="A2835" s="38">
        <f>IF(M2835="","",HYPERLINK("https://www.youtube.com/watch?v="&amp;M2835,"▶"))</f>
        <v/>
      </c>
      <c r="B2835" s="39">
        <f>IF(C2835&lt;&gt;"",C2835,IF(P2835&lt;=IFERROR(INDEX(tblChannels[Watched Through],MATCH(N2835,tblChannels[Channel ID],0)),0),"Watched","Unwatched"))</f>
        <v/>
      </c>
      <c r="C2835" s="40" t="n"/>
      <c r="D2835" s="41" t="n"/>
      <c r="E2835" s="42" t="n">
        <v>41977.79791666667</v>
      </c>
      <c r="F2835" s="50" t="inlineStr">
        <is>
          <t>Super Carlin Brothers</t>
        </is>
      </c>
      <c r="G2835" t="inlineStr">
        <is>
          <t>The Create Your Player Theory</t>
        </is>
      </c>
      <c r="H2835" s="44" t="n">
        <v>0.00425925925925926</v>
      </c>
      <c r="I2835" s="45" t="n">
        <v>56500</v>
      </c>
      <c r="J2835" s="45" t="n">
        <v>1365</v>
      </c>
      <c r="K2835" s="45" t="n">
        <v>180</v>
      </c>
      <c r="L2835" s="46" t="n"/>
      <c r="M2835" s="47" t="n"/>
      <c r="N2835" s="47" t="inlineStr">
        <is>
          <t>UCKZo4N0lVPccBkSiuyVh4yg</t>
        </is>
      </c>
      <c r="O2835" s="48" t="n">
        <v>41978.00625</v>
      </c>
      <c r="P2835" s="49" t="n">
        <v>41977</v>
      </c>
      <c r="Q2835" s="47" t="n">
        <v>433</v>
      </c>
      <c r="R2835" s="47" t="inlineStr">
        <is>
          <t>No Video ID yet</t>
        </is>
      </c>
      <c r="S2835" s="49" t="n"/>
      <c r="T2835" s="49" t="n"/>
      <c r="U2835" s="47" t="inlineStr">
        <is>
          <t>BONUS QUESTION: Can you earn additional points? In a world of equal points everyone would average to... lets say 83. Earning points would allow your average across all attributes to actually be higher.</t>
        </is>
      </c>
      <c r="V2835" s="47">
        <f>IF(AND(P2835&gt;=Calendar!$K$2,P2835&lt;EDATE(Calendar!$K$2,1),OR(Calendar!$K$4="*",N2835=Calendar!$K$4)),P2835*100+COUNTIFS($P$6:$P$3267,P2835,$Q$6:$Q$3267,"&lt;="&amp;Q2835,$N$6:$N$3267,Calendar!$K$4),"")</f>
        <v/>
      </c>
      <c r="W2835" s="47">
        <f>IF(AND(B2835=Queue!$C$4,OR(Queue!$K$4="*",N2835=Queue!$K$4)),Q2835,"")</f>
        <v/>
      </c>
    </row>
    <row r="2836">
      <c r="A2836" s="38">
        <f>IF(M2836="","",HYPERLINK("https://www.youtube.com/watch?v="&amp;M2836,"▶"))</f>
        <v/>
      </c>
      <c r="B2836" s="39">
        <f>IF(C2836&lt;&gt;"",C2836,IF(P2836&lt;=IFERROR(INDEX(tblChannels[Watched Through],MATCH(N2836,tblChannels[Channel ID],0)),0),"Watched","Unwatched"))</f>
        <v/>
      </c>
      <c r="C2836" s="40" t="n"/>
      <c r="D2836" s="41" t="n"/>
      <c r="E2836" s="42" t="n">
        <v>41975.90833333333</v>
      </c>
      <c r="F2836" s="50" t="inlineStr">
        <is>
          <t>Super Carlin Brothers</t>
        </is>
      </c>
      <c r="G2836" t="inlineStr">
        <is>
          <t>ASK J! The Future, White Girl Words and Zombies!</t>
        </is>
      </c>
      <c r="H2836" s="44" t="n">
        <v>0.003125</v>
      </c>
      <c r="I2836" s="45" t="n">
        <v>41889</v>
      </c>
      <c r="J2836" s="45" t="n">
        <v>919</v>
      </c>
      <c r="K2836" s="45" t="n">
        <v>319</v>
      </c>
      <c r="L2836" s="46" t="n"/>
      <c r="M2836" s="47" t="n"/>
      <c r="N2836" s="47" t="inlineStr">
        <is>
          <t>UCKZo4N0lVPccBkSiuyVh4yg</t>
        </is>
      </c>
      <c r="O2836" s="48" t="n">
        <v>41976.11666666667</v>
      </c>
      <c r="P2836" s="49" t="n">
        <v>41975</v>
      </c>
      <c r="Q2836" s="47" t="n">
        <v>432</v>
      </c>
      <c r="R2836" s="47" t="inlineStr">
        <is>
          <t>No Video ID yet</t>
        </is>
      </c>
      <c r="S2836" s="49" t="n"/>
      <c r="T2836" s="49" t="n"/>
      <c r="U2836" s="47" t="inlineStr">
        <is>
          <t>Today I am answering all of YOUR questions! (Obvi =P) The real question is... what IS THAT SMELL? Also what is your favorite holiday tradition and are you interested in SCB T-Shirts and/or posters??</t>
        </is>
      </c>
      <c r="V2836" s="47">
        <f>IF(AND(P2836&gt;=Calendar!$K$2,P2836&lt;EDATE(Calendar!$K$2,1),OR(Calendar!$K$4="*",N2836=Calendar!$K$4)),P2836*100+COUNTIFS($P$6:$P$3267,P2836,$Q$6:$Q$3267,"&lt;="&amp;Q2836,$N$6:$N$3267,Calendar!$K$4),"")</f>
        <v/>
      </c>
      <c r="W2836" s="47">
        <f>IF(AND(B2836=Queue!$C$4,OR(Queue!$K$4="*",N2836=Queue!$K$4)),Q2836,"")</f>
        <v/>
      </c>
    </row>
    <row r="2837">
      <c r="A2837" s="38">
        <f>IF(M2837="","",HYPERLINK("https://www.youtube.com/watch?v="&amp;M2837,"▶"))</f>
        <v/>
      </c>
      <c r="B2837" s="39">
        <f>IF(C2837&lt;&gt;"",C2837,IF(P2837&lt;=IFERROR(INDEX(tblChannels[Watched Through],MATCH(N2837,tblChannels[Channel ID],0)),0),"Watched","Unwatched"))</f>
        <v/>
      </c>
      <c r="C2837" s="40" t="n"/>
      <c r="D2837" s="41" t="n"/>
      <c r="E2837" s="42" t="n">
        <v>41968.96180555555</v>
      </c>
      <c r="F2837" s="50" t="inlineStr">
        <is>
          <t>Super Carlin Brothers</t>
        </is>
      </c>
      <c r="G2837" t="inlineStr">
        <is>
          <t>Loot Crate Unboxing | BATTLE</t>
        </is>
      </c>
      <c r="H2837" s="44" t="n">
        <v>0.004884259259259259</v>
      </c>
      <c r="I2837" s="45" t="n">
        <v>74817</v>
      </c>
      <c r="J2837" s="45" t="n">
        <v>1230</v>
      </c>
      <c r="K2837" s="45" t="n">
        <v>600</v>
      </c>
      <c r="L2837" s="46" t="n"/>
      <c r="M2837" s="47" t="n"/>
      <c r="N2837" s="47" t="inlineStr">
        <is>
          <t>UCKZo4N0lVPccBkSiuyVh4yg</t>
        </is>
      </c>
      <c r="O2837" s="48" t="n">
        <v>41969.17013888889</v>
      </c>
      <c r="P2837" s="49" t="n">
        <v>41968</v>
      </c>
      <c r="Q2837" s="47" t="n">
        <v>431</v>
      </c>
      <c r="R2837" s="47" t="inlineStr">
        <is>
          <t>No Video ID yet</t>
        </is>
      </c>
      <c r="S2837" s="49" t="n"/>
      <c r="T2837" s="49" t="n"/>
      <c r="U2837" s="47" t="inlineStr">
        <is>
          <t>The best geek &amp; gamer gear comes from Loot Crate! Sign up at: and get 10% off with Promo Code: CARLIN CONTEST: Follow both of us on Instagram and Like the Lootcrate photos shown in the video and you will be entered into a random drawing for a FREE Loot Crate Instagram:</t>
        </is>
      </c>
      <c r="V2837" s="47">
        <f>IF(AND(P2837&gt;=Calendar!$K$2,P2837&lt;EDATE(Calendar!$K$2,1),OR(Calendar!$K$4="*",N2837=Calendar!$K$4)),P2837*100+COUNTIFS($P$6:$P$3267,P2837,$Q$6:$Q$3267,"&lt;="&amp;Q2837,$N$6:$N$3267,Calendar!$K$4),"")</f>
        <v/>
      </c>
      <c r="W2837" s="47">
        <f>IF(AND(B2837=Queue!$C$4,OR(Queue!$K$4="*",N2837=Queue!$K$4)),Q2837,"")</f>
        <v/>
      </c>
    </row>
    <row r="2838">
      <c r="A2838" s="38">
        <f>IF(M2838="","",HYPERLINK("https://www.youtube.com/watch?v="&amp;M2838,"▶"))</f>
        <v/>
      </c>
      <c r="B2838" s="39">
        <f>IF(C2838&lt;&gt;"",C2838,IF(P2838&lt;=IFERROR(INDEX(tblChannels[Watched Through],MATCH(N2838,tblChannels[Channel ID],0)),0),"Watched","Unwatched"))</f>
        <v/>
      </c>
      <c r="C2838" s="40" t="n"/>
      <c r="D2838" s="41" t="n"/>
      <c r="E2838" s="42" t="n">
        <v>41963.80416666667</v>
      </c>
      <c r="F2838" s="50" t="inlineStr">
        <is>
          <t>Super Carlin Brothers</t>
        </is>
      </c>
      <c r="G2838" t="inlineStr">
        <is>
          <t>STAINLESS STEEL Episode of SCB</t>
        </is>
      </c>
      <c r="H2838" s="44" t="n">
        <v>0.003321759259259259</v>
      </c>
      <c r="I2838" s="45" t="n">
        <v>9494</v>
      </c>
      <c r="J2838" s="45" t="n">
        <v>286</v>
      </c>
      <c r="K2838" s="45" t="n">
        <v>42</v>
      </c>
      <c r="L2838" s="46" t="n"/>
      <c r="M2838" s="47" t="n"/>
      <c r="N2838" s="47" t="inlineStr">
        <is>
          <t>UCKZo4N0lVPccBkSiuyVh4yg</t>
        </is>
      </c>
      <c r="O2838" s="48" t="n">
        <v>41964.0125</v>
      </c>
      <c r="P2838" s="49" t="n">
        <v>41963</v>
      </c>
      <c r="Q2838" s="47" t="n">
        <v>430</v>
      </c>
      <c r="R2838" s="47" t="inlineStr">
        <is>
          <t>No Video ID yet</t>
        </is>
      </c>
      <c r="S2838" s="49" t="n"/>
      <c r="T2838" s="49" t="n"/>
      <c r="U2838" s="47" t="inlineStr">
        <is>
          <t>Show of hands... how many people thought we were one!?</t>
        </is>
      </c>
      <c r="V2838" s="47">
        <f>IF(AND(P2838&gt;=Calendar!$K$2,P2838&lt;EDATE(Calendar!$K$2,1),OR(Calendar!$K$4="*",N2838=Calendar!$K$4)),P2838*100+COUNTIFS($P$6:$P$3267,P2838,$Q$6:$Q$3267,"&lt;="&amp;Q2838,$N$6:$N$3267,Calendar!$K$4),"")</f>
        <v/>
      </c>
      <c r="W2838" s="47">
        <f>IF(AND(B2838=Queue!$C$4,OR(Queue!$K$4="*",N2838=Queue!$K$4)),Q2838,"")</f>
        <v/>
      </c>
    </row>
    <row r="2839">
      <c r="A2839" s="38">
        <f>IF(M2839="","",HYPERLINK("https://www.youtube.com/watch?v="&amp;M2839,"▶"))</f>
        <v/>
      </c>
      <c r="B2839" s="39">
        <f>IF(C2839&lt;&gt;"",C2839,IF(P2839&lt;=IFERROR(INDEX(tblChannels[Watched Through],MATCH(N2839,tblChannels[Channel ID],0)),0),"Watched","Unwatched"))</f>
        <v/>
      </c>
      <c r="C2839" s="40" t="n"/>
      <c r="D2839" s="41" t="n"/>
      <c r="E2839" s="42" t="n">
        <v>41961.9</v>
      </c>
      <c r="F2839" s="50" t="inlineStr">
        <is>
          <t>Super Carlin Brothers</t>
        </is>
      </c>
      <c r="G2839" t="inlineStr">
        <is>
          <t>How to Relax</t>
        </is>
      </c>
      <c r="H2839" s="44" t="n">
        <v>0.003113425925925926</v>
      </c>
      <c r="I2839" s="45" t="n">
        <v>39057</v>
      </c>
      <c r="J2839" s="45" t="n">
        <v>942</v>
      </c>
      <c r="K2839" s="45" t="n">
        <v>192</v>
      </c>
      <c r="L2839" s="46" t="n"/>
      <c r="M2839" s="47" t="n"/>
      <c r="N2839" s="47" t="inlineStr">
        <is>
          <t>UCKZo4N0lVPccBkSiuyVh4yg</t>
        </is>
      </c>
      <c r="O2839" s="48" t="n">
        <v>41962.10833333333</v>
      </c>
      <c r="P2839" s="49" t="n">
        <v>41961</v>
      </c>
      <c r="Q2839" s="47" t="n">
        <v>429</v>
      </c>
      <c r="R2839" s="47" t="inlineStr">
        <is>
          <t>No Video ID yet</t>
        </is>
      </c>
      <c r="S2839" s="49" t="n"/>
      <c r="T2839" s="49" t="n"/>
      <c r="U2839" s="47" t="inlineStr">
        <is>
          <t>What do you do to relax?? Will you be at PlayList this weekend!?!</t>
        </is>
      </c>
      <c r="V2839" s="47">
        <f>IF(AND(P2839&gt;=Calendar!$K$2,P2839&lt;EDATE(Calendar!$K$2,1),OR(Calendar!$K$4="*",N2839=Calendar!$K$4)),P2839*100+COUNTIFS($P$6:$P$3267,P2839,$Q$6:$Q$3267,"&lt;="&amp;Q2839,$N$6:$N$3267,Calendar!$K$4),"")</f>
        <v/>
      </c>
      <c r="W2839" s="47">
        <f>IF(AND(B2839=Queue!$C$4,OR(Queue!$K$4="*",N2839=Queue!$K$4)),Q2839,"")</f>
        <v/>
      </c>
    </row>
    <row r="2840">
      <c r="A2840" s="38">
        <f>IF(M2840="","",HYPERLINK("https://www.youtube.com/watch?v="&amp;M2840,"▶"))</f>
        <v/>
      </c>
      <c r="B2840" s="39">
        <f>IF(C2840&lt;&gt;"",C2840,IF(P2840&lt;=IFERROR(INDEX(tblChannels[Watched Through],MATCH(N2840,tblChannels[Channel ID],0)),0),"Watched","Unwatched"))</f>
        <v/>
      </c>
      <c r="C2840" s="40" t="n"/>
      <c r="D2840" s="41" t="n"/>
      <c r="E2840" s="42" t="n">
        <v>41956.80763888889</v>
      </c>
      <c r="F2840" s="50" t="inlineStr">
        <is>
          <t>Super Carlin Brothers</t>
        </is>
      </c>
      <c r="G2840" t="inlineStr">
        <is>
          <t>Middle Child SYNDROME</t>
        </is>
      </c>
      <c r="H2840" s="44" t="n">
        <v>0.003090277777777778</v>
      </c>
      <c r="I2840" s="45" t="n">
        <v>145383</v>
      </c>
      <c r="J2840" s="45" t="n">
        <v>3384</v>
      </c>
      <c r="K2840" s="45" t="n">
        <v>1442</v>
      </c>
      <c r="L2840" s="46" t="n"/>
      <c r="M2840" s="47" t="n"/>
      <c r="N2840" s="47" t="inlineStr">
        <is>
          <t>UCKZo4N0lVPccBkSiuyVh4yg</t>
        </is>
      </c>
      <c r="O2840" s="48" t="n">
        <v>41957.01597222222</v>
      </c>
      <c r="P2840" s="49" t="n">
        <v>41956</v>
      </c>
      <c r="Q2840" s="47" t="n">
        <v>428</v>
      </c>
      <c r="R2840" s="47" t="inlineStr">
        <is>
          <t>No Video ID yet</t>
        </is>
      </c>
      <c r="S2840" s="49" t="n"/>
      <c r="T2840" s="49" t="n"/>
      <c r="U2840" s="47" t="n"/>
      <c r="V2840" s="47">
        <f>IF(AND(P2840&gt;=Calendar!$K$2,P2840&lt;EDATE(Calendar!$K$2,1),OR(Calendar!$K$4="*",N2840=Calendar!$K$4)),P2840*100+COUNTIFS($P$6:$P$3267,P2840,$Q$6:$Q$3267,"&lt;="&amp;Q2840,$N$6:$N$3267,Calendar!$K$4),"")</f>
        <v/>
      </c>
      <c r="W2840" s="47">
        <f>IF(AND(B2840=Queue!$C$4,OR(Queue!$K$4="*",N2840=Queue!$K$4)),Q2840,"")</f>
        <v/>
      </c>
    </row>
    <row r="2841">
      <c r="A2841" s="38">
        <f>IF(M2841="","",HYPERLINK("https://www.youtube.com/watch?v="&amp;M2841,"▶"))</f>
        <v/>
      </c>
      <c r="B2841" s="39">
        <f>IF(C2841&lt;&gt;"",C2841,IF(P2841&lt;=IFERROR(INDEX(tblChannels[Watched Through],MATCH(N2841,tblChannels[Channel ID],0)),0),"Watched","Unwatched"))</f>
        <v/>
      </c>
      <c r="C2841" s="40" t="n"/>
      <c r="D2841" s="41" t="n"/>
      <c r="E2841" s="42" t="n">
        <v>41954.92083333333</v>
      </c>
      <c r="F2841" s="50" t="inlineStr">
        <is>
          <t>Super Carlin Brothers</t>
        </is>
      </c>
      <c r="G2841" t="inlineStr">
        <is>
          <t>Fear vs Phobia</t>
        </is>
      </c>
      <c r="H2841" s="44" t="n">
        <v>0.003611111111111111</v>
      </c>
      <c r="I2841" s="45" t="n">
        <v>236509</v>
      </c>
      <c r="J2841" s="45" t="n">
        <v>5355</v>
      </c>
      <c r="K2841" s="45" t="n">
        <v>2825</v>
      </c>
      <c r="L2841" s="46" t="n"/>
      <c r="M2841" s="47" t="n"/>
      <c r="N2841" s="47" t="inlineStr">
        <is>
          <t>UCKZo4N0lVPccBkSiuyVh4yg</t>
        </is>
      </c>
      <c r="O2841" s="48" t="n">
        <v>41955.12916666667</v>
      </c>
      <c r="P2841" s="49" t="n">
        <v>41954</v>
      </c>
      <c r="Q2841" s="47" t="n">
        <v>427</v>
      </c>
      <c r="R2841" s="47" t="inlineStr">
        <is>
          <t>No Video ID yet</t>
        </is>
      </c>
      <c r="S2841" s="49" t="n"/>
      <c r="T2841" s="49" t="n"/>
      <c r="U2841" s="47" t="inlineStr">
        <is>
          <t>What are you afraid of?? Instagram:</t>
        </is>
      </c>
      <c r="V2841" s="47">
        <f>IF(AND(P2841&gt;=Calendar!$K$2,P2841&lt;EDATE(Calendar!$K$2,1),OR(Calendar!$K$4="*",N2841=Calendar!$K$4)),P2841*100+COUNTIFS($P$6:$P$3267,P2841,$Q$6:$Q$3267,"&lt;="&amp;Q2841,$N$6:$N$3267,Calendar!$K$4),"")</f>
        <v/>
      </c>
      <c r="W2841" s="47">
        <f>IF(AND(B2841=Queue!$C$4,OR(Queue!$K$4="*",N2841=Queue!$K$4)),Q2841,"")</f>
        <v/>
      </c>
    </row>
    <row r="2842">
      <c r="A2842" s="38">
        <f>IF(M2842="","",HYPERLINK("https://www.youtube.com/watch?v="&amp;M2842,"▶"))</f>
        <v/>
      </c>
      <c r="B2842" s="39">
        <f>IF(C2842&lt;&gt;"",C2842,IF(P2842&lt;=IFERROR(INDEX(tblChannels[Watched Through],MATCH(N2842,tblChannels[Channel ID],0)),0),"Watched","Unwatched"))</f>
        <v/>
      </c>
      <c r="C2842" s="40" t="n"/>
      <c r="D2842" s="41" t="n"/>
      <c r="E2842" s="42" t="n">
        <v>41949.87083333333</v>
      </c>
      <c r="F2842" s="50" t="inlineStr">
        <is>
          <t>Super Carlin Brothers</t>
        </is>
      </c>
      <c r="G2842" t="inlineStr">
        <is>
          <t>Batman Politics!</t>
        </is>
      </c>
      <c r="H2842" s="44" t="n">
        <v>0.00318287037037037</v>
      </c>
      <c r="I2842" s="45" t="n">
        <v>41647</v>
      </c>
      <c r="J2842" s="45" t="n">
        <v>962</v>
      </c>
      <c r="K2842" s="45" t="n">
        <v>141</v>
      </c>
      <c r="L2842" s="46" t="n"/>
      <c r="M2842" s="47" t="n"/>
      <c r="N2842" s="47" t="inlineStr">
        <is>
          <t>UCKZo4N0lVPccBkSiuyVh4yg</t>
        </is>
      </c>
      <c r="O2842" s="48" t="n">
        <v>41950.07916666667</v>
      </c>
      <c r="P2842" s="49" t="n">
        <v>41949</v>
      </c>
      <c r="Q2842" s="47" t="n">
        <v>426</v>
      </c>
      <c r="R2842" s="47" t="inlineStr">
        <is>
          <t>No Video ID yet</t>
        </is>
      </c>
      <c r="S2842" s="49" t="n"/>
      <c r="T2842" s="49" t="n"/>
      <c r="U2842" s="47" t="inlineStr">
        <is>
          <t>ARE YOU FOR THE BATMAN?!?! It's almost a lesson in physics... matter cannot be created or destroyed. Same with politics, and resources. At this point there are good ideas... Plenty of them. The real question is... how do we use them to best serve society. The</t>
        </is>
      </c>
      <c r="V2842" s="47">
        <f>IF(AND(P2842&gt;=Calendar!$K$2,P2842&lt;EDATE(Calendar!$K$2,1),OR(Calendar!$K$4="*",N2842=Calendar!$K$4)),P2842*100+COUNTIFS($P$6:$P$3267,P2842,$Q$6:$Q$3267,"&lt;="&amp;Q2842,$N$6:$N$3267,Calendar!$K$4),"")</f>
        <v/>
      </c>
      <c r="W2842" s="47">
        <f>IF(AND(B2842=Queue!$C$4,OR(Queue!$K$4="*",N2842=Queue!$K$4)),Q2842,"")</f>
        <v/>
      </c>
    </row>
    <row r="2843">
      <c r="A2843" s="38">
        <f>IF(M2843="","",HYPERLINK("https://www.youtube.com/watch?v="&amp;M2843,"▶"))</f>
        <v/>
      </c>
      <c r="B2843" s="39">
        <f>IF(C2843&lt;&gt;"",C2843,IF(P2843&lt;=IFERROR(INDEX(tblChannels[Watched Through],MATCH(N2843,tblChannels[Channel ID],0)),0),"Watched","Unwatched"))</f>
        <v/>
      </c>
      <c r="C2843" s="40" t="n"/>
      <c r="D2843" s="41" t="n"/>
      <c r="E2843" s="42" t="n">
        <v>41949.18055555555</v>
      </c>
      <c r="F2843" s="52" t="inlineStr">
        <is>
          <t>Super Carlin Gaming</t>
        </is>
      </c>
      <c r="G2843" t="inlineStr">
        <is>
          <t>Pokemon FireRed Nuzlocke Challenge #24: I HATE PEACHES</t>
        </is>
      </c>
      <c r="H2843" s="44" t="n">
        <v>0.01033564814814815</v>
      </c>
      <c r="I2843" s="45" t="n">
        <v>29707</v>
      </c>
      <c r="J2843" s="45" t="n">
        <v>582</v>
      </c>
      <c r="K2843" s="45" t="n">
        <v>310</v>
      </c>
      <c r="L2843" s="46" t="n"/>
      <c r="M2843" s="47" t="n"/>
      <c r="N2843" s="47" t="inlineStr">
        <is>
          <t>UCor_9jRnNNZVzTuQ92PKsaQ</t>
        </is>
      </c>
      <c r="O2843" s="48" t="n">
        <v>41949.38888888889</v>
      </c>
      <c r="P2843" s="49" t="n">
        <v>41949</v>
      </c>
      <c r="Q2843" s="47" t="n">
        <v>425</v>
      </c>
      <c r="R2843" s="47" t="inlineStr">
        <is>
          <t>No Video ID yet</t>
        </is>
      </c>
      <c r="S2843" s="49" t="n"/>
      <c r="T2843" s="49" t="n"/>
      <c r="U2843" s="47" t="inlineStr">
        <is>
          <t>One final encounter with Peaches before the Pokemon League.. can we take down our hated rival??</t>
        </is>
      </c>
      <c r="V2843" s="47">
        <f>IF(AND(P2843&gt;=Calendar!$K$2,P2843&lt;EDATE(Calendar!$K$2,1),OR(Calendar!$K$4="*",N2843=Calendar!$K$4)),P2843*100+COUNTIFS($P$6:$P$3267,P2843,$Q$6:$Q$3267,"&lt;="&amp;Q2843,$N$6:$N$3267,Calendar!$K$4),"")</f>
        <v/>
      </c>
      <c r="W2843" s="47">
        <f>IF(AND(B2843=Queue!$C$4,OR(Queue!$K$4="*",N2843=Queue!$K$4)),Q2843,"")</f>
        <v/>
      </c>
    </row>
    <row r="2844">
      <c r="A2844" s="38">
        <f>IF(M2844="","",HYPERLINK("https://www.youtube.com/watch?v="&amp;M2844,"▶"))</f>
        <v/>
      </c>
      <c r="B2844" s="39">
        <f>IF(C2844&lt;&gt;"",C2844,IF(P2844&lt;=IFERROR(INDEX(tblChannels[Watched Through],MATCH(N2844,tblChannels[Channel ID],0)),0),"Watched","Unwatched"))</f>
        <v/>
      </c>
      <c r="C2844" s="40" t="n"/>
      <c r="D2844" s="41" t="n"/>
      <c r="E2844" s="42" t="n">
        <v>41947.91875</v>
      </c>
      <c r="F2844" s="50" t="inlineStr">
        <is>
          <t>Super Carlin Brothers</t>
        </is>
      </c>
      <c r="G2844" t="inlineStr">
        <is>
          <t>Does Darth Vader Google Autofill</t>
        </is>
      </c>
      <c r="H2844" s="44" t="n">
        <v>0.004861111111111111</v>
      </c>
      <c r="I2844" s="45" t="n">
        <v>310917</v>
      </c>
      <c r="J2844" s="45" t="n">
        <v>7182</v>
      </c>
      <c r="K2844" s="45" t="n">
        <v>1383</v>
      </c>
      <c r="L2844" s="46" t="n"/>
      <c r="M2844" s="47" t="n"/>
      <c r="N2844" s="47" t="inlineStr">
        <is>
          <t>UCKZo4N0lVPccBkSiuyVh4yg</t>
        </is>
      </c>
      <c r="O2844" s="48" t="n">
        <v>41948.12708333333</v>
      </c>
      <c r="P2844" s="49" t="n">
        <v>41947</v>
      </c>
      <c r="Q2844" s="47" t="n">
        <v>424</v>
      </c>
      <c r="R2844" s="47" t="inlineStr">
        <is>
          <t>No Video ID yet</t>
        </is>
      </c>
      <c r="S2844" s="49" t="n"/>
      <c r="T2844" s="49" t="n"/>
      <c r="U2844" s="47" t="inlineStr">
        <is>
          <t>Who is your favorite Star Wars Character??</t>
        </is>
      </c>
      <c r="V2844" s="47">
        <f>IF(AND(P2844&gt;=Calendar!$K$2,P2844&lt;EDATE(Calendar!$K$2,1),OR(Calendar!$K$4="*",N2844=Calendar!$K$4)),P2844*100+COUNTIFS($P$6:$P$3267,P2844,$Q$6:$Q$3267,"&lt;="&amp;Q2844,$N$6:$N$3267,Calendar!$K$4),"")</f>
        <v/>
      </c>
      <c r="W2844" s="47">
        <f>IF(AND(B2844=Queue!$C$4,OR(Queue!$K$4="*",N2844=Queue!$K$4)),Q2844,"")</f>
        <v/>
      </c>
    </row>
    <row r="2845">
      <c r="A2845" s="38">
        <f>IF(M2845="","",HYPERLINK("https://www.youtube.com/watch?v="&amp;M2845,"▶"))</f>
        <v/>
      </c>
      <c r="B2845" s="39">
        <f>IF(C2845&lt;&gt;"",C2845,IF(P2845&lt;=IFERROR(INDEX(tblChannels[Watched Through],MATCH(N2845,tblChannels[Channel ID],0)),0),"Watched","Unwatched"))</f>
        <v/>
      </c>
      <c r="C2845" s="40" t="n"/>
      <c r="D2845" s="41" t="n"/>
      <c r="E2845" s="42" t="n">
        <v>41942.87986111111</v>
      </c>
      <c r="F2845" s="50" t="inlineStr">
        <is>
          <t>Super Carlin Brothers</t>
        </is>
      </c>
      <c r="G2845" t="inlineStr">
        <is>
          <t>What is a Giraffalent?!</t>
        </is>
      </c>
      <c r="H2845" s="44" t="n">
        <v>0.003217592592592593</v>
      </c>
      <c r="I2845" s="45" t="n">
        <v>54909</v>
      </c>
      <c r="J2845" s="45" t="n">
        <v>1085</v>
      </c>
      <c r="K2845" s="45" t="n">
        <v>128</v>
      </c>
      <c r="L2845" s="46" t="n"/>
      <c r="M2845" s="47" t="n"/>
      <c r="N2845" s="47" t="inlineStr">
        <is>
          <t>UCKZo4N0lVPccBkSiuyVh4yg</t>
        </is>
      </c>
      <c r="O2845" s="48" t="n">
        <v>41943.04652777778</v>
      </c>
      <c r="P2845" s="49" t="n">
        <v>41942</v>
      </c>
      <c r="Q2845" s="47" t="n">
        <v>423</v>
      </c>
      <c r="R2845" s="47" t="inlineStr">
        <is>
          <t>No Video ID yet</t>
        </is>
      </c>
      <c r="S2845" s="49" t="n"/>
      <c r="T2845" s="49" t="n"/>
      <c r="U2845" s="47" t="inlineStr">
        <is>
          <t>Once and for all we can finally put a cause to our unrelenting animosity towards our Giraffalent foe. Also, Feeling excited about an idea? I give out free high fives. Just let me know. @SCB_Ben</t>
        </is>
      </c>
      <c r="V2845" s="47">
        <f>IF(AND(P2845&gt;=Calendar!$K$2,P2845&lt;EDATE(Calendar!$K$2,1),OR(Calendar!$K$4="*",N2845=Calendar!$K$4)),P2845*100+COUNTIFS($P$6:$P$3267,P2845,$Q$6:$Q$3267,"&lt;="&amp;Q2845,$N$6:$N$3267,Calendar!$K$4),"")</f>
        <v/>
      </c>
      <c r="W2845" s="47">
        <f>IF(AND(B2845=Queue!$C$4,OR(Queue!$K$4="*",N2845=Queue!$K$4)),Q2845,"")</f>
        <v/>
      </c>
    </row>
    <row r="2846">
      <c r="A2846" s="38">
        <f>IF(M2846="","",HYPERLINK("https://www.youtube.com/watch?v="&amp;M2846,"▶"))</f>
        <v/>
      </c>
      <c r="B2846" s="39">
        <f>IF(C2846&lt;&gt;"",C2846,IF(P2846&lt;=IFERROR(INDEX(tblChannels[Watched Through],MATCH(N2846,tblChannels[Channel ID],0)),0),"Watched","Unwatched"))</f>
        <v/>
      </c>
      <c r="C2846" s="40" t="n"/>
      <c r="D2846" s="41" t="n"/>
      <c r="E2846" s="42" t="n">
        <v>41940.99583333333</v>
      </c>
      <c r="F2846" s="50" t="inlineStr">
        <is>
          <t>Super Carlin Brothers</t>
        </is>
      </c>
      <c r="G2846" t="inlineStr">
        <is>
          <t>Who is Doctor Strange?</t>
        </is>
      </c>
      <c r="H2846" s="44" t="n">
        <v>0.004699074074074074</v>
      </c>
      <c r="I2846" s="45" t="n">
        <v>184477</v>
      </c>
      <c r="J2846" s="45" t="n">
        <v>3829</v>
      </c>
      <c r="K2846" s="45" t="n">
        <v>563</v>
      </c>
      <c r="L2846" s="46" t="n"/>
      <c r="M2846" s="47" t="n"/>
      <c r="N2846" s="47" t="inlineStr">
        <is>
          <t>UCKZo4N0lVPccBkSiuyVh4yg</t>
        </is>
      </c>
      <c r="O2846" s="48" t="n">
        <v>41941.1625</v>
      </c>
      <c r="P2846" s="49" t="n">
        <v>41940</v>
      </c>
      <c r="Q2846" s="47" t="n">
        <v>422</v>
      </c>
      <c r="R2846" s="47" t="inlineStr">
        <is>
          <t>No Video ID yet</t>
        </is>
      </c>
      <c r="S2846" s="49" t="n"/>
      <c r="T2846" s="49" t="n"/>
      <c r="U2846" s="47" t="inlineStr">
        <is>
          <t>With the recent announcement that Benedict Cumberbatch will be playing Doctor Strange I decided to put on my detective hat figure out who this mysterious super hero is. SCB TV Tropes: Sign up for LootCrate at: 10% Off with Promo Code: CARLIN</t>
        </is>
      </c>
      <c r="V2846" s="47">
        <f>IF(AND(P2846&gt;=Calendar!$K$2,P2846&lt;EDATE(Calendar!$K$2,1),OR(Calendar!$K$4="*",N2846=Calendar!$K$4)),P2846*100+COUNTIFS($P$6:$P$3267,P2846,$Q$6:$Q$3267,"&lt;="&amp;Q2846,$N$6:$N$3267,Calendar!$K$4),"")</f>
        <v/>
      </c>
      <c r="W2846" s="47">
        <f>IF(AND(B2846=Queue!$C$4,OR(Queue!$K$4="*",N2846=Queue!$K$4)),Q2846,"")</f>
        <v/>
      </c>
    </row>
    <row r="2847">
      <c r="A2847" s="38">
        <f>IF(M2847="","",HYPERLINK("https://www.youtube.com/watch?v="&amp;M2847,"▶"))</f>
        <v/>
      </c>
      <c r="B2847" s="39">
        <f>IF(C2847&lt;&gt;"",C2847,IF(P2847&lt;=IFERROR(INDEX(tblChannels[Watched Through],MATCH(N2847,tblChannels[Channel ID],0)),0),"Watched","Unwatched"))</f>
        <v/>
      </c>
      <c r="C2847" s="40" t="n"/>
      <c r="D2847" s="41" t="n"/>
      <c r="E2847" s="42" t="n">
        <v>41935.97430555556</v>
      </c>
      <c r="F2847" s="50" t="inlineStr">
        <is>
          <t>Super Carlin Brothers</t>
        </is>
      </c>
      <c r="G2847" t="inlineStr">
        <is>
          <t>Rated R Pixar: Finding Nemo</t>
        </is>
      </c>
      <c r="H2847" s="44" t="n">
        <v>0.005763888888888889</v>
      </c>
      <c r="I2847" s="45" t="n">
        <v>879793</v>
      </c>
      <c r="J2847" s="45" t="n">
        <v>11238</v>
      </c>
      <c r="K2847" s="45" t="n">
        <v>1032</v>
      </c>
      <c r="L2847" s="46" t="n"/>
      <c r="M2847" s="47" t="n"/>
      <c r="N2847" s="47" t="inlineStr">
        <is>
          <t>UCKZo4N0lVPccBkSiuyVh4yg</t>
        </is>
      </c>
      <c r="O2847" s="48" t="n">
        <v>41936.14097222222</v>
      </c>
      <c r="P2847" s="49" t="n">
        <v>41935</v>
      </c>
      <c r="Q2847" s="47" t="n">
        <v>421</v>
      </c>
      <c r="R2847" s="47" t="inlineStr">
        <is>
          <t>No Video ID yet</t>
        </is>
      </c>
      <c r="S2847" s="49" t="n"/>
      <c r="T2847" s="49" t="n"/>
      <c r="U2847" s="47" t="inlineStr">
        <is>
          <t>Do I speak decent whale!? To enter the LootCrate Box giveaway: Follow both Ben and J on Instagram @Bpcarlin and @Jonkerlin "Like" Both LootCrate item photos! Want to order your own lootcrate?!? Get 10% off at www.lootcrate.com/supercarlinbrothers Promo Code: CARLIN</t>
        </is>
      </c>
      <c r="V2847" s="47">
        <f>IF(AND(P2847&gt;=Calendar!$K$2,P2847&lt;EDATE(Calendar!$K$2,1),OR(Calendar!$K$4="*",N2847=Calendar!$K$4)),P2847*100+COUNTIFS($P$6:$P$3267,P2847,$Q$6:$Q$3267,"&lt;="&amp;Q2847,$N$6:$N$3267,Calendar!$K$4),"")</f>
        <v/>
      </c>
      <c r="W2847" s="47">
        <f>IF(AND(B2847=Queue!$C$4,OR(Queue!$K$4="*",N2847=Queue!$K$4)),Q2847,"")</f>
        <v/>
      </c>
    </row>
    <row r="2848">
      <c r="A2848" s="38">
        <f>IF(M2848="","",HYPERLINK("https://www.youtube.com/watch?v="&amp;M2848,"▶"))</f>
        <v/>
      </c>
      <c r="B2848" s="39">
        <f>IF(C2848&lt;&gt;"",C2848,IF(P2848&lt;=IFERROR(INDEX(tblChannels[Watched Through],MATCH(N2848,tblChannels[Channel ID],0)),0),"Watched","Unwatched"))</f>
        <v/>
      </c>
      <c r="C2848" s="40" t="n"/>
      <c r="D2848" s="41" t="n"/>
      <c r="E2848" s="42" t="n">
        <v>41933.96388888889</v>
      </c>
      <c r="F2848" s="50" t="inlineStr">
        <is>
          <t>Super Carlin Brothers</t>
        </is>
      </c>
      <c r="G2848" t="inlineStr">
        <is>
          <t>Loot Crate UNBOXING - FEAR</t>
        </is>
      </c>
      <c r="H2848" s="44" t="n">
        <v>0.005046296296296296</v>
      </c>
      <c r="I2848" s="45" t="n">
        <v>71544</v>
      </c>
      <c r="J2848" s="45" t="n">
        <v>1311</v>
      </c>
      <c r="K2848" s="45" t="n">
        <v>139</v>
      </c>
      <c r="L2848" s="46" t="n"/>
      <c r="M2848" s="47" t="n"/>
      <c r="N2848" s="47" t="inlineStr">
        <is>
          <t>UCKZo4N0lVPccBkSiuyVh4yg</t>
        </is>
      </c>
      <c r="O2848" s="48" t="n">
        <v>41934.13055555556</v>
      </c>
      <c r="P2848" s="49" t="n">
        <v>41933</v>
      </c>
      <c r="Q2848" s="47" t="n">
        <v>420</v>
      </c>
      <c r="R2848" s="47" t="inlineStr">
        <is>
          <t>No Video ID yet</t>
        </is>
      </c>
      <c r="S2848" s="49" t="n"/>
      <c r="T2848" s="49" t="n"/>
      <c r="U2848" s="47" t="inlineStr">
        <is>
          <t>400 Episodes!!!! The best geek &amp; gamer gear comes from Loot Crate! Sign up at: and get 10% off with Promo Code: CARLIN CONTEST: Follow both of us on Instagram and Like the Lootcrate photos shown in the video and you will be entered into a random drawing for a FREE Loot Crate Instagram:</t>
        </is>
      </c>
      <c r="V2848" s="47">
        <f>IF(AND(P2848&gt;=Calendar!$K$2,P2848&lt;EDATE(Calendar!$K$2,1),OR(Calendar!$K$4="*",N2848=Calendar!$K$4)),P2848*100+COUNTIFS($P$6:$P$3267,P2848,$Q$6:$Q$3267,"&lt;="&amp;Q2848,$N$6:$N$3267,Calendar!$K$4),"")</f>
        <v/>
      </c>
      <c r="W2848" s="47">
        <f>IF(AND(B2848=Queue!$C$4,OR(Queue!$K$4="*",N2848=Queue!$K$4)),Q2848,"")</f>
        <v/>
      </c>
    </row>
    <row r="2849">
      <c r="A2849" s="38">
        <f>IF(M2849="","",HYPERLINK("https://www.youtube.com/watch?v="&amp;M2849,"▶"))</f>
        <v/>
      </c>
      <c r="B2849" s="39">
        <f>IF(C2849&lt;&gt;"",C2849,IF(P2849&lt;=IFERROR(INDEX(tblChannels[Watched Through],MATCH(N2849,tblChannels[Channel ID],0)),0),"Watched","Unwatched"))</f>
        <v/>
      </c>
      <c r="C2849" s="40" t="n"/>
      <c r="D2849" s="41" t="n"/>
      <c r="E2849" s="42" t="n">
        <v>41928.86805555555</v>
      </c>
      <c r="F2849" s="50" t="inlineStr">
        <is>
          <t>Super Carlin Brothers</t>
        </is>
      </c>
      <c r="G2849" t="inlineStr">
        <is>
          <t>COFFEE TIPS?!</t>
        </is>
      </c>
      <c r="H2849" s="44" t="n">
        <v>0.002824074074074074</v>
      </c>
      <c r="I2849" s="45" t="n">
        <v>10984</v>
      </c>
      <c r="J2849" s="45" t="n">
        <v>273</v>
      </c>
      <c r="K2849" s="45" t="n">
        <v>78</v>
      </c>
      <c r="L2849" s="46" t="n"/>
      <c r="M2849" s="47" t="n"/>
      <c r="N2849" s="47" t="inlineStr">
        <is>
          <t>UCKZo4N0lVPccBkSiuyVh4yg</t>
        </is>
      </c>
      <c r="O2849" s="48" t="n">
        <v>41929.03472222222</v>
      </c>
      <c r="P2849" s="49" t="n">
        <v>41928</v>
      </c>
      <c r="Q2849" s="47" t="n">
        <v>419</v>
      </c>
      <c r="R2849" s="47" t="inlineStr">
        <is>
          <t>No Video ID yet</t>
        </is>
      </c>
      <c r="S2849" s="49" t="n"/>
      <c r="T2849" s="49" t="n"/>
      <c r="U2849" s="47" t="inlineStr">
        <is>
          <t>How do you handle tipping when buying coffee?? I can't help but be bothered if I'm unintentionally upsetting someone with something that I'm doing without realizing it... This problem for me goes well beyond ordering and paying for coffee. But today that's the example that seemed prominent. Once upon a time I talked about intention when it comes to causing someone harm/distress/mild agitation. This is one of those scenarios. I am not trying to indicate anything about the service or my feelings towards my regular barista or the product or anything. My not tipping is not sending a message of any kind.... How would you take it?!</t>
        </is>
      </c>
      <c r="V2849" s="47">
        <f>IF(AND(P2849&gt;=Calendar!$K$2,P2849&lt;EDATE(Calendar!$K$2,1),OR(Calendar!$K$4="*",N2849=Calendar!$K$4)),P2849*100+COUNTIFS($P$6:$P$3267,P2849,$Q$6:$Q$3267,"&lt;="&amp;Q2849,$N$6:$N$3267,Calendar!$K$4),"")</f>
        <v/>
      </c>
      <c r="W2849" s="47">
        <f>IF(AND(B2849=Queue!$C$4,OR(Queue!$K$4="*",N2849=Queue!$K$4)),Q2849,"")</f>
        <v/>
      </c>
    </row>
    <row r="2850">
      <c r="A2850" s="38">
        <f>IF(M2850="","",HYPERLINK("https://www.youtube.com/watch?v="&amp;M2850,"▶"))</f>
        <v/>
      </c>
      <c r="B2850" s="39">
        <f>IF(C2850&lt;&gt;"",C2850,IF(P2850&lt;=IFERROR(INDEX(tblChannels[Watched Through],MATCH(N2850,tblChannels[Channel ID],0)),0),"Watched","Unwatched"))</f>
        <v/>
      </c>
      <c r="C2850" s="40" t="n"/>
      <c r="D2850" s="41" t="n"/>
      <c r="E2850" s="42" t="n">
        <v>41926.88819444444</v>
      </c>
      <c r="F2850" s="50" t="inlineStr">
        <is>
          <t>Super Carlin Brothers</t>
        </is>
      </c>
      <c r="G2850" t="inlineStr">
        <is>
          <t>How to Sleep - The Early Bird Paradox</t>
        </is>
      </c>
      <c r="H2850" s="44" t="n">
        <v>0.0034375</v>
      </c>
      <c r="I2850" s="45" t="n">
        <v>194980</v>
      </c>
      <c r="J2850" s="45" t="n">
        <v>3696</v>
      </c>
      <c r="K2850" s="45" t="n">
        <v>888</v>
      </c>
      <c r="L2850" s="46" t="n"/>
      <c r="M2850" s="47" t="n"/>
      <c r="N2850" s="47" t="inlineStr">
        <is>
          <t>UCKZo4N0lVPccBkSiuyVh4yg</t>
        </is>
      </c>
      <c r="O2850" s="48" t="n">
        <v>41927.05486111111</v>
      </c>
      <c r="P2850" s="49" t="n">
        <v>41926</v>
      </c>
      <c r="Q2850" s="47" t="n">
        <v>418</v>
      </c>
      <c r="R2850" s="47" t="inlineStr">
        <is>
          <t>No Video ID yet</t>
        </is>
      </c>
      <c r="S2850" s="49" t="n"/>
      <c r="T2850" s="49" t="n"/>
      <c r="U2850" s="47" t="inlineStr">
        <is>
          <t>In which J makes the startling discovery that Exhaustion = Sleep What Podcasts should I listen to? J's recommended listening: Welcome to Night Vale :: Hello Internet :: Freakanomics :: Mod-3 iPhone Case ::</t>
        </is>
      </c>
      <c r="V2850" s="47">
        <f>IF(AND(P2850&gt;=Calendar!$K$2,P2850&lt;EDATE(Calendar!$K$2,1),OR(Calendar!$K$4="*",N2850=Calendar!$K$4)),P2850*100+COUNTIFS($P$6:$P$3267,P2850,$Q$6:$Q$3267,"&lt;="&amp;Q2850,$N$6:$N$3267,Calendar!$K$4),"")</f>
        <v/>
      </c>
      <c r="W2850" s="47">
        <f>IF(AND(B2850=Queue!$C$4,OR(Queue!$K$4="*",N2850=Queue!$K$4)),Q2850,"")</f>
        <v/>
      </c>
    </row>
    <row r="2851">
      <c r="A2851" s="38">
        <f>IF(M2851="","",HYPERLINK("https://www.youtube.com/watch?v="&amp;M2851,"▶"))</f>
        <v/>
      </c>
      <c r="B2851" s="39">
        <f>IF(C2851&lt;&gt;"",C2851,IF(P2851&lt;=IFERROR(INDEX(tblChannels[Watched Through],MATCH(N2851,tblChannels[Channel ID],0)),0),"Watched","Unwatched"))</f>
        <v/>
      </c>
      <c r="C2851" s="40" t="n"/>
      <c r="D2851" s="41" t="n"/>
      <c r="E2851" s="42" t="n">
        <v>41921.96527777778</v>
      </c>
      <c r="F2851" s="50" t="inlineStr">
        <is>
          <t>Super Carlin Brothers</t>
        </is>
      </c>
      <c r="G2851" t="inlineStr">
        <is>
          <t>My Quarter Life Crisis!</t>
        </is>
      </c>
      <c r="H2851" s="44" t="n">
        <v>0.003657407407407407</v>
      </c>
      <c r="I2851" s="45" t="n">
        <v>15340</v>
      </c>
      <c r="J2851" s="45" t="n">
        <v>413</v>
      </c>
      <c r="K2851" s="45" t="n">
        <v>86</v>
      </c>
      <c r="L2851" s="46" t="n"/>
      <c r="M2851" s="47" t="n"/>
      <c r="N2851" s="47" t="inlineStr">
        <is>
          <t>UCKZo4N0lVPccBkSiuyVh4yg</t>
        </is>
      </c>
      <c r="O2851" s="48" t="n">
        <v>41922.13194444445</v>
      </c>
      <c r="P2851" s="49" t="n">
        <v>41921</v>
      </c>
      <c r="Q2851" s="47" t="n">
        <v>417</v>
      </c>
      <c r="R2851" s="47" t="inlineStr">
        <is>
          <t>No Video ID yet</t>
        </is>
      </c>
      <c r="S2851" s="49" t="n"/>
      <c r="T2851" s="49" t="n"/>
      <c r="U2851" s="47" t="inlineStr">
        <is>
          <t>So what's something that's troubling you right now?! and how can you help others?! The true irony to this video... is that I'm referencing every idea I have that I'm afraid I won't be able to pursue yet suffered from crippling vloggers block all day...</t>
        </is>
      </c>
      <c r="V2851" s="47">
        <f>IF(AND(P2851&gt;=Calendar!$K$2,P2851&lt;EDATE(Calendar!$K$2,1),OR(Calendar!$K$4="*",N2851=Calendar!$K$4)),P2851*100+COUNTIFS($P$6:$P$3267,P2851,$Q$6:$Q$3267,"&lt;="&amp;Q2851,$N$6:$N$3267,Calendar!$K$4),"")</f>
        <v/>
      </c>
      <c r="W2851" s="47">
        <f>IF(AND(B2851=Queue!$C$4,OR(Queue!$K$4="*",N2851=Queue!$K$4)),Q2851,"")</f>
        <v/>
      </c>
    </row>
    <row r="2852">
      <c r="A2852" s="38">
        <f>IF(M2852="","",HYPERLINK("https://www.youtube.com/watch?v="&amp;M2852,"▶"))</f>
        <v/>
      </c>
      <c r="B2852" s="39">
        <f>IF(C2852&lt;&gt;"",C2852,IF(P2852&lt;=IFERROR(INDEX(tblChannels[Watched Through],MATCH(N2852,tblChannels[Channel ID],0)),0),"Watched","Unwatched"))</f>
        <v/>
      </c>
      <c r="C2852" s="40" t="n"/>
      <c r="D2852" s="41" t="n"/>
      <c r="E2852" s="42" t="n">
        <v>41919.92638888889</v>
      </c>
      <c r="F2852" s="50" t="inlineStr">
        <is>
          <t>Super Carlin Brothers</t>
        </is>
      </c>
      <c r="G2852" t="inlineStr">
        <is>
          <t>In Defense of Slytherin</t>
        </is>
      </c>
      <c r="H2852" s="44" t="n">
        <v>0.003472222222222222</v>
      </c>
      <c r="I2852" s="45" t="n">
        <v>1476840</v>
      </c>
      <c r="J2852" s="45" t="n">
        <v>33397</v>
      </c>
      <c r="K2852" s="45" t="n">
        <v>15791</v>
      </c>
      <c r="L2852" s="46" t="n"/>
      <c r="M2852" s="47" t="n"/>
      <c r="N2852" s="47" t="inlineStr">
        <is>
          <t>UCKZo4N0lVPccBkSiuyVh4yg</t>
        </is>
      </c>
      <c r="O2852" s="48" t="n">
        <v>41920.09305555555</v>
      </c>
      <c r="P2852" s="49" t="n">
        <v>41919</v>
      </c>
      <c r="Q2852" s="47" t="n">
        <v>416</v>
      </c>
      <c r="R2852" s="47" t="inlineStr">
        <is>
          <t>No Video ID yet</t>
        </is>
      </c>
      <c r="S2852" s="49" t="n"/>
      <c r="T2852" s="49" t="n"/>
      <c r="U2852" s="47" t="n"/>
      <c r="V2852" s="47">
        <f>IF(AND(P2852&gt;=Calendar!$K$2,P2852&lt;EDATE(Calendar!$K$2,1),OR(Calendar!$K$4="*",N2852=Calendar!$K$4)),P2852*100+COUNTIFS($P$6:$P$3267,P2852,$Q$6:$Q$3267,"&lt;="&amp;Q2852,$N$6:$N$3267,Calendar!$K$4),"")</f>
        <v/>
      </c>
      <c r="W2852" s="47">
        <f>IF(AND(B2852=Queue!$C$4,OR(Queue!$K$4="*",N2852=Queue!$K$4)),Q2852,"")</f>
        <v/>
      </c>
    </row>
    <row r="2853">
      <c r="A2853" s="38">
        <f>IF(M2853="","",HYPERLINK("https://www.youtube.com/watch?v="&amp;M2853,"▶"))</f>
        <v/>
      </c>
      <c r="B2853" s="39">
        <f>IF(C2853&lt;&gt;"",C2853,IF(P2853&lt;=IFERROR(INDEX(tblChannels[Watched Through],MATCH(N2853,tblChannels[Channel ID],0)),0),"Watched","Unwatched"))</f>
        <v/>
      </c>
      <c r="C2853" s="40" t="n"/>
      <c r="D2853" s="41" t="n"/>
      <c r="E2853" s="42" t="n">
        <v>41914.95347222222</v>
      </c>
      <c r="F2853" s="50" t="inlineStr">
        <is>
          <t>Super Carlin Brothers</t>
        </is>
      </c>
      <c r="G2853" t="inlineStr">
        <is>
          <t>THE LIONFISH INVASION</t>
        </is>
      </c>
      <c r="H2853" s="44" t="n">
        <v>0.002025462962962963</v>
      </c>
      <c r="I2853" s="45" t="n">
        <v>14183</v>
      </c>
      <c r="J2853" s="45" t="n">
        <v>409</v>
      </c>
      <c r="K2853" s="45" t="n">
        <v>77</v>
      </c>
      <c r="L2853" s="46" t="n"/>
      <c r="M2853" s="47" t="n"/>
      <c r="N2853" s="47" t="inlineStr">
        <is>
          <t>UCKZo4N0lVPccBkSiuyVh4yg</t>
        </is>
      </c>
      <c r="O2853" s="48" t="n">
        <v>41915.12013888889</v>
      </c>
      <c r="P2853" s="49" t="n">
        <v>41914</v>
      </c>
      <c r="Q2853" s="47" t="n">
        <v>415</v>
      </c>
      <c r="R2853" s="47" t="inlineStr">
        <is>
          <t>No Video ID yet</t>
        </is>
      </c>
      <c r="S2853" s="49" t="n"/>
      <c r="T2853" s="49" t="n"/>
      <c r="U2853" s="47" t="inlineStr">
        <is>
          <t>More info on Lionfish Invasion!! Okay so as a business person I can't help but look for opportunity wherever I can find it. The idea of invasive species is a truly fascinating opportunity. After all there is the ever present possibility of correcting the impacted ecosystem for the better, removal of the endangered species. But commercializing anything always seems to come with a cost. What are your thought?! Also, how about that boxfish?</t>
        </is>
      </c>
      <c r="V2853" s="47">
        <f>IF(AND(P2853&gt;=Calendar!$K$2,P2853&lt;EDATE(Calendar!$K$2,1),OR(Calendar!$K$4="*",N2853=Calendar!$K$4)),P2853*100+COUNTIFS($P$6:$P$3267,P2853,$Q$6:$Q$3267,"&lt;="&amp;Q2853,$N$6:$N$3267,Calendar!$K$4),"")</f>
        <v/>
      </c>
      <c r="W2853" s="47">
        <f>IF(AND(B2853=Queue!$C$4,OR(Queue!$K$4="*",N2853=Queue!$K$4)),Q2853,"")</f>
        <v/>
      </c>
    </row>
    <row r="2854">
      <c r="A2854" s="38">
        <f>IF(M2854="","",HYPERLINK("https://www.youtube.com/watch?v="&amp;M2854,"▶"))</f>
        <v/>
      </c>
      <c r="B2854" s="39">
        <f>IF(C2854&lt;&gt;"",C2854,IF(P2854&lt;=IFERROR(INDEX(tblChannels[Watched Through],MATCH(N2854,tblChannels[Channel ID],0)),0),"Watched","Unwatched"))</f>
        <v/>
      </c>
      <c r="C2854" s="40" t="n"/>
      <c r="D2854" s="41" t="n"/>
      <c r="E2854" s="42" t="n">
        <v>41914.32569444444</v>
      </c>
      <c r="F2854" s="52" t="inlineStr">
        <is>
          <t>Super Carlin Gaming</t>
        </is>
      </c>
      <c r="G2854" t="inlineStr">
        <is>
          <t>Pokemon FireRed Nuzlocke Challenge #23: The Final Gym</t>
        </is>
      </c>
      <c r="H2854" s="44" t="n">
        <v>0.01034722222222222</v>
      </c>
      <c r="I2854" s="45" t="n">
        <v>22567</v>
      </c>
      <c r="J2854" s="45" t="n">
        <v>421</v>
      </c>
      <c r="K2854" s="45" t="n">
        <v>29</v>
      </c>
      <c r="L2854" s="46" t="n"/>
      <c r="M2854" s="47" t="n"/>
      <c r="N2854" s="47" t="inlineStr">
        <is>
          <t>UCor_9jRnNNZVzTuQ92PKsaQ</t>
        </is>
      </c>
      <c r="O2854" s="48" t="n">
        <v>41914.49236111111</v>
      </c>
      <c r="P2854" s="49" t="n">
        <v>41914</v>
      </c>
      <c r="Q2854" s="47" t="n">
        <v>414</v>
      </c>
      <c r="R2854" s="47" t="inlineStr">
        <is>
          <t>No Video ID yet</t>
        </is>
      </c>
      <c r="S2854" s="49" t="n"/>
      <c r="T2854" s="49" t="n"/>
      <c r="U2854" s="47" t="inlineStr">
        <is>
          <t>Big day for the team as we take on our final Gym.. but will a surprise typing claim another victim??</t>
        </is>
      </c>
      <c r="V2854" s="47">
        <f>IF(AND(P2854&gt;=Calendar!$K$2,P2854&lt;EDATE(Calendar!$K$2,1),OR(Calendar!$K$4="*",N2854=Calendar!$K$4)),P2854*100+COUNTIFS($P$6:$P$3267,P2854,$Q$6:$Q$3267,"&lt;="&amp;Q2854,$N$6:$N$3267,Calendar!$K$4),"")</f>
        <v/>
      </c>
      <c r="W2854" s="47">
        <f>IF(AND(B2854=Queue!$C$4,OR(Queue!$K$4="*",N2854=Queue!$K$4)),Q2854,"")</f>
        <v/>
      </c>
    </row>
    <row r="2855">
      <c r="A2855" s="38">
        <f>IF(M2855="","",HYPERLINK("https://www.youtube.com/watch?v="&amp;M2855,"▶"))</f>
        <v/>
      </c>
      <c r="B2855" s="39">
        <f>IF(C2855&lt;&gt;"",C2855,IF(P2855&lt;=IFERROR(INDEX(tblChannels[Watched Through],MATCH(N2855,tblChannels[Channel ID],0)),0),"Watched","Unwatched"))</f>
        <v/>
      </c>
      <c r="C2855" s="40" t="n"/>
      <c r="D2855" s="41" t="n"/>
      <c r="E2855" s="42" t="n">
        <v>41912.95902777778</v>
      </c>
      <c r="F2855" s="50" t="inlineStr">
        <is>
          <t>Super Carlin Brothers</t>
        </is>
      </c>
      <c r="G2855" t="inlineStr">
        <is>
          <t>Do Zombies Google Autofill</t>
        </is>
      </c>
      <c r="H2855" s="44" t="n">
        <v>0.00380787037037037</v>
      </c>
      <c r="I2855" s="45" t="n">
        <v>233976</v>
      </c>
      <c r="J2855" s="45" t="n">
        <v>3633</v>
      </c>
      <c r="K2855" s="45" t="n">
        <v>1307</v>
      </c>
      <c r="L2855" s="46" t="n"/>
      <c r="M2855" s="47" t="n"/>
      <c r="N2855" s="47" t="inlineStr">
        <is>
          <t>UCKZo4N0lVPccBkSiuyVh4yg</t>
        </is>
      </c>
      <c r="O2855" s="48" t="n">
        <v>41913.12569444445</v>
      </c>
      <c r="P2855" s="49" t="n">
        <v>41912</v>
      </c>
      <c r="Q2855" s="47" t="n">
        <v>413</v>
      </c>
      <c r="R2855" s="47" t="inlineStr">
        <is>
          <t>No Video ID yet</t>
        </is>
      </c>
      <c r="S2855" s="49" t="n"/>
      <c r="T2855" s="49" t="n"/>
      <c r="U2855" s="47" t="inlineStr">
        <is>
          <t>Are you a Zombie.. there is at least one 100% way to tell... Follow me on Instagram ::</t>
        </is>
      </c>
      <c r="V2855" s="47">
        <f>IF(AND(P2855&gt;=Calendar!$K$2,P2855&lt;EDATE(Calendar!$K$2,1),OR(Calendar!$K$4="*",N2855=Calendar!$K$4)),P2855*100+COUNTIFS($P$6:$P$3267,P2855,$Q$6:$Q$3267,"&lt;="&amp;Q2855,$N$6:$N$3267,Calendar!$K$4),"")</f>
        <v/>
      </c>
      <c r="W2855" s="47">
        <f>IF(AND(B2855=Queue!$C$4,OR(Queue!$K$4="*",N2855=Queue!$K$4)),Q2855,"")</f>
        <v/>
      </c>
    </row>
    <row r="2856">
      <c r="A2856" s="38">
        <f>IF(M2856="","",HYPERLINK("https://www.youtube.com/watch?v="&amp;M2856,"▶"))</f>
        <v/>
      </c>
      <c r="B2856" s="39">
        <f>IF(C2856&lt;&gt;"",C2856,IF(P2856&lt;=IFERROR(INDEX(tblChannels[Watched Through],MATCH(N2856,tblChannels[Channel ID],0)),0),"Watched","Unwatched"))</f>
        <v/>
      </c>
      <c r="C2856" s="40" t="n"/>
      <c r="D2856" s="41" t="n"/>
      <c r="E2856" s="42" t="n">
        <v>41907.99791666667</v>
      </c>
      <c r="F2856" s="50" t="inlineStr">
        <is>
          <t>Super Carlin Brothers</t>
        </is>
      </c>
      <c r="G2856" t="inlineStr">
        <is>
          <t>Rated R Pixar: Monsters, Inc.</t>
        </is>
      </c>
      <c r="H2856" s="44" t="n">
        <v>0.003020833333333333</v>
      </c>
      <c r="I2856" s="45" t="n">
        <v>262625</v>
      </c>
      <c r="J2856" s="45" t="n">
        <v>3844</v>
      </c>
      <c r="K2856" s="45" t="n">
        <v>257</v>
      </c>
      <c r="L2856" s="46" t="n"/>
      <c r="M2856" s="47" t="n"/>
      <c r="N2856" s="47" t="inlineStr">
        <is>
          <t>UCKZo4N0lVPccBkSiuyVh4yg</t>
        </is>
      </c>
      <c r="O2856" s="48" t="n">
        <v>41908.16458333333</v>
      </c>
      <c r="P2856" s="49" t="n">
        <v>41907</v>
      </c>
      <c r="Q2856" s="47" t="n">
        <v>412</v>
      </c>
      <c r="R2856" s="47" t="inlineStr">
        <is>
          <t>No Video ID yet</t>
        </is>
      </c>
      <c r="S2856" s="49" t="n"/>
      <c r="T2856" s="49" t="n"/>
      <c r="U2856" s="47" t="inlineStr">
        <is>
          <t>Check out Loot Crate!! www.lootcrate.com/supercarlinbrothers PROMO Code: CARLIN! for 10% off!</t>
        </is>
      </c>
      <c r="V2856" s="47">
        <f>IF(AND(P2856&gt;=Calendar!$K$2,P2856&lt;EDATE(Calendar!$K$2,1),OR(Calendar!$K$4="*",N2856=Calendar!$K$4)),P2856*100+COUNTIFS($P$6:$P$3267,P2856,$Q$6:$Q$3267,"&lt;="&amp;Q2856,$N$6:$N$3267,Calendar!$K$4),"")</f>
        <v/>
      </c>
      <c r="W2856" s="47">
        <f>IF(AND(B2856=Queue!$C$4,OR(Queue!$K$4="*",N2856=Queue!$K$4)),Q2856,"")</f>
        <v/>
      </c>
    </row>
    <row r="2857">
      <c r="A2857" s="38">
        <f>IF(M2857="","",HYPERLINK("https://www.youtube.com/watch?v="&amp;M2857,"▶"))</f>
        <v/>
      </c>
      <c r="B2857" s="39">
        <f>IF(C2857&lt;&gt;"",C2857,IF(P2857&lt;=IFERROR(INDEX(tblChannels[Watched Through],MATCH(N2857,tblChannels[Channel ID],0)),0),"Watched","Unwatched"))</f>
        <v/>
      </c>
      <c r="C2857" s="40" t="n"/>
      <c r="D2857" s="41" t="n"/>
      <c r="E2857" s="42" t="n">
        <v>41905.96111111111</v>
      </c>
      <c r="F2857" s="50" t="inlineStr">
        <is>
          <t>Super Carlin Brothers</t>
        </is>
      </c>
      <c r="G2857" t="inlineStr">
        <is>
          <t>Loot Crate UNBOXING! - JUXTABROS!</t>
        </is>
      </c>
      <c r="H2857" s="44" t="n">
        <v>0.004178240740740741</v>
      </c>
      <c r="I2857" s="45" t="n">
        <v>61042</v>
      </c>
      <c r="J2857" s="45" t="n">
        <v>1065</v>
      </c>
      <c r="K2857" s="45" t="n">
        <v>153</v>
      </c>
      <c r="L2857" s="46" t="n"/>
      <c r="M2857" s="47" t="n"/>
      <c r="N2857" s="47" t="inlineStr">
        <is>
          <t>UCKZo4N0lVPccBkSiuyVh4yg</t>
        </is>
      </c>
      <c r="O2857" s="48" t="n">
        <v>41906.12777777778</v>
      </c>
      <c r="P2857" s="49" t="n">
        <v>41905</v>
      </c>
      <c r="Q2857" s="47" t="n">
        <v>411</v>
      </c>
      <c r="R2857" s="47" t="inlineStr">
        <is>
          <t>No Video ID yet</t>
        </is>
      </c>
      <c r="S2857" s="49" t="n"/>
      <c r="T2857" s="49" t="n"/>
      <c r="U2857" s="47" t="inlineStr">
        <is>
          <t>The best geek &amp; gamer gear comes from Loot Crate! Sign up at: www.LootCrate.com/SuperCarlinBrothers and get 10% off with Promo Code: CARLIN</t>
        </is>
      </c>
      <c r="V2857" s="47">
        <f>IF(AND(P2857&gt;=Calendar!$K$2,P2857&lt;EDATE(Calendar!$K$2,1),OR(Calendar!$K$4="*",N2857=Calendar!$K$4)),P2857*100+COUNTIFS($P$6:$P$3267,P2857,$Q$6:$Q$3267,"&lt;="&amp;Q2857,$N$6:$N$3267,Calendar!$K$4),"")</f>
        <v/>
      </c>
      <c r="W2857" s="47">
        <f>IF(AND(B2857=Queue!$C$4,OR(Queue!$K$4="*",N2857=Queue!$K$4)),Q2857,"")</f>
        <v/>
      </c>
    </row>
    <row r="2858">
      <c r="A2858" s="38">
        <f>IF(M2858="","",HYPERLINK("https://www.youtube.com/watch?v="&amp;M2858,"▶"))</f>
        <v/>
      </c>
      <c r="B2858" s="39">
        <f>IF(C2858&lt;&gt;"",C2858,IF(P2858&lt;=IFERROR(INDEX(tblChannels[Watched Through],MATCH(N2858,tblChannels[Channel ID],0)),0),"Watched","Unwatched"))</f>
        <v/>
      </c>
      <c r="C2858" s="40" t="n"/>
      <c r="D2858" s="41" t="n"/>
      <c r="E2858" s="42" t="n">
        <v>41900.95486111111</v>
      </c>
      <c r="F2858" s="50" t="inlineStr">
        <is>
          <t>Super Carlin Brothers</t>
        </is>
      </c>
      <c r="G2858" t="inlineStr">
        <is>
          <t>A Common Vlog</t>
        </is>
      </c>
      <c r="H2858" s="44" t="n">
        <v>0.00244212962962963</v>
      </c>
      <c r="I2858" s="45" t="n">
        <v>10878</v>
      </c>
      <c r="J2858" s="45" t="n">
        <v>270</v>
      </c>
      <c r="K2858" s="45" t="n">
        <v>139</v>
      </c>
      <c r="L2858" s="46" t="n"/>
      <c r="M2858" s="47" t="n"/>
      <c r="N2858" s="47" t="inlineStr">
        <is>
          <t>UCKZo4N0lVPccBkSiuyVh4yg</t>
        </is>
      </c>
      <c r="O2858" s="48" t="n">
        <v>41901.12152777778</v>
      </c>
      <c r="P2858" s="49" t="n">
        <v>41900</v>
      </c>
      <c r="Q2858" s="47" t="n">
        <v>410</v>
      </c>
      <c r="R2858" s="47" t="inlineStr">
        <is>
          <t>No Video ID yet</t>
        </is>
      </c>
      <c r="S2858" s="49" t="n"/>
      <c r="T2858" s="49" t="n"/>
      <c r="U2858" s="47" t="inlineStr">
        <is>
          <t>Cast your vote for the next Rated R Pixar Episode!! - Up - Finding Nemo - Monsters inc. In case anyone is interested the t-shirt I'm wearing in this video will soon be available at MountainCorals.org (which is launching any day now!) All of the proceeds go directly to development of exhibits at Roanoke's Center in the Square</t>
        </is>
      </c>
      <c r="V2858" s="47">
        <f>IF(AND(P2858&gt;=Calendar!$K$2,P2858&lt;EDATE(Calendar!$K$2,1),OR(Calendar!$K$4="*",N2858=Calendar!$K$4)),P2858*100+COUNTIFS($P$6:$P$3267,P2858,$Q$6:$Q$3267,"&lt;="&amp;Q2858,$N$6:$N$3267,Calendar!$K$4),"")</f>
        <v/>
      </c>
      <c r="W2858" s="47">
        <f>IF(AND(B2858=Queue!$C$4,OR(Queue!$K$4="*",N2858=Queue!$K$4)),Q2858,"")</f>
        <v/>
      </c>
    </row>
    <row r="2859">
      <c r="A2859" s="38">
        <f>IF(M2859="","",HYPERLINK("https://www.youtube.com/watch?v="&amp;M2859,"▶"))</f>
        <v/>
      </c>
      <c r="B2859" s="39">
        <f>IF(C2859&lt;&gt;"",C2859,IF(P2859&lt;=IFERROR(INDEX(tblChannels[Watched Through],MATCH(N2859,tblChannels[Channel ID],0)),0),"Watched","Unwatched"))</f>
        <v/>
      </c>
      <c r="C2859" s="40" t="n"/>
      <c r="D2859" s="41" t="n"/>
      <c r="E2859" s="42" t="n">
        <v>41898.90902777778</v>
      </c>
      <c r="F2859" s="50" t="inlineStr">
        <is>
          <t>Super Carlin Brothers</t>
        </is>
      </c>
      <c r="G2859" t="inlineStr">
        <is>
          <t>Theory: Guardians of the Galaxy is The Lego Movie</t>
        </is>
      </c>
      <c r="H2859" s="44" t="n">
        <v>0.003460648148148148</v>
      </c>
      <c r="I2859" s="45" t="n">
        <v>921713</v>
      </c>
      <c r="J2859" s="45" t="n">
        <v>13527</v>
      </c>
      <c r="K2859" s="45" t="n">
        <v>2093</v>
      </c>
      <c r="L2859" s="46" t="n"/>
      <c r="M2859" s="47" t="n"/>
      <c r="N2859" s="47" t="inlineStr">
        <is>
          <t>UCKZo4N0lVPccBkSiuyVh4yg</t>
        </is>
      </c>
      <c r="O2859" s="48" t="n">
        <v>41899.07569444444</v>
      </c>
      <c r="P2859" s="49" t="n">
        <v>41898</v>
      </c>
      <c r="Q2859" s="47" t="n">
        <v>409</v>
      </c>
      <c r="R2859" s="47" t="inlineStr">
        <is>
          <t>No Video ID yet</t>
        </is>
      </c>
      <c r="S2859" s="49" t="n"/>
      <c r="T2859" s="49" t="n"/>
      <c r="U2859" s="47" t="inlineStr">
        <is>
          <t>Seriously its like one just handed the script off to the other - but who cares they are both AWESOME (everything is awesome)</t>
        </is>
      </c>
      <c r="V2859" s="47">
        <f>IF(AND(P2859&gt;=Calendar!$K$2,P2859&lt;EDATE(Calendar!$K$2,1),OR(Calendar!$K$4="*",N2859=Calendar!$K$4)),P2859*100+COUNTIFS($P$6:$P$3267,P2859,$Q$6:$Q$3267,"&lt;="&amp;Q2859,$N$6:$N$3267,Calendar!$K$4),"")</f>
        <v/>
      </c>
      <c r="W2859" s="47">
        <f>IF(AND(B2859=Queue!$C$4,OR(Queue!$K$4="*",N2859=Queue!$K$4)),Q2859,"")</f>
        <v/>
      </c>
    </row>
    <row r="2860">
      <c r="A2860" s="38">
        <f>IF(M2860="","",HYPERLINK("https://www.youtube.com/watch?v="&amp;M2860,"▶"))</f>
        <v/>
      </c>
      <c r="B2860" s="39">
        <f>IF(C2860&lt;&gt;"",C2860,IF(P2860&lt;=IFERROR(INDEX(tblChannels[Watched Through],MATCH(N2860,tblChannels[Channel ID],0)),0),"Watched","Unwatched"))</f>
        <v/>
      </c>
      <c r="C2860" s="40" t="n"/>
      <c r="D2860" s="41" t="n"/>
      <c r="E2860" s="42" t="n">
        <v>41893.95069444444</v>
      </c>
      <c r="F2860" s="50" t="inlineStr">
        <is>
          <t>Super Carlin Brothers</t>
        </is>
      </c>
      <c r="G2860" t="inlineStr">
        <is>
          <t>Where Were You?</t>
        </is>
      </c>
      <c r="H2860" s="44" t="n">
        <v>0.002233796296296296</v>
      </c>
      <c r="I2860" s="45" t="n">
        <v>16447</v>
      </c>
      <c r="J2860" s="45" t="n">
        <v>420</v>
      </c>
      <c r="K2860" s="45" t="n">
        <v>213</v>
      </c>
      <c r="L2860" s="46" t="n"/>
      <c r="M2860" s="47" t="n"/>
      <c r="N2860" s="47" t="inlineStr">
        <is>
          <t>UCKZo4N0lVPccBkSiuyVh4yg</t>
        </is>
      </c>
      <c r="O2860" s="48" t="n">
        <v>41894.11736111111</v>
      </c>
      <c r="P2860" s="49" t="n">
        <v>41893</v>
      </c>
      <c r="Q2860" s="47" t="n">
        <v>408</v>
      </c>
      <c r="R2860" s="47" t="inlineStr">
        <is>
          <t>No Video ID yet</t>
        </is>
      </c>
      <c r="S2860" s="49" t="n"/>
      <c r="T2860" s="49" t="n"/>
      <c r="U2860" s="47" t="n"/>
      <c r="V2860" s="47">
        <f>IF(AND(P2860&gt;=Calendar!$K$2,P2860&lt;EDATE(Calendar!$K$2,1),OR(Calendar!$K$4="*",N2860=Calendar!$K$4)),P2860*100+COUNTIFS($P$6:$P$3267,P2860,$Q$6:$Q$3267,"&lt;="&amp;Q2860,$N$6:$N$3267,Calendar!$K$4),"")</f>
        <v/>
      </c>
      <c r="W2860" s="47">
        <f>IF(AND(B2860=Queue!$C$4,OR(Queue!$K$4="*",N2860=Queue!$K$4)),Q2860,"")</f>
        <v/>
      </c>
    </row>
    <row r="2861">
      <c r="A2861" s="38">
        <f>IF(M2861="","",HYPERLINK("https://www.youtube.com/watch?v="&amp;M2861,"▶"))</f>
        <v/>
      </c>
      <c r="B2861" s="39">
        <f>IF(C2861&lt;&gt;"",C2861,IF(P2861&lt;=IFERROR(INDEX(tblChannels[Watched Through],MATCH(N2861,tblChannels[Channel ID],0)),0),"Watched","Unwatched"))</f>
        <v/>
      </c>
      <c r="C2861" s="40" t="n"/>
      <c r="D2861" s="41" t="n"/>
      <c r="E2861" s="42" t="n">
        <v>41893.87986111111</v>
      </c>
      <c r="F2861" s="52" t="inlineStr">
        <is>
          <t>Super Carlin Gaming</t>
        </is>
      </c>
      <c r="G2861" t="inlineStr">
        <is>
          <t>Pokemon FireRed Nuzlocke Challenge #22: Donatello vs Blaine</t>
        </is>
      </c>
      <c r="H2861" s="44" t="n">
        <v>0.01447916666666667</v>
      </c>
      <c r="I2861" s="45" t="n">
        <v>23605</v>
      </c>
      <c r="J2861" s="45" t="n">
        <v>429</v>
      </c>
      <c r="K2861" s="45" t="n">
        <v>48</v>
      </c>
      <c r="L2861" s="46" t="n"/>
      <c r="M2861" s="47" t="n"/>
      <c r="N2861" s="47" t="inlineStr">
        <is>
          <t>UCor_9jRnNNZVzTuQ92PKsaQ</t>
        </is>
      </c>
      <c r="O2861" s="48" t="n">
        <v>41894.04652777778</v>
      </c>
      <c r="P2861" s="49" t="n">
        <v>41893</v>
      </c>
      <c r="Q2861" s="47" t="n">
        <v>407</v>
      </c>
      <c r="R2861" s="47" t="inlineStr">
        <is>
          <t>No Video ID yet</t>
        </is>
      </c>
      <c r="S2861" s="49" t="n"/>
      <c r="T2861" s="49" t="n"/>
      <c r="U2861" s="47" t="inlineStr">
        <is>
          <t>Oh Man.. you should have seen how happy Donatello was when we entered the Cinnabar Gym.. but how did everyone else handle the heat?? You can send me stuff!</t>
        </is>
      </c>
      <c r="V2861" s="47">
        <f>IF(AND(P2861&gt;=Calendar!$K$2,P2861&lt;EDATE(Calendar!$K$2,1),OR(Calendar!$K$4="*",N2861=Calendar!$K$4)),P2861*100+COUNTIFS($P$6:$P$3267,P2861,$Q$6:$Q$3267,"&lt;="&amp;Q2861,$N$6:$N$3267,Calendar!$K$4),"")</f>
        <v/>
      </c>
      <c r="W2861" s="47">
        <f>IF(AND(B2861=Queue!$C$4,OR(Queue!$K$4="*",N2861=Queue!$K$4)),Q2861,"")</f>
        <v/>
      </c>
    </row>
    <row r="2862">
      <c r="A2862" s="38">
        <f>IF(M2862="","",HYPERLINK("https://www.youtube.com/watch?v="&amp;M2862,"▶"))</f>
        <v/>
      </c>
      <c r="B2862" s="39">
        <f>IF(C2862&lt;&gt;"",C2862,IF(P2862&lt;=IFERROR(INDEX(tblChannels[Watched Through],MATCH(N2862,tblChannels[Channel ID],0)),0),"Watched","Unwatched"))</f>
        <v/>
      </c>
      <c r="C2862" s="40" t="n"/>
      <c r="D2862" s="41" t="n"/>
      <c r="E2862" s="42" t="n">
        <v>41891.99791666667</v>
      </c>
      <c r="F2862" s="50" t="inlineStr">
        <is>
          <t>Super Carlin Brothers</t>
        </is>
      </c>
      <c r="G2862" t="inlineStr">
        <is>
          <t>How To Make Money by Drinking Water</t>
        </is>
      </c>
      <c r="H2862" s="44" t="n">
        <v>0.003587962962962963</v>
      </c>
      <c r="I2862" s="45" t="n">
        <v>243074</v>
      </c>
      <c r="J2862" s="45" t="n">
        <v>5043</v>
      </c>
      <c r="K2862" s="45" t="n">
        <v>698</v>
      </c>
      <c r="L2862" s="46" t="n"/>
      <c r="M2862" s="47" t="n"/>
      <c r="N2862" s="47" t="inlineStr">
        <is>
          <t>UCKZo4N0lVPccBkSiuyVh4yg</t>
        </is>
      </c>
      <c r="O2862" s="48" t="n">
        <v>41892.16458333333</v>
      </c>
      <c r="P2862" s="49" t="n">
        <v>41891</v>
      </c>
      <c r="Q2862" s="47" t="n">
        <v>406</v>
      </c>
      <c r="R2862" s="47" t="inlineStr">
        <is>
          <t>No Video ID yet</t>
        </is>
      </c>
      <c r="S2862" s="49" t="n"/>
      <c r="T2862" s="49" t="n"/>
      <c r="U2862" s="47" t="inlineStr">
        <is>
          <t>Step 1: Drink Water Step 2: Profit! INSTAGRAM ::</t>
        </is>
      </c>
      <c r="V2862" s="47">
        <f>IF(AND(P2862&gt;=Calendar!$K$2,P2862&lt;EDATE(Calendar!$K$2,1),OR(Calendar!$K$4="*",N2862=Calendar!$K$4)),P2862*100+COUNTIFS($P$6:$P$3267,P2862,$Q$6:$Q$3267,"&lt;="&amp;Q2862,$N$6:$N$3267,Calendar!$K$4),"")</f>
        <v/>
      </c>
      <c r="W2862" s="47">
        <f>IF(AND(B2862=Queue!$C$4,OR(Queue!$K$4="*",N2862=Queue!$K$4)),Q2862,"")</f>
        <v/>
      </c>
    </row>
    <row r="2863">
      <c r="A2863" s="38">
        <f>IF(M2863="","",HYPERLINK("https://www.youtube.com/watch?v="&amp;M2863,"▶"))</f>
        <v/>
      </c>
      <c r="B2863" s="39">
        <f>IF(C2863&lt;&gt;"",C2863,IF(P2863&lt;=IFERROR(INDEX(tblChannels[Watched Through],MATCH(N2863,tblChannels[Channel ID],0)),0),"Watched","Unwatched"))</f>
        <v/>
      </c>
      <c r="C2863" s="40" t="n"/>
      <c r="D2863" s="41" t="n"/>
      <c r="E2863" s="42" t="n">
        <v>41886.98541666667</v>
      </c>
      <c r="F2863" s="50" t="inlineStr">
        <is>
          <t>Super Carlin Brothers</t>
        </is>
      </c>
      <c r="G2863" t="inlineStr">
        <is>
          <t>Rated-R Pixar: Toy Story</t>
        </is>
      </c>
      <c r="H2863" s="44" t="n">
        <v>0.002916666666666667</v>
      </c>
      <c r="I2863" s="45" t="n">
        <v>579164</v>
      </c>
      <c r="J2863" s="45" t="n">
        <v>7481</v>
      </c>
      <c r="K2863" s="45" t="n">
        <v>537</v>
      </c>
      <c r="L2863" s="46" t="n"/>
      <c r="M2863" s="47" t="n"/>
      <c r="N2863" s="47" t="inlineStr">
        <is>
          <t>UCKZo4N0lVPccBkSiuyVh4yg</t>
        </is>
      </c>
      <c r="O2863" s="48" t="n">
        <v>41887.15208333333</v>
      </c>
      <c r="P2863" s="49" t="n">
        <v>41886</v>
      </c>
      <c r="Q2863" s="47" t="n">
        <v>405</v>
      </c>
      <c r="R2863" s="47" t="inlineStr">
        <is>
          <t>No Video ID yet</t>
        </is>
      </c>
      <c r="S2863" s="49" t="n"/>
      <c r="T2863" s="49" t="n"/>
      <c r="U2863" s="47" t="inlineStr">
        <is>
          <t>Sometimes what I think is so great about Pixar is that they can tell really dark stories with really colorful characters. I wanted to tell the story the way I see it!</t>
        </is>
      </c>
      <c r="V2863" s="47">
        <f>IF(AND(P2863&gt;=Calendar!$K$2,P2863&lt;EDATE(Calendar!$K$2,1),OR(Calendar!$K$4="*",N2863=Calendar!$K$4)),P2863*100+COUNTIFS($P$6:$P$3267,P2863,$Q$6:$Q$3267,"&lt;="&amp;Q2863,$N$6:$N$3267,Calendar!$K$4),"")</f>
        <v/>
      </c>
      <c r="W2863" s="47">
        <f>IF(AND(B2863=Queue!$C$4,OR(Queue!$K$4="*",N2863=Queue!$K$4)),Q2863,"")</f>
        <v/>
      </c>
    </row>
    <row r="2864">
      <c r="A2864" s="38">
        <f>IF(M2864="","",HYPERLINK("https://www.youtube.com/watch?v="&amp;M2864,"▶"))</f>
        <v/>
      </c>
      <c r="B2864" s="39">
        <f>IF(C2864&lt;&gt;"",C2864,IF(P2864&lt;=IFERROR(INDEX(tblChannels[Watched Through],MATCH(N2864,tblChannels[Channel ID],0)),0),"Watched","Unwatched"))</f>
        <v/>
      </c>
      <c r="C2864" s="40" t="n"/>
      <c r="D2864" s="41" t="n"/>
      <c r="E2864" s="42" t="n">
        <v>41884.92013888889</v>
      </c>
      <c r="F2864" s="50" t="inlineStr">
        <is>
          <t>Super Carlin Brothers</t>
        </is>
      </c>
      <c r="G2864" t="inlineStr">
        <is>
          <t>49 Lies &amp; 1 Truth | North Carolina</t>
        </is>
      </c>
      <c r="H2864" s="44" t="n">
        <v>0.004143518518518519</v>
      </c>
      <c r="I2864" s="45" t="n">
        <v>64087</v>
      </c>
      <c r="J2864" s="45" t="n">
        <v>1142</v>
      </c>
      <c r="K2864" s="45" t="n">
        <v>503</v>
      </c>
      <c r="L2864" s="46" t="n"/>
      <c r="M2864" s="47" t="n"/>
      <c r="N2864" s="47" t="inlineStr">
        <is>
          <t>UCKZo4N0lVPccBkSiuyVh4yg</t>
        </is>
      </c>
      <c r="O2864" s="48" t="n">
        <v>41885.08680555555</v>
      </c>
      <c r="P2864" s="49" t="n">
        <v>41884</v>
      </c>
      <c r="Q2864" s="47" t="n">
        <v>404</v>
      </c>
      <c r="R2864" s="47" t="inlineStr">
        <is>
          <t>No Video ID yet</t>
        </is>
      </c>
      <c r="S2864" s="49" t="n"/>
      <c r="T2864" s="49" t="n"/>
      <c r="U2864" s="47" t="inlineStr">
        <is>
          <t>49 Lies &amp; 1 Truth about North Carolina - Which one is true???</t>
        </is>
      </c>
      <c r="V2864" s="47">
        <f>IF(AND(P2864&gt;=Calendar!$K$2,P2864&lt;EDATE(Calendar!$K$2,1),OR(Calendar!$K$4="*",N2864=Calendar!$K$4)),P2864*100+COUNTIFS($P$6:$P$3267,P2864,$Q$6:$Q$3267,"&lt;="&amp;Q2864,$N$6:$N$3267,Calendar!$K$4),"")</f>
        <v/>
      </c>
      <c r="W2864" s="47">
        <f>IF(AND(B2864=Queue!$C$4,OR(Queue!$K$4="*",N2864=Queue!$K$4)),Q2864,"")</f>
        <v/>
      </c>
    </row>
    <row r="2865">
      <c r="A2865" s="38">
        <f>IF(M2865="","",HYPERLINK("https://www.youtube.com/watch?v="&amp;M2865,"▶"))</f>
        <v/>
      </c>
      <c r="B2865" s="39">
        <f>IF(C2865&lt;&gt;"",C2865,IF(P2865&lt;=IFERROR(INDEX(tblChannels[Watched Through],MATCH(N2865,tblChannels[Channel ID],0)),0),"Watched","Unwatched"))</f>
        <v/>
      </c>
      <c r="C2865" s="40" t="n"/>
      <c r="D2865" s="41" t="n"/>
      <c r="E2865" s="42" t="n">
        <v>41879.91111111111</v>
      </c>
      <c r="F2865" s="50" t="inlineStr">
        <is>
          <t>Super Carlin Brothers</t>
        </is>
      </c>
      <c r="G2865" t="inlineStr">
        <is>
          <t>LEGO Speed Build | Conference Table</t>
        </is>
      </c>
      <c r="H2865" s="44" t="n">
        <v>0.001319444444444444</v>
      </c>
      <c r="I2865" s="45" t="n">
        <v>28691</v>
      </c>
      <c r="J2865" s="45" t="n">
        <v>598</v>
      </c>
      <c r="K2865" s="45" t="n">
        <v>106</v>
      </c>
      <c r="L2865" s="46" t="n"/>
      <c r="M2865" s="47" t="n"/>
      <c r="N2865" s="47" t="inlineStr">
        <is>
          <t>UCKZo4N0lVPccBkSiuyVh4yg</t>
        </is>
      </c>
      <c r="O2865" s="48" t="n">
        <v>41880.07777777778</v>
      </c>
      <c r="P2865" s="49" t="n">
        <v>41879</v>
      </c>
      <c r="Q2865" s="47" t="n">
        <v>403</v>
      </c>
      <c r="R2865" s="47" t="inlineStr">
        <is>
          <t>No Video ID yet</t>
        </is>
      </c>
      <c r="S2865" s="49" t="n"/>
      <c r="T2865" s="49" t="n"/>
      <c r="U2865" s="47" t="inlineStr">
        <is>
          <t>"Ben needed a new conference table." Is a boring sentence at first, until you add LEGOs. Can you find Emmet? Also sorry for the jumps, we underestimated the amount of Time, GoPro Battery Life, Pizza, Pepsi, Agents of Chaos, Shoulder Pain and LEGO Blocks we were going to need.</t>
        </is>
      </c>
      <c r="V2865" s="47">
        <f>IF(AND(P2865&gt;=Calendar!$K$2,P2865&lt;EDATE(Calendar!$K$2,1),OR(Calendar!$K$4="*",N2865=Calendar!$K$4)),P2865*100+COUNTIFS($P$6:$P$3267,P2865,$Q$6:$Q$3267,"&lt;="&amp;Q2865,$N$6:$N$3267,Calendar!$K$4),"")</f>
        <v/>
      </c>
      <c r="W2865" s="47">
        <f>IF(AND(B2865=Queue!$C$4,OR(Queue!$K$4="*",N2865=Queue!$K$4)),Q2865,"")</f>
        <v/>
      </c>
    </row>
    <row r="2866">
      <c r="A2866" s="38">
        <f>IF(M2866="","",HYPERLINK("https://www.youtube.com/watch?v="&amp;M2866,"▶"))</f>
        <v/>
      </c>
      <c r="B2866" s="39">
        <f>IF(C2866&lt;&gt;"",C2866,IF(P2866&lt;=IFERROR(INDEX(tblChannels[Watched Through],MATCH(N2866,tblChannels[Channel ID],0)),0),"Watched","Unwatched"))</f>
        <v/>
      </c>
      <c r="C2866" s="40" t="n"/>
      <c r="D2866" s="41" t="n"/>
      <c r="E2866" s="42" t="n">
        <v>41877.79861111111</v>
      </c>
      <c r="F2866" s="50" t="inlineStr">
        <is>
          <t>Super Carlin Brothers</t>
        </is>
      </c>
      <c r="G2866" t="inlineStr">
        <is>
          <t>Identity Crisis</t>
        </is>
      </c>
      <c r="H2866" s="44" t="n">
        <v>0.002939814814814815</v>
      </c>
      <c r="I2866" s="45" t="n">
        <v>21125</v>
      </c>
      <c r="J2866" s="45" t="n">
        <v>553</v>
      </c>
      <c r="K2866" s="45" t="n">
        <v>139</v>
      </c>
      <c r="L2866" s="46" t="n"/>
      <c r="M2866" s="47" t="n"/>
      <c r="N2866" s="47" t="inlineStr">
        <is>
          <t>UCKZo4N0lVPccBkSiuyVh4yg</t>
        </is>
      </c>
      <c r="O2866" s="48" t="n">
        <v>41877.96527777778</v>
      </c>
      <c r="P2866" s="49" t="n">
        <v>41877</v>
      </c>
      <c r="Q2866" s="47" t="n">
        <v>402</v>
      </c>
      <c r="R2866" s="47" t="inlineStr">
        <is>
          <t>No Video ID yet</t>
        </is>
      </c>
      <c r="S2866" s="49" t="n"/>
      <c r="T2866" s="49" t="n"/>
      <c r="U2866" s="47" t="inlineStr">
        <is>
          <t>Over the past few weeks I have had my car set and glasses taken away from me for various repairs and renovations. As a result I have felt less like myself and therefore less confident and less motivated. My glasses in particular were a big deal, I bought them during a very transformative part of my life as I transitioned from college into the real world. I changed my hair, clothes and appearance, the result was me feeling ready to take on whatever the world had in store for me. Four years later, having comfortably transitioned into adulthood, I never realized how much of a role I considered my glasses to be playing until I was left without them. Do you have something that you feel gives you confidence? That you wouldn't be you without? How can a material object make such a difference to who you are? =D</t>
        </is>
      </c>
      <c r="V2866" s="47">
        <f>IF(AND(P2866&gt;=Calendar!$K$2,P2866&lt;EDATE(Calendar!$K$2,1),OR(Calendar!$K$4="*",N2866=Calendar!$K$4)),P2866*100+COUNTIFS($P$6:$P$3267,P2866,$Q$6:$Q$3267,"&lt;="&amp;Q2866,$N$6:$N$3267,Calendar!$K$4),"")</f>
        <v/>
      </c>
      <c r="W2866" s="47">
        <f>IF(AND(B2866=Queue!$C$4,OR(Queue!$K$4="*",N2866=Queue!$K$4)),Q2866,"")</f>
        <v/>
      </c>
    </row>
    <row r="2867">
      <c r="A2867" s="38">
        <f>IF(M2867="","",HYPERLINK("https://www.youtube.com/watch?v="&amp;M2867,"▶"))</f>
        <v/>
      </c>
      <c r="B2867" s="39">
        <f>IF(C2867&lt;&gt;"",C2867,IF(P2867&lt;=IFERROR(INDEX(tblChannels[Watched Through],MATCH(N2867,tblChannels[Channel ID],0)),0),"Watched","Unwatched"))</f>
        <v/>
      </c>
      <c r="C2867" s="40" t="n"/>
      <c r="D2867" s="41" t="n"/>
      <c r="E2867" s="42" t="n">
        <v>41876.90208333333</v>
      </c>
      <c r="F2867" s="52" t="inlineStr">
        <is>
          <t>Super Carlin Gaming</t>
        </is>
      </c>
      <c r="G2867" t="inlineStr">
        <is>
          <t>Pokemon FireRed Nuzlocke Challenge #21: Roseki Arrives!</t>
        </is>
      </c>
      <c r="H2867" s="44" t="n">
        <v>0.01453703703703704</v>
      </c>
      <c r="I2867" s="45" t="n">
        <v>24489</v>
      </c>
      <c r="J2867" s="45" t="n">
        <v>417</v>
      </c>
      <c r="K2867" s="45" t="n">
        <v>42</v>
      </c>
      <c r="L2867" s="46" t="n"/>
      <c r="M2867" s="47" t="n"/>
      <c r="N2867" s="47" t="inlineStr">
        <is>
          <t>UCor_9jRnNNZVzTuQ92PKsaQ</t>
        </is>
      </c>
      <c r="O2867" s="48" t="n">
        <v>41877.06875</v>
      </c>
      <c r="P2867" s="49" t="n">
        <v>41876</v>
      </c>
      <c r="Q2867" s="47" t="n">
        <v>401</v>
      </c>
      <c r="R2867" s="47" t="inlineStr">
        <is>
          <t>No Video ID yet</t>
        </is>
      </c>
      <c r="S2867" s="49" t="n"/>
      <c r="T2867" s="49" t="n"/>
      <c r="U2867" s="47" t="inlineStr">
        <is>
          <t>For the first time ever a team member is replaced not by death, but by Legendary status - who will leave? Find out as Roseki joins our ranks and we explore the burnt out mansion on Cinnabar Island.. will the team survive even with our newest member?</t>
        </is>
      </c>
      <c r="V2867" s="47">
        <f>IF(AND(P2867&gt;=Calendar!$K$2,P2867&lt;EDATE(Calendar!$K$2,1),OR(Calendar!$K$4="*",N2867=Calendar!$K$4)),P2867*100+COUNTIFS($P$6:$P$3267,P2867,$Q$6:$Q$3267,"&lt;="&amp;Q2867,$N$6:$N$3267,Calendar!$K$4),"")</f>
        <v/>
      </c>
      <c r="W2867" s="47">
        <f>IF(AND(B2867=Queue!$C$4,OR(Queue!$K$4="*",N2867=Queue!$K$4)),Q2867,"")</f>
        <v/>
      </c>
    </row>
    <row r="2868">
      <c r="A2868" s="38">
        <f>IF(M2868="","",HYPERLINK("https://www.youtube.com/watch?v="&amp;M2868,"▶"))</f>
        <v/>
      </c>
      <c r="B2868" s="39">
        <f>IF(C2868&lt;&gt;"",C2868,IF(P2868&lt;=IFERROR(INDEX(tblChannels[Watched Through],MATCH(N2868,tblChannels[Channel ID],0)),0),"Watched","Unwatched"))</f>
        <v/>
      </c>
      <c r="C2868" s="40" t="n"/>
      <c r="D2868" s="41" t="n"/>
      <c r="E2868" s="42" t="n">
        <v>41872.88125</v>
      </c>
      <c r="F2868" s="50" t="inlineStr">
        <is>
          <t>Super Carlin Brothers</t>
        </is>
      </c>
      <c r="G2868" t="inlineStr">
        <is>
          <t>Motivation: Surviving Year One</t>
        </is>
      </c>
      <c r="H2868" s="44" t="n">
        <v>0.00369212962962963</v>
      </c>
      <c r="I2868" s="45" t="n">
        <v>12474</v>
      </c>
      <c r="J2868" s="45" t="n">
        <v>370</v>
      </c>
      <c r="K2868" s="45" t="n">
        <v>50</v>
      </c>
      <c r="L2868" s="46" t="n"/>
      <c r="M2868" s="47" t="n"/>
      <c r="N2868" s="47" t="inlineStr">
        <is>
          <t>UCKZo4N0lVPccBkSiuyVh4yg</t>
        </is>
      </c>
      <c r="O2868" s="48" t="n">
        <v>41873.04791666667</v>
      </c>
      <c r="P2868" s="49" t="n">
        <v>41872</v>
      </c>
      <c r="Q2868" s="47" t="n">
        <v>400</v>
      </c>
      <c r="R2868" s="47" t="inlineStr">
        <is>
          <t>No Video ID yet</t>
        </is>
      </c>
      <c r="S2868" s="49" t="n"/>
      <c r="T2868" s="49" t="n"/>
      <c r="U2868" s="47" t="inlineStr">
        <is>
          <t>Ben talks about the motivational challenges he faced during the first year of Super Carlin Brothers.</t>
        </is>
      </c>
      <c r="V2868" s="47">
        <f>IF(AND(P2868&gt;=Calendar!$K$2,P2868&lt;EDATE(Calendar!$K$2,1),OR(Calendar!$K$4="*",N2868=Calendar!$K$4)),P2868*100+COUNTIFS($P$6:$P$3267,P2868,$Q$6:$Q$3267,"&lt;="&amp;Q2868,$N$6:$N$3267,Calendar!$K$4),"")</f>
        <v/>
      </c>
      <c r="W2868" s="47">
        <f>IF(AND(B2868=Queue!$C$4,OR(Queue!$K$4="*",N2868=Queue!$K$4)),Q2868,"")</f>
        <v/>
      </c>
    </row>
    <row r="2869">
      <c r="A2869" s="38">
        <f>IF(M2869="","",HYPERLINK("https://www.youtube.com/watch?v="&amp;M2869,"▶"))</f>
        <v/>
      </c>
      <c r="B2869" s="39">
        <f>IF(C2869&lt;&gt;"",C2869,IF(P2869&lt;=IFERROR(INDEX(tblChannels[Watched Through],MATCH(N2869,tblChannels[Channel ID],0)),0),"Watched","Unwatched"))</f>
        <v/>
      </c>
      <c r="C2869" s="40" t="n"/>
      <c r="D2869" s="41" t="n"/>
      <c r="E2869" s="42" t="n">
        <v>41870.87291666667</v>
      </c>
      <c r="F2869" s="50" t="inlineStr">
        <is>
          <t>Super Carlin Brothers</t>
        </is>
      </c>
      <c r="G2869" t="inlineStr">
        <is>
          <t>Ice Bucket Challenge | SuperCarlinBrothers</t>
        </is>
      </c>
      <c r="H2869" s="44" t="n">
        <v>0.00306712962962963</v>
      </c>
      <c r="I2869" s="45" t="n">
        <v>44654</v>
      </c>
      <c r="J2869" s="45" t="n">
        <v>1279</v>
      </c>
      <c r="K2869" s="45" t="n">
        <v>107</v>
      </c>
      <c r="L2869" s="46" t="n"/>
      <c r="M2869" s="47" t="n"/>
      <c r="N2869" s="47" t="inlineStr">
        <is>
          <t>UCKZo4N0lVPccBkSiuyVh4yg</t>
        </is>
      </c>
      <c r="O2869" s="48" t="n">
        <v>41871.03958333333</v>
      </c>
      <c r="P2869" s="49" t="n">
        <v>41870</v>
      </c>
      <c r="Q2869" s="47" t="n">
        <v>399</v>
      </c>
      <c r="R2869" s="47" t="inlineStr">
        <is>
          <t>No Video ID yet</t>
        </is>
      </c>
      <c r="S2869" s="49" t="n"/>
      <c r="T2869" s="49" t="n"/>
      <c r="U2869" s="47" t="inlineStr">
        <is>
          <t>Donate here: RT my tweet to donate $0.50 :: The Challenged :: Panikann :: FootofaFerret :: DKlarations ::</t>
        </is>
      </c>
      <c r="V2869" s="47">
        <f>IF(AND(P2869&gt;=Calendar!$K$2,P2869&lt;EDATE(Calendar!$K$2,1),OR(Calendar!$K$4="*",N2869=Calendar!$K$4)),P2869*100+COUNTIFS($P$6:$P$3267,P2869,$Q$6:$Q$3267,"&lt;="&amp;Q2869,$N$6:$N$3267,Calendar!$K$4),"")</f>
        <v/>
      </c>
      <c r="W2869" s="47">
        <f>IF(AND(B2869=Queue!$C$4,OR(Queue!$K$4="*",N2869=Queue!$K$4)),Q2869,"")</f>
        <v/>
      </c>
    </row>
    <row r="2870">
      <c r="A2870" s="38">
        <f>IF(M2870="","",HYPERLINK("https://www.youtube.com/watch?v="&amp;M2870,"▶"))</f>
        <v/>
      </c>
      <c r="B2870" s="39">
        <f>IF(C2870&lt;&gt;"",C2870,IF(P2870&lt;=IFERROR(INDEX(tblChannels[Watched Through],MATCH(N2870,tblChannels[Channel ID],0)),0),"Watched","Unwatched"))</f>
        <v/>
      </c>
      <c r="C2870" s="40" t="n"/>
      <c r="D2870" s="41" t="n"/>
      <c r="E2870" s="42" t="n">
        <v>41865.98541666667</v>
      </c>
      <c r="F2870" s="50" t="inlineStr">
        <is>
          <t>Super Carlin Brothers</t>
        </is>
      </c>
      <c r="G2870" t="inlineStr">
        <is>
          <t>Password Therapy</t>
        </is>
      </c>
      <c r="H2870" s="44" t="n">
        <v>0.002824074074074074</v>
      </c>
      <c r="I2870" s="45" t="n">
        <v>24859</v>
      </c>
      <c r="J2870" s="45" t="n">
        <v>660</v>
      </c>
      <c r="K2870" s="45" t="n">
        <v>130</v>
      </c>
      <c r="L2870" s="46" t="n"/>
      <c r="M2870" s="47" t="n"/>
      <c r="N2870" s="47" t="inlineStr">
        <is>
          <t>UCKZo4N0lVPccBkSiuyVh4yg</t>
        </is>
      </c>
      <c r="O2870" s="48" t="n">
        <v>41866.15208333333</v>
      </c>
      <c r="P2870" s="49" t="n">
        <v>41865</v>
      </c>
      <c r="Q2870" s="47" t="n">
        <v>398</v>
      </c>
      <c r="R2870" s="47" t="inlineStr">
        <is>
          <t>No Video ID yet</t>
        </is>
      </c>
      <c r="S2870" s="49" t="n"/>
      <c r="T2870" s="49" t="n"/>
      <c r="U2870" s="47" t="inlineStr">
        <is>
          <t>INSTAGRAM: @BPCARLIN So as a youtuber... it feels very necessary to promote yourself. Be very active through social media. Post and re-post video links. I have trouble with this even though it's probably an essential aspect to the process. And I get it. It's not people who love themselves and their own opinions, think the whole world needs to see what they have to say. They WANT that. They believe firmly in their project. A channel and it's success can be a huge passion for someone. And sometimes it takes being damn near annoying to get traction. It is a means to an end. At some point the viral nature of the internet will step in and take control. I guess what I'm getting at is... my hawking at you in today's video is supposed to prove (and hopefully it will... follow me on instagram @bpcarlin) that if you get pinged enough to do something... results will come. Sorry for hawking... Marketing curiosity.</t>
        </is>
      </c>
      <c r="V2870" s="47">
        <f>IF(AND(P2870&gt;=Calendar!$K$2,P2870&lt;EDATE(Calendar!$K$2,1),OR(Calendar!$K$4="*",N2870=Calendar!$K$4)),P2870*100+COUNTIFS($P$6:$P$3267,P2870,$Q$6:$Q$3267,"&lt;="&amp;Q2870,$N$6:$N$3267,Calendar!$K$4),"")</f>
        <v/>
      </c>
      <c r="W2870" s="47">
        <f>IF(AND(B2870=Queue!$C$4,OR(Queue!$K$4="*",N2870=Queue!$K$4)),Q2870,"")</f>
        <v/>
      </c>
    </row>
    <row r="2871">
      <c r="A2871" s="38">
        <f>IF(M2871="","",HYPERLINK("https://www.youtube.com/watch?v="&amp;M2871,"▶"))</f>
        <v/>
      </c>
      <c r="B2871" s="39">
        <f>IF(C2871&lt;&gt;"",C2871,IF(P2871&lt;=IFERROR(INDEX(tblChannels[Watched Through],MATCH(N2871,tblChannels[Channel ID],0)),0),"Watched","Unwatched"))</f>
        <v/>
      </c>
      <c r="C2871" s="40" t="n"/>
      <c r="D2871" s="41" t="n"/>
      <c r="E2871" s="42" t="n">
        <v>41863.94722222222</v>
      </c>
      <c r="F2871" s="50" t="inlineStr">
        <is>
          <t>Super Carlin Brothers</t>
        </is>
      </c>
      <c r="G2871" t="inlineStr">
        <is>
          <t>The Mustache Dilemma</t>
        </is>
      </c>
      <c r="H2871" s="44" t="n">
        <v>0.002789351851851852</v>
      </c>
      <c r="I2871" s="45" t="n">
        <v>74823</v>
      </c>
      <c r="J2871" s="45" t="n">
        <v>1748</v>
      </c>
      <c r="K2871" s="45" t="n">
        <v>219</v>
      </c>
      <c r="L2871" s="46" t="n"/>
      <c r="M2871" s="47" t="n"/>
      <c r="N2871" s="47" t="inlineStr">
        <is>
          <t>UCKZo4N0lVPccBkSiuyVh4yg</t>
        </is>
      </c>
      <c r="O2871" s="48" t="n">
        <v>41864.11388888889</v>
      </c>
      <c r="P2871" s="49" t="n">
        <v>41863</v>
      </c>
      <c r="Q2871" s="47" t="n">
        <v>397</v>
      </c>
      <c r="R2871" s="47" t="inlineStr">
        <is>
          <t>No Video ID yet</t>
        </is>
      </c>
      <c r="S2871" s="49" t="n"/>
      <c r="T2871" s="49" t="n"/>
      <c r="U2871" s="47" t="n"/>
      <c r="V2871" s="47">
        <f>IF(AND(P2871&gt;=Calendar!$K$2,P2871&lt;EDATE(Calendar!$K$2,1),OR(Calendar!$K$4="*",N2871=Calendar!$K$4)),P2871*100+COUNTIFS($P$6:$P$3267,P2871,$Q$6:$Q$3267,"&lt;="&amp;Q2871,$N$6:$N$3267,Calendar!$K$4),"")</f>
        <v/>
      </c>
      <c r="W2871" s="47">
        <f>IF(AND(B2871=Queue!$C$4,OR(Queue!$K$4="*",N2871=Queue!$K$4)),Q2871,"")</f>
        <v/>
      </c>
    </row>
    <row r="2872">
      <c r="A2872" s="38">
        <f>IF(M2872="","",HYPERLINK("https://www.youtube.com/watch?v="&amp;M2872,"▶"))</f>
        <v/>
      </c>
      <c r="B2872" s="39">
        <f>IF(C2872&lt;&gt;"",C2872,IF(P2872&lt;=IFERROR(INDEX(tblChannels[Watched Through],MATCH(N2872,tblChannels[Channel ID],0)),0),"Watched","Unwatched"))</f>
        <v/>
      </c>
      <c r="C2872" s="40" t="n"/>
      <c r="D2872" s="41" t="n"/>
      <c r="E2872" s="42" t="n">
        <v>41858.91666666666</v>
      </c>
      <c r="F2872" s="50" t="inlineStr">
        <is>
          <t>Super Carlin Brothers</t>
        </is>
      </c>
      <c r="G2872" t="inlineStr">
        <is>
          <t>How to Cut a Watermelon with Rubber Bands</t>
        </is>
      </c>
      <c r="H2872" s="44" t="n">
        <v>0.001724537037037037</v>
      </c>
      <c r="I2872" s="45" t="n">
        <v>63319</v>
      </c>
      <c r="J2872" s="45" t="n">
        <v>1389</v>
      </c>
      <c r="K2872" s="45" t="n">
        <v>135</v>
      </c>
      <c r="L2872" s="46" t="n"/>
      <c r="M2872" s="47" t="n"/>
      <c r="N2872" s="47" t="inlineStr">
        <is>
          <t>UCKZo4N0lVPccBkSiuyVh4yg</t>
        </is>
      </c>
      <c r="O2872" s="48" t="n">
        <v>41859.08333333334</v>
      </c>
      <c r="P2872" s="49" t="n">
        <v>41858</v>
      </c>
      <c r="Q2872" s="47" t="n">
        <v>396</v>
      </c>
      <c r="R2872" s="47" t="inlineStr">
        <is>
          <t>No Video ID yet</t>
        </is>
      </c>
      <c r="S2872" s="49" t="n"/>
      <c r="T2872" s="49" t="n"/>
      <c r="U2872" s="47" t="inlineStr">
        <is>
          <t>This is WAY more efficient than a knife... just sayin...</t>
        </is>
      </c>
      <c r="V2872" s="47">
        <f>IF(AND(P2872&gt;=Calendar!$K$2,P2872&lt;EDATE(Calendar!$K$2,1),OR(Calendar!$K$4="*",N2872=Calendar!$K$4)),P2872*100+COUNTIFS($P$6:$P$3267,P2872,$Q$6:$Q$3267,"&lt;="&amp;Q2872,$N$6:$N$3267,Calendar!$K$4),"")</f>
        <v/>
      </c>
      <c r="W2872" s="47">
        <f>IF(AND(B2872=Queue!$C$4,OR(Queue!$K$4="*",N2872=Queue!$K$4)),Q2872,"")</f>
        <v/>
      </c>
    </row>
    <row r="2873">
      <c r="A2873" s="38">
        <f>IF(M2873="","",HYPERLINK("https://www.youtube.com/watch?v="&amp;M2873,"▶"))</f>
        <v/>
      </c>
      <c r="B2873" s="39">
        <f>IF(C2873&lt;&gt;"",C2873,IF(P2873&lt;=IFERROR(INDEX(tblChannels[Watched Through],MATCH(N2873,tblChannels[Channel ID],0)),0),"Watched","Unwatched"))</f>
        <v/>
      </c>
      <c r="C2873" s="40" t="n"/>
      <c r="D2873" s="41" t="n"/>
      <c r="E2873" s="42" t="n">
        <v>41856.94444444445</v>
      </c>
      <c r="F2873" s="50" t="inlineStr">
        <is>
          <t>Super Carlin Brothers</t>
        </is>
      </c>
      <c r="G2873" t="inlineStr">
        <is>
          <t>JUXTABROS! - Beaches and Werewolves!</t>
        </is>
      </c>
      <c r="H2873" s="44" t="n">
        <v>0.008726851851851852</v>
      </c>
      <c r="I2873" s="45" t="n">
        <v>54409</v>
      </c>
      <c r="J2873" s="45" t="n">
        <v>1010</v>
      </c>
      <c r="K2873" s="45" t="n">
        <v>352</v>
      </c>
      <c r="L2873" s="46" t="n"/>
      <c r="M2873" s="47" t="n"/>
      <c r="N2873" s="47" t="inlineStr">
        <is>
          <t>UCKZo4N0lVPccBkSiuyVh4yg</t>
        </is>
      </c>
      <c r="O2873" s="48" t="n">
        <v>41857.11111111111</v>
      </c>
      <c r="P2873" s="49" t="n">
        <v>41856</v>
      </c>
      <c r="Q2873" s="47" t="n">
        <v>395</v>
      </c>
      <c r="R2873" s="47" t="inlineStr">
        <is>
          <t>No Video ID yet</t>
        </is>
      </c>
      <c r="S2873" s="49" t="n"/>
      <c r="T2873" s="49" t="n"/>
      <c r="U2873" s="47" t="inlineStr">
        <is>
          <t>We are at the beach!! What Harry Potter House do you think corresponds with each suite of playing cards? Instagram ::</t>
        </is>
      </c>
      <c r="V2873" s="47">
        <f>IF(AND(P2873&gt;=Calendar!$K$2,P2873&lt;EDATE(Calendar!$K$2,1),OR(Calendar!$K$4="*",N2873=Calendar!$K$4)),P2873*100+COUNTIFS($P$6:$P$3267,P2873,$Q$6:$Q$3267,"&lt;="&amp;Q2873,$N$6:$N$3267,Calendar!$K$4),"")</f>
        <v/>
      </c>
      <c r="W2873" s="47">
        <f>IF(AND(B2873=Queue!$C$4,OR(Queue!$K$4="*",N2873=Queue!$K$4)),Q2873,"")</f>
        <v/>
      </c>
    </row>
    <row r="2874">
      <c r="A2874" s="38">
        <f>IF(M2874="","",HYPERLINK("https://www.youtube.com/watch?v="&amp;M2874,"▶"))</f>
        <v/>
      </c>
      <c r="B2874" s="39">
        <f>IF(C2874&lt;&gt;"",C2874,IF(P2874&lt;=IFERROR(INDEX(tblChannels[Watched Through],MATCH(N2874,tblChannels[Channel ID],0)),0),"Watched","Unwatched"))</f>
        <v/>
      </c>
      <c r="C2874" s="40" t="n"/>
      <c r="D2874" s="41" t="n"/>
      <c r="E2874" s="42" t="n">
        <v>41852.00763888889</v>
      </c>
      <c r="F2874" s="50" t="inlineStr">
        <is>
          <t>Super Carlin Brothers</t>
        </is>
      </c>
      <c r="G2874" t="inlineStr">
        <is>
          <t>The Tale of Generosity's Umbrella</t>
        </is>
      </c>
      <c r="H2874" s="44" t="n">
        <v>0.002604166666666667</v>
      </c>
      <c r="I2874" s="45" t="n">
        <v>15886</v>
      </c>
      <c r="J2874" s="45" t="n">
        <v>466</v>
      </c>
      <c r="K2874" s="45" t="n">
        <v>59</v>
      </c>
      <c r="L2874" s="46" t="n"/>
      <c r="M2874" s="47" t="n"/>
      <c r="N2874" s="47" t="inlineStr">
        <is>
          <t>UCKZo4N0lVPccBkSiuyVh4yg</t>
        </is>
      </c>
      <c r="O2874" s="48" t="n">
        <v>41852.17430555556</v>
      </c>
      <c r="P2874" s="49" t="n">
        <v>41852</v>
      </c>
      <c r="Q2874" s="47" t="n">
        <v>394</v>
      </c>
      <c r="R2874" s="47" t="inlineStr">
        <is>
          <t>No Video ID yet</t>
        </is>
      </c>
      <c r="S2874" s="49" t="n"/>
      <c r="T2874" s="49" t="n"/>
      <c r="U2874" s="47" t="inlineStr">
        <is>
          <t>Tweet your photos under Generosity's Umbrella to @SCB_Ben !! Okay so talk about a first world problem... But I can't tell you how often I feel like the scenarios pop up.. For example let's say J wants to have something built and is getting estimates for how much it's going to cost... and it's going to cost a lot. But me being the little brother builder says "No worries man! I can build that for you!" But I take forever. So the conversation would have to happen: "We really need to get it built... But I feel so rude pressuring him when he's doing us a favor" But I'm taking forever... and they are now unable to allow the project to be completed on their own terms. Which can be frustrating.</t>
        </is>
      </c>
      <c r="V2874" s="47">
        <f>IF(AND(P2874&gt;=Calendar!$K$2,P2874&lt;EDATE(Calendar!$K$2,1),OR(Calendar!$K$4="*",N2874=Calendar!$K$4)),P2874*100+COUNTIFS($P$6:$P$3267,P2874,$Q$6:$Q$3267,"&lt;="&amp;Q2874,$N$6:$N$3267,Calendar!$K$4),"")</f>
        <v/>
      </c>
      <c r="W2874" s="47">
        <f>IF(AND(B2874=Queue!$C$4,OR(Queue!$K$4="*",N2874=Queue!$K$4)),Q2874,"")</f>
        <v/>
      </c>
    </row>
    <row r="2875">
      <c r="A2875" s="38">
        <f>IF(M2875="","",HYPERLINK("https://www.youtube.com/watch?v="&amp;M2875,"▶"))</f>
        <v/>
      </c>
      <c r="B2875" s="39">
        <f>IF(C2875&lt;&gt;"",C2875,IF(P2875&lt;=IFERROR(INDEX(tblChannels[Watched Through],MATCH(N2875,tblChannels[Channel ID],0)),0),"Watched","Unwatched"))</f>
        <v/>
      </c>
      <c r="C2875" s="40" t="n"/>
      <c r="D2875" s="41" t="n"/>
      <c r="E2875" s="42" t="n">
        <v>41849.93472222222</v>
      </c>
      <c r="F2875" s="50" t="inlineStr">
        <is>
          <t>Super Carlin Brothers</t>
        </is>
      </c>
      <c r="G2875" t="inlineStr">
        <is>
          <t>Frozen Theory: The Prince of Arendelle</t>
        </is>
      </c>
      <c r="H2875" s="44" t="n">
        <v>0.004097222222222223</v>
      </c>
      <c r="I2875" s="45" t="n">
        <v>2157902</v>
      </c>
      <c r="J2875" s="45" t="n">
        <v>35906</v>
      </c>
      <c r="K2875" s="45" t="n">
        <v>7526</v>
      </c>
      <c r="L2875" s="46" t="n"/>
      <c r="M2875" s="47" t="n"/>
      <c r="N2875" s="47" t="inlineStr">
        <is>
          <t>UCKZo4N0lVPccBkSiuyVh4yg</t>
        </is>
      </c>
      <c r="O2875" s="48" t="n">
        <v>41850.10138888889</v>
      </c>
      <c r="P2875" s="49" t="n">
        <v>41849</v>
      </c>
      <c r="Q2875" s="47" t="n">
        <v>393</v>
      </c>
      <c r="R2875" s="47" t="inlineStr">
        <is>
          <t>No Video ID yet</t>
        </is>
      </c>
      <c r="S2875" s="49" t="n"/>
      <c r="T2875" s="49" t="n"/>
      <c r="U2875" s="47" t="inlineStr">
        <is>
          <t>What really happens to snow in the summer? Who is the true prince of Arendelle?? Frozen Theory Article :: Corona is in Germany :: INSTAGRAM:</t>
        </is>
      </c>
      <c r="V2875" s="47">
        <f>IF(AND(P2875&gt;=Calendar!$K$2,P2875&lt;EDATE(Calendar!$K$2,1),OR(Calendar!$K$4="*",N2875=Calendar!$K$4)),P2875*100+COUNTIFS($P$6:$P$3267,P2875,$Q$6:$Q$3267,"&lt;="&amp;Q2875,$N$6:$N$3267,Calendar!$K$4),"")</f>
        <v/>
      </c>
      <c r="W2875" s="47">
        <f>IF(AND(B2875=Queue!$C$4,OR(Queue!$K$4="*",N2875=Queue!$K$4)),Q2875,"")</f>
        <v/>
      </c>
    </row>
    <row r="2876">
      <c r="A2876" s="38">
        <f>IF(M2876="","",HYPERLINK("https://www.youtube.com/watch?v="&amp;M2876,"▶"))</f>
        <v/>
      </c>
      <c r="B2876" s="39">
        <f>IF(C2876&lt;&gt;"",C2876,IF(P2876&lt;=IFERROR(INDEX(tblChannels[Watched Through],MATCH(N2876,tblChannels[Channel ID],0)),0),"Watched","Unwatched"))</f>
        <v/>
      </c>
      <c r="C2876" s="40" t="n"/>
      <c r="D2876" s="41" t="n"/>
      <c r="E2876" s="42" t="n">
        <v>41847.57638888889</v>
      </c>
      <c r="F2876" s="52" t="inlineStr">
        <is>
          <t>Super Carlin Gaming</t>
        </is>
      </c>
      <c r="G2876" t="inlineStr">
        <is>
          <t>Pokemon FireRed Nuzlocke Challenge #20: Quest for Articuno!</t>
        </is>
      </c>
      <c r="H2876" s="44" t="n">
        <v>0.01881944444444444</v>
      </c>
      <c r="I2876" s="45" t="n">
        <v>26139</v>
      </c>
      <c r="J2876" s="45" t="n">
        <v>479</v>
      </c>
      <c r="K2876" s="45" t="n">
        <v>174</v>
      </c>
      <c r="L2876" s="46" t="n"/>
      <c r="M2876" s="47" t="n"/>
      <c r="N2876" s="47" t="inlineStr">
        <is>
          <t>UCor_9jRnNNZVzTuQ92PKsaQ</t>
        </is>
      </c>
      <c r="O2876" s="48" t="n">
        <v>41847.74305555555</v>
      </c>
      <c r="P2876" s="49" t="n">
        <v>41847</v>
      </c>
      <c r="Q2876" s="47" t="n">
        <v>392</v>
      </c>
      <c r="R2876" s="47" t="inlineStr">
        <is>
          <t>No Video ID yet</t>
        </is>
      </c>
      <c r="S2876" s="49" t="n"/>
      <c r="T2876" s="49" t="n"/>
      <c r="U2876" s="47" t="inlineStr">
        <is>
          <t>Today we seek a legend - Will the team survive an encounter with Articuno??</t>
        </is>
      </c>
      <c r="V2876" s="47">
        <f>IF(AND(P2876&gt;=Calendar!$K$2,P2876&lt;EDATE(Calendar!$K$2,1),OR(Calendar!$K$4="*",N2876=Calendar!$K$4)),P2876*100+COUNTIFS($P$6:$P$3267,P2876,$Q$6:$Q$3267,"&lt;="&amp;Q2876,$N$6:$N$3267,Calendar!$K$4),"")</f>
        <v/>
      </c>
      <c r="W2876" s="47">
        <f>IF(AND(B2876=Queue!$C$4,OR(Queue!$K$4="*",N2876=Queue!$K$4)),Q2876,"")</f>
        <v/>
      </c>
    </row>
    <row r="2877">
      <c r="A2877" s="38">
        <f>IF(M2877="","",HYPERLINK("https://www.youtube.com/watch?v="&amp;M2877,"▶"))</f>
        <v/>
      </c>
      <c r="B2877" s="39">
        <f>IF(C2877&lt;&gt;"",C2877,IF(P2877&lt;=IFERROR(INDEX(tblChannels[Watched Through],MATCH(N2877,tblChannels[Channel ID],0)),0),"Watched","Unwatched"))</f>
        <v/>
      </c>
      <c r="C2877" s="40" t="n"/>
      <c r="D2877" s="41" t="n"/>
      <c r="E2877" s="42" t="n">
        <v>41844.54166666666</v>
      </c>
      <c r="F2877" s="50" t="inlineStr">
        <is>
          <t>Super Carlin Brothers</t>
        </is>
      </c>
      <c r="G2877" t="inlineStr">
        <is>
          <t>I HEART SPICY</t>
        </is>
      </c>
      <c r="H2877" s="44" t="n">
        <v>0.002939814814814815</v>
      </c>
      <c r="I2877" s="45" t="n">
        <v>19373</v>
      </c>
      <c r="J2877" s="45" t="n">
        <v>395</v>
      </c>
      <c r="K2877" s="45" t="n">
        <v>208</v>
      </c>
      <c r="L2877" s="46" t="n"/>
      <c r="M2877" s="47" t="n"/>
      <c r="N2877" s="47" t="inlineStr">
        <is>
          <t>UCKZo4N0lVPccBkSiuyVh4yg</t>
        </is>
      </c>
      <c r="O2877" s="48" t="n">
        <v>41844.70833333334</v>
      </c>
      <c r="P2877" s="49" t="n">
        <v>41844</v>
      </c>
      <c r="Q2877" s="47" t="n">
        <v>391</v>
      </c>
      <c r="R2877" s="47" t="inlineStr">
        <is>
          <t>No Video ID yet</t>
        </is>
      </c>
      <c r="S2877" s="49" t="n"/>
      <c r="T2877" s="49" t="n"/>
      <c r="U2877" s="47" t="inlineStr">
        <is>
          <t>My score: 6. I hope we can still be friends.</t>
        </is>
      </c>
      <c r="V2877" s="47">
        <f>IF(AND(P2877&gt;=Calendar!$K$2,P2877&lt;EDATE(Calendar!$K$2,1),OR(Calendar!$K$4="*",N2877=Calendar!$K$4)),P2877*100+COUNTIFS($P$6:$P$3267,P2877,$Q$6:$Q$3267,"&lt;="&amp;Q2877,$N$6:$N$3267,Calendar!$K$4),"")</f>
        <v/>
      </c>
      <c r="W2877" s="47">
        <f>IF(AND(B2877=Queue!$C$4,OR(Queue!$K$4="*",N2877=Queue!$K$4)),Q2877,"")</f>
        <v/>
      </c>
    </row>
    <row r="2878">
      <c r="A2878" s="38">
        <f>IF(M2878="","",HYPERLINK("https://www.youtube.com/watch?v="&amp;M2878,"▶"))</f>
        <v/>
      </c>
      <c r="B2878" s="39">
        <f>IF(C2878&lt;&gt;"",C2878,IF(P2878&lt;=IFERROR(INDEX(tblChannels[Watched Through],MATCH(N2878,tblChannels[Channel ID],0)),0),"Watched","Unwatched"))</f>
        <v/>
      </c>
      <c r="C2878" s="40" t="n"/>
      <c r="D2878" s="41" t="n"/>
      <c r="E2878" s="42" t="n">
        <v>41843.98819444444</v>
      </c>
      <c r="F2878" s="52" t="inlineStr">
        <is>
          <t>Super Carlin Gaming</t>
        </is>
      </c>
      <c r="G2878" t="inlineStr">
        <is>
          <t>Pokemon FireRed Nuzlocke Challenge #19: KOGA</t>
        </is>
      </c>
      <c r="H2878" s="44" t="n">
        <v>0.01484953703703704</v>
      </c>
      <c r="I2878" s="45" t="n">
        <v>23863</v>
      </c>
      <c r="J2878" s="45" t="n">
        <v>424</v>
      </c>
      <c r="K2878" s="45" t="n">
        <v>52</v>
      </c>
      <c r="L2878" s="46" t="n"/>
      <c r="M2878" s="47" t="n"/>
      <c r="N2878" s="47" t="inlineStr">
        <is>
          <t>UCor_9jRnNNZVzTuQ92PKsaQ</t>
        </is>
      </c>
      <c r="O2878" s="48" t="n">
        <v>41844.15486111111</v>
      </c>
      <c r="P2878" s="49" t="n">
        <v>41843</v>
      </c>
      <c r="Q2878" s="47" t="n">
        <v>390</v>
      </c>
      <c r="R2878" s="47" t="inlineStr">
        <is>
          <t>No Video ID yet</t>
        </is>
      </c>
      <c r="S2878" s="49" t="n"/>
      <c r="T2878" s="49" t="n"/>
      <c r="U2878" s="47" t="inlineStr">
        <is>
          <t>Today we challenge Koga in the Psychi... uhh.. Poison gym? (If he says so I guess..) Will the team hold strong against all of the smokescreens and toxic??</t>
        </is>
      </c>
      <c r="V2878" s="47">
        <f>IF(AND(P2878&gt;=Calendar!$K$2,P2878&lt;EDATE(Calendar!$K$2,1),OR(Calendar!$K$4="*",N2878=Calendar!$K$4)),P2878*100+COUNTIFS($P$6:$P$3267,P2878,$Q$6:$Q$3267,"&lt;="&amp;Q2878,$N$6:$N$3267,Calendar!$K$4),"")</f>
        <v/>
      </c>
      <c r="W2878" s="47">
        <f>IF(AND(B2878=Queue!$C$4,OR(Queue!$K$4="*",N2878=Queue!$K$4)),Q2878,"")</f>
        <v/>
      </c>
    </row>
    <row r="2879">
      <c r="A2879" s="38">
        <f>IF(M2879="","",HYPERLINK("https://www.youtube.com/watch?v="&amp;M2879,"▶"))</f>
        <v/>
      </c>
      <c r="B2879" s="39">
        <f>IF(C2879&lt;&gt;"",C2879,IF(P2879&lt;=IFERROR(INDEX(tblChannels[Watched Through],MATCH(N2879,tblChannels[Channel ID],0)),0),"Watched","Unwatched"))</f>
        <v/>
      </c>
      <c r="C2879" s="40" t="n"/>
      <c r="D2879" s="41" t="n"/>
      <c r="E2879" s="42" t="n">
        <v>41842.90694444445</v>
      </c>
      <c r="F2879" s="50" t="inlineStr">
        <is>
          <t>Super Carlin Brothers</t>
        </is>
      </c>
      <c r="G2879" t="inlineStr">
        <is>
          <t>Infinity and Beyond!</t>
        </is>
      </c>
      <c r="H2879" s="44" t="n">
        <v>0.003252314814814815</v>
      </c>
      <c r="I2879" s="45" t="n">
        <v>221908</v>
      </c>
      <c r="J2879" s="45" t="n">
        <v>3054</v>
      </c>
      <c r="K2879" s="45" t="n">
        <v>591</v>
      </c>
      <c r="L2879" s="46" t="n"/>
      <c r="M2879" s="47" t="n"/>
      <c r="N2879" s="47" t="inlineStr">
        <is>
          <t>UCKZo4N0lVPccBkSiuyVh4yg</t>
        </is>
      </c>
      <c r="O2879" s="48" t="n">
        <v>41843.07361111111</v>
      </c>
      <c r="P2879" s="49" t="n">
        <v>41842</v>
      </c>
      <c r="Q2879" s="47" t="n">
        <v>389</v>
      </c>
      <c r="R2879" s="47" t="inlineStr">
        <is>
          <t>No Video ID yet</t>
        </is>
      </c>
      <c r="S2879" s="49" t="n"/>
      <c r="T2879" s="49" t="n"/>
      <c r="U2879" s="47" t="inlineStr">
        <is>
          <t>What are your infinity objects? Also why does Buzz freeze like the rest of the toys?? Questions for Ask J? Ask in the towel section or on any of our social pages below!!</t>
        </is>
      </c>
      <c r="V2879" s="47">
        <f>IF(AND(P2879&gt;=Calendar!$K$2,P2879&lt;EDATE(Calendar!$K$2,1),OR(Calendar!$K$4="*",N2879=Calendar!$K$4)),P2879*100+COUNTIFS($P$6:$P$3267,P2879,$Q$6:$Q$3267,"&lt;="&amp;Q2879,$N$6:$N$3267,Calendar!$K$4),"")</f>
        <v/>
      </c>
      <c r="W2879" s="47">
        <f>IF(AND(B2879=Queue!$C$4,OR(Queue!$K$4="*",N2879=Queue!$K$4)),Q2879,"")</f>
        <v/>
      </c>
    </row>
    <row r="2880">
      <c r="A2880" s="38">
        <f>IF(M2880="","",HYPERLINK("https://www.youtube.com/watch?v="&amp;M2880,"▶"))</f>
        <v/>
      </c>
      <c r="B2880" s="39">
        <f>IF(C2880&lt;&gt;"",C2880,IF(P2880&lt;=IFERROR(INDEX(tblChannels[Watched Through],MATCH(N2880,tblChannels[Channel ID],0)),0),"Watched","Unwatched"))</f>
        <v/>
      </c>
      <c r="C2880" s="40" t="n"/>
      <c r="D2880" s="41" t="n"/>
      <c r="E2880" s="42" t="n">
        <v>41837.96666666667</v>
      </c>
      <c r="F2880" s="50" t="inlineStr">
        <is>
          <t>Super Carlin Brothers</t>
        </is>
      </c>
      <c r="G2880" t="inlineStr">
        <is>
          <t>Chilly Bump Getting Whore</t>
        </is>
      </c>
      <c r="H2880" s="44" t="n">
        <v>0.002534722222222222</v>
      </c>
      <c r="I2880" s="45" t="n">
        <v>16435</v>
      </c>
      <c r="J2880" s="45" t="n">
        <v>345</v>
      </c>
      <c r="K2880" s="45" t="n">
        <v>140</v>
      </c>
      <c r="L2880" s="46" t="n"/>
      <c r="M2880" s="47" t="n"/>
      <c r="N2880" s="47" t="inlineStr">
        <is>
          <t>UCKZo4N0lVPccBkSiuyVh4yg</t>
        </is>
      </c>
      <c r="O2880" s="48" t="n">
        <v>41838.13333333333</v>
      </c>
      <c r="P2880" s="49" t="n">
        <v>41837</v>
      </c>
      <c r="Q2880" s="47" t="n">
        <v>388</v>
      </c>
      <c r="R2880" s="47" t="inlineStr">
        <is>
          <t>No Video ID yet</t>
        </is>
      </c>
      <c r="S2880" s="49" t="n"/>
      <c r="T2880" s="49" t="n"/>
      <c r="U2880" s="47" t="inlineStr">
        <is>
          <t>Movie trailers also get me...</t>
        </is>
      </c>
      <c r="V2880" s="47">
        <f>IF(AND(P2880&gt;=Calendar!$K$2,P2880&lt;EDATE(Calendar!$K$2,1),OR(Calendar!$K$4="*",N2880=Calendar!$K$4)),P2880*100+COUNTIFS($P$6:$P$3267,P2880,$Q$6:$Q$3267,"&lt;="&amp;Q2880,$N$6:$N$3267,Calendar!$K$4),"")</f>
        <v/>
      </c>
      <c r="W2880" s="47">
        <f>IF(AND(B2880=Queue!$C$4,OR(Queue!$K$4="*",N2880=Queue!$K$4)),Q2880,"")</f>
        <v/>
      </c>
    </row>
    <row r="2881">
      <c r="A2881" s="38">
        <f>IF(M2881="","",HYPERLINK("https://www.youtube.com/watch?v="&amp;M2881,"▶"))</f>
        <v/>
      </c>
      <c r="B2881" s="39">
        <f>IF(C2881&lt;&gt;"",C2881,IF(P2881&lt;=IFERROR(INDEX(tblChannels[Watched Through],MATCH(N2881,tblChannels[Channel ID],0)),0),"Watched","Unwatched"))</f>
        <v/>
      </c>
      <c r="C2881" s="40" t="n"/>
      <c r="D2881" s="41" t="n"/>
      <c r="E2881" s="42" t="n">
        <v>41835.99652777778</v>
      </c>
      <c r="F2881" s="50" t="inlineStr">
        <is>
          <t>Super Carlin Brothers</t>
        </is>
      </c>
      <c r="G2881" t="inlineStr">
        <is>
          <t>Are Narwhals Google Autofill</t>
        </is>
      </c>
      <c r="H2881" s="44" t="n">
        <v>0.003703703703703704</v>
      </c>
      <c r="I2881" s="45" t="n">
        <v>348327</v>
      </c>
      <c r="J2881" s="45" t="n">
        <v>5354</v>
      </c>
      <c r="K2881" s="45" t="n">
        <v>1148</v>
      </c>
      <c r="L2881" s="46" t="n"/>
      <c r="M2881" s="47" t="n"/>
      <c r="N2881" s="47" t="inlineStr">
        <is>
          <t>UCKZo4N0lVPccBkSiuyVh4yg</t>
        </is>
      </c>
      <c r="O2881" s="48" t="n">
        <v>41836.16319444445</v>
      </c>
      <c r="P2881" s="49" t="n">
        <v>41835</v>
      </c>
      <c r="Q2881" s="47" t="n">
        <v>387</v>
      </c>
      <c r="R2881" s="47" t="inlineStr">
        <is>
          <t>No Video ID yet</t>
        </is>
      </c>
      <c r="S2881" s="49" t="n"/>
      <c r="T2881" s="49" t="n"/>
      <c r="U2881" s="47" t="inlineStr">
        <is>
          <t>NARWHAL TSHIRT :: Narwhals - Real? Evil? Friendly? Jedi? Unicorns???? FOLLOW US ON INSTAGRAM: Ben: J:</t>
        </is>
      </c>
      <c r="V2881" s="47">
        <f>IF(AND(P2881&gt;=Calendar!$K$2,P2881&lt;EDATE(Calendar!$K$2,1),OR(Calendar!$K$4="*",N2881=Calendar!$K$4)),P2881*100+COUNTIFS($P$6:$P$3267,P2881,$Q$6:$Q$3267,"&lt;="&amp;Q2881,$N$6:$N$3267,Calendar!$K$4),"")</f>
        <v/>
      </c>
      <c r="W2881" s="47">
        <f>IF(AND(B2881=Queue!$C$4,OR(Queue!$K$4="*",N2881=Queue!$K$4)),Q2881,"")</f>
        <v/>
      </c>
    </row>
    <row r="2882">
      <c r="A2882" s="38">
        <f>IF(M2882="","",HYPERLINK("https://www.youtube.com/watch?v="&amp;M2882,"▶"))</f>
        <v/>
      </c>
      <c r="B2882" s="39">
        <f>IF(C2882&lt;&gt;"",C2882,IF(P2882&lt;=IFERROR(INDEX(tblChannels[Watched Through],MATCH(N2882,tblChannels[Channel ID],0)),0),"Watched","Unwatched"))</f>
        <v/>
      </c>
      <c r="C2882" s="40" t="n"/>
      <c r="D2882" s="41" t="n"/>
      <c r="E2882" s="42" t="n">
        <v>41830.95347222222</v>
      </c>
      <c r="F2882" s="50" t="inlineStr">
        <is>
          <t>Super Carlin Brothers</t>
        </is>
      </c>
      <c r="G2882" t="inlineStr">
        <is>
          <t>The Sloth Theory</t>
        </is>
      </c>
      <c r="H2882" s="44" t="n">
        <v>0.003032407407407407</v>
      </c>
      <c r="I2882" s="45" t="n">
        <v>258642</v>
      </c>
      <c r="J2882" s="45" t="n">
        <v>4234</v>
      </c>
      <c r="K2882" s="45" t="n">
        <v>929</v>
      </c>
      <c r="L2882" s="46" t="n"/>
      <c r="M2882" s="47" t="n"/>
      <c r="N2882" s="47" t="inlineStr">
        <is>
          <t>UCKZo4N0lVPccBkSiuyVh4yg</t>
        </is>
      </c>
      <c r="O2882" s="48" t="n">
        <v>41831.12013888889</v>
      </c>
      <c r="P2882" s="49" t="n">
        <v>41830</v>
      </c>
      <c r="Q2882" s="47" t="n">
        <v>386</v>
      </c>
      <c r="R2882" s="47" t="inlineStr">
        <is>
          <t>No Video ID yet</t>
        </is>
      </c>
      <c r="S2882" s="49" t="n"/>
      <c r="T2882" s="49" t="n"/>
      <c r="U2882" s="47" t="inlineStr">
        <is>
          <t>So what do you think?!!? Can they?! Muahaha you'll have to watch the video... Otherwise my question of the day would give away my theory without watching the video! I know and your right. It is very sneaky. Like a Sloth.</t>
        </is>
      </c>
      <c r="V2882" s="47">
        <f>IF(AND(P2882&gt;=Calendar!$K$2,P2882&lt;EDATE(Calendar!$K$2,1),OR(Calendar!$K$4="*",N2882=Calendar!$K$4)),P2882*100+COUNTIFS($P$6:$P$3267,P2882,$Q$6:$Q$3267,"&lt;="&amp;Q2882,$N$6:$N$3267,Calendar!$K$4),"")</f>
        <v/>
      </c>
      <c r="W2882" s="47">
        <f>IF(AND(B2882=Queue!$C$4,OR(Queue!$K$4="*",N2882=Queue!$K$4)),Q2882,"")</f>
        <v/>
      </c>
    </row>
    <row r="2883">
      <c r="A2883" s="38">
        <f>IF(M2883="","",HYPERLINK("https://www.youtube.com/watch?v="&amp;M2883,"▶"))</f>
        <v/>
      </c>
      <c r="B2883" s="39">
        <f>IF(C2883&lt;&gt;"",C2883,IF(P2883&lt;=IFERROR(INDEX(tblChannels[Watched Through],MATCH(N2883,tblChannels[Channel ID],0)),0),"Watched","Unwatched"))</f>
        <v/>
      </c>
      <c r="C2883" s="40" t="n"/>
      <c r="D2883" s="41" t="n"/>
      <c r="E2883" s="42" t="n">
        <v>41828.90972222222</v>
      </c>
      <c r="F2883" s="50" t="inlineStr">
        <is>
          <t>Super Carlin Brothers</t>
        </is>
      </c>
      <c r="G2883" t="inlineStr">
        <is>
          <t>The Coffee Creamer Challenge!</t>
        </is>
      </c>
      <c r="H2883" s="44" t="n">
        <v>0.003599537037037037</v>
      </c>
      <c r="I2883" s="45" t="n">
        <v>69614</v>
      </c>
      <c r="J2883" s="45" t="n">
        <v>1601</v>
      </c>
      <c r="K2883" s="45" t="n">
        <v>204</v>
      </c>
      <c r="L2883" s="46" t="n"/>
      <c r="M2883" s="47" t="n"/>
      <c r="N2883" s="47" t="inlineStr">
        <is>
          <t>UCKZo4N0lVPccBkSiuyVh4yg</t>
        </is>
      </c>
      <c r="O2883" s="48" t="n">
        <v>41829.07638888889</v>
      </c>
      <c r="P2883" s="49" t="n">
        <v>41828</v>
      </c>
      <c r="Q2883" s="47" t="n">
        <v>385</v>
      </c>
      <c r="R2883" s="47" t="inlineStr">
        <is>
          <t>No Video ID yet</t>
        </is>
      </c>
      <c r="S2883" s="49" t="n"/>
      <c r="T2883" s="49" t="n"/>
      <c r="U2883" s="47" t="inlineStr">
        <is>
          <t>What tiny thing has defeated you?? FOLLOW ME ON INSTAGRAM :: Contest Rules: Upload a video of you pouring creamer into a clear glass mug/glass of coffee to Instagram and tag me. Winner will be randomly chosen after Ben's vid on Thurs!</t>
        </is>
      </c>
      <c r="V2883" s="47">
        <f>IF(AND(P2883&gt;=Calendar!$K$2,P2883&lt;EDATE(Calendar!$K$2,1),OR(Calendar!$K$4="*",N2883=Calendar!$K$4)),P2883*100+COUNTIFS($P$6:$P$3267,P2883,$Q$6:$Q$3267,"&lt;="&amp;Q2883,$N$6:$N$3267,Calendar!$K$4),"")</f>
        <v/>
      </c>
      <c r="W2883" s="47">
        <f>IF(AND(B2883=Queue!$C$4,OR(Queue!$K$4="*",N2883=Queue!$K$4)),Q2883,"")</f>
        <v/>
      </c>
    </row>
    <row r="2884">
      <c r="A2884" s="38">
        <f>IF(M2884="","",HYPERLINK("https://www.youtube.com/watch?v="&amp;M2884,"▶"))</f>
        <v/>
      </c>
      <c r="B2884" s="39">
        <f>IF(C2884&lt;&gt;"",C2884,IF(P2884&lt;=IFERROR(INDEX(tblChannels[Watched Through],MATCH(N2884,tblChannels[Channel ID],0)),0),"Watched","Unwatched"))</f>
        <v/>
      </c>
      <c r="C2884" s="40" t="n"/>
      <c r="D2884" s="41" t="n"/>
      <c r="E2884" s="42" t="n">
        <v>41827.94097222222</v>
      </c>
      <c r="F2884" s="52" t="inlineStr">
        <is>
          <t>Super Carlin Gaming</t>
        </is>
      </c>
      <c r="G2884" t="inlineStr">
        <is>
          <t>Pokemon FireRed Nuzlocke Challenge #18: Twig vs Sabrina</t>
        </is>
      </c>
      <c r="H2884" s="44" t="n">
        <v>0.007974537037037037</v>
      </c>
      <c r="I2884" s="45" t="n">
        <v>22811</v>
      </c>
      <c r="J2884" s="45" t="n">
        <v>396</v>
      </c>
      <c r="K2884" s="45" t="n">
        <v>30</v>
      </c>
      <c r="L2884" s="46" t="n"/>
      <c r="M2884" s="47" t="n"/>
      <c r="N2884" s="47" t="inlineStr">
        <is>
          <t>UCor_9jRnNNZVzTuQ92PKsaQ</t>
        </is>
      </c>
      <c r="O2884" s="48" t="n">
        <v>41828.10763888889</v>
      </c>
      <c r="P2884" s="49" t="n">
        <v>41827</v>
      </c>
      <c r="Q2884" s="47" t="n">
        <v>384</v>
      </c>
      <c r="R2884" s="47" t="inlineStr">
        <is>
          <t>No Video ID yet</t>
        </is>
      </c>
      <c r="S2884" s="49" t="n"/>
      <c r="T2884" s="49" t="n"/>
      <c r="U2884" s="47" t="inlineStr">
        <is>
          <t>Today we take on the mighty Saffron City Gym - We struggled against Peaches Alakazam, can we conquer a gym full of psychic types without a death??</t>
        </is>
      </c>
      <c r="V2884" s="47">
        <f>IF(AND(P2884&gt;=Calendar!$K$2,P2884&lt;EDATE(Calendar!$K$2,1),OR(Calendar!$K$4="*",N2884=Calendar!$K$4)),P2884*100+COUNTIFS($P$6:$P$3267,P2884,$Q$6:$Q$3267,"&lt;="&amp;Q2884,$N$6:$N$3267,Calendar!$K$4),"")</f>
        <v/>
      </c>
      <c r="W2884" s="47">
        <f>IF(AND(B2884=Queue!$C$4,OR(Queue!$K$4="*",N2884=Queue!$K$4)),Q2884,"")</f>
        <v/>
      </c>
    </row>
    <row r="2885">
      <c r="A2885" s="38">
        <f>IF(M2885="","",HYPERLINK("https://www.youtube.com/watch?v="&amp;M2885,"▶"))</f>
        <v/>
      </c>
      <c r="B2885" s="39">
        <f>IF(C2885&lt;&gt;"",C2885,IF(P2885&lt;=IFERROR(INDEX(tblChannels[Watched Through],MATCH(N2885,tblChannels[Channel ID],0)),0),"Watched","Unwatched"))</f>
        <v/>
      </c>
      <c r="C2885" s="40" t="n"/>
      <c r="D2885" s="41" t="n"/>
      <c r="E2885" s="42" t="n">
        <v>41824.52916666667</v>
      </c>
      <c r="F2885" s="52" t="inlineStr">
        <is>
          <t>Super Carlin Gaming</t>
        </is>
      </c>
      <c r="G2885" t="inlineStr">
        <is>
          <t>Pokemon FireRed Nuzlocke Challenge #17: PEACHES AND GIOVANNI!</t>
        </is>
      </c>
      <c r="H2885" s="44" t="n">
        <v>0.01487268518518518</v>
      </c>
      <c r="I2885" s="45" t="n">
        <v>24863</v>
      </c>
      <c r="J2885" s="45" t="n">
        <v>425</v>
      </c>
      <c r="K2885" s="45" t="n">
        <v>40</v>
      </c>
      <c r="L2885" s="46" t="n"/>
      <c r="M2885" s="47" t="n"/>
      <c r="N2885" s="47" t="inlineStr">
        <is>
          <t>UCor_9jRnNNZVzTuQ92PKsaQ</t>
        </is>
      </c>
      <c r="O2885" s="48" t="n">
        <v>41824.69583333333</v>
      </c>
      <c r="P2885" s="49" t="n">
        <v>41824</v>
      </c>
      <c r="Q2885" s="47" t="n">
        <v>383</v>
      </c>
      <c r="R2885" s="47" t="inlineStr">
        <is>
          <t>No Video ID yet</t>
        </is>
      </c>
      <c r="S2885" s="49" t="n"/>
      <c r="T2885" s="49" t="n"/>
      <c r="U2885" s="47" t="inlineStr">
        <is>
          <t>Our journey through the SILPH Co. continues as we take on Peaches and Giovanni! Will the team survive or will another member fall in battle against 2 of our toughest opponents yet!</t>
        </is>
      </c>
      <c r="V2885" s="47">
        <f>IF(AND(P2885&gt;=Calendar!$K$2,P2885&lt;EDATE(Calendar!$K$2,1),OR(Calendar!$K$4="*",N2885=Calendar!$K$4)),P2885*100+COUNTIFS($P$6:$P$3267,P2885,$Q$6:$Q$3267,"&lt;="&amp;Q2885,$N$6:$N$3267,Calendar!$K$4),"")</f>
        <v/>
      </c>
      <c r="W2885" s="47">
        <f>IF(AND(B2885=Queue!$C$4,OR(Queue!$K$4="*",N2885=Queue!$K$4)),Q2885,"")</f>
        <v/>
      </c>
    </row>
    <row r="2886">
      <c r="A2886" s="38">
        <f>IF(M2886="","",HYPERLINK("https://www.youtube.com/watch?v="&amp;M2886,"▶"))</f>
        <v/>
      </c>
      <c r="B2886" s="39">
        <f>IF(C2886&lt;&gt;"",C2886,IF(P2886&lt;=IFERROR(INDEX(tblChannels[Watched Through],MATCH(N2886,tblChannels[Channel ID],0)),0),"Watched","Unwatched"))</f>
        <v/>
      </c>
      <c r="C2886" s="40" t="n"/>
      <c r="D2886" s="41" t="n"/>
      <c r="E2886" s="42" t="n">
        <v>41824.00625</v>
      </c>
      <c r="F2886" s="50" t="inlineStr">
        <is>
          <t>Super Carlin Brothers</t>
        </is>
      </c>
      <c r="G2886" t="inlineStr">
        <is>
          <t>SEEING THE FUTURE</t>
        </is>
      </c>
      <c r="H2886" s="44" t="n">
        <v>0.003344907407407408</v>
      </c>
      <c r="I2886" s="45" t="n">
        <v>20641</v>
      </c>
      <c r="J2886" s="45" t="n">
        <v>461</v>
      </c>
      <c r="K2886" s="45" t="n">
        <v>140</v>
      </c>
      <c r="L2886" s="46" t="n"/>
      <c r="M2886" s="47" t="n"/>
      <c r="N2886" s="47" t="inlineStr">
        <is>
          <t>UCKZo4N0lVPccBkSiuyVh4yg</t>
        </is>
      </c>
      <c r="O2886" s="48" t="n">
        <v>41824.17291666667</v>
      </c>
      <c r="P2886" s="49" t="n">
        <v>41824</v>
      </c>
      <c r="Q2886" s="47" t="n">
        <v>382</v>
      </c>
      <c r="R2886" s="47" t="inlineStr">
        <is>
          <t>No Video ID yet</t>
        </is>
      </c>
      <c r="S2886" s="49" t="n"/>
      <c r="T2886" s="49" t="n"/>
      <c r="U2886" s="47" t="inlineStr">
        <is>
          <t>How would seeing the future impact how you went about reaching it?</t>
        </is>
      </c>
      <c r="V2886" s="47">
        <f>IF(AND(P2886&gt;=Calendar!$K$2,P2886&lt;EDATE(Calendar!$K$2,1),OR(Calendar!$K$4="*",N2886=Calendar!$K$4)),P2886*100+COUNTIFS($P$6:$P$3267,P2886,$Q$6:$Q$3267,"&lt;="&amp;Q2886,$N$6:$N$3267,Calendar!$K$4),"")</f>
        <v/>
      </c>
      <c r="W2886" s="47">
        <f>IF(AND(B2886=Queue!$C$4,OR(Queue!$K$4="*",N2886=Queue!$K$4)),Q2886,"")</f>
        <v/>
      </c>
    </row>
    <row r="2887">
      <c r="A2887" s="38">
        <f>IF(M2887="","",HYPERLINK("https://www.youtube.com/watch?v="&amp;M2887,"▶"))</f>
        <v/>
      </c>
      <c r="B2887" s="39">
        <f>IF(C2887&lt;&gt;"",C2887,IF(P2887&lt;=IFERROR(INDEX(tblChannels[Watched Through],MATCH(N2887,tblChannels[Channel ID],0)),0),"Watched","Unwatched"))</f>
        <v/>
      </c>
      <c r="C2887" s="40" t="n"/>
      <c r="D2887" s="41" t="n"/>
      <c r="E2887" s="42" t="n">
        <v>41821.93472222222</v>
      </c>
      <c r="F2887" s="50" t="inlineStr">
        <is>
          <t>Super Carlin Brothers</t>
        </is>
      </c>
      <c r="G2887" t="inlineStr">
        <is>
          <t>DID YOU REALLY SEE THAT??</t>
        </is>
      </c>
      <c r="H2887" s="44" t="n">
        <v>0.003414351851851852</v>
      </c>
      <c r="I2887" s="45" t="n">
        <v>233129</v>
      </c>
      <c r="J2887" s="45" t="n">
        <v>3386</v>
      </c>
      <c r="K2887" s="45" t="n">
        <v>578</v>
      </c>
      <c r="L2887" s="46" t="n"/>
      <c r="M2887" s="47" t="n"/>
      <c r="N2887" s="47" t="inlineStr">
        <is>
          <t>UCKZo4N0lVPccBkSiuyVh4yg</t>
        </is>
      </c>
      <c r="O2887" s="48" t="n">
        <v>41822.10138888889</v>
      </c>
      <c r="P2887" s="49" t="n">
        <v>41821</v>
      </c>
      <c r="Q2887" s="47" t="n">
        <v>381</v>
      </c>
      <c r="R2887" s="47" t="inlineStr">
        <is>
          <t>No Video ID yet</t>
        </is>
      </c>
      <c r="S2887" s="49" t="n"/>
      <c r="T2887" s="49" t="n"/>
      <c r="U2887" s="47" t="inlineStr">
        <is>
          <t>Have you ever gotten away with something you shouldnt have or been punished for something you didnt do? Why witnesses cant recall just the facts:</t>
        </is>
      </c>
      <c r="V2887" s="47">
        <f>IF(AND(P2887&gt;=Calendar!$K$2,P2887&lt;EDATE(Calendar!$K$2,1),OR(Calendar!$K$4="*",N2887=Calendar!$K$4)),P2887*100+COUNTIFS($P$6:$P$3267,P2887,$Q$6:$Q$3267,"&lt;="&amp;Q2887,$N$6:$N$3267,Calendar!$K$4),"")</f>
        <v/>
      </c>
      <c r="W2887" s="47">
        <f>IF(AND(B2887=Queue!$C$4,OR(Queue!$K$4="*",N2887=Queue!$K$4)),Q2887,"")</f>
        <v/>
      </c>
    </row>
    <row r="2888">
      <c r="A2888" s="38">
        <f>IF(M2888="","",HYPERLINK("https://www.youtube.com/watch?v="&amp;M2888,"▶"))</f>
        <v/>
      </c>
      <c r="B2888" s="39">
        <f>IF(C2888&lt;&gt;"",C2888,IF(P2888&lt;=IFERROR(INDEX(tblChannels[Watched Through],MATCH(N2888,tblChannels[Channel ID],0)),0),"Watched","Unwatched"))</f>
        <v/>
      </c>
      <c r="C2888" s="40" t="n"/>
      <c r="D2888" s="41" t="n"/>
      <c r="E2888" s="42" t="n">
        <v>41821.30555555555</v>
      </c>
      <c r="F2888" s="52" t="inlineStr">
        <is>
          <t>Super Carlin Gaming</t>
        </is>
      </c>
      <c r="G2888" t="inlineStr">
        <is>
          <t>Pokemon FireRed Nuzlocke #16 - SILPH Co.</t>
        </is>
      </c>
      <c r="H2888" s="44" t="n">
        <v>0.01342592592592593</v>
      </c>
      <c r="I2888" s="45" t="n">
        <v>25379</v>
      </c>
      <c r="J2888" s="45" t="n">
        <v>423</v>
      </c>
      <c r="K2888" s="45" t="n">
        <v>32</v>
      </c>
      <c r="L2888" s="46" t="n"/>
      <c r="M2888" s="47" t="n"/>
      <c r="N2888" s="47" t="inlineStr">
        <is>
          <t>UCor_9jRnNNZVzTuQ92PKsaQ</t>
        </is>
      </c>
      <c r="O2888" s="48" t="n">
        <v>41821.47222222222</v>
      </c>
      <c r="P2888" s="49" t="n">
        <v>41821</v>
      </c>
      <c r="Q2888" s="47" t="n">
        <v>380</v>
      </c>
      <c r="R2888" s="47" t="inlineStr">
        <is>
          <t>No Video ID yet</t>
        </is>
      </c>
      <c r="S2888" s="49" t="n"/>
      <c r="T2888" s="49" t="n"/>
      <c r="U2888" s="47" t="inlineStr">
        <is>
          <t>I mean if I were Giovanni I would make sure, MAKE SURE the guy guarding the door wasn't prone to narcolepsy.. or at the very least had a few Pokemon to battle a potential 10 year old threat with.. But hey, thats just me</t>
        </is>
      </c>
      <c r="V2888" s="47">
        <f>IF(AND(P2888&gt;=Calendar!$K$2,P2888&lt;EDATE(Calendar!$K$2,1),OR(Calendar!$K$4="*",N2888=Calendar!$K$4)),P2888*100+COUNTIFS($P$6:$P$3267,P2888,$Q$6:$Q$3267,"&lt;="&amp;Q2888,$N$6:$N$3267,Calendar!$K$4),"")</f>
        <v/>
      </c>
      <c r="W2888" s="47">
        <f>IF(AND(B2888=Queue!$C$4,OR(Queue!$K$4="*",N2888=Queue!$K$4)),Q2888,"")</f>
        <v/>
      </c>
    </row>
    <row r="2889">
      <c r="A2889" s="38">
        <f>IF(M2889="","",HYPERLINK("https://www.youtube.com/watch?v="&amp;M2889,"▶"))</f>
        <v/>
      </c>
      <c r="B2889" s="39">
        <f>IF(C2889&lt;&gt;"",C2889,IF(P2889&lt;=IFERROR(INDEX(tblChannels[Watched Through],MATCH(N2889,tblChannels[Channel ID],0)),0),"Watched","Unwatched"))</f>
        <v/>
      </c>
      <c r="C2889" s="40" t="n"/>
      <c r="D2889" s="41" t="n"/>
      <c r="E2889" s="42" t="n">
        <v>41816.625</v>
      </c>
      <c r="F2889" s="50" t="inlineStr">
        <is>
          <t>Super Carlin Brothers</t>
        </is>
      </c>
      <c r="G2889" t="inlineStr">
        <is>
          <t>Guilty Pleasure</t>
        </is>
      </c>
      <c r="H2889" s="44" t="n">
        <v>0.003657407407407407</v>
      </c>
      <c r="I2889" s="45" t="n">
        <v>22733</v>
      </c>
      <c r="J2889" s="45" t="n">
        <v>405</v>
      </c>
      <c r="K2889" s="45" t="n">
        <v>103</v>
      </c>
      <c r="L2889" s="46" t="n"/>
      <c r="M2889" s="47" t="n"/>
      <c r="N2889" s="47" t="inlineStr">
        <is>
          <t>UCKZo4N0lVPccBkSiuyVh4yg</t>
        </is>
      </c>
      <c r="O2889" s="48" t="n">
        <v>41816.79166666666</v>
      </c>
      <c r="P2889" s="49" t="n">
        <v>41816</v>
      </c>
      <c r="Q2889" s="47" t="n">
        <v>379</v>
      </c>
      <c r="R2889" s="47" t="inlineStr">
        <is>
          <t>No Video ID yet</t>
        </is>
      </c>
      <c r="S2889" s="49" t="n"/>
      <c r="T2889" s="49" t="n"/>
      <c r="U2889" s="47" t="n"/>
      <c r="V2889" s="47">
        <f>IF(AND(P2889&gt;=Calendar!$K$2,P2889&lt;EDATE(Calendar!$K$2,1),OR(Calendar!$K$4="*",N2889=Calendar!$K$4)),P2889*100+COUNTIFS($P$6:$P$3267,P2889,$Q$6:$Q$3267,"&lt;="&amp;Q2889,$N$6:$N$3267,Calendar!$K$4),"")</f>
        <v/>
      </c>
      <c r="W2889" s="47">
        <f>IF(AND(B2889=Queue!$C$4,OR(Queue!$K$4="*",N2889=Queue!$K$4)),Q2889,"")</f>
        <v/>
      </c>
    </row>
    <row r="2890">
      <c r="A2890" s="38">
        <f>IF(M2890="","",HYPERLINK("https://www.youtube.com/watch?v="&amp;M2890,"▶"))</f>
        <v/>
      </c>
      <c r="B2890" s="39">
        <f>IF(C2890&lt;&gt;"",C2890,IF(P2890&lt;=IFERROR(INDEX(tblChannels[Watched Through],MATCH(N2890,tblChannels[Channel ID],0)),0),"Watched","Unwatched"))</f>
        <v/>
      </c>
      <c r="C2890" s="40" t="n"/>
      <c r="D2890" s="41" t="n"/>
      <c r="E2890" s="42" t="n">
        <v>41814.41666666666</v>
      </c>
      <c r="F2890" s="50" t="inlineStr">
        <is>
          <t>Super Carlin Brothers</t>
        </is>
      </c>
      <c r="G2890" t="inlineStr">
        <is>
          <t>A $100 DONUT!?</t>
        </is>
      </c>
      <c r="H2890" s="44" t="n">
        <v>0.002962962962962963</v>
      </c>
      <c r="I2890" s="45" t="n">
        <v>164926</v>
      </c>
      <c r="J2890" s="45" t="n">
        <v>2948</v>
      </c>
      <c r="K2890" s="45" t="n">
        <v>2581</v>
      </c>
      <c r="L2890" s="46" t="n"/>
      <c r="M2890" s="47" t="n"/>
      <c r="N2890" s="47" t="inlineStr">
        <is>
          <t>UCKZo4N0lVPccBkSiuyVh4yg</t>
        </is>
      </c>
      <c r="O2890" s="48" t="n">
        <v>41814.58333333334</v>
      </c>
      <c r="P2890" s="49" t="n">
        <v>41814</v>
      </c>
      <c r="Q2890" s="47" t="n">
        <v>378</v>
      </c>
      <c r="R2890" s="47" t="inlineStr">
        <is>
          <t>No Video ID yet</t>
        </is>
      </c>
      <c r="S2890" s="49" t="n"/>
      <c r="T2890" s="49" t="n"/>
      <c r="U2890" s="47" t="inlineStr">
        <is>
          <t>Would you rather have 100 donuts for $1 or 1 donut for $100? Follow us here:</t>
        </is>
      </c>
      <c r="V2890" s="47">
        <f>IF(AND(P2890&gt;=Calendar!$K$2,P2890&lt;EDATE(Calendar!$K$2,1),OR(Calendar!$K$4="*",N2890=Calendar!$K$4)),P2890*100+COUNTIFS($P$6:$P$3267,P2890,$Q$6:$Q$3267,"&lt;="&amp;Q2890,$N$6:$N$3267,Calendar!$K$4),"")</f>
        <v/>
      </c>
      <c r="W2890" s="47">
        <f>IF(AND(B2890=Queue!$C$4,OR(Queue!$K$4="*",N2890=Queue!$K$4)),Q2890,"")</f>
        <v/>
      </c>
    </row>
    <row r="2891">
      <c r="A2891" s="38">
        <f>IF(M2891="","",HYPERLINK("https://www.youtube.com/watch?v="&amp;M2891,"▶"))</f>
        <v/>
      </c>
      <c r="B2891" s="39">
        <f>IF(C2891&lt;&gt;"",C2891,IF(P2891&lt;=IFERROR(INDEX(tblChannels[Watched Through],MATCH(N2891,tblChannels[Channel ID],0)),0),"Watched","Unwatched"))</f>
        <v/>
      </c>
      <c r="C2891" s="40" t="n"/>
      <c r="D2891" s="41" t="n"/>
      <c r="E2891" s="42" t="n">
        <v>41810.28472222222</v>
      </c>
      <c r="F2891" s="50" t="inlineStr">
        <is>
          <t>Super Carlin Brothers</t>
        </is>
      </c>
      <c r="G2891" t="inlineStr">
        <is>
          <t>The Sweet Color Brown</t>
        </is>
      </c>
      <c r="H2891" s="44" t="n">
        <v>0.002835648148148148</v>
      </c>
      <c r="I2891" s="45" t="n">
        <v>23492</v>
      </c>
      <c r="J2891" s="45" t="n">
        <v>519</v>
      </c>
      <c r="K2891" s="45" t="n">
        <v>326</v>
      </c>
      <c r="L2891" s="46" t="n"/>
      <c r="M2891" s="47" t="n"/>
      <c r="N2891" s="47" t="inlineStr">
        <is>
          <t>UCKZo4N0lVPccBkSiuyVh4yg</t>
        </is>
      </c>
      <c r="O2891" s="48" t="n">
        <v>41810.45138888889</v>
      </c>
      <c r="P2891" s="49" t="n">
        <v>41810</v>
      </c>
      <c r="Q2891" s="47" t="n">
        <v>377</v>
      </c>
      <c r="R2891" s="47" t="inlineStr">
        <is>
          <t>No Video ID yet</t>
        </is>
      </c>
      <c r="S2891" s="49" t="n"/>
      <c r="T2891" s="49" t="n"/>
      <c r="U2891" s="47" t="inlineStr">
        <is>
          <t>Ah the sweet, sweet color of Brown! Hoping for some best friend material out there.</t>
        </is>
      </c>
      <c r="V2891" s="47">
        <f>IF(AND(P2891&gt;=Calendar!$K$2,P2891&lt;EDATE(Calendar!$K$2,1),OR(Calendar!$K$4="*",N2891=Calendar!$K$4)),P2891*100+COUNTIFS($P$6:$P$3267,P2891,$Q$6:$Q$3267,"&lt;="&amp;Q2891,$N$6:$N$3267,Calendar!$K$4),"")</f>
        <v/>
      </c>
      <c r="W2891" s="47">
        <f>IF(AND(B2891=Queue!$C$4,OR(Queue!$K$4="*",N2891=Queue!$K$4)),Q2891,"")</f>
        <v/>
      </c>
    </row>
    <row r="2892">
      <c r="A2892" s="38">
        <f>IF(M2892="","",HYPERLINK("https://www.youtube.com/watch?v="&amp;M2892,"▶"))</f>
        <v/>
      </c>
      <c r="B2892" s="39">
        <f>IF(C2892&lt;&gt;"",C2892,IF(P2892&lt;=IFERROR(INDEX(tblChannels[Watched Through],MATCH(N2892,tblChannels[Channel ID],0)),0),"Watched","Unwatched"))</f>
        <v/>
      </c>
      <c r="C2892" s="40" t="n"/>
      <c r="D2892" s="41" t="n"/>
      <c r="E2892" s="42" t="n">
        <v>41807.91736111111</v>
      </c>
      <c r="F2892" s="50" t="inlineStr">
        <is>
          <t>Super Carlin Brothers</t>
        </is>
      </c>
      <c r="G2892" t="inlineStr">
        <is>
          <t>What Not to Wear!</t>
        </is>
      </c>
      <c r="H2892" s="44" t="n">
        <v>0.004976851851851852</v>
      </c>
      <c r="I2892" s="45" t="n">
        <v>166303</v>
      </c>
      <c r="J2892" s="45" t="n">
        <v>3195</v>
      </c>
      <c r="K2892" s="45" t="n">
        <v>802</v>
      </c>
      <c r="L2892" s="46" t="n"/>
      <c r="M2892" s="47" t="n"/>
      <c r="N2892" s="47" t="inlineStr">
        <is>
          <t>UCKZo4N0lVPccBkSiuyVh4yg</t>
        </is>
      </c>
      <c r="O2892" s="48" t="n">
        <v>41808.08402777778</v>
      </c>
      <c r="P2892" s="49" t="n">
        <v>41807</v>
      </c>
      <c r="Q2892" s="47" t="n">
        <v>376</v>
      </c>
      <c r="R2892" s="47" t="inlineStr">
        <is>
          <t>No Video ID yet</t>
        </is>
      </c>
      <c r="S2892" s="49" t="n"/>
      <c r="T2892" s="49" t="n"/>
      <c r="U2892" s="47" t="inlineStr">
        <is>
          <t>What is your "aaah I wish someone had just told me!" moment??</t>
        </is>
      </c>
      <c r="V2892" s="47">
        <f>IF(AND(P2892&gt;=Calendar!$K$2,P2892&lt;EDATE(Calendar!$K$2,1),OR(Calendar!$K$4="*",N2892=Calendar!$K$4)),P2892*100+COUNTIFS($P$6:$P$3267,P2892,$Q$6:$Q$3267,"&lt;="&amp;Q2892,$N$6:$N$3267,Calendar!$K$4),"")</f>
        <v/>
      </c>
      <c r="W2892" s="47">
        <f>IF(AND(B2892=Queue!$C$4,OR(Queue!$K$4="*",N2892=Queue!$K$4)),Q2892,"")</f>
        <v/>
      </c>
    </row>
    <row r="2893">
      <c r="A2893" s="38">
        <f>IF(M2893="","",HYPERLINK("https://www.youtube.com/watch?v="&amp;M2893,"▶"))</f>
        <v/>
      </c>
      <c r="B2893" s="39">
        <f>IF(C2893&lt;&gt;"",C2893,IF(P2893&lt;=IFERROR(INDEX(tblChannels[Watched Through],MATCH(N2893,tblChannels[Channel ID],0)),0),"Watched","Unwatched"))</f>
        <v/>
      </c>
      <c r="C2893" s="40" t="n"/>
      <c r="D2893" s="41" t="n"/>
      <c r="E2893" s="42" t="n">
        <v>41802.94027777778</v>
      </c>
      <c r="F2893" s="50" t="inlineStr">
        <is>
          <t>Super Carlin Brothers</t>
        </is>
      </c>
      <c r="G2893" t="inlineStr">
        <is>
          <t>JUXTABROS! End of Year 2!</t>
        </is>
      </c>
      <c r="H2893" s="44" t="n">
        <v>0.01042824074074074</v>
      </c>
      <c r="I2893" s="45" t="n">
        <v>76843</v>
      </c>
      <c r="J2893" s="45" t="n">
        <v>1870</v>
      </c>
      <c r="K2893" s="45" t="n">
        <v>590</v>
      </c>
      <c r="L2893" s="46" t="n"/>
      <c r="M2893" s="47" t="n"/>
      <c r="N2893" s="47" t="inlineStr">
        <is>
          <t>UCKZo4N0lVPccBkSiuyVh4yg</t>
        </is>
      </c>
      <c r="O2893" s="48" t="n">
        <v>41803.10694444444</v>
      </c>
      <c r="P2893" s="49" t="n">
        <v>41802</v>
      </c>
      <c r="Q2893" s="47" t="n">
        <v>375</v>
      </c>
      <c r="R2893" s="47" t="inlineStr">
        <is>
          <t>No Video ID yet</t>
        </is>
      </c>
      <c r="S2893" s="49" t="n"/>
      <c r="T2893" s="49" t="n"/>
      <c r="U2893" s="47" t="inlineStr">
        <is>
          <t>We have successfully completed year 2!!! What were some of your favorite moments and what would you like to see in year 3?</t>
        </is>
      </c>
      <c r="V2893" s="47">
        <f>IF(AND(P2893&gt;=Calendar!$K$2,P2893&lt;EDATE(Calendar!$K$2,1),OR(Calendar!$K$4="*",N2893=Calendar!$K$4)),P2893*100+COUNTIFS($P$6:$P$3267,P2893,$Q$6:$Q$3267,"&lt;="&amp;Q2893,$N$6:$N$3267,Calendar!$K$4),"")</f>
        <v/>
      </c>
      <c r="W2893" s="47">
        <f>IF(AND(B2893=Queue!$C$4,OR(Queue!$K$4="*",N2893=Queue!$K$4)),Q2893,"")</f>
        <v/>
      </c>
    </row>
    <row r="2894">
      <c r="A2894" s="38">
        <f>IF(M2894="","",HYPERLINK("https://www.youtube.com/watch?v="&amp;M2894,"▶"))</f>
        <v/>
      </c>
      <c r="B2894" s="39">
        <f>IF(C2894&lt;&gt;"",C2894,IF(P2894&lt;=IFERROR(INDEX(tblChannels[Watched Through],MATCH(N2894,tblChannels[Channel ID],0)),0),"Watched","Unwatched"))</f>
        <v/>
      </c>
      <c r="C2894" s="40" t="n"/>
      <c r="D2894" s="41" t="n"/>
      <c r="E2894" s="42" t="n">
        <v>41800.99722222222</v>
      </c>
      <c r="F2894" s="50" t="inlineStr">
        <is>
          <t>Super Carlin Brothers</t>
        </is>
      </c>
      <c r="G2894" t="inlineStr">
        <is>
          <t>Is Harry Potter Google Autofill</t>
        </is>
      </c>
      <c r="H2894" s="44" t="n">
        <v>0.004548611111111111</v>
      </c>
      <c r="I2894" s="45" t="n">
        <v>815522</v>
      </c>
      <c r="J2894" s="45" t="n">
        <v>14180</v>
      </c>
      <c r="K2894" s="45" t="n">
        <v>6367</v>
      </c>
      <c r="L2894" s="46" t="n"/>
      <c r="M2894" s="47" t="n"/>
      <c r="N2894" s="47" t="inlineStr">
        <is>
          <t>UCKZo4N0lVPccBkSiuyVh4yg</t>
        </is>
      </c>
      <c r="O2894" s="48" t="n">
        <v>41801.16388888889</v>
      </c>
      <c r="P2894" s="49" t="n">
        <v>41800</v>
      </c>
      <c r="Q2894" s="47" t="n">
        <v>374</v>
      </c>
      <c r="R2894" s="47" t="inlineStr">
        <is>
          <t>No Video ID yet</t>
        </is>
      </c>
      <c r="S2894" s="49" t="n"/>
      <c r="T2894" s="49" t="n"/>
      <c r="U2894" s="47" t="inlineStr">
        <is>
          <t>Is Harry Potter Google Autofill - What house are you in? (You probably have cooler shirts than the Slytherin...)</t>
        </is>
      </c>
      <c r="V2894" s="47">
        <f>IF(AND(P2894&gt;=Calendar!$K$2,P2894&lt;EDATE(Calendar!$K$2,1),OR(Calendar!$K$4="*",N2894=Calendar!$K$4)),P2894*100+COUNTIFS($P$6:$P$3267,P2894,$Q$6:$Q$3267,"&lt;="&amp;Q2894,$N$6:$N$3267,Calendar!$K$4),"")</f>
        <v/>
      </c>
      <c r="W2894" s="47">
        <f>IF(AND(B2894=Queue!$C$4,OR(Queue!$K$4="*",N2894=Queue!$K$4)),Q2894,"")</f>
        <v/>
      </c>
    </row>
    <row r="2895">
      <c r="A2895" s="38">
        <f>IF(M2895="","",HYPERLINK("https://www.youtube.com/watch?v="&amp;M2895,"▶"))</f>
        <v/>
      </c>
      <c r="B2895" s="39">
        <f>IF(C2895&lt;&gt;"",C2895,IF(P2895&lt;=IFERROR(INDEX(tblChannels[Watched Through],MATCH(N2895,tblChannels[Channel ID],0)),0),"Watched","Unwatched"))</f>
        <v/>
      </c>
      <c r="C2895" s="40" t="n"/>
      <c r="D2895" s="41" t="n"/>
      <c r="E2895" s="42" t="n">
        <v>41795.9875</v>
      </c>
      <c r="F2895" s="50" t="inlineStr">
        <is>
          <t>Super Carlin Brothers</t>
        </is>
      </c>
      <c r="G2895" t="inlineStr">
        <is>
          <t>Protect Your Details!!!</t>
        </is>
      </c>
      <c r="H2895" s="44" t="n">
        <v>0.002280092592592593</v>
      </c>
      <c r="I2895" s="45" t="n">
        <v>9408</v>
      </c>
      <c r="J2895" s="45" t="n">
        <v>248</v>
      </c>
      <c r="K2895" s="45" t="n">
        <v>61</v>
      </c>
      <c r="L2895" s="46" t="n"/>
      <c r="M2895" s="47" t="n"/>
      <c r="N2895" s="47" t="inlineStr">
        <is>
          <t>UCKZo4N0lVPccBkSiuyVh4yg</t>
        </is>
      </c>
      <c r="O2895" s="48" t="n">
        <v>41796.15416666667</v>
      </c>
      <c r="P2895" s="49" t="n">
        <v>41795</v>
      </c>
      <c r="Q2895" s="47" t="n">
        <v>373</v>
      </c>
      <c r="R2895" s="47" t="inlineStr">
        <is>
          <t>No Video ID yet</t>
        </is>
      </c>
      <c r="S2895" s="49" t="n"/>
      <c r="T2895" s="49" t="n"/>
      <c r="U2895" s="47" t="n"/>
      <c r="V2895" s="47">
        <f>IF(AND(P2895&gt;=Calendar!$K$2,P2895&lt;EDATE(Calendar!$K$2,1),OR(Calendar!$K$4="*",N2895=Calendar!$K$4)),P2895*100+COUNTIFS($P$6:$P$3267,P2895,$Q$6:$Q$3267,"&lt;="&amp;Q2895,$N$6:$N$3267,Calendar!$K$4),"")</f>
        <v/>
      </c>
      <c r="W2895" s="47">
        <f>IF(AND(B2895=Queue!$C$4,OR(Queue!$K$4="*",N2895=Queue!$K$4)),Q2895,"")</f>
        <v/>
      </c>
    </row>
    <row r="2896">
      <c r="A2896" s="38">
        <f>IF(M2896="","",HYPERLINK("https://www.youtube.com/watch?v="&amp;M2896,"▶"))</f>
        <v/>
      </c>
      <c r="B2896" s="39">
        <f>IF(C2896&lt;&gt;"",C2896,IF(P2896&lt;=IFERROR(INDEX(tblChannels[Watched Through],MATCH(N2896,tblChannels[Channel ID],0)),0),"Watched","Unwatched"))</f>
        <v/>
      </c>
      <c r="C2896" s="40" t="n"/>
      <c r="D2896" s="41" t="n"/>
      <c r="E2896" s="42" t="n">
        <v>41793.93263888889</v>
      </c>
      <c r="F2896" s="50" t="inlineStr">
        <is>
          <t>Super Carlin Brothers</t>
        </is>
      </c>
      <c r="G2896" t="inlineStr">
        <is>
          <t>How To Walk Down Walls!</t>
        </is>
      </c>
      <c r="H2896" s="44" t="n">
        <v>0.004884259259259259</v>
      </c>
      <c r="I2896" s="45" t="n">
        <v>42205</v>
      </c>
      <c r="J2896" s="45" t="n">
        <v>862</v>
      </c>
      <c r="K2896" s="45" t="n">
        <v>182</v>
      </c>
      <c r="L2896" s="46" t="n"/>
      <c r="M2896" s="47" t="n"/>
      <c r="N2896" s="47" t="inlineStr">
        <is>
          <t>UCKZo4N0lVPccBkSiuyVh4yg</t>
        </is>
      </c>
      <c r="O2896" s="48" t="n">
        <v>41794.09930555556</v>
      </c>
      <c r="P2896" s="49" t="n">
        <v>41793</v>
      </c>
      <c r="Q2896" s="47" t="n">
        <v>372</v>
      </c>
      <c r="R2896" s="47" t="inlineStr">
        <is>
          <t>No Video ID yet</t>
        </is>
      </c>
      <c r="S2896" s="49" t="n"/>
      <c r="T2896" s="49" t="n"/>
      <c r="U2896" s="47" t="inlineStr">
        <is>
          <t>It's easier than you think, you just need a brother and then convince him to have a year long conversation with you - watch as your once brotherly challenge turns into a crazy online community, find a charity you like and walk down walls - EASY</t>
        </is>
      </c>
      <c r="V2896" s="47">
        <f>IF(AND(P2896&gt;=Calendar!$K$2,P2896&lt;EDATE(Calendar!$K$2,1),OR(Calendar!$K$4="*",N2896=Calendar!$K$4)),P2896*100+COUNTIFS($P$6:$P$3267,P2896,$Q$6:$Q$3267,"&lt;="&amp;Q2896,$N$6:$N$3267,Calendar!$K$4),"")</f>
        <v/>
      </c>
      <c r="W2896" s="47">
        <f>IF(AND(B2896=Queue!$C$4,OR(Queue!$K$4="*",N2896=Queue!$K$4)),Q2896,"")</f>
        <v/>
      </c>
    </row>
    <row r="2897">
      <c r="A2897" s="38">
        <f>IF(M2897="","",HYPERLINK("https://www.youtube.com/watch?v="&amp;M2897,"▶"))</f>
        <v/>
      </c>
      <c r="B2897" s="39">
        <f>IF(C2897&lt;&gt;"",C2897,IF(P2897&lt;=IFERROR(INDEX(tblChannels[Watched Through],MATCH(N2897,tblChannels[Channel ID],0)),0),"Watched","Unwatched"))</f>
        <v/>
      </c>
      <c r="C2897" s="40" t="n"/>
      <c r="D2897" s="41" t="n"/>
      <c r="E2897" s="42" t="n">
        <v>41788.95763888889</v>
      </c>
      <c r="F2897" s="50" t="inlineStr">
        <is>
          <t>Super Carlin Brothers</t>
        </is>
      </c>
      <c r="G2897" t="inlineStr">
        <is>
          <t>What is Love?!</t>
        </is>
      </c>
      <c r="H2897" s="44" t="n">
        <v>0.002222222222222222</v>
      </c>
      <c r="I2897" s="45" t="n">
        <v>12776</v>
      </c>
      <c r="J2897" s="45" t="n">
        <v>322</v>
      </c>
      <c r="K2897" s="45" t="n">
        <v>82</v>
      </c>
      <c r="L2897" s="46" t="n"/>
      <c r="M2897" s="47" t="n"/>
      <c r="N2897" s="47" t="inlineStr">
        <is>
          <t>UCKZo4N0lVPccBkSiuyVh4yg</t>
        </is>
      </c>
      <c r="O2897" s="48" t="n">
        <v>41789.12430555555</v>
      </c>
      <c r="P2897" s="49" t="n">
        <v>41788</v>
      </c>
      <c r="Q2897" s="47" t="n">
        <v>371</v>
      </c>
      <c r="R2897" s="47" t="inlineStr">
        <is>
          <t>No Video ID yet</t>
        </is>
      </c>
      <c r="S2897" s="49" t="n"/>
      <c r="T2897" s="49" t="n"/>
      <c r="U2897" s="47" t="inlineStr">
        <is>
          <t>The real question is: what is love? Can young love have all of the features with none of the longevity? Was it ever love to begin with if it is short lived? Physically the body can be experiencing love the same way whether it be after 5 days or 50 years. Is love a concept purely of the mind? Have I asked too many questions? Am I thinking too much into it? Have I lost you? Is anyone still reading? Did you know I like to ask questions? Did you also know I dislike when people don't take the time to consider the point thoroughly? Or make a joke of the point? Grr that grinds my gears... ....? Yes. Yes it does. ?</t>
        </is>
      </c>
      <c r="V2897" s="47">
        <f>IF(AND(P2897&gt;=Calendar!$K$2,P2897&lt;EDATE(Calendar!$K$2,1),OR(Calendar!$K$4="*",N2897=Calendar!$K$4)),P2897*100+COUNTIFS($P$6:$P$3267,P2897,$Q$6:$Q$3267,"&lt;="&amp;Q2897,$N$6:$N$3267,Calendar!$K$4),"")</f>
        <v/>
      </c>
      <c r="W2897" s="47">
        <f>IF(AND(B2897=Queue!$C$4,OR(Queue!$K$4="*",N2897=Queue!$K$4)),Q2897,"")</f>
        <v/>
      </c>
    </row>
    <row r="2898">
      <c r="A2898" s="38">
        <f>IF(M2898="","",HYPERLINK("https://www.youtube.com/watch?v="&amp;M2898,"▶"))</f>
        <v/>
      </c>
      <c r="B2898" s="39">
        <f>IF(C2898&lt;&gt;"",C2898,IF(P2898&lt;=IFERROR(INDEX(tblChannels[Watched Through],MATCH(N2898,tblChannels[Channel ID],0)),0),"Watched","Unwatched"))</f>
        <v/>
      </c>
      <c r="C2898" s="40" t="n"/>
      <c r="D2898" s="41" t="n"/>
      <c r="E2898" s="42" t="n">
        <v>41787.86527777778</v>
      </c>
      <c r="F2898" s="52" t="inlineStr">
        <is>
          <t>Super Carlin Gaming</t>
        </is>
      </c>
      <c r="G2898" t="inlineStr">
        <is>
          <t>Pokemon FireRed Nuzlocke Challenge #15: REVENGE OF INFERNO</t>
        </is>
      </c>
      <c r="H2898" s="44" t="n">
        <v>0.007905092592592592</v>
      </c>
      <c r="I2898" s="45" t="n">
        <v>25714</v>
      </c>
      <c r="J2898" s="45" t="n">
        <v>382</v>
      </c>
      <c r="K2898" s="45" t="n">
        <v>46</v>
      </c>
      <c r="L2898" s="46" t="n"/>
      <c r="M2898" s="47" t="n"/>
      <c r="N2898" s="47" t="inlineStr">
        <is>
          <t>UCor_9jRnNNZVzTuQ92PKsaQ</t>
        </is>
      </c>
      <c r="O2898" s="48" t="n">
        <v>41788.03194444445</v>
      </c>
      <c r="P2898" s="49" t="n">
        <v>41787</v>
      </c>
      <c r="Q2898" s="47" t="n">
        <v>370</v>
      </c>
      <c r="R2898" s="47" t="inlineStr">
        <is>
          <t>No Video ID yet</t>
        </is>
      </c>
      <c r="S2898" s="49" t="n"/>
      <c r="T2898" s="49" t="n"/>
      <c r="U2898" s="47" t="inlineStr">
        <is>
          <t>The Fighting Dojo struck down one of our allies, but they have awakened a sleeping giant.... INFERNO!</t>
        </is>
      </c>
      <c r="V2898" s="47">
        <f>IF(AND(P2898&gt;=Calendar!$K$2,P2898&lt;EDATE(Calendar!$K$2,1),OR(Calendar!$K$4="*",N2898=Calendar!$K$4)),P2898*100+COUNTIFS($P$6:$P$3267,P2898,$Q$6:$Q$3267,"&lt;="&amp;Q2898,$N$6:$N$3267,Calendar!$K$4),"")</f>
        <v/>
      </c>
      <c r="W2898" s="47">
        <f>IF(AND(B2898=Queue!$C$4,OR(Queue!$K$4="*",N2898=Queue!$K$4)),Q2898,"")</f>
        <v/>
      </c>
    </row>
    <row r="2899">
      <c r="A2899" s="38">
        <f>IF(M2899="","",HYPERLINK("https://www.youtube.com/watch?v="&amp;M2899,"▶"))</f>
        <v/>
      </c>
      <c r="B2899" s="39">
        <f>IF(C2899&lt;&gt;"",C2899,IF(P2899&lt;=IFERROR(INDEX(tblChannels[Watched Through],MATCH(N2899,tblChannels[Channel ID],0)),0),"Watched","Unwatched"))</f>
        <v/>
      </c>
      <c r="C2899" s="40" t="n"/>
      <c r="D2899" s="41" t="n"/>
      <c r="E2899" s="42" t="n">
        <v>41786.91458333333</v>
      </c>
      <c r="F2899" s="50" t="inlineStr">
        <is>
          <t>Super Carlin Brothers</t>
        </is>
      </c>
      <c r="G2899" t="inlineStr">
        <is>
          <t>The Case of Sherlock's Birthday</t>
        </is>
      </c>
      <c r="H2899" s="44" t="n">
        <v>0.003946759259259259</v>
      </c>
      <c r="I2899" s="45" t="n">
        <v>137249</v>
      </c>
      <c r="J2899" s="45" t="n">
        <v>2436</v>
      </c>
      <c r="K2899" s="45" t="n">
        <v>335</v>
      </c>
      <c r="L2899" s="46" t="n"/>
      <c r="M2899" s="47" t="n"/>
      <c r="N2899" s="47" t="inlineStr">
        <is>
          <t>UCKZo4N0lVPccBkSiuyVh4yg</t>
        </is>
      </c>
      <c r="O2899" s="48" t="n">
        <v>41787.08125</v>
      </c>
      <c r="P2899" s="49" t="n">
        <v>41786</v>
      </c>
      <c r="Q2899" s="47" t="n">
        <v>369</v>
      </c>
      <c r="R2899" s="47" t="inlineStr">
        <is>
          <t>No Video ID yet</t>
        </is>
      </c>
      <c r="S2899" s="49" t="n"/>
      <c r="T2899" s="49" t="n"/>
      <c r="U2899" s="47" t="inlineStr">
        <is>
          <t>Big Brothers Big Sisters donation page: When is Sherlock's bday?? I case worthy of the detective himself! More details on this mystery can be found here:</t>
        </is>
      </c>
      <c r="V2899" s="47">
        <f>IF(AND(P2899&gt;=Calendar!$K$2,P2899&lt;EDATE(Calendar!$K$2,1),OR(Calendar!$K$4="*",N2899=Calendar!$K$4)),P2899*100+COUNTIFS($P$6:$P$3267,P2899,$Q$6:$Q$3267,"&lt;="&amp;Q2899,$N$6:$N$3267,Calendar!$K$4),"")</f>
        <v/>
      </c>
      <c r="W2899" s="47">
        <f>IF(AND(B2899=Queue!$C$4,OR(Queue!$K$4="*",N2899=Queue!$K$4)),Q2899,"")</f>
        <v/>
      </c>
    </row>
    <row r="2900">
      <c r="A2900" s="38">
        <f>IF(M2900="","",HYPERLINK("https://www.youtube.com/watch?v="&amp;M2900,"▶"))</f>
        <v/>
      </c>
      <c r="B2900" s="39">
        <f>IF(C2900&lt;&gt;"",C2900,IF(P2900&lt;=IFERROR(INDEX(tblChannels[Watched Through],MATCH(N2900,tblChannels[Channel ID],0)),0),"Watched","Unwatched"))</f>
        <v/>
      </c>
      <c r="C2900" s="40" t="n"/>
      <c r="D2900" s="41" t="n"/>
      <c r="E2900" s="42" t="n">
        <v>41781.9875</v>
      </c>
      <c r="F2900" s="50" t="inlineStr">
        <is>
          <t>Super Carlin Brothers</t>
        </is>
      </c>
      <c r="G2900" t="inlineStr">
        <is>
          <t>Best of the Worst</t>
        </is>
      </c>
      <c r="H2900" s="44" t="n">
        <v>0.002199074074074074</v>
      </c>
      <c r="I2900" s="45" t="n">
        <v>10475</v>
      </c>
      <c r="J2900" s="45" t="n">
        <v>282</v>
      </c>
      <c r="K2900" s="45" t="n">
        <v>41</v>
      </c>
      <c r="L2900" s="46" t="n"/>
      <c r="M2900" s="47" t="n"/>
      <c r="N2900" s="47" t="inlineStr">
        <is>
          <t>UCKZo4N0lVPccBkSiuyVh4yg</t>
        </is>
      </c>
      <c r="O2900" s="48" t="n">
        <v>41782.15416666667</v>
      </c>
      <c r="P2900" s="49" t="n">
        <v>41781</v>
      </c>
      <c r="Q2900" s="47" t="n">
        <v>368</v>
      </c>
      <c r="R2900" s="47" t="inlineStr">
        <is>
          <t>No Video ID yet</t>
        </is>
      </c>
      <c r="S2900" s="49" t="n"/>
      <c r="T2900" s="49" t="n"/>
      <c r="U2900" s="47" t="inlineStr">
        <is>
          <t>But what do I know... I take care of fish for a living :D</t>
        </is>
      </c>
      <c r="V2900" s="47">
        <f>IF(AND(P2900&gt;=Calendar!$K$2,P2900&lt;EDATE(Calendar!$K$2,1),OR(Calendar!$K$4="*",N2900=Calendar!$K$4)),P2900*100+COUNTIFS($P$6:$P$3267,P2900,$Q$6:$Q$3267,"&lt;="&amp;Q2900,$N$6:$N$3267,Calendar!$K$4),"")</f>
        <v/>
      </c>
      <c r="W2900" s="47">
        <f>IF(AND(B2900=Queue!$C$4,OR(Queue!$K$4="*",N2900=Queue!$K$4)),Q2900,"")</f>
        <v/>
      </c>
    </row>
    <row r="2901">
      <c r="A2901" s="38">
        <f>IF(M2901="","",HYPERLINK("https://www.youtube.com/watch?v="&amp;M2901,"▶"))</f>
        <v/>
      </c>
      <c r="B2901" s="39">
        <f>IF(C2901&lt;&gt;"",C2901,IF(P2901&lt;=IFERROR(INDEX(tblChannels[Watched Through],MATCH(N2901,tblChannels[Channel ID],0)),0),"Watched","Unwatched"))</f>
        <v/>
      </c>
      <c r="C2901" s="40" t="n"/>
      <c r="D2901" s="41" t="n"/>
      <c r="E2901" s="42" t="n">
        <v>41781.90972222222</v>
      </c>
      <c r="F2901" s="52" t="inlineStr">
        <is>
          <t>Super Carlin Gaming</t>
        </is>
      </c>
      <c r="G2901" t="inlineStr">
        <is>
          <t>Pokemon FireRed Nuzlocke Challenge #14: Kill the birds!</t>
        </is>
      </c>
      <c r="H2901" s="44" t="n">
        <v>0.01489583333333333</v>
      </c>
      <c r="I2901" s="45" t="n">
        <v>27556</v>
      </c>
      <c r="J2901" s="45" t="n">
        <v>477</v>
      </c>
      <c r="K2901" s="45" t="n">
        <v>74</v>
      </c>
      <c r="L2901" s="46" t="n"/>
      <c r="M2901" s="47" t="n"/>
      <c r="N2901" s="47" t="inlineStr">
        <is>
          <t>UCor_9jRnNNZVzTuQ92PKsaQ</t>
        </is>
      </c>
      <c r="O2901" s="48" t="n">
        <v>41782.07638888889</v>
      </c>
      <c r="P2901" s="49" t="n">
        <v>41781</v>
      </c>
      <c r="Q2901" s="47" t="n">
        <v>367</v>
      </c>
      <c r="R2901" s="47" t="inlineStr">
        <is>
          <t>No Video ID yet</t>
        </is>
      </c>
      <c r="S2901" s="49" t="n"/>
      <c r="T2901" s="49" t="n"/>
      <c r="U2901" s="47" t="inlineStr">
        <is>
          <t>It's a bad day to be a bird! The saga continues! We have acquired all the HM's and have collected another Rare Candy.. but who to use it on? Arya continues to work her way up the team ladder while Woody, decimates an entire routes worth of birds and we meet a new friend and try our luck at the fighting dojo!</t>
        </is>
      </c>
      <c r="V2901" s="47">
        <f>IF(AND(P2901&gt;=Calendar!$K$2,P2901&lt;EDATE(Calendar!$K$2,1),OR(Calendar!$K$4="*",N2901=Calendar!$K$4)),P2901*100+COUNTIFS($P$6:$P$3267,P2901,$Q$6:$Q$3267,"&lt;="&amp;Q2901,$N$6:$N$3267,Calendar!$K$4),"")</f>
        <v/>
      </c>
      <c r="W2901" s="47">
        <f>IF(AND(B2901=Queue!$C$4,OR(Queue!$K$4="*",N2901=Queue!$K$4)),Q2901,"")</f>
        <v/>
      </c>
    </row>
    <row r="2902">
      <c r="A2902" s="38">
        <f>IF(M2902="","",HYPERLINK("https://www.youtube.com/watch?v="&amp;M2902,"▶"))</f>
        <v/>
      </c>
      <c r="B2902" s="39">
        <f>IF(C2902&lt;&gt;"",C2902,IF(P2902&lt;=IFERROR(INDEX(tblChannels[Watched Through],MATCH(N2902,tblChannels[Channel ID],0)),0),"Watched","Unwatched"))</f>
        <v/>
      </c>
      <c r="C2902" s="40" t="n"/>
      <c r="D2902" s="41" t="n"/>
      <c r="E2902" s="42" t="n">
        <v>41779.97916666666</v>
      </c>
      <c r="F2902" s="50" t="inlineStr">
        <is>
          <t>Super Carlin Brothers</t>
        </is>
      </c>
      <c r="G2902" t="inlineStr">
        <is>
          <t>Beauty and the Beast makes no sense!</t>
        </is>
      </c>
      <c r="H2902" s="44" t="n">
        <v>0.003935185185185185</v>
      </c>
      <c r="I2902" s="45" t="n">
        <v>1663521</v>
      </c>
      <c r="J2902" s="45" t="n">
        <v>31321</v>
      </c>
      <c r="K2902" s="45" t="n">
        <v>5375</v>
      </c>
      <c r="L2902" s="46" t="n"/>
      <c r="M2902" s="47" t="n"/>
      <c r="N2902" s="47" t="inlineStr">
        <is>
          <t>UCKZo4N0lVPccBkSiuyVh4yg</t>
        </is>
      </c>
      <c r="O2902" s="48" t="n">
        <v>41780.14583333334</v>
      </c>
      <c r="P2902" s="49" t="n">
        <v>41779</v>
      </c>
      <c r="Q2902" s="47" t="n">
        <v>366</v>
      </c>
      <c r="R2902" s="47" t="inlineStr">
        <is>
          <t>No Video ID yet</t>
        </is>
      </c>
      <c r="S2902" s="49" t="n"/>
      <c r="T2902" s="49" t="n"/>
      <c r="U2902" s="47" t="inlineStr">
        <is>
          <t>It might be dumb to complain about a movie that came out in 1991, but I was only 3 then - so we are doing it now! Is Gaston the villain? Is The Beast?</t>
        </is>
      </c>
      <c r="V2902" s="47">
        <f>IF(AND(P2902&gt;=Calendar!$K$2,P2902&lt;EDATE(Calendar!$K$2,1),OR(Calendar!$K$4="*",N2902=Calendar!$K$4)),P2902*100+COUNTIFS($P$6:$P$3267,P2902,$Q$6:$Q$3267,"&lt;="&amp;Q2902,$N$6:$N$3267,Calendar!$K$4),"")</f>
        <v/>
      </c>
      <c r="W2902" s="47">
        <f>IF(AND(B2902=Queue!$C$4,OR(Queue!$K$4="*",N2902=Queue!$K$4)),Q2902,"")</f>
        <v/>
      </c>
    </row>
    <row r="2903">
      <c r="A2903" s="38">
        <f>IF(M2903="","",HYPERLINK("https://www.youtube.com/watch?v="&amp;M2903,"▶"))</f>
        <v/>
      </c>
      <c r="B2903" s="39">
        <f>IF(C2903&lt;&gt;"",C2903,IF(P2903&lt;=IFERROR(INDEX(tblChannels[Watched Through],MATCH(N2903,tblChannels[Channel ID],0)),0),"Watched","Unwatched"))</f>
        <v/>
      </c>
      <c r="C2903" s="40" t="n"/>
      <c r="D2903" s="41" t="n"/>
      <c r="E2903" s="42" t="n">
        <v>41774.88472222222</v>
      </c>
      <c r="F2903" s="50" t="inlineStr">
        <is>
          <t>Super Carlin Brothers</t>
        </is>
      </c>
      <c r="G2903" t="inlineStr">
        <is>
          <t>What is a Villain's End Goal?</t>
        </is>
      </c>
      <c r="H2903" s="44" t="n">
        <v>0.002025462962962963</v>
      </c>
      <c r="I2903" s="45" t="n">
        <v>63287</v>
      </c>
      <c r="J2903" s="45" t="n">
        <v>1396</v>
      </c>
      <c r="K2903" s="45" t="n">
        <v>276</v>
      </c>
      <c r="L2903" s="46" t="n"/>
      <c r="M2903" s="47" t="n"/>
      <c r="N2903" s="47" t="inlineStr">
        <is>
          <t>UCKZo4N0lVPccBkSiuyVh4yg</t>
        </is>
      </c>
      <c r="O2903" s="48" t="n">
        <v>41775.05138888889</v>
      </c>
      <c r="P2903" s="49" t="n">
        <v>41774</v>
      </c>
      <c r="Q2903" s="47" t="n">
        <v>365</v>
      </c>
      <c r="R2903" s="47" t="inlineStr">
        <is>
          <t>No Video ID yet</t>
        </is>
      </c>
      <c r="S2903" s="49" t="n"/>
      <c r="T2903" s="49" t="n"/>
      <c r="U2903" s="47" t="inlineStr">
        <is>
          <t>So here's the spit... was ruefully left out of this video... please forgive me.</t>
        </is>
      </c>
      <c r="V2903" s="47">
        <f>IF(AND(P2903&gt;=Calendar!$K$2,P2903&lt;EDATE(Calendar!$K$2,1),OR(Calendar!$K$4="*",N2903=Calendar!$K$4)),P2903*100+COUNTIFS($P$6:$P$3267,P2903,$Q$6:$Q$3267,"&lt;="&amp;Q2903,$N$6:$N$3267,Calendar!$K$4),"")</f>
        <v/>
      </c>
      <c r="W2903" s="47">
        <f>IF(AND(B2903=Queue!$C$4,OR(Queue!$K$4="*",N2903=Queue!$K$4)),Q2903,"")</f>
        <v/>
      </c>
    </row>
    <row r="2904">
      <c r="A2904" s="38">
        <f>IF(M2904="","",HYPERLINK("https://www.youtube.com/watch?v="&amp;M2904,"▶"))</f>
        <v/>
      </c>
      <c r="B2904" s="39">
        <f>IF(C2904&lt;&gt;"",C2904,IF(P2904&lt;=IFERROR(INDEX(tblChannels[Watched Through],MATCH(N2904,tblChannels[Channel ID],0)),0),"Watched","Unwatched"))</f>
        <v/>
      </c>
      <c r="C2904" s="40" t="n"/>
      <c r="D2904" s="41" t="n"/>
      <c r="E2904" s="42" t="n">
        <v>41772.95763888889</v>
      </c>
      <c r="F2904" s="50" t="inlineStr">
        <is>
          <t>Super Carlin Brothers</t>
        </is>
      </c>
      <c r="G2904" t="inlineStr">
        <is>
          <t>Star Wars Theory: WE ARE ALL SITH</t>
        </is>
      </c>
      <c r="H2904" s="44" t="n">
        <v>0.004178240740740741</v>
      </c>
      <c r="I2904" s="45" t="n">
        <v>1055209</v>
      </c>
      <c r="J2904" s="45" t="n">
        <v>17753</v>
      </c>
      <c r="K2904" s="45" t="n">
        <v>4978</v>
      </c>
      <c r="L2904" s="46" t="n"/>
      <c r="M2904" s="47" t="n"/>
      <c r="N2904" s="47" t="inlineStr">
        <is>
          <t>UCKZo4N0lVPccBkSiuyVh4yg</t>
        </is>
      </c>
      <c r="O2904" s="48" t="n">
        <v>41773.12430555555</v>
      </c>
      <c r="P2904" s="49" t="n">
        <v>41772</v>
      </c>
      <c r="Q2904" s="47" t="n">
        <v>364</v>
      </c>
      <c r="R2904" s="47" t="inlineStr">
        <is>
          <t>No Video ID yet</t>
        </is>
      </c>
      <c r="S2904" s="49" t="n"/>
      <c r="T2904" s="49" t="n"/>
      <c r="U2904" s="47" t="inlineStr">
        <is>
          <t>What do you think? Are we all Sith? Is it the path you would follow or are already following??</t>
        </is>
      </c>
      <c r="V2904" s="47">
        <f>IF(AND(P2904&gt;=Calendar!$K$2,P2904&lt;EDATE(Calendar!$K$2,1),OR(Calendar!$K$4="*",N2904=Calendar!$K$4)),P2904*100+COUNTIFS($P$6:$P$3267,P2904,$Q$6:$Q$3267,"&lt;="&amp;Q2904,$N$6:$N$3267,Calendar!$K$4),"")</f>
        <v/>
      </c>
      <c r="W2904" s="47">
        <f>IF(AND(B2904=Queue!$C$4,OR(Queue!$K$4="*",N2904=Queue!$K$4)),Q2904,"")</f>
        <v/>
      </c>
    </row>
    <row r="2905">
      <c r="A2905" s="38">
        <f>IF(M2905="","",HYPERLINK("https://www.youtube.com/watch?v="&amp;M2905,"▶"))</f>
        <v/>
      </c>
      <c r="B2905" s="39">
        <f>IF(C2905&lt;&gt;"",C2905,IF(P2905&lt;=IFERROR(INDEX(tblChannels[Watched Through],MATCH(N2905,tblChannels[Channel ID],0)),0),"Watched","Unwatched"))</f>
        <v/>
      </c>
      <c r="C2905" s="40" t="n"/>
      <c r="D2905" s="41" t="n"/>
      <c r="E2905" s="42" t="n">
        <v>41767.96597222222</v>
      </c>
      <c r="F2905" s="50" t="inlineStr">
        <is>
          <t>Super Carlin Brothers</t>
        </is>
      </c>
      <c r="G2905" t="inlineStr">
        <is>
          <t>Being Your Character</t>
        </is>
      </c>
      <c r="H2905" s="44" t="n">
        <v>0.002233796296296296</v>
      </c>
      <c r="I2905" s="45" t="n">
        <v>24774</v>
      </c>
      <c r="J2905" s="45" t="n">
        <v>502</v>
      </c>
      <c r="K2905" s="45" t="n">
        <v>101</v>
      </c>
      <c r="L2905" s="46" t="n"/>
      <c r="M2905" s="47" t="n"/>
      <c r="N2905" s="47" t="inlineStr">
        <is>
          <t>UCKZo4N0lVPccBkSiuyVh4yg</t>
        </is>
      </c>
      <c r="O2905" s="48" t="n">
        <v>41768.13263888889</v>
      </c>
      <c r="P2905" s="49" t="n">
        <v>41767</v>
      </c>
      <c r="Q2905" s="47" t="n">
        <v>363</v>
      </c>
      <c r="R2905" s="47" t="inlineStr">
        <is>
          <t>No Video ID yet</t>
        </is>
      </c>
      <c r="S2905" s="49" t="n"/>
      <c r="T2905" s="49" t="n"/>
      <c r="U2905" s="47" t="n"/>
      <c r="V2905" s="47">
        <f>IF(AND(P2905&gt;=Calendar!$K$2,P2905&lt;EDATE(Calendar!$K$2,1),OR(Calendar!$K$4="*",N2905=Calendar!$K$4)),P2905*100+COUNTIFS($P$6:$P$3267,P2905,$Q$6:$Q$3267,"&lt;="&amp;Q2905,$N$6:$N$3267,Calendar!$K$4),"")</f>
        <v/>
      </c>
      <c r="W2905" s="47">
        <f>IF(AND(B2905=Queue!$C$4,OR(Queue!$K$4="*",N2905=Queue!$K$4)),Q2905,"")</f>
        <v/>
      </c>
    </row>
    <row r="2906">
      <c r="A2906" s="38">
        <f>IF(M2906="","",HYPERLINK("https://www.youtube.com/watch?v="&amp;M2906,"▶"))</f>
        <v/>
      </c>
      <c r="B2906" s="39">
        <f>IF(C2906&lt;&gt;"",C2906,IF(P2906&lt;=IFERROR(INDEX(tblChannels[Watched Through],MATCH(N2906,tblChannels[Channel ID],0)),0),"Watched","Unwatched"))</f>
        <v/>
      </c>
      <c r="C2906" s="40" t="n"/>
      <c r="D2906" s="41" t="n"/>
      <c r="E2906" s="42" t="n">
        <v>41765.96111111111</v>
      </c>
      <c r="F2906" s="50" t="inlineStr">
        <is>
          <t>Super Carlin Brothers</t>
        </is>
      </c>
      <c r="G2906" t="inlineStr">
        <is>
          <t>Star Wars Theory: JEDI ARE EVIL</t>
        </is>
      </c>
      <c r="H2906" s="44" t="n">
        <v>0.005775462962962963</v>
      </c>
      <c r="I2906" s="45" t="n">
        <v>3033549</v>
      </c>
      <c r="J2906" s="45" t="n">
        <v>32897</v>
      </c>
      <c r="K2906" s="45" t="n">
        <v>8156</v>
      </c>
      <c r="L2906" s="46" t="n"/>
      <c r="M2906" s="47" t="n"/>
      <c r="N2906" s="47" t="inlineStr">
        <is>
          <t>UCKZo4N0lVPccBkSiuyVh4yg</t>
        </is>
      </c>
      <c r="O2906" s="48" t="n">
        <v>41766.12777777778</v>
      </c>
      <c r="P2906" s="49" t="n">
        <v>41765</v>
      </c>
      <c r="Q2906" s="47" t="n">
        <v>362</v>
      </c>
      <c r="R2906" s="47" t="inlineStr">
        <is>
          <t>No Video ID yet</t>
        </is>
      </c>
      <c r="S2906" s="49" t="n"/>
      <c r="T2906" s="49" t="n"/>
      <c r="U2906" s="47" t="inlineStr">
        <is>
          <t>Full Theory here: Jedi: Infallible super heroes or EVIL?</t>
        </is>
      </c>
      <c r="V2906" s="47">
        <f>IF(AND(P2906&gt;=Calendar!$K$2,P2906&lt;EDATE(Calendar!$K$2,1),OR(Calendar!$K$4="*",N2906=Calendar!$K$4)),P2906*100+COUNTIFS($P$6:$P$3267,P2906,$Q$6:$Q$3267,"&lt;="&amp;Q2906,$N$6:$N$3267,Calendar!$K$4),"")</f>
        <v/>
      </c>
      <c r="W2906" s="47">
        <f>IF(AND(B2906=Queue!$C$4,OR(Queue!$K$4="*",N2906=Queue!$K$4)),Q2906,"")</f>
        <v/>
      </c>
    </row>
    <row r="2907">
      <c r="A2907" s="38">
        <f>IF(M2907="","",HYPERLINK("https://www.youtube.com/watch?v="&amp;M2907,"▶"))</f>
        <v/>
      </c>
      <c r="B2907" s="39">
        <f>IF(C2907&lt;&gt;"",C2907,IF(P2907&lt;=IFERROR(INDEX(tblChannels[Watched Through],MATCH(N2907,tblChannels[Channel ID],0)),0),"Watched","Unwatched"))</f>
        <v/>
      </c>
      <c r="C2907" s="40" t="n"/>
      <c r="D2907" s="41" t="n"/>
      <c r="E2907" s="42" t="n">
        <v>41761.98194444444</v>
      </c>
      <c r="F2907" s="50" t="inlineStr">
        <is>
          <t>Super Carlin Brothers</t>
        </is>
      </c>
      <c r="G2907" t="inlineStr">
        <is>
          <t>Pop Culture vs Culture</t>
        </is>
      </c>
      <c r="H2907" s="44" t="n">
        <v>0.003009259259259259</v>
      </c>
      <c r="I2907" s="45" t="n">
        <v>18053</v>
      </c>
      <c r="J2907" s="45" t="n">
        <v>381</v>
      </c>
      <c r="K2907" s="45" t="n">
        <v>70</v>
      </c>
      <c r="L2907" s="46" t="n"/>
      <c r="M2907" s="47" t="n"/>
      <c r="N2907" s="47" t="inlineStr">
        <is>
          <t>UCKZo4N0lVPccBkSiuyVh4yg</t>
        </is>
      </c>
      <c r="O2907" s="48" t="n">
        <v>41762.14861111111</v>
      </c>
      <c r="P2907" s="49" t="n">
        <v>41761</v>
      </c>
      <c r="Q2907" s="47" t="n">
        <v>361</v>
      </c>
      <c r="R2907" s="47" t="inlineStr">
        <is>
          <t>No Video ID yet</t>
        </is>
      </c>
      <c r="S2907" s="49" t="n"/>
      <c r="T2907" s="49" t="n"/>
      <c r="U2907" s="47" t="inlineStr">
        <is>
          <t>LKJHASEKLFJHASDFKLJHASDLKFJHSA CAN WE ALL JUST PRETEND I STARTED THIS VIDEO WITH THE THREE MOST ELEGANT WORDS OF ALL TIME, HERE'S THE SPIT. Thanks guys. Yall rock. and you get me. spit and all.</t>
        </is>
      </c>
      <c r="V2907" s="47">
        <f>IF(AND(P2907&gt;=Calendar!$K$2,P2907&lt;EDATE(Calendar!$K$2,1),OR(Calendar!$K$4="*",N2907=Calendar!$K$4)),P2907*100+COUNTIFS($P$6:$P$3267,P2907,$Q$6:$Q$3267,"&lt;="&amp;Q2907,$N$6:$N$3267,Calendar!$K$4),"")</f>
        <v/>
      </c>
      <c r="W2907" s="47">
        <f>IF(AND(B2907=Queue!$C$4,OR(Queue!$K$4="*",N2907=Queue!$K$4)),Q2907,"")</f>
        <v/>
      </c>
    </row>
    <row r="2908">
      <c r="A2908" s="38">
        <f>IF(M2908="","",HYPERLINK("https://www.youtube.com/watch?v="&amp;M2908,"▶"))</f>
        <v/>
      </c>
      <c r="B2908" s="39">
        <f>IF(C2908&lt;&gt;"",C2908,IF(P2908&lt;=IFERROR(INDEX(tblChannels[Watched Through],MATCH(N2908,tblChannels[Channel ID],0)),0),"Watched","Unwatched"))</f>
        <v/>
      </c>
      <c r="C2908" s="40" t="n"/>
      <c r="D2908" s="41" t="n"/>
      <c r="E2908" s="42" t="n">
        <v>41758.99791666667</v>
      </c>
      <c r="F2908" s="50" t="inlineStr">
        <is>
          <t>Super Carlin Brothers</t>
        </is>
      </c>
      <c r="G2908" t="inlineStr">
        <is>
          <t>Google Autofill: Who Would Win in a Fight!?</t>
        </is>
      </c>
      <c r="H2908" s="44" t="n">
        <v>0.004120370370370371</v>
      </c>
      <c r="I2908" s="45" t="n">
        <v>320038</v>
      </c>
      <c r="J2908" s="45" t="n">
        <v>5336</v>
      </c>
      <c r="K2908" s="45" t="n">
        <v>3402</v>
      </c>
      <c r="L2908" s="46" t="n"/>
      <c r="M2908" s="47" t="n"/>
      <c r="N2908" s="47" t="inlineStr">
        <is>
          <t>UCKZo4N0lVPccBkSiuyVh4yg</t>
        </is>
      </c>
      <c r="O2908" s="48" t="n">
        <v>41759.16458333333</v>
      </c>
      <c r="P2908" s="49" t="n">
        <v>41758</v>
      </c>
      <c r="Q2908" s="47" t="n">
        <v>360</v>
      </c>
      <c r="R2908" s="47" t="inlineStr">
        <is>
          <t>No Video ID yet</t>
        </is>
      </c>
      <c r="S2908" s="49" t="n"/>
      <c r="T2908" s="49" t="n"/>
      <c r="U2908" s="47" t="inlineStr">
        <is>
          <t>But seriously.. Grilled Cheese vs. Taco!</t>
        </is>
      </c>
      <c r="V2908" s="47">
        <f>IF(AND(P2908&gt;=Calendar!$K$2,P2908&lt;EDATE(Calendar!$K$2,1),OR(Calendar!$K$4="*",N2908=Calendar!$K$4)),P2908*100+COUNTIFS($P$6:$P$3267,P2908,$Q$6:$Q$3267,"&lt;="&amp;Q2908,$N$6:$N$3267,Calendar!$K$4),"")</f>
        <v/>
      </c>
      <c r="W2908" s="47">
        <f>IF(AND(B2908=Queue!$C$4,OR(Queue!$K$4="*",N2908=Queue!$K$4)),Q2908,"")</f>
        <v/>
      </c>
    </row>
    <row r="2909">
      <c r="A2909" s="38">
        <f>IF(M2909="","",HYPERLINK("https://www.youtube.com/watch?v="&amp;M2909,"▶"))</f>
        <v/>
      </c>
      <c r="B2909" s="39">
        <f>IF(C2909&lt;&gt;"",C2909,IF(P2909&lt;=IFERROR(INDEX(tblChannels[Watched Through],MATCH(N2909,tblChannels[Channel ID],0)),0),"Watched","Unwatched"))</f>
        <v/>
      </c>
      <c r="C2909" s="40" t="n"/>
      <c r="D2909" s="41" t="n"/>
      <c r="E2909" s="42" t="n">
        <v>41753.96319444444</v>
      </c>
      <c r="F2909" s="50" t="inlineStr">
        <is>
          <t>Super Carlin Brothers</t>
        </is>
      </c>
      <c r="G2909" t="inlineStr">
        <is>
          <t>Happiness isn't Interesting</t>
        </is>
      </c>
      <c r="H2909" s="44" t="n">
        <v>0.001805555555555555</v>
      </c>
      <c r="I2909" s="45" t="n">
        <v>10974</v>
      </c>
      <c r="J2909" s="45" t="n">
        <v>351</v>
      </c>
      <c r="K2909" s="45" t="n">
        <v>120</v>
      </c>
      <c r="L2909" s="46" t="n"/>
      <c r="M2909" s="47" t="n"/>
      <c r="N2909" s="47" t="inlineStr">
        <is>
          <t>UCKZo4N0lVPccBkSiuyVh4yg</t>
        </is>
      </c>
      <c r="O2909" s="48" t="n">
        <v>41754.12986111111</v>
      </c>
      <c r="P2909" s="49" t="n">
        <v>41753</v>
      </c>
      <c r="Q2909" s="47" t="n">
        <v>359</v>
      </c>
      <c r="R2909" s="47" t="inlineStr">
        <is>
          <t>No Video ID yet</t>
        </is>
      </c>
      <c r="S2909" s="49" t="n"/>
      <c r="T2909" s="49" t="n"/>
      <c r="U2909" s="47" t="inlineStr">
        <is>
          <t>Bonus points if your start your response... "So here's the spit..."</t>
        </is>
      </c>
      <c r="V2909" s="47">
        <f>IF(AND(P2909&gt;=Calendar!$K$2,P2909&lt;EDATE(Calendar!$K$2,1),OR(Calendar!$K$4="*",N2909=Calendar!$K$4)),P2909*100+COUNTIFS($P$6:$P$3267,P2909,$Q$6:$Q$3267,"&lt;="&amp;Q2909,$N$6:$N$3267,Calendar!$K$4),"")</f>
        <v/>
      </c>
      <c r="W2909" s="47">
        <f>IF(AND(B2909=Queue!$C$4,OR(Queue!$K$4="*",N2909=Queue!$K$4)),Q2909,"")</f>
        <v/>
      </c>
    </row>
    <row r="2910">
      <c r="A2910" s="38">
        <f>IF(M2910="","",HYPERLINK("https://www.youtube.com/watch?v="&amp;M2910,"▶"))</f>
        <v/>
      </c>
      <c r="B2910" s="39">
        <f>IF(C2910&lt;&gt;"",C2910,IF(P2910&lt;=IFERROR(INDEX(tblChannels[Watched Through],MATCH(N2910,tblChannels[Channel ID],0)),0),"Watched","Unwatched"))</f>
        <v/>
      </c>
      <c r="C2910" s="40" t="n"/>
      <c r="D2910" s="41" t="n"/>
      <c r="E2910" s="42" t="n">
        <v>41751.90833333333</v>
      </c>
      <c r="F2910" s="50" t="inlineStr">
        <is>
          <t>Super Carlin Brothers</t>
        </is>
      </c>
      <c r="G2910" t="inlineStr">
        <is>
          <t>Narwhal Appreciation Day!</t>
        </is>
      </c>
      <c r="H2910" s="44" t="n">
        <v>0.002557870370370371</v>
      </c>
      <c r="I2910" s="45" t="n">
        <v>34521</v>
      </c>
      <c r="J2910" s="45" t="n">
        <v>846</v>
      </c>
      <c r="K2910" s="45" t="n">
        <v>258</v>
      </c>
      <c r="L2910" s="46" t="n"/>
      <c r="M2910" s="47" t="n"/>
      <c r="N2910" s="47" t="inlineStr">
        <is>
          <t>UCKZo4N0lVPccBkSiuyVh4yg</t>
        </is>
      </c>
      <c r="O2910" s="48" t="n">
        <v>41752.075</v>
      </c>
      <c r="P2910" s="49" t="n">
        <v>41751</v>
      </c>
      <c r="Q2910" s="47" t="n">
        <v>358</v>
      </c>
      <c r="R2910" s="47" t="inlineStr">
        <is>
          <t>No Video ID yet</t>
        </is>
      </c>
      <c r="S2910" s="49" t="n"/>
      <c r="T2910" s="49" t="n"/>
      <c r="U2910" s="47" t="inlineStr">
        <is>
          <t>NARWHAL TSHIRT :: Real? Not Real? Are you Sure? ARE YOU SURE??? Big Brothers Big Sisters Donation Page! ::</t>
        </is>
      </c>
      <c r="V2910" s="47">
        <f>IF(AND(P2910&gt;=Calendar!$K$2,P2910&lt;EDATE(Calendar!$K$2,1),OR(Calendar!$K$4="*",N2910=Calendar!$K$4)),P2910*100+COUNTIFS($P$6:$P$3267,P2910,$Q$6:$Q$3267,"&lt;="&amp;Q2910,$N$6:$N$3267,Calendar!$K$4),"")</f>
        <v/>
      </c>
      <c r="W2910" s="47">
        <f>IF(AND(B2910=Queue!$C$4,OR(Queue!$K$4="*",N2910=Queue!$K$4)),Q2910,"")</f>
        <v/>
      </c>
    </row>
    <row r="2911">
      <c r="A2911" s="38">
        <f>IF(M2911="","",HYPERLINK("https://www.youtube.com/watch?v="&amp;M2911,"▶"))</f>
        <v/>
      </c>
      <c r="B2911" s="39">
        <f>IF(C2911&lt;&gt;"",C2911,IF(P2911&lt;=IFERROR(INDEX(tblChannels[Watched Through],MATCH(N2911,tblChannels[Channel ID],0)),0),"Watched","Unwatched"))</f>
        <v/>
      </c>
      <c r="C2911" s="40" t="n"/>
      <c r="D2911" s="41" t="n"/>
      <c r="E2911" s="42" t="n">
        <v>41746.92083333333</v>
      </c>
      <c r="F2911" s="50" t="inlineStr">
        <is>
          <t>Super Carlin Brothers</t>
        </is>
      </c>
      <c r="G2911" t="inlineStr">
        <is>
          <t>Theory: GoT Next Mona Lisa?</t>
        </is>
      </c>
      <c r="H2911" s="44" t="n">
        <v>0.001643518518518519</v>
      </c>
      <c r="I2911" s="45" t="n">
        <v>93643</v>
      </c>
      <c r="J2911" s="45" t="n">
        <v>814</v>
      </c>
      <c r="K2911" s="45" t="n">
        <v>93</v>
      </c>
      <c r="L2911" s="46" t="n"/>
      <c r="M2911" s="47" t="n"/>
      <c r="N2911" s="47" t="inlineStr">
        <is>
          <t>UCKZo4N0lVPccBkSiuyVh4yg</t>
        </is>
      </c>
      <c r="O2911" s="48" t="n">
        <v>41747.0875</v>
      </c>
      <c r="P2911" s="49" t="n">
        <v>41746</v>
      </c>
      <c r="Q2911" s="47" t="n">
        <v>357</v>
      </c>
      <c r="R2911" s="47" t="inlineStr">
        <is>
          <t>No Video ID yet</t>
        </is>
      </c>
      <c r="S2911" s="49" t="n"/>
      <c r="T2911" s="49" t="n"/>
      <c r="U2911" s="47" t="inlineStr">
        <is>
          <t>There is like a 40% chance I found this thumbnail and loved it so much I had to make a video about it to use it. 60% chance I got freakishly lucky there was such a fitting thumbnail available.</t>
        </is>
      </c>
      <c r="V2911" s="47">
        <f>IF(AND(P2911&gt;=Calendar!$K$2,P2911&lt;EDATE(Calendar!$K$2,1),OR(Calendar!$K$4="*",N2911=Calendar!$K$4)),P2911*100+COUNTIFS($P$6:$P$3267,P2911,$Q$6:$Q$3267,"&lt;="&amp;Q2911,$N$6:$N$3267,Calendar!$K$4),"")</f>
        <v/>
      </c>
      <c r="W2911" s="47">
        <f>IF(AND(B2911=Queue!$C$4,OR(Queue!$K$4="*",N2911=Queue!$K$4)),Q2911,"")</f>
        <v/>
      </c>
    </row>
    <row r="2912">
      <c r="A2912" s="38">
        <f>IF(M2912="","",HYPERLINK("https://www.youtube.com/watch?v="&amp;M2912,"▶"))</f>
        <v/>
      </c>
      <c r="B2912" s="39">
        <f>IF(C2912&lt;&gt;"",C2912,IF(P2912&lt;=IFERROR(INDEX(tblChannels[Watched Through],MATCH(N2912,tblChannels[Channel ID],0)),0),"Watched","Unwatched"))</f>
        <v/>
      </c>
      <c r="C2912" s="40" t="n"/>
      <c r="D2912" s="41" t="n"/>
      <c r="E2912" s="42" t="n">
        <v>41744.92847222222</v>
      </c>
      <c r="F2912" s="50" t="inlineStr">
        <is>
          <t>Super Carlin Brothers</t>
        </is>
      </c>
      <c r="G2912" t="inlineStr">
        <is>
          <t>OVER PREPARED!</t>
        </is>
      </c>
      <c r="H2912" s="44" t="n">
        <v>0.003530092592592592</v>
      </c>
      <c r="I2912" s="45" t="n">
        <v>59064</v>
      </c>
      <c r="J2912" s="45" t="n">
        <v>1145</v>
      </c>
      <c r="K2912" s="45" t="n">
        <v>141</v>
      </c>
      <c r="L2912" s="46" t="n"/>
      <c r="M2912" s="47" t="n"/>
      <c r="N2912" s="47" t="inlineStr">
        <is>
          <t>UCKZo4N0lVPccBkSiuyVh4yg</t>
        </is>
      </c>
      <c r="O2912" s="48" t="n">
        <v>41745.09513888889</v>
      </c>
      <c r="P2912" s="49" t="n">
        <v>41744</v>
      </c>
      <c r="Q2912" s="47" t="n">
        <v>356</v>
      </c>
      <c r="R2912" s="47" t="inlineStr">
        <is>
          <t>No Video ID yet</t>
        </is>
      </c>
      <c r="S2912" s="49" t="n"/>
      <c r="T2912" s="49" t="n"/>
      <c r="U2912" s="47" t="inlineStr">
        <is>
          <t>SCB Donation Page: Thank you for supporting Big Brothers Big Sisters any contributions is greatly appreciated! Have you ever over prepared/thought something to the point where it immobilized you?</t>
        </is>
      </c>
      <c r="V2912" s="47">
        <f>IF(AND(P2912&gt;=Calendar!$K$2,P2912&lt;EDATE(Calendar!$K$2,1),OR(Calendar!$K$4="*",N2912=Calendar!$K$4)),P2912*100+COUNTIFS($P$6:$P$3267,P2912,$Q$6:$Q$3267,"&lt;="&amp;Q2912,$N$6:$N$3267,Calendar!$K$4),"")</f>
        <v/>
      </c>
      <c r="W2912" s="47">
        <f>IF(AND(B2912=Queue!$C$4,OR(Queue!$K$4="*",N2912=Queue!$K$4)),Q2912,"")</f>
        <v/>
      </c>
    </row>
    <row r="2913">
      <c r="A2913" s="38">
        <f>IF(M2913="","",HYPERLINK("https://www.youtube.com/watch?v="&amp;M2913,"▶"))</f>
        <v/>
      </c>
      <c r="B2913" s="39">
        <f>IF(C2913&lt;&gt;"",C2913,IF(P2913&lt;=IFERROR(INDEX(tblChannels[Watched Through],MATCH(N2913,tblChannels[Channel ID],0)),0),"Watched","Unwatched"))</f>
        <v/>
      </c>
      <c r="C2913" s="40" t="n"/>
      <c r="D2913" s="41" t="n"/>
      <c r="E2913" s="42" t="n">
        <v>41739.85416666666</v>
      </c>
      <c r="F2913" s="50" t="inlineStr">
        <is>
          <t>Super Carlin Brothers</t>
        </is>
      </c>
      <c r="G2913" t="inlineStr">
        <is>
          <t>Hulu Plus is Evil... Kinda Pt. 2</t>
        </is>
      </c>
      <c r="H2913" s="44" t="n">
        <v>0.00193287037037037</v>
      </c>
      <c r="I2913" s="45" t="n">
        <v>12995</v>
      </c>
      <c r="J2913" s="45" t="n">
        <v>227</v>
      </c>
      <c r="K2913" s="45" t="n">
        <v>53</v>
      </c>
      <c r="L2913" s="46" t="n"/>
      <c r="M2913" s="47" t="n"/>
      <c r="N2913" s="47" t="inlineStr">
        <is>
          <t>UCKZo4N0lVPccBkSiuyVh4yg</t>
        </is>
      </c>
      <c r="O2913" s="48" t="n">
        <v>41740.02083333334</v>
      </c>
      <c r="P2913" s="49" t="n">
        <v>41739</v>
      </c>
      <c r="Q2913" s="47" t="n">
        <v>355</v>
      </c>
      <c r="R2913" s="47" t="inlineStr">
        <is>
          <t>No Video ID yet</t>
        </is>
      </c>
      <c r="S2913" s="49" t="n"/>
      <c r="T2913" s="49" t="n"/>
      <c r="U2913" s="47" t="inlineStr">
        <is>
          <t>Link... (hesitantly...) to the old one..: This one didn't quite take 5 hours... :D</t>
        </is>
      </c>
      <c r="V2913" s="47">
        <f>IF(AND(P2913&gt;=Calendar!$K$2,P2913&lt;EDATE(Calendar!$K$2,1),OR(Calendar!$K$4="*",N2913=Calendar!$K$4)),P2913*100+COUNTIFS($P$6:$P$3267,P2913,$Q$6:$Q$3267,"&lt;="&amp;Q2913,$N$6:$N$3267,Calendar!$K$4),"")</f>
        <v/>
      </c>
      <c r="W2913" s="47">
        <f>IF(AND(B2913=Queue!$C$4,OR(Queue!$K$4="*",N2913=Queue!$K$4)),Q2913,"")</f>
        <v/>
      </c>
    </row>
    <row r="2914">
      <c r="A2914" s="38">
        <f>IF(M2914="","",HYPERLINK("https://www.youtube.com/watch?v="&amp;M2914,"▶"))</f>
        <v/>
      </c>
      <c r="B2914" s="39">
        <f>IF(C2914&lt;&gt;"",C2914,IF(P2914&lt;=IFERROR(INDEX(tblChannels[Watched Through],MATCH(N2914,tblChannels[Channel ID],0)),0),"Watched","Unwatched"))</f>
        <v/>
      </c>
      <c r="C2914" s="40" t="n"/>
      <c r="D2914" s="41" t="n"/>
      <c r="E2914" s="42" t="n">
        <v>41738.94791666666</v>
      </c>
      <c r="F2914" s="52" t="inlineStr">
        <is>
          <t>Super Carlin Gaming</t>
        </is>
      </c>
      <c r="G2914" t="inlineStr">
        <is>
          <t>Pokemon FireRed Nuzlocke Challenge #13 - THUNDERBOLT</t>
        </is>
      </c>
      <c r="H2914" s="44" t="n">
        <v>0.01436342592592593</v>
      </c>
      <c r="I2914" s="45" t="n">
        <v>29982</v>
      </c>
      <c r="J2914" s="45" t="n">
        <v>449</v>
      </c>
      <c r="K2914" s="45" t="n">
        <v>101</v>
      </c>
      <c r="L2914" s="46" t="n"/>
      <c r="M2914" s="47" t="n"/>
      <c r="N2914" s="47" t="inlineStr">
        <is>
          <t>UCor_9jRnNNZVzTuQ92PKsaQ</t>
        </is>
      </c>
      <c r="O2914" s="48" t="n">
        <v>41739.11458333334</v>
      </c>
      <c r="P2914" s="49" t="n">
        <v>41738</v>
      </c>
      <c r="Q2914" s="47" t="n">
        <v>354</v>
      </c>
      <c r="R2914" s="47" t="inlineStr">
        <is>
          <t>No Video ID yet</t>
        </is>
      </c>
      <c r="S2914" s="49" t="n"/>
      <c r="T2914" s="49" t="n"/>
      <c r="U2914" s="47" t="inlineStr">
        <is>
          <t>Finally.. FINALLY.. THUNDERBOLT!!! Favorite Eeveelution?</t>
        </is>
      </c>
      <c r="V2914" s="47">
        <f>IF(AND(P2914&gt;=Calendar!$K$2,P2914&lt;EDATE(Calendar!$K$2,1),OR(Calendar!$K$4="*",N2914=Calendar!$K$4)),P2914*100+COUNTIFS($P$6:$P$3267,P2914,$Q$6:$Q$3267,"&lt;="&amp;Q2914,$N$6:$N$3267,Calendar!$K$4),"")</f>
        <v/>
      </c>
      <c r="W2914" s="47">
        <f>IF(AND(B2914=Queue!$C$4,OR(Queue!$K$4="*",N2914=Queue!$K$4)),Q2914,"")</f>
        <v/>
      </c>
    </row>
    <row r="2915">
      <c r="A2915" s="38">
        <f>IF(M2915="","",HYPERLINK("https://www.youtube.com/watch?v="&amp;M2915,"▶"))</f>
        <v/>
      </c>
      <c r="B2915" s="39">
        <f>IF(C2915&lt;&gt;"",C2915,IF(P2915&lt;=IFERROR(INDEX(tblChannels[Watched Through],MATCH(N2915,tblChannels[Channel ID],0)),0),"Watched","Unwatched"))</f>
        <v/>
      </c>
      <c r="C2915" s="40" t="n"/>
      <c r="D2915" s="41" t="n"/>
      <c r="E2915" s="42" t="n">
        <v>41737.99097222222</v>
      </c>
      <c r="F2915" s="50" t="inlineStr">
        <is>
          <t>Super Carlin Brothers</t>
        </is>
      </c>
      <c r="G2915" t="inlineStr">
        <is>
          <t>Ask J #7 - Narwhals and Bacon</t>
        </is>
      </c>
      <c r="H2915" s="44" t="n">
        <v>0.002916666666666667</v>
      </c>
      <c r="I2915" s="45" t="n">
        <v>38214</v>
      </c>
      <c r="J2915" s="45" t="n">
        <v>696</v>
      </c>
      <c r="K2915" s="45" t="n">
        <v>279</v>
      </c>
      <c r="L2915" s="46" t="n"/>
      <c r="M2915" s="47" t="n"/>
      <c r="N2915" s="47" t="inlineStr">
        <is>
          <t>UCKZo4N0lVPccBkSiuyVh4yg</t>
        </is>
      </c>
      <c r="O2915" s="48" t="n">
        <v>41738.15763888889</v>
      </c>
      <c r="P2915" s="49" t="n">
        <v>41737</v>
      </c>
      <c r="Q2915" s="47" t="n">
        <v>353</v>
      </c>
      <c r="R2915" s="47" t="inlineStr">
        <is>
          <t>No Video ID yet</t>
        </is>
      </c>
      <c r="S2915" s="49" t="n"/>
      <c r="T2915" s="49" t="n"/>
      <c r="U2915" s="47" t="inlineStr">
        <is>
          <t>What story would you be a part of? SCB Donation Page: Send us your Pigwhal, Grizzly Eagle Sharks and Giraffalents to any of the pages below!</t>
        </is>
      </c>
      <c r="V2915" s="47">
        <f>IF(AND(P2915&gt;=Calendar!$K$2,P2915&lt;EDATE(Calendar!$K$2,1),OR(Calendar!$K$4="*",N2915=Calendar!$K$4)),P2915*100+COUNTIFS($P$6:$P$3267,P2915,$Q$6:$Q$3267,"&lt;="&amp;Q2915,$N$6:$N$3267,Calendar!$K$4),"")</f>
        <v/>
      </c>
      <c r="W2915" s="47">
        <f>IF(AND(B2915=Queue!$C$4,OR(Queue!$K$4="*",N2915=Queue!$K$4)),Q2915,"")</f>
        <v/>
      </c>
    </row>
    <row r="2916">
      <c r="A2916" s="38">
        <f>IF(M2916="","",HYPERLINK("https://www.youtube.com/watch?v="&amp;M2916,"▶"))</f>
        <v/>
      </c>
      <c r="B2916" s="39">
        <f>IF(C2916&lt;&gt;"",C2916,IF(P2916&lt;=IFERROR(INDEX(tblChannels[Watched Through],MATCH(N2916,tblChannels[Channel ID],0)),0),"Watched","Unwatched"))</f>
        <v/>
      </c>
      <c r="C2916" s="40" t="n"/>
      <c r="D2916" s="41" t="n"/>
      <c r="E2916" s="42" t="n">
        <v>41732.86319444444</v>
      </c>
      <c r="F2916" s="50" t="inlineStr">
        <is>
          <t>Super Carlin Brothers</t>
        </is>
      </c>
      <c r="G2916" t="inlineStr">
        <is>
          <t>Video Game Freakout</t>
        </is>
      </c>
      <c r="H2916" s="44" t="n">
        <v>0.002824074074074074</v>
      </c>
      <c r="I2916" s="45" t="n">
        <v>15194</v>
      </c>
      <c r="J2916" s="45" t="n">
        <v>282</v>
      </c>
      <c r="K2916" s="45" t="n">
        <v>64</v>
      </c>
      <c r="L2916" s="46" t="n"/>
      <c r="M2916" s="47" t="n"/>
      <c r="N2916" s="47" t="inlineStr">
        <is>
          <t>UCKZo4N0lVPccBkSiuyVh4yg</t>
        </is>
      </c>
      <c r="O2916" s="48" t="n">
        <v>41733.02986111111</v>
      </c>
      <c r="P2916" s="49" t="n">
        <v>41732</v>
      </c>
      <c r="Q2916" s="47" t="n">
        <v>352</v>
      </c>
      <c r="R2916" s="47" t="inlineStr">
        <is>
          <t>No Video ID yet</t>
        </is>
      </c>
      <c r="S2916" s="49" t="n"/>
      <c r="T2916" s="49" t="n"/>
      <c r="U2916" s="47" t="inlineStr">
        <is>
          <t>Big Brothers Big Sisters - SCB Donation Page: Send Outtros here: SuperCarlinBrothers@gmail.com Thank you for supporting Big Brothers Big Sisters any contributions is greatly appreciated! We have lots of great reward levels for donations: $10 - SCB Sticker (200x available) $15 - SCB Sticker (signed) $20 - SCB Poster (50x Available) $25 - SCB Poster (signed) $30 - SCB T-Shirt (30x available) $40 - SCB T-Shirt, Poster &amp; Sticker $50 - SCB T-Shirt, Poster (signed) &amp; Sticker (signed) The following price levels all include a sticker, poster and t-shirt, we will sign items upon request. $75 - 1 Hour Skype Session with J, Ben or Both! (0 of 3 claimed) $100 - Choose an SCB Video Topic! (1 of 2 claimed) $150 - Be in an SCB video! Collab with us, promote your channel, whatever you want! (0 of 2 claimed) All items are available on a first come first serve basis.Tumblr:</t>
        </is>
      </c>
      <c r="V2916" s="47">
        <f>IF(AND(P2916&gt;=Calendar!$K$2,P2916&lt;EDATE(Calendar!$K$2,1),OR(Calendar!$K$4="*",N2916=Calendar!$K$4)),P2916*100+COUNTIFS($P$6:$P$3267,P2916,$Q$6:$Q$3267,"&lt;="&amp;Q2916,$N$6:$N$3267,Calendar!$K$4),"")</f>
        <v/>
      </c>
      <c r="W2916" s="47">
        <f>IF(AND(B2916=Queue!$C$4,OR(Queue!$K$4="*",N2916=Queue!$K$4)),Q2916,"")</f>
        <v/>
      </c>
    </row>
    <row r="2917">
      <c r="A2917" s="38">
        <f>IF(M2917="","",HYPERLINK("https://www.youtube.com/watch?v="&amp;M2917,"▶"))</f>
        <v/>
      </c>
      <c r="B2917" s="39">
        <f>IF(C2917&lt;&gt;"",C2917,IF(P2917&lt;=IFERROR(INDEX(tblChannels[Watched Through],MATCH(N2917,tblChannels[Channel ID],0)),0),"Watched","Unwatched"))</f>
        <v/>
      </c>
      <c r="C2917" s="40" t="n"/>
      <c r="D2917" s="41" t="n"/>
      <c r="E2917" s="42" t="n">
        <v>41732.31736111111</v>
      </c>
      <c r="F2917" s="52" t="inlineStr">
        <is>
          <t>Super Carlin Gaming</t>
        </is>
      </c>
      <c r="G2917" t="inlineStr">
        <is>
          <t>Pokemon FireRed Nuzlocke Challenge #12 - Munchlax Breeding</t>
        </is>
      </c>
      <c r="H2917" s="44" t="n">
        <v>0.01748842592592592</v>
      </c>
      <c r="I2917" s="45" t="n">
        <v>34104</v>
      </c>
      <c r="J2917" s="45" t="n">
        <v>495</v>
      </c>
      <c r="K2917" s="45" t="n">
        <v>74</v>
      </c>
      <c r="L2917" s="46" t="n"/>
      <c r="M2917" s="47" t="n"/>
      <c r="N2917" s="47" t="inlineStr">
        <is>
          <t>UCor_9jRnNNZVzTuQ92PKsaQ</t>
        </is>
      </c>
      <c r="O2917" s="48" t="n">
        <v>41732.48402777778</v>
      </c>
      <c r="P2917" s="49" t="n">
        <v>41732</v>
      </c>
      <c r="Q2917" s="47" t="n">
        <v>351</v>
      </c>
      <c r="R2917" s="47" t="inlineStr">
        <is>
          <t>No Video ID yet</t>
        </is>
      </c>
      <c r="S2917" s="49" t="n"/>
      <c r="T2917" s="49" t="n"/>
      <c r="U2917" s="47" t="inlineStr">
        <is>
          <t>Why do so many trainers have MACHAMPS on cycling road?? Also which side of Munchlax breeding are you on? Sorry for the delay between video's - the last few months have been crazy busy and something had to give, but we are back!</t>
        </is>
      </c>
      <c r="V2917" s="47">
        <f>IF(AND(P2917&gt;=Calendar!$K$2,P2917&lt;EDATE(Calendar!$K$2,1),OR(Calendar!$K$4="*",N2917=Calendar!$K$4)),P2917*100+COUNTIFS($P$6:$P$3267,P2917,$Q$6:$Q$3267,"&lt;="&amp;Q2917,$N$6:$N$3267,Calendar!$K$4),"")</f>
        <v/>
      </c>
      <c r="W2917" s="47">
        <f>IF(AND(B2917=Queue!$C$4,OR(Queue!$K$4="*",N2917=Queue!$K$4)),Q2917,"")</f>
        <v/>
      </c>
    </row>
    <row r="2918">
      <c r="A2918" s="38">
        <f>IF(M2918="","",HYPERLINK("https://www.youtube.com/watch?v="&amp;M2918,"▶"))</f>
        <v/>
      </c>
      <c r="B2918" s="39">
        <f>IF(C2918&lt;&gt;"",C2918,IF(P2918&lt;=IFERROR(INDEX(tblChannels[Watched Through],MATCH(N2918,tblChannels[Channel ID],0)),0),"Watched","Unwatched"))</f>
        <v/>
      </c>
      <c r="C2918" s="40" t="n"/>
      <c r="D2918" s="41" t="n"/>
      <c r="E2918" s="42" t="n">
        <v>41730.96319444444</v>
      </c>
      <c r="F2918" s="50" t="inlineStr">
        <is>
          <t>Super Carlin Brothers</t>
        </is>
      </c>
      <c r="G2918" t="inlineStr">
        <is>
          <t>Ben Quit</t>
        </is>
      </c>
      <c r="H2918" s="44" t="n">
        <v>0.003784722222222222</v>
      </c>
      <c r="I2918" s="45" t="n">
        <v>734863</v>
      </c>
      <c r="J2918" s="45" t="n">
        <v>15210</v>
      </c>
      <c r="K2918" s="45" t="n">
        <v>3703</v>
      </c>
      <c r="L2918" s="46" t="n"/>
      <c r="M2918" s="47" t="n"/>
      <c r="N2918" s="47" t="inlineStr">
        <is>
          <t>UCKZo4N0lVPccBkSiuyVh4yg</t>
        </is>
      </c>
      <c r="O2918" s="48" t="n">
        <v>41731.12986111111</v>
      </c>
      <c r="P2918" s="49" t="n">
        <v>41730</v>
      </c>
      <c r="Q2918" s="47" t="n">
        <v>350</v>
      </c>
      <c r="R2918" s="47" t="inlineStr">
        <is>
          <t>No Video ID yet</t>
        </is>
      </c>
      <c r="S2918" s="49" t="n"/>
      <c r="T2918" s="49" t="n"/>
      <c r="U2918" s="47" t="inlineStr">
        <is>
          <t>Big Brothers Big Sisters - SCB Donation Page: Send Outtros here: SuperCarlinBrothers@gmail.com Thank you for supporting Big Brothers Big Sisters any contributions is greatly appreciated! We have lots of great reward levels for donations: $10 - SCB Sticker (200x available) $15 - SCB Sticker (signed) $20 - SCB Poster (50x Available) $25 - SCB Poster (signed) $30 - SCB T-Shirt (30x available) $40 - SCB T-Shirt, Poster &amp; Sticker $50 - SCB T-Shirt, Poster (signed) &amp; Sticker (signed) The following price levels all include a sticker, poster and t-shirt, we will sign items upon request. $75 - 1 Hour Skype Session with J, Ben or Both! (0 of 3 claimed) $100 - Choose an SCB Video Topic! (1 of 2 claimed) $150 - Be in an SCB video! Collab with us, promote your channel, whatever you want! (0 of 2 claimed) All items are available on a first come first serve basis.</t>
        </is>
      </c>
      <c r="V2918" s="47">
        <f>IF(AND(P2918&gt;=Calendar!$K$2,P2918&lt;EDATE(Calendar!$K$2,1),OR(Calendar!$K$4="*",N2918=Calendar!$K$4)),P2918*100+COUNTIFS($P$6:$P$3267,P2918,$Q$6:$Q$3267,"&lt;="&amp;Q2918,$N$6:$N$3267,Calendar!$K$4),"")</f>
        <v/>
      </c>
      <c r="W2918" s="47">
        <f>IF(AND(B2918=Queue!$C$4,OR(Queue!$K$4="*",N2918=Queue!$K$4)),Q2918,"")</f>
        <v/>
      </c>
    </row>
    <row r="2919">
      <c r="A2919" s="38">
        <f>IF(M2919="","",HYPERLINK("https://www.youtube.com/watch?v="&amp;M2919,"▶"))</f>
        <v/>
      </c>
      <c r="B2919" s="39">
        <f>IF(C2919&lt;&gt;"",C2919,IF(P2919&lt;=IFERROR(INDEX(tblChannels[Watched Through],MATCH(N2919,tblChannels[Channel ID],0)),0),"Watched","Unwatched"))</f>
        <v/>
      </c>
      <c r="C2919" s="40" t="n"/>
      <c r="D2919" s="41" t="n"/>
      <c r="E2919" s="42" t="n">
        <v>41725.92291666667</v>
      </c>
      <c r="F2919" s="50" t="inlineStr">
        <is>
          <t>Super Carlin Brothers</t>
        </is>
      </c>
      <c r="G2919" t="inlineStr">
        <is>
          <t>Buyers Remorse</t>
        </is>
      </c>
      <c r="H2919" s="44" t="n">
        <v>0.001898148148148148</v>
      </c>
      <c r="I2919" s="45" t="n">
        <v>15994</v>
      </c>
      <c r="J2919" s="45" t="n">
        <v>268</v>
      </c>
      <c r="K2919" s="45" t="n">
        <v>46</v>
      </c>
      <c r="L2919" s="46" t="n"/>
      <c r="M2919" s="47" t="n"/>
      <c r="N2919" s="47" t="inlineStr">
        <is>
          <t>UCKZo4N0lVPccBkSiuyVh4yg</t>
        </is>
      </c>
      <c r="O2919" s="48" t="n">
        <v>41726.08958333333</v>
      </c>
      <c r="P2919" s="49" t="n">
        <v>41725</v>
      </c>
      <c r="Q2919" s="47" t="n">
        <v>349</v>
      </c>
      <c r="R2919" s="47" t="inlineStr">
        <is>
          <t>No Video ID yet</t>
        </is>
      </c>
      <c r="S2919" s="49" t="n"/>
      <c r="T2919" s="49" t="n"/>
      <c r="U2919" s="47" t="inlineStr">
        <is>
          <t>Big Brothers Big Sisters - SCB Donation Page: Thank you for supporting Big Brothers Big Sisters any contributions is greatly appreciated! We have lots of great reward levels for donations: $10 - SCB Sticker (200x available) $15 - SCB Sticker (signed) $20 - SCB Poster (50x Available) $25 - SCB Poster (signed) $30 - SCB T-Shirt (30x available) $40 - SCB T-Shirt, Poster &amp; Sticker $50 - SCB T-Shirt, Poster (signed) &amp; Sticker (signed)</t>
        </is>
      </c>
      <c r="V2919" s="47">
        <f>IF(AND(P2919&gt;=Calendar!$K$2,P2919&lt;EDATE(Calendar!$K$2,1),OR(Calendar!$K$4="*",N2919=Calendar!$K$4)),P2919*100+COUNTIFS($P$6:$P$3267,P2919,$Q$6:$Q$3267,"&lt;="&amp;Q2919,$N$6:$N$3267,Calendar!$K$4),"")</f>
        <v/>
      </c>
      <c r="W2919" s="47">
        <f>IF(AND(B2919=Queue!$C$4,OR(Queue!$K$4="*",N2919=Queue!$K$4)),Q2919,"")</f>
        <v/>
      </c>
    </row>
    <row r="2920">
      <c r="A2920" s="38">
        <f>IF(M2920="","",HYPERLINK("https://www.youtube.com/watch?v="&amp;M2920,"▶"))</f>
        <v/>
      </c>
      <c r="B2920" s="39">
        <f>IF(C2920&lt;&gt;"",C2920,IF(P2920&lt;=IFERROR(INDEX(tblChannels[Watched Through],MATCH(N2920,tblChannels[Channel ID],0)),0),"Watched","Unwatched"))</f>
        <v/>
      </c>
      <c r="C2920" s="40" t="n"/>
      <c r="D2920" s="41" t="n"/>
      <c r="E2920" s="42" t="n">
        <v>41723.91111111111</v>
      </c>
      <c r="F2920" s="50" t="inlineStr">
        <is>
          <t>Super Carlin Brothers</t>
        </is>
      </c>
      <c r="G2920" t="inlineStr">
        <is>
          <t>Is Batman Google Autofill</t>
        </is>
      </c>
      <c r="H2920" s="44" t="n">
        <v>0.004085648148148148</v>
      </c>
      <c r="I2920" s="45" t="n">
        <v>269859</v>
      </c>
      <c r="J2920" s="45" t="n">
        <v>3877</v>
      </c>
      <c r="K2920" s="45" t="n">
        <v>897</v>
      </c>
      <c r="L2920" s="46" t="n"/>
      <c r="M2920" s="47" t="n"/>
      <c r="N2920" s="47" t="inlineStr">
        <is>
          <t>UCKZo4N0lVPccBkSiuyVh4yg</t>
        </is>
      </c>
      <c r="O2920" s="48" t="n">
        <v>41724.07777777778</v>
      </c>
      <c r="P2920" s="49" t="n">
        <v>41723</v>
      </c>
      <c r="Q2920" s="47" t="n">
        <v>348</v>
      </c>
      <c r="R2920" s="47" t="inlineStr">
        <is>
          <t>No Video ID yet</t>
        </is>
      </c>
      <c r="S2920" s="49" t="n"/>
      <c r="T2920" s="49" t="n"/>
      <c r="U2920" s="47" t="inlineStr">
        <is>
          <t>Big Brothers Big Sisters - SCB Donation Page: Thank you for supporting Big Brothers Big Sisters any contributions is greatly appreciated! We have lots of great reward levels for donations: $10 - SCB Sticker (200x available) $15 - SCB Sticker (signed) $20 - SCB Poster (50x Available) $25 - SCB Poster (signed) $30 - SCB T-Shirt (30x available) $40 - SCB T-Shirt, Poster &amp; Sticker $50 - SCB T-Shirt, Poster (signed) &amp; Sticker (signed) The following price levels all include a sticker, poster and t-shirt, we will sign items upon request. $75 - 1 Hour Skype Session with J, Ben or Both! (0 of 3 claimed) $100 - Choose an SCB Video Topic! (1 of 2 claimed) $150 - Be in an SCB video! Collab with us, promote your channel, whatever you want! (0 of 2 claimed) All items are available on a first come first serve basis.</t>
        </is>
      </c>
      <c r="V2920" s="47">
        <f>IF(AND(P2920&gt;=Calendar!$K$2,P2920&lt;EDATE(Calendar!$K$2,1),OR(Calendar!$K$4="*",N2920=Calendar!$K$4)),P2920*100+COUNTIFS($P$6:$P$3267,P2920,$Q$6:$Q$3267,"&lt;="&amp;Q2920,$N$6:$N$3267,Calendar!$K$4),"")</f>
        <v/>
      </c>
      <c r="W2920" s="47">
        <f>IF(AND(B2920=Queue!$C$4,OR(Queue!$K$4="*",N2920=Queue!$K$4)),Q2920,"")</f>
        <v/>
      </c>
    </row>
    <row r="2921">
      <c r="A2921" s="38">
        <f>IF(M2921="","",HYPERLINK("https://www.youtube.com/watch?v="&amp;M2921,"▶"))</f>
        <v/>
      </c>
      <c r="B2921" s="39">
        <f>IF(C2921&lt;&gt;"",C2921,IF(P2921&lt;=IFERROR(INDEX(tblChannels[Watched Through],MATCH(N2921,tblChannels[Channel ID],0)),0),"Watched","Unwatched"))</f>
        <v/>
      </c>
      <c r="C2921" s="40" t="n"/>
      <c r="D2921" s="41" t="n"/>
      <c r="E2921" s="42" t="n">
        <v>41718.97361111111</v>
      </c>
      <c r="F2921" s="50" t="inlineStr">
        <is>
          <t>Super Carlin Brothers</t>
        </is>
      </c>
      <c r="G2921" t="inlineStr">
        <is>
          <t>Being Challenged</t>
        </is>
      </c>
      <c r="H2921" s="44" t="n">
        <v>0.003842592592592593</v>
      </c>
      <c r="I2921" s="45" t="n">
        <v>10621</v>
      </c>
      <c r="J2921" s="45" t="n">
        <v>247</v>
      </c>
      <c r="K2921" s="45" t="n">
        <v>24</v>
      </c>
      <c r="L2921" s="46" t="n"/>
      <c r="M2921" s="47" t="n"/>
      <c r="N2921" s="47" t="inlineStr">
        <is>
          <t>UCKZo4N0lVPccBkSiuyVh4yg</t>
        </is>
      </c>
      <c r="O2921" s="48" t="n">
        <v>41719.14027777778</v>
      </c>
      <c r="P2921" s="49" t="n">
        <v>41718</v>
      </c>
      <c r="Q2921" s="47" t="n">
        <v>347</v>
      </c>
      <c r="R2921" s="47" t="inlineStr">
        <is>
          <t>No Video ID yet</t>
        </is>
      </c>
      <c r="S2921" s="49" t="n"/>
      <c r="T2921" s="49" t="n"/>
      <c r="U2921" s="47" t="inlineStr">
        <is>
          <t>Speaking of being challenged. iMovie got update on my computer today. It was way different. For all I know there isn't audio in this video. OVER THE EDGE: THANKS FOR YOUR SUPPORT :D SCB Donation Page: Thank you for supporting Big Brothers Big Sisters any contributions is greatly appreciated! We have lots of great reward levels for donations: $10 - SCB Sticker (200x available) $15 - SCB Sticker (signed) $20 - SCB Poster (50x Available) $25 - SCB Poster (signed) $30 - SCB T-Shirt (30x available) $40 - SCB T-Shirt, Poster &amp; Sticker $50 - SCB T-Shirt, Poster (signed) &amp; Sticker (signed) The following price levels all include a sticker, poster and t-shirt, we will sign items upon request. $75 - 1 Hour Skype Session with J, Ben or Both! $100 - Choose an SCB Video Topic! $150 - Be in an SCB video! Collab with us, promote your channel, whatever you want! All items are available on a first come first serve basis. Additionally J and I have agreed to donate 1 penny (up to $100 each) for every comment on this video, every like on this video, and every share of this video on Twitter, Tumblr and Facebook with #SuperCarlinBrothers</t>
        </is>
      </c>
      <c r="V2921" s="47">
        <f>IF(AND(P2921&gt;=Calendar!$K$2,P2921&lt;EDATE(Calendar!$K$2,1),OR(Calendar!$K$4="*",N2921=Calendar!$K$4)),P2921*100+COUNTIFS($P$6:$P$3267,P2921,$Q$6:$Q$3267,"&lt;="&amp;Q2921,$N$6:$N$3267,Calendar!$K$4),"")</f>
        <v/>
      </c>
      <c r="W2921" s="47">
        <f>IF(AND(B2921=Queue!$C$4,OR(Queue!$K$4="*",N2921=Queue!$K$4)),Q2921,"")</f>
        <v/>
      </c>
    </row>
    <row r="2922">
      <c r="A2922" s="38">
        <f>IF(M2922="","",HYPERLINK("https://www.youtube.com/watch?v="&amp;M2922,"▶"))</f>
        <v/>
      </c>
      <c r="B2922" s="39">
        <f>IF(C2922&lt;&gt;"",C2922,IF(P2922&lt;=IFERROR(INDEX(tblChannels[Watched Through],MATCH(N2922,tblChannels[Channel ID],0)),0),"Watched","Unwatched"))</f>
        <v/>
      </c>
      <c r="C2922" s="40" t="n"/>
      <c r="D2922" s="41" t="n"/>
      <c r="E2922" s="42" t="n">
        <v>41716.92638888889</v>
      </c>
      <c r="F2922" s="50" t="inlineStr">
        <is>
          <t>Super Carlin Brothers</t>
        </is>
      </c>
      <c r="G2922" t="inlineStr">
        <is>
          <t>OVER THE EDGE!</t>
        </is>
      </c>
      <c r="H2922" s="44" t="n">
        <v>0.003171296296296296</v>
      </c>
      <c r="I2922" s="45" t="n">
        <v>22696</v>
      </c>
      <c r="J2922" s="45" t="n">
        <v>597</v>
      </c>
      <c r="K2922" s="45" t="n">
        <v>232</v>
      </c>
      <c r="L2922" s="46" t="n"/>
      <c r="M2922" s="47" t="n"/>
      <c r="N2922" s="47" t="inlineStr">
        <is>
          <t>UCKZo4N0lVPccBkSiuyVh4yg</t>
        </is>
      </c>
      <c r="O2922" s="48" t="n">
        <v>41717.09305555555</v>
      </c>
      <c r="P2922" s="49" t="n">
        <v>41716</v>
      </c>
      <c r="Q2922" s="47" t="n">
        <v>346</v>
      </c>
      <c r="R2922" s="47" t="inlineStr">
        <is>
          <t>No Video ID yet</t>
        </is>
      </c>
      <c r="S2922" s="49" t="n"/>
      <c r="T2922" s="49" t="n"/>
      <c r="U2922" s="47" t="inlineStr">
        <is>
          <t>SCB Donation Page: Thank you for supporting Big Brothers Big Sisters any contributions is greatly appreciated! We have lots of great reward levels for donations: $10 - SCB Sticker (200x available) $15 - SCB Sticker (signed) $20 - SCB Poster (50x Available) $25 - SCB Poster (signed) $30 - SCB T-Shirt (30x available) $40 - SCB T-Shirt, Poster &amp; Sticker $50 - SCB T-Shirt, Poster (signed) &amp; Sticker (signed) The following price levels all include a sticker, poster and t-shirt, we will sign items upon request. $75 - 1 Hour Skype Session with J, Ben or Both! (0 of 3 claimed) $100 - Choose an SCB Video Topic! (0 of 2 claimed) $150 - Be in an SCB video! Collab with us, promote your channel, whatever you want! (0 of 2 claimed) All items are available on a first come first serve basis. Additionally Ben and I have agreed to donate 1 penny (up to $100 each) for every comment on this video, every like on this video, and every share of this video on Twitter, Tumblr and Facebook with #SuperCarlinBrothers</t>
        </is>
      </c>
      <c r="V2922" s="47">
        <f>IF(AND(P2922&gt;=Calendar!$K$2,P2922&lt;EDATE(Calendar!$K$2,1),OR(Calendar!$K$4="*",N2922=Calendar!$K$4)),P2922*100+COUNTIFS($P$6:$P$3267,P2922,$Q$6:$Q$3267,"&lt;="&amp;Q2922,$N$6:$N$3267,Calendar!$K$4),"")</f>
        <v/>
      </c>
      <c r="W2922" s="47">
        <f>IF(AND(B2922=Queue!$C$4,OR(Queue!$K$4="*",N2922=Queue!$K$4)),Q2922,"")</f>
        <v/>
      </c>
    </row>
    <row r="2923">
      <c r="A2923" s="38">
        <f>IF(M2923="","",HYPERLINK("https://www.youtube.com/watch?v="&amp;M2923,"▶"))</f>
        <v/>
      </c>
      <c r="B2923" s="39">
        <f>IF(C2923&lt;&gt;"",C2923,IF(P2923&lt;=IFERROR(INDEX(tblChannels[Watched Through],MATCH(N2923,tblChannels[Channel ID],0)),0),"Watched","Unwatched"))</f>
        <v/>
      </c>
      <c r="C2923" s="40" t="n"/>
      <c r="D2923" s="41" t="n"/>
      <c r="E2923" s="42" t="n">
        <v>41711.92638888889</v>
      </c>
      <c r="F2923" s="50" t="inlineStr">
        <is>
          <t>Super Carlin Brothers</t>
        </is>
      </c>
      <c r="G2923" t="inlineStr">
        <is>
          <t>Toilet Talk</t>
        </is>
      </c>
      <c r="H2923" s="44" t="n">
        <v>0.002314814814814815</v>
      </c>
      <c r="I2923" s="45" t="n">
        <v>11102</v>
      </c>
      <c r="J2923" s="45" t="n">
        <v>253</v>
      </c>
      <c r="K2923" s="45" t="n">
        <v>71</v>
      </c>
      <c r="L2923" s="46" t="n"/>
      <c r="M2923" s="47" t="n"/>
      <c r="N2923" s="47" t="inlineStr">
        <is>
          <t>UCKZo4N0lVPccBkSiuyVh4yg</t>
        </is>
      </c>
      <c r="O2923" s="48" t="n">
        <v>41712.09305555555</v>
      </c>
      <c r="P2923" s="49" t="n">
        <v>41711</v>
      </c>
      <c r="Q2923" s="47" t="n">
        <v>345</v>
      </c>
      <c r="R2923" s="47" t="inlineStr">
        <is>
          <t>No Video ID yet</t>
        </is>
      </c>
      <c r="S2923" s="49" t="n"/>
      <c r="T2923" s="49" t="n"/>
      <c r="U2923" s="47" t="inlineStr">
        <is>
          <t>A video that could have used so many more puns in hindsight. Please. offer up your toilet puns.</t>
        </is>
      </c>
      <c r="V2923" s="47">
        <f>IF(AND(P2923&gt;=Calendar!$K$2,P2923&lt;EDATE(Calendar!$K$2,1),OR(Calendar!$K$4="*",N2923=Calendar!$K$4)),P2923*100+COUNTIFS($P$6:$P$3267,P2923,$Q$6:$Q$3267,"&lt;="&amp;Q2923,$N$6:$N$3267,Calendar!$K$4),"")</f>
        <v/>
      </c>
      <c r="W2923" s="47">
        <f>IF(AND(B2923=Queue!$C$4,OR(Queue!$K$4="*",N2923=Queue!$K$4)),Q2923,"")</f>
        <v/>
      </c>
    </row>
    <row r="2924">
      <c r="A2924" s="38">
        <f>IF(M2924="","",HYPERLINK("https://www.youtube.com/watch?v="&amp;M2924,"▶"))</f>
        <v/>
      </c>
      <c r="B2924" s="39">
        <f>IF(C2924&lt;&gt;"",C2924,IF(P2924&lt;=IFERROR(INDEX(tblChannels[Watched Through],MATCH(N2924,tblChannels[Channel ID],0)),0),"Watched","Unwatched"))</f>
        <v/>
      </c>
      <c r="C2924" s="40" t="n"/>
      <c r="D2924" s="41" t="n"/>
      <c r="E2924" s="42" t="n">
        <v>41709.85416666666</v>
      </c>
      <c r="F2924" s="50" t="inlineStr">
        <is>
          <t>Super Carlin Brothers</t>
        </is>
      </c>
      <c r="G2924" t="inlineStr">
        <is>
          <t>SPEED READING!!!</t>
        </is>
      </c>
      <c r="H2924" s="44" t="n">
        <v>0.002777777777777778</v>
      </c>
      <c r="I2924" s="45" t="n">
        <v>52375</v>
      </c>
      <c r="J2924" s="45" t="n">
        <v>1318</v>
      </c>
      <c r="K2924" s="45" t="n">
        <v>215</v>
      </c>
      <c r="L2924" s="46" t="n"/>
      <c r="M2924" s="47" t="n"/>
      <c r="N2924" s="47" t="inlineStr">
        <is>
          <t>UCKZo4N0lVPccBkSiuyVh4yg</t>
        </is>
      </c>
      <c r="O2924" s="48" t="n">
        <v>41710.02083333334</v>
      </c>
      <c r="P2924" s="49" t="n">
        <v>41709</v>
      </c>
      <c r="Q2924" s="47" t="n">
        <v>344</v>
      </c>
      <c r="R2924" s="47" t="inlineStr">
        <is>
          <t>No Video ID yet</t>
        </is>
      </c>
      <c r="S2924" s="49" t="n"/>
      <c r="T2924" s="49" t="n"/>
      <c r="U2924" s="47" t="inlineStr">
        <is>
          <t>Would you like to read a book like this or just read like this in general? Discuss! Also play around with this at www.Spreeder.com</t>
        </is>
      </c>
      <c r="V2924" s="47">
        <f>IF(AND(P2924&gt;=Calendar!$K$2,P2924&lt;EDATE(Calendar!$K$2,1),OR(Calendar!$K$4="*",N2924=Calendar!$K$4)),P2924*100+COUNTIFS($P$6:$P$3267,P2924,$Q$6:$Q$3267,"&lt;="&amp;Q2924,$N$6:$N$3267,Calendar!$K$4),"")</f>
        <v/>
      </c>
      <c r="W2924" s="47">
        <f>IF(AND(B2924=Queue!$C$4,OR(Queue!$K$4="*",N2924=Queue!$K$4)),Q2924,"")</f>
        <v/>
      </c>
    </row>
    <row r="2925">
      <c r="A2925" s="38">
        <f>IF(M2925="","",HYPERLINK("https://www.youtube.com/watch?v="&amp;M2925,"▶"))</f>
        <v/>
      </c>
      <c r="B2925" s="39">
        <f>IF(C2925&lt;&gt;"",C2925,IF(P2925&lt;=IFERROR(INDEX(tblChannels[Watched Through],MATCH(N2925,tblChannels[Channel ID],0)),0),"Watched","Unwatched"))</f>
        <v/>
      </c>
      <c r="C2925" s="40" t="n"/>
      <c r="D2925" s="41" t="n"/>
      <c r="E2925" s="42" t="n">
        <v>41704.97291666667</v>
      </c>
      <c r="F2925" s="50" t="inlineStr">
        <is>
          <t>Super Carlin Brothers</t>
        </is>
      </c>
      <c r="G2925" t="inlineStr">
        <is>
          <t>What is it all for?</t>
        </is>
      </c>
      <c r="H2925" s="44" t="n">
        <v>0.002314814814814815</v>
      </c>
      <c r="I2925" s="45" t="n">
        <v>8392</v>
      </c>
      <c r="J2925" s="45" t="n">
        <v>191</v>
      </c>
      <c r="K2925" s="45" t="n">
        <v>31</v>
      </c>
      <c r="L2925" s="46" t="n"/>
      <c r="M2925" s="47" t="n"/>
      <c r="N2925" s="47" t="inlineStr">
        <is>
          <t>UCKZo4N0lVPccBkSiuyVh4yg</t>
        </is>
      </c>
      <c r="O2925" s="48" t="n">
        <v>41705.18125</v>
      </c>
      <c r="P2925" s="49" t="n">
        <v>41704</v>
      </c>
      <c r="Q2925" s="47" t="n">
        <v>343</v>
      </c>
      <c r="R2925" s="47" t="inlineStr">
        <is>
          <t>No Video ID yet</t>
        </is>
      </c>
      <c r="S2925" s="49" t="n"/>
      <c r="T2925" s="49" t="n"/>
      <c r="U2925" s="47" t="inlineStr">
        <is>
          <t>Well... This one explains itself - What are you working towards and for in life? Thanks to my buddy Paul for filming this (and managing to keep up with me =P)</t>
        </is>
      </c>
      <c r="V2925" s="47">
        <f>IF(AND(P2925&gt;=Calendar!$K$2,P2925&lt;EDATE(Calendar!$K$2,1),OR(Calendar!$K$4="*",N2925=Calendar!$K$4)),P2925*100+COUNTIFS($P$6:$P$3267,P2925,$Q$6:$Q$3267,"&lt;="&amp;Q2925,$N$6:$N$3267,Calendar!$K$4),"")</f>
        <v/>
      </c>
      <c r="W2925" s="47">
        <f>IF(AND(B2925=Queue!$C$4,OR(Queue!$K$4="*",N2925=Queue!$K$4)),Q2925,"")</f>
        <v/>
      </c>
    </row>
    <row r="2926">
      <c r="A2926" s="38">
        <f>IF(M2926="","",HYPERLINK("https://www.youtube.com/watch?v="&amp;M2926,"▶"))</f>
        <v/>
      </c>
      <c r="B2926" s="39">
        <f>IF(C2926&lt;&gt;"",C2926,IF(P2926&lt;=IFERROR(INDEX(tblChannels[Watched Through],MATCH(N2926,tblChannels[Channel ID],0)),0),"Watched","Unwatched"))</f>
        <v/>
      </c>
      <c r="C2926" s="40" t="n"/>
      <c r="D2926" s="41" t="n"/>
      <c r="E2926" s="42" t="n">
        <v>41702.92222222222</v>
      </c>
      <c r="F2926" s="50" t="inlineStr">
        <is>
          <t>Super Carlin Brothers</t>
        </is>
      </c>
      <c r="G2926" t="inlineStr">
        <is>
          <t>Thoughts from Places: Snowshoe</t>
        </is>
      </c>
      <c r="H2926" s="44" t="n">
        <v>0.002453703703703704</v>
      </c>
      <c r="I2926" s="45" t="n">
        <v>7813</v>
      </c>
      <c r="J2926" s="45" t="n">
        <v>188</v>
      </c>
      <c r="K2926" s="45" t="n">
        <v>44</v>
      </c>
      <c r="L2926" s="46" t="n"/>
      <c r="M2926" s="47" t="n"/>
      <c r="N2926" s="47" t="inlineStr">
        <is>
          <t>UCKZo4N0lVPccBkSiuyVh4yg</t>
        </is>
      </c>
      <c r="O2926" s="48" t="n">
        <v>41703.13055555556</v>
      </c>
      <c r="P2926" s="49" t="n">
        <v>41702</v>
      </c>
      <c r="Q2926" s="47" t="n">
        <v>342</v>
      </c>
      <c r="R2926" s="47" t="inlineStr">
        <is>
          <t>No Video ID yet</t>
        </is>
      </c>
      <c r="S2926" s="49" t="n"/>
      <c r="T2926" s="49" t="n"/>
      <c r="U2926" s="47" t="inlineStr">
        <is>
          <t>It has been an amazing season of skiing and it got me through the winter What got you through?? Want to add something to our sets? Send viewer mail here:</t>
        </is>
      </c>
      <c r="V2926" s="47">
        <f>IF(AND(P2926&gt;=Calendar!$K$2,P2926&lt;EDATE(Calendar!$K$2,1),OR(Calendar!$K$4="*",N2926=Calendar!$K$4)),P2926*100+COUNTIFS($P$6:$P$3267,P2926,$Q$6:$Q$3267,"&lt;="&amp;Q2926,$N$6:$N$3267,Calendar!$K$4),"")</f>
        <v/>
      </c>
      <c r="W2926" s="47">
        <f>IF(AND(B2926=Queue!$C$4,OR(Queue!$K$4="*",N2926=Queue!$K$4)),Q2926,"")</f>
        <v/>
      </c>
    </row>
    <row r="2927">
      <c r="A2927" s="38">
        <f>IF(M2927="","",HYPERLINK("https://www.youtube.com/watch?v="&amp;M2927,"▶"))</f>
        <v/>
      </c>
      <c r="B2927" s="39">
        <f>IF(C2927&lt;&gt;"",C2927,IF(P2927&lt;=IFERROR(INDEX(tblChannels[Watched Through],MATCH(N2927,tblChannels[Channel ID],0)),0),"Watched","Unwatched"))</f>
        <v/>
      </c>
      <c r="C2927" s="40" t="n"/>
      <c r="D2927" s="41" t="n"/>
      <c r="E2927" s="42" t="n">
        <v>41697.92291666667</v>
      </c>
      <c r="F2927" s="50" t="inlineStr">
        <is>
          <t>Super Carlin Brothers</t>
        </is>
      </c>
      <c r="G2927" t="inlineStr">
        <is>
          <t>Little Luxuries</t>
        </is>
      </c>
      <c r="H2927" s="44" t="n">
        <v>0.0008564814814814815</v>
      </c>
      <c r="I2927" s="45" t="n">
        <v>8711</v>
      </c>
      <c r="J2927" s="45" t="n">
        <v>181</v>
      </c>
      <c r="K2927" s="45" t="n">
        <v>23</v>
      </c>
      <c r="L2927" s="46" t="n"/>
      <c r="M2927" s="47" t="n"/>
      <c r="N2927" s="47" t="inlineStr">
        <is>
          <t>UCKZo4N0lVPccBkSiuyVh4yg</t>
        </is>
      </c>
      <c r="O2927" s="48" t="n">
        <v>41698.13125</v>
      </c>
      <c r="P2927" s="49" t="n">
        <v>41697</v>
      </c>
      <c r="Q2927" s="47" t="n">
        <v>341</v>
      </c>
      <c r="R2927" s="47" t="inlineStr">
        <is>
          <t>No Video ID yet</t>
        </is>
      </c>
      <c r="S2927" s="49" t="n"/>
      <c r="T2927" s="49" t="n"/>
      <c r="U2927" s="47" t="inlineStr">
        <is>
          <t>So I had planned on this being a far more fleshed out concept/video... But had a crazy day and was only able to piece this together!</t>
        </is>
      </c>
      <c r="V2927" s="47">
        <f>IF(AND(P2927&gt;=Calendar!$K$2,P2927&lt;EDATE(Calendar!$K$2,1),OR(Calendar!$K$4="*",N2927=Calendar!$K$4)),P2927*100+COUNTIFS($P$6:$P$3267,P2927,$Q$6:$Q$3267,"&lt;="&amp;Q2927,$N$6:$N$3267,Calendar!$K$4),"")</f>
        <v/>
      </c>
      <c r="W2927" s="47">
        <f>IF(AND(B2927=Queue!$C$4,OR(Queue!$K$4="*",N2927=Queue!$K$4)),Q2927,"")</f>
        <v/>
      </c>
    </row>
    <row r="2928">
      <c r="A2928" s="38">
        <f>IF(M2928="","",HYPERLINK("https://www.youtube.com/watch?v="&amp;M2928,"▶"))</f>
        <v/>
      </c>
      <c r="B2928" s="39">
        <f>IF(C2928&lt;&gt;"",C2928,IF(P2928&lt;=IFERROR(INDEX(tblChannels[Watched Through],MATCH(N2928,tblChannels[Channel ID],0)),0),"Watched","Unwatched"))</f>
        <v/>
      </c>
      <c r="C2928" s="40" t="n"/>
      <c r="D2928" s="41" t="n"/>
      <c r="E2928" s="42" t="n">
        <v>41696.01111111111</v>
      </c>
      <c r="F2928" s="50" t="inlineStr">
        <is>
          <t>Super Carlin Brothers</t>
        </is>
      </c>
      <c r="G2928" t="inlineStr">
        <is>
          <t>The Pixar Theory - Andy's Mom</t>
        </is>
      </c>
      <c r="H2928" s="44" t="n">
        <v>0.004340277777777778</v>
      </c>
      <c r="I2928" s="45" t="n">
        <v>2778276</v>
      </c>
      <c r="J2928" s="45" t="n">
        <v>34633</v>
      </c>
      <c r="K2928" s="45" t="n">
        <v>4272</v>
      </c>
      <c r="L2928" s="46" t="n"/>
      <c r="M2928" s="47" t="n"/>
      <c r="N2928" s="47" t="inlineStr">
        <is>
          <t>UCKZo4N0lVPccBkSiuyVh4yg</t>
        </is>
      </c>
      <c r="O2928" s="48" t="n">
        <v>41696.21944444445</v>
      </c>
      <c r="P2928" s="49" t="n">
        <v>41696</v>
      </c>
      <c r="Q2928" s="47" t="n">
        <v>340</v>
      </c>
      <c r="R2928" s="47" t="inlineStr">
        <is>
          <t>No Video ID yet</t>
        </is>
      </c>
      <c r="S2928" s="49" t="n"/>
      <c r="T2928" s="49" t="n"/>
      <c r="U2928" s="47" t="inlineStr">
        <is>
          <t>What are your thoughts on this Theory - Do you think its true? Full Andy's Mom Theory: Full Pixar Theory:</t>
        </is>
      </c>
      <c r="V2928" s="47">
        <f>IF(AND(P2928&gt;=Calendar!$K$2,P2928&lt;EDATE(Calendar!$K$2,1),OR(Calendar!$K$4="*",N2928=Calendar!$K$4)),P2928*100+COUNTIFS($P$6:$P$3267,P2928,$Q$6:$Q$3267,"&lt;="&amp;Q2928,$N$6:$N$3267,Calendar!$K$4),"")</f>
        <v/>
      </c>
      <c r="W2928" s="47">
        <f>IF(AND(B2928=Queue!$C$4,OR(Queue!$K$4="*",N2928=Queue!$K$4)),Q2928,"")</f>
        <v/>
      </c>
    </row>
    <row r="2929">
      <c r="A2929" s="38">
        <f>IF(M2929="","",HYPERLINK("https://www.youtube.com/watch?v="&amp;M2929,"▶"))</f>
        <v/>
      </c>
      <c r="B2929" s="39">
        <f>IF(C2929&lt;&gt;"",C2929,IF(P2929&lt;=IFERROR(INDEX(tblChannels[Watched Through],MATCH(N2929,tblChannels[Channel ID],0)),0),"Watched","Unwatched"))</f>
        <v/>
      </c>
      <c r="C2929" s="40" t="n"/>
      <c r="D2929" s="41" t="n"/>
      <c r="E2929" s="42" t="n">
        <v>41690.85486111111</v>
      </c>
      <c r="F2929" s="50" t="inlineStr">
        <is>
          <t>Super Carlin Brothers</t>
        </is>
      </c>
      <c r="G2929" t="inlineStr">
        <is>
          <t>Nostalgia</t>
        </is>
      </c>
      <c r="H2929" s="44" t="n">
        <v>0.00224537037037037</v>
      </c>
      <c r="I2929" s="45" t="n">
        <v>9812</v>
      </c>
      <c r="J2929" s="45" t="n">
        <v>235</v>
      </c>
      <c r="K2929" s="45" t="n">
        <v>52</v>
      </c>
      <c r="L2929" s="46" t="n"/>
      <c r="M2929" s="47" t="n"/>
      <c r="N2929" s="47" t="inlineStr">
        <is>
          <t>UCKZo4N0lVPccBkSiuyVh4yg</t>
        </is>
      </c>
      <c r="O2929" s="48" t="n">
        <v>41691.06319444445</v>
      </c>
      <c r="P2929" s="49" t="n">
        <v>41690</v>
      </c>
      <c r="Q2929" s="47" t="n">
        <v>339</v>
      </c>
      <c r="R2929" s="47" t="inlineStr">
        <is>
          <t>No Video ID yet</t>
        </is>
      </c>
      <c r="S2929" s="49" t="n"/>
      <c r="T2929" s="49" t="n"/>
      <c r="U2929" s="47" t="inlineStr">
        <is>
          <t>Are you nostalgic about anything? Can you figure out specifically why?</t>
        </is>
      </c>
      <c r="V2929" s="47">
        <f>IF(AND(P2929&gt;=Calendar!$K$2,P2929&lt;EDATE(Calendar!$K$2,1),OR(Calendar!$K$4="*",N2929=Calendar!$K$4)),P2929*100+COUNTIFS($P$6:$P$3267,P2929,$Q$6:$Q$3267,"&lt;="&amp;Q2929,$N$6:$N$3267,Calendar!$K$4),"")</f>
        <v/>
      </c>
      <c r="W2929" s="47">
        <f>IF(AND(B2929=Queue!$C$4,OR(Queue!$K$4="*",N2929=Queue!$K$4)),Q2929,"")</f>
        <v/>
      </c>
    </row>
    <row r="2930">
      <c r="A2930" s="38">
        <f>IF(M2930="","",HYPERLINK("https://www.youtube.com/watch?v="&amp;M2930,"▶"))</f>
        <v/>
      </c>
      <c r="B2930" s="39">
        <f>IF(C2930&lt;&gt;"",C2930,IF(P2930&lt;=IFERROR(INDEX(tblChannels[Watched Through],MATCH(N2930,tblChannels[Channel ID],0)),0),"Watched","Unwatched"))</f>
        <v/>
      </c>
      <c r="C2930" s="40" t="n"/>
      <c r="D2930" s="41" t="n"/>
      <c r="E2930" s="42" t="n">
        <v>41688.93402777778</v>
      </c>
      <c r="F2930" s="50" t="inlineStr">
        <is>
          <t>Super Carlin Brothers</t>
        </is>
      </c>
      <c r="G2930" t="inlineStr">
        <is>
          <t>EAT THE FROG!</t>
        </is>
      </c>
      <c r="H2930" s="44" t="n">
        <v>0.002407407407407408</v>
      </c>
      <c r="I2930" s="45" t="n">
        <v>26613</v>
      </c>
      <c r="J2930" s="45" t="n">
        <v>551</v>
      </c>
      <c r="K2930" s="45" t="n">
        <v>103</v>
      </c>
      <c r="L2930" s="46" t="n"/>
      <c r="M2930" s="47" t="n"/>
      <c r="N2930" s="47" t="inlineStr">
        <is>
          <t>UCKZo4N0lVPccBkSiuyVh4yg</t>
        </is>
      </c>
      <c r="O2930" s="48" t="n">
        <v>41689.14236111111</v>
      </c>
      <c r="P2930" s="49" t="n">
        <v>41688</v>
      </c>
      <c r="Q2930" s="47" t="n">
        <v>338</v>
      </c>
      <c r="R2930" s="47" t="inlineStr">
        <is>
          <t>No Video ID yet</t>
        </is>
      </c>
      <c r="S2930" s="49" t="n"/>
      <c r="T2930" s="49" t="n"/>
      <c r="U2930" s="47" t="inlineStr">
        <is>
          <t>Basically what it comes down to is tadpole breeding... wait.. What is your worst procrastination story?! What is your worst Giraffalent story?!</t>
        </is>
      </c>
      <c r="V2930" s="47">
        <f>IF(AND(P2930&gt;=Calendar!$K$2,P2930&lt;EDATE(Calendar!$K$2,1),OR(Calendar!$K$4="*",N2930=Calendar!$K$4)),P2930*100+COUNTIFS($P$6:$P$3267,P2930,$Q$6:$Q$3267,"&lt;="&amp;Q2930,$N$6:$N$3267,Calendar!$K$4),"")</f>
        <v/>
      </c>
      <c r="W2930" s="47">
        <f>IF(AND(B2930=Queue!$C$4,OR(Queue!$K$4="*",N2930=Queue!$K$4)),Q2930,"")</f>
        <v/>
      </c>
    </row>
    <row r="2931">
      <c r="A2931" s="38">
        <f>IF(M2931="","",HYPERLINK("https://www.youtube.com/watch?v="&amp;M2931,"▶"))</f>
        <v/>
      </c>
      <c r="B2931" s="39">
        <f>IF(C2931&lt;&gt;"",C2931,IF(P2931&lt;=IFERROR(INDEX(tblChannels[Watched Through],MATCH(N2931,tblChannels[Channel ID],0)),0),"Watched","Unwatched"))</f>
        <v/>
      </c>
      <c r="C2931" s="40" t="n"/>
      <c r="D2931" s="41" t="n"/>
      <c r="E2931" s="42" t="n">
        <v>41683.70902777778</v>
      </c>
      <c r="F2931" s="50" t="inlineStr">
        <is>
          <t>Super Carlin Brothers</t>
        </is>
      </c>
      <c r="G2931" t="inlineStr">
        <is>
          <t>Acclimation</t>
        </is>
      </c>
      <c r="H2931" s="44" t="n">
        <v>0.002581018518518519</v>
      </c>
      <c r="I2931" s="45" t="n">
        <v>12727</v>
      </c>
      <c r="J2931" s="45" t="n">
        <v>310</v>
      </c>
      <c r="K2931" s="45" t="n">
        <v>48</v>
      </c>
      <c r="L2931" s="46" t="n"/>
      <c r="M2931" s="47" t="n"/>
      <c r="N2931" s="47" t="inlineStr">
        <is>
          <t>UCKZo4N0lVPccBkSiuyVh4yg</t>
        </is>
      </c>
      <c r="O2931" s="48" t="n">
        <v>41683.91736111111</v>
      </c>
      <c r="P2931" s="49" t="n">
        <v>41683</v>
      </c>
      <c r="Q2931" s="47" t="n">
        <v>337</v>
      </c>
      <c r="R2931" s="47" t="inlineStr">
        <is>
          <t>No Video ID yet</t>
        </is>
      </c>
      <c r="S2931" s="49" t="n"/>
      <c r="T2931" s="49" t="n"/>
      <c r="U2931" s="47" t="inlineStr">
        <is>
          <t>Nearing the end of my college career and before I officially made the decision to be a professional aquarium.... person... I was going through a slough of interviews for companies all over the country. I was, however, never good at interviewing. And to this day I've always had this chip on my shoulder about it. Like why can't they see through this terrible interview into the capable person that I am... So now every success I have I mentally throw in those companies face's. Like HA! See... I can succeed. And even though I absolutely love my career path. And get to do what I genuinely want to do. I am always trying to figure out what I could have said in those interviews that would have gone better. Acclimation is the best response I've come up with yet. Explaining to people and demonstrating my awareness of the acclimation process to a new job or situation. Explaining one of my greatest weaknesses dissipates daily as I get more comfortable with my surroundings. Sometimes I think that chip is a good thing.</t>
        </is>
      </c>
      <c r="V2931" s="47">
        <f>IF(AND(P2931&gt;=Calendar!$K$2,P2931&lt;EDATE(Calendar!$K$2,1),OR(Calendar!$K$4="*",N2931=Calendar!$K$4)),P2931*100+COUNTIFS($P$6:$P$3267,P2931,$Q$6:$Q$3267,"&lt;="&amp;Q2931,$N$6:$N$3267,Calendar!$K$4),"")</f>
        <v/>
      </c>
      <c r="W2931" s="47">
        <f>IF(AND(B2931=Queue!$C$4,OR(Queue!$K$4="*",N2931=Queue!$K$4)),Q2931,"")</f>
        <v/>
      </c>
    </row>
    <row r="2932">
      <c r="A2932" s="38">
        <f>IF(M2932="","",HYPERLINK("https://www.youtube.com/watch?v="&amp;M2932,"▶"))</f>
        <v/>
      </c>
      <c r="B2932" s="39">
        <f>IF(C2932&lt;&gt;"",C2932,IF(P2932&lt;=IFERROR(INDEX(tblChannels[Watched Through],MATCH(N2932,tblChannels[Channel ID],0)),0),"Watched","Unwatched"))</f>
        <v/>
      </c>
      <c r="C2932" s="40" t="n"/>
      <c r="D2932" s="41" t="n"/>
      <c r="E2932" s="42" t="n">
        <v>41681.93541666667</v>
      </c>
      <c r="F2932" s="50" t="inlineStr">
        <is>
          <t>Super Carlin Brothers</t>
        </is>
      </c>
      <c r="G2932" t="inlineStr">
        <is>
          <t>Comfort Food</t>
        </is>
      </c>
      <c r="H2932" s="44" t="n">
        <v>0.002430555555555556</v>
      </c>
      <c r="I2932" s="45" t="n">
        <v>31148</v>
      </c>
      <c r="J2932" s="45" t="n">
        <v>665</v>
      </c>
      <c r="K2932" s="45" t="n">
        <v>153</v>
      </c>
      <c r="L2932" s="46" t="n"/>
      <c r="M2932" s="47" t="n"/>
      <c r="N2932" s="47" t="inlineStr">
        <is>
          <t>UCKZo4N0lVPccBkSiuyVh4yg</t>
        </is>
      </c>
      <c r="O2932" s="48" t="n">
        <v>41682.14375</v>
      </c>
      <c r="P2932" s="49" t="n">
        <v>41681</v>
      </c>
      <c r="Q2932" s="47" t="n">
        <v>336</v>
      </c>
      <c r="R2932" s="47" t="inlineStr">
        <is>
          <t>No Video ID yet</t>
        </is>
      </c>
      <c r="S2932" s="49" t="n"/>
      <c r="T2932" s="49" t="n"/>
      <c r="U2932" s="47" t="inlineStr">
        <is>
          <t>How do you handle a bad day and what is your go to comfort food? FRENCH ONION SOUP IN A SOURDOUGH BREAD BOWL</t>
        </is>
      </c>
      <c r="V2932" s="47">
        <f>IF(AND(P2932&gt;=Calendar!$K$2,P2932&lt;EDATE(Calendar!$K$2,1),OR(Calendar!$K$4="*",N2932=Calendar!$K$4)),P2932*100+COUNTIFS($P$6:$P$3267,P2932,$Q$6:$Q$3267,"&lt;="&amp;Q2932,$N$6:$N$3267,Calendar!$K$4),"")</f>
        <v/>
      </c>
      <c r="W2932" s="47">
        <f>IF(AND(B2932=Queue!$C$4,OR(Queue!$K$4="*",N2932=Queue!$K$4)),Q2932,"")</f>
        <v/>
      </c>
    </row>
    <row r="2933">
      <c r="A2933" s="38">
        <f>IF(M2933="","",HYPERLINK("https://www.youtube.com/watch?v="&amp;M2933,"▶"))</f>
        <v/>
      </c>
      <c r="B2933" s="39">
        <f>IF(C2933&lt;&gt;"",C2933,IF(P2933&lt;=IFERROR(INDEX(tblChannels[Watched Through],MATCH(N2933,tblChannels[Channel ID],0)),0),"Watched","Unwatched"))</f>
        <v/>
      </c>
      <c r="C2933" s="40" t="n"/>
      <c r="D2933" s="41" t="n"/>
      <c r="E2933" s="42" t="n">
        <v>41676.86180555556</v>
      </c>
      <c r="F2933" s="50" t="inlineStr">
        <is>
          <t>Super Carlin Brothers</t>
        </is>
      </c>
      <c r="G2933" t="inlineStr">
        <is>
          <t>Becoming Iconic</t>
        </is>
      </c>
      <c r="H2933" s="44" t="n">
        <v>0.002476851851851852</v>
      </c>
      <c r="I2933" s="45" t="n">
        <v>8467</v>
      </c>
      <c r="J2933" s="45" t="n">
        <v>189</v>
      </c>
      <c r="K2933" s="45" t="n">
        <v>39</v>
      </c>
      <c r="L2933" s="46" t="n"/>
      <c r="M2933" s="47" t="n"/>
      <c r="N2933" s="47" t="inlineStr">
        <is>
          <t>UCKZo4N0lVPccBkSiuyVh4yg</t>
        </is>
      </c>
      <c r="O2933" s="48" t="n">
        <v>41677.07013888889</v>
      </c>
      <c r="P2933" s="49" t="n">
        <v>41676</v>
      </c>
      <c r="Q2933" s="47" t="n">
        <v>335</v>
      </c>
      <c r="R2933" s="47" t="inlineStr">
        <is>
          <t>No Video ID yet</t>
        </is>
      </c>
      <c r="S2933" s="49" t="n"/>
      <c r="T2933" s="49" t="n"/>
      <c r="U2933" s="47" t="inlineStr">
        <is>
          <t>View of Roanoke from the Iconic Star:</t>
        </is>
      </c>
      <c r="V2933" s="47">
        <f>IF(AND(P2933&gt;=Calendar!$K$2,P2933&lt;EDATE(Calendar!$K$2,1),OR(Calendar!$K$4="*",N2933=Calendar!$K$4)),P2933*100+COUNTIFS($P$6:$P$3267,P2933,$Q$6:$Q$3267,"&lt;="&amp;Q2933,$N$6:$N$3267,Calendar!$K$4),"")</f>
        <v/>
      </c>
      <c r="W2933" s="47">
        <f>IF(AND(B2933=Queue!$C$4,OR(Queue!$K$4="*",N2933=Queue!$K$4)),Q2933,"")</f>
        <v/>
      </c>
    </row>
    <row r="2934">
      <c r="A2934" s="38">
        <f>IF(M2934="","",HYPERLINK("https://www.youtube.com/watch?v="&amp;M2934,"▶"))</f>
        <v/>
      </c>
      <c r="B2934" s="39">
        <f>IF(C2934&lt;&gt;"",C2934,IF(P2934&lt;=IFERROR(INDEX(tblChannels[Watched Through],MATCH(N2934,tblChannels[Channel ID],0)),0),"Watched","Unwatched"))</f>
        <v/>
      </c>
      <c r="C2934" s="40" t="n"/>
      <c r="D2934" s="41" t="n"/>
      <c r="E2934" s="42" t="n">
        <v>41674.97152777778</v>
      </c>
      <c r="F2934" s="50" t="inlineStr">
        <is>
          <t>Super Carlin Brothers</t>
        </is>
      </c>
      <c r="G2934" t="inlineStr">
        <is>
          <t>9,497 Days Old!!</t>
        </is>
      </c>
      <c r="H2934" s="44" t="n">
        <v>0.002881944444444444</v>
      </c>
      <c r="I2934" s="45" t="n">
        <v>55384</v>
      </c>
      <c r="J2934" s="45" t="n">
        <v>1113</v>
      </c>
      <c r="K2934" s="45" t="n">
        <v>273</v>
      </c>
      <c r="L2934" s="46" t="n"/>
      <c r="M2934" s="47" t="n"/>
      <c r="N2934" s="47" t="inlineStr">
        <is>
          <t>UCKZo4N0lVPccBkSiuyVh4yg</t>
        </is>
      </c>
      <c r="O2934" s="48" t="n">
        <v>41675.17986111111</v>
      </c>
      <c r="P2934" s="49" t="n">
        <v>41674</v>
      </c>
      <c r="Q2934" s="47" t="n">
        <v>334</v>
      </c>
      <c r="R2934" s="47" t="inlineStr">
        <is>
          <t>No Video ID yet</t>
        </is>
      </c>
      <c r="S2934" s="49" t="n"/>
      <c r="T2934" s="49" t="n"/>
      <c r="U2934" s="47" t="inlineStr">
        <is>
          <t>Do you fear getting older?!!? Hopefully this didnt come across as depressing or anything I actually had a really good day!</t>
        </is>
      </c>
      <c r="V2934" s="47">
        <f>IF(AND(P2934&gt;=Calendar!$K$2,P2934&lt;EDATE(Calendar!$K$2,1),OR(Calendar!$K$4="*",N2934=Calendar!$K$4)),P2934*100+COUNTIFS($P$6:$P$3267,P2934,$Q$6:$Q$3267,"&lt;="&amp;Q2934,$N$6:$N$3267,Calendar!$K$4),"")</f>
        <v/>
      </c>
      <c r="W2934" s="47">
        <f>IF(AND(B2934=Queue!$C$4,OR(Queue!$K$4="*",N2934=Queue!$K$4)),Q2934,"")</f>
        <v/>
      </c>
    </row>
    <row r="2935">
      <c r="A2935" s="38">
        <f>IF(M2935="","",HYPERLINK("https://www.youtube.com/watch?v="&amp;M2935,"▶"))</f>
        <v/>
      </c>
      <c r="B2935" s="39">
        <f>IF(C2935&lt;&gt;"",C2935,IF(P2935&lt;=IFERROR(INDEX(tblChannels[Watched Through],MATCH(N2935,tblChannels[Channel ID],0)),0),"Watched","Unwatched"))</f>
        <v/>
      </c>
      <c r="C2935" s="40" t="n"/>
      <c r="D2935" s="41" t="n"/>
      <c r="E2935" s="42" t="n">
        <v>41669.96458333333</v>
      </c>
      <c r="F2935" s="50" t="inlineStr">
        <is>
          <t>Super Carlin Brothers</t>
        </is>
      </c>
      <c r="G2935" t="inlineStr">
        <is>
          <t>What is your Vision</t>
        </is>
      </c>
      <c r="H2935" s="44" t="n">
        <v>0.003090277777777778</v>
      </c>
      <c r="I2935" s="45" t="n">
        <v>14129</v>
      </c>
      <c r="J2935" s="45" t="n">
        <v>223</v>
      </c>
      <c r="K2935" s="45" t="n">
        <v>37</v>
      </c>
      <c r="L2935" s="46" t="n"/>
      <c r="M2935" s="47" t="n"/>
      <c r="N2935" s="47" t="inlineStr">
        <is>
          <t>UCKZo4N0lVPccBkSiuyVh4yg</t>
        </is>
      </c>
      <c r="O2935" s="48" t="n">
        <v>41670.17291666667</v>
      </c>
      <c r="P2935" s="49" t="n">
        <v>41669</v>
      </c>
      <c r="Q2935" s="47" t="n">
        <v>333</v>
      </c>
      <c r="R2935" s="47" t="inlineStr">
        <is>
          <t>No Video ID yet</t>
        </is>
      </c>
      <c r="S2935" s="49" t="n"/>
      <c r="T2935" s="49" t="n"/>
      <c r="U2935" s="47" t="inlineStr">
        <is>
          <t>When I was in college I had this habit of having a new business idea... every single day. I think it slowly drove my friends crazy because I almost never pitch an idea without being serious. Each new business idea... in the moment felt like the one. But one thing I've learned since I've actually started my business is that things can be harder to accomplish than I would have expected. (Like building enough business to move into a warehouse). I sort of just thought those things came with it. I could envision how it was going to be once I had the facility and a massive customer base and tons of employees... I had no idea how to get there. So one thing I have become a real stickler of when people present me with their ideas... Is the question: "How" And I don't mean it in a discouraging way... if anything I want to encourage them. Thats your vision... How can you make it happen? Once you realize what it's going to take, do you still want to do it? If yes, let me know. I'll invest.</t>
        </is>
      </c>
      <c r="V2935" s="47">
        <f>IF(AND(P2935&gt;=Calendar!$K$2,P2935&lt;EDATE(Calendar!$K$2,1),OR(Calendar!$K$4="*",N2935=Calendar!$K$4)),P2935*100+COUNTIFS($P$6:$P$3267,P2935,$Q$6:$Q$3267,"&lt;="&amp;Q2935,$N$6:$N$3267,Calendar!$K$4),"")</f>
        <v/>
      </c>
      <c r="W2935" s="47">
        <f>IF(AND(B2935=Queue!$C$4,OR(Queue!$K$4="*",N2935=Queue!$K$4)),Q2935,"")</f>
        <v/>
      </c>
    </row>
    <row r="2936">
      <c r="A2936" s="38">
        <f>IF(M2936="","",HYPERLINK("https://www.youtube.com/watch?v="&amp;M2936,"▶"))</f>
        <v/>
      </c>
      <c r="B2936" s="39">
        <f>IF(C2936&lt;&gt;"",C2936,IF(P2936&lt;=IFERROR(INDEX(tblChannels[Watched Through],MATCH(N2936,tblChannels[Channel ID],0)),0),"Watched","Unwatched"))</f>
        <v/>
      </c>
      <c r="C2936" s="40" t="n"/>
      <c r="D2936" s="41" t="n"/>
      <c r="E2936" s="42" t="n">
        <v>41668.02708333333</v>
      </c>
      <c r="F2936" s="50" t="inlineStr">
        <is>
          <t>Super Carlin Brothers</t>
        </is>
      </c>
      <c r="G2936" t="inlineStr">
        <is>
          <t>The Pixar Theory FAQs</t>
        </is>
      </c>
      <c r="H2936" s="44" t="n">
        <v>0.006724537037037037</v>
      </c>
      <c r="I2936" s="45" t="n">
        <v>1049255</v>
      </c>
      <c r="J2936" s="45" t="n">
        <v>13106</v>
      </c>
      <c r="K2936" s="45" t="n">
        <v>2096</v>
      </c>
      <c r="L2936" s="46" t="n"/>
      <c r="M2936" s="47" t="n"/>
      <c r="N2936" s="47" t="inlineStr">
        <is>
          <t>UCKZo4N0lVPccBkSiuyVh4yg</t>
        </is>
      </c>
      <c r="O2936" s="48" t="n">
        <v>41668.23541666667</v>
      </c>
      <c r="P2936" s="49" t="n">
        <v>41668</v>
      </c>
      <c r="Q2936" s="47" t="n">
        <v>332</v>
      </c>
      <c r="R2936" s="47" t="inlineStr">
        <is>
          <t>No Video ID yet</t>
        </is>
      </c>
      <c r="S2936" s="49" t="n"/>
      <c r="T2936" s="49" t="n"/>
      <c r="U2936" s="47" t="inlineStr">
        <is>
          <t>Any other questions? Let me know I'll try and get you answers! FULL THEORY HERE:</t>
        </is>
      </c>
      <c r="V2936" s="47">
        <f>IF(AND(P2936&gt;=Calendar!$K$2,P2936&lt;EDATE(Calendar!$K$2,1),OR(Calendar!$K$4="*",N2936=Calendar!$K$4)),P2936*100+COUNTIFS($P$6:$P$3267,P2936,$Q$6:$Q$3267,"&lt;="&amp;Q2936,$N$6:$N$3267,Calendar!$K$4),"")</f>
        <v/>
      </c>
      <c r="W2936" s="47">
        <f>IF(AND(B2936=Queue!$C$4,OR(Queue!$K$4="*",N2936=Queue!$K$4)),Q2936,"")</f>
        <v/>
      </c>
    </row>
    <row r="2937">
      <c r="A2937" s="38">
        <f>IF(M2937="","",HYPERLINK("https://www.youtube.com/watch?v="&amp;M2937,"▶"))</f>
        <v/>
      </c>
      <c r="B2937" s="39">
        <f>IF(C2937&lt;&gt;"",C2937,IF(P2937&lt;=IFERROR(INDEX(tblChannels[Watched Through],MATCH(N2937,tblChannels[Channel ID],0)),0),"Watched","Unwatched"))</f>
        <v/>
      </c>
      <c r="C2937" s="40" t="n"/>
      <c r="D2937" s="41" t="n"/>
      <c r="E2937" s="42" t="n">
        <v>41662.93888888889</v>
      </c>
      <c r="F2937" s="50" t="inlineStr">
        <is>
          <t>Super Carlin Brothers</t>
        </is>
      </c>
      <c r="G2937" t="inlineStr">
        <is>
          <t>Are We... Smart?</t>
        </is>
      </c>
      <c r="H2937" s="44" t="n">
        <v>0.003090277777777778</v>
      </c>
      <c r="I2937" s="45" t="n">
        <v>21118</v>
      </c>
      <c r="J2937" s="45" t="n">
        <v>413</v>
      </c>
      <c r="K2937" s="45" t="n">
        <v>114</v>
      </c>
      <c r="L2937" s="46" t="n"/>
      <c r="M2937" s="47" t="n"/>
      <c r="N2937" s="47" t="inlineStr">
        <is>
          <t>UCKZo4N0lVPccBkSiuyVh4yg</t>
        </is>
      </c>
      <c r="O2937" s="48" t="n">
        <v>41663.14722222222</v>
      </c>
      <c r="P2937" s="49" t="n">
        <v>41662</v>
      </c>
      <c r="Q2937" s="47" t="n">
        <v>331</v>
      </c>
      <c r="R2937" s="47" t="inlineStr">
        <is>
          <t>No Video ID yet</t>
        </is>
      </c>
      <c r="S2937" s="49" t="n"/>
      <c r="T2937" s="49" t="n"/>
      <c r="U2937" s="47" t="inlineStr">
        <is>
          <t>I wonder a lot about this information that is newly and readily available to us... Because in a lot of cases... this information is actually becoming available during our lifetimes. We've grown up with it enough to fully understand how to access and use it... But also remember a time without it (And therefor embrace it). I can't help but wonder what kind of long term effects it will have on the relationship between older and younger generations... It's naive to think technology will not continue to expand beyond our current bounds but still be second nature for the generations that grow up with it. But have we reached a point where skills may be more applicable across age groups? Will this potential "greater encompassing knowledge" have some kind of bull whip effect as our group reaches leadership positions? I can't wait to see.</t>
        </is>
      </c>
      <c r="V2937" s="47">
        <f>IF(AND(P2937&gt;=Calendar!$K$2,P2937&lt;EDATE(Calendar!$K$2,1),OR(Calendar!$K$4="*",N2937=Calendar!$K$4)),P2937*100+COUNTIFS($P$6:$P$3267,P2937,$Q$6:$Q$3267,"&lt;="&amp;Q2937,$N$6:$N$3267,Calendar!$K$4),"")</f>
        <v/>
      </c>
      <c r="W2937" s="47">
        <f>IF(AND(B2937=Queue!$C$4,OR(Queue!$K$4="*",N2937=Queue!$K$4)),Q2937,"")</f>
        <v/>
      </c>
    </row>
    <row r="2938">
      <c r="A2938" s="38">
        <f>IF(M2938="","",HYPERLINK("https://www.youtube.com/watch?v="&amp;M2938,"▶"))</f>
        <v/>
      </c>
      <c r="B2938" s="39">
        <f>IF(C2938&lt;&gt;"",C2938,IF(P2938&lt;=IFERROR(INDEX(tblChannels[Watched Through],MATCH(N2938,tblChannels[Channel ID],0)),0),"Watched","Unwatched"))</f>
        <v/>
      </c>
      <c r="C2938" s="40" t="n"/>
      <c r="D2938" s="41" t="n"/>
      <c r="E2938" s="42" t="n">
        <v>41661.00347222222</v>
      </c>
      <c r="F2938" s="50" t="inlineStr">
        <is>
          <t>Super Carlin Brothers</t>
        </is>
      </c>
      <c r="G2938" t="inlineStr">
        <is>
          <t>World's Greatest Vlogger!!</t>
        </is>
      </c>
      <c r="H2938" s="44" t="n">
        <v>0.003472222222222222</v>
      </c>
      <c r="I2938" s="45" t="n">
        <v>17607</v>
      </c>
      <c r="J2938" s="45" t="n">
        <v>388</v>
      </c>
      <c r="K2938" s="45" t="n">
        <v>109</v>
      </c>
      <c r="L2938" s="46" t="n"/>
      <c r="M2938" s="47" t="n"/>
      <c r="N2938" s="47" t="inlineStr">
        <is>
          <t>UCKZo4N0lVPccBkSiuyVh4yg</t>
        </is>
      </c>
      <c r="O2938" s="48" t="n">
        <v>41661.21180555555</v>
      </c>
      <c r="P2938" s="49" t="n">
        <v>41661</v>
      </c>
      <c r="Q2938" s="47" t="n">
        <v>330</v>
      </c>
      <c r="R2938" s="47" t="inlineStr">
        <is>
          <t>No Video ID yet</t>
        </is>
      </c>
      <c r="S2938" s="49" t="n"/>
      <c r="T2938" s="49" t="n"/>
      <c r="U2938" s="47" t="inlineStr">
        <is>
          <t>Setting some goals for myself! - Any challenges to add? What should we name the one-eyed orange man? Panikann: FootOfAFerret:</t>
        </is>
      </c>
      <c r="V2938" s="47">
        <f>IF(AND(P2938&gt;=Calendar!$K$2,P2938&lt;EDATE(Calendar!$K$2,1),OR(Calendar!$K$4="*",N2938=Calendar!$K$4)),P2938*100+COUNTIFS($P$6:$P$3267,P2938,$Q$6:$Q$3267,"&lt;="&amp;Q2938,$N$6:$N$3267,Calendar!$K$4),"")</f>
        <v/>
      </c>
      <c r="W2938" s="47">
        <f>IF(AND(B2938=Queue!$C$4,OR(Queue!$K$4="*",N2938=Queue!$K$4)),Q2938,"")</f>
        <v/>
      </c>
    </row>
    <row r="2939">
      <c r="A2939" s="38">
        <f>IF(M2939="","",HYPERLINK("https://www.youtube.com/watch?v="&amp;M2939,"▶"))</f>
        <v/>
      </c>
      <c r="B2939" s="39">
        <f>IF(C2939&lt;&gt;"",C2939,IF(P2939&lt;=IFERROR(INDEX(tblChannels[Watched Through],MATCH(N2939,tblChannels[Channel ID],0)),0),"Watched","Unwatched"))</f>
        <v/>
      </c>
      <c r="C2939" s="40" t="n"/>
      <c r="D2939" s="41" t="n"/>
      <c r="E2939" s="42" t="n">
        <v>41655.94444444445</v>
      </c>
      <c r="F2939" s="50" t="inlineStr">
        <is>
          <t>Super Carlin Brothers</t>
        </is>
      </c>
      <c r="G2939" t="inlineStr">
        <is>
          <t>Thoughts... with Ben</t>
        </is>
      </c>
      <c r="H2939" s="44" t="n">
        <v>0.003391203703703704</v>
      </c>
      <c r="I2939" s="45" t="n">
        <v>9996</v>
      </c>
      <c r="J2939" s="45" t="n">
        <v>260</v>
      </c>
      <c r="K2939" s="45" t="n">
        <v>39</v>
      </c>
      <c r="L2939" s="46" t="n"/>
      <c r="M2939" s="47" t="n"/>
      <c r="N2939" s="47" t="inlineStr">
        <is>
          <t>UCKZo4N0lVPccBkSiuyVh4yg</t>
        </is>
      </c>
      <c r="O2939" s="48" t="n">
        <v>41656.15277777778</v>
      </c>
      <c r="P2939" s="49" t="n">
        <v>41655</v>
      </c>
      <c r="Q2939" s="47" t="n">
        <v>329</v>
      </c>
      <c r="R2939" s="47" t="inlineStr">
        <is>
          <t>No Video ID yet</t>
        </is>
      </c>
      <c r="S2939" s="49" t="n"/>
      <c r="T2939" s="49" t="n"/>
      <c r="U2939" s="47" t="n"/>
      <c r="V2939" s="47">
        <f>IF(AND(P2939&gt;=Calendar!$K$2,P2939&lt;EDATE(Calendar!$K$2,1),OR(Calendar!$K$4="*",N2939=Calendar!$K$4)),P2939*100+COUNTIFS($P$6:$P$3267,P2939,$Q$6:$Q$3267,"&lt;="&amp;Q2939,$N$6:$N$3267,Calendar!$K$4),"")</f>
        <v/>
      </c>
      <c r="W2939" s="47">
        <f>IF(AND(B2939=Queue!$C$4,OR(Queue!$K$4="*",N2939=Queue!$K$4)),Q2939,"")</f>
        <v/>
      </c>
    </row>
    <row r="2940">
      <c r="A2940" s="38">
        <f>IF(M2940="","",HYPERLINK("https://www.youtube.com/watch?v="&amp;M2940,"▶"))</f>
        <v/>
      </c>
      <c r="B2940" s="39">
        <f>IF(C2940&lt;&gt;"",C2940,IF(P2940&lt;=IFERROR(INDEX(tblChannels[Watched Through],MATCH(N2940,tblChannels[Channel ID],0)),0),"Watched","Unwatched"))</f>
        <v/>
      </c>
      <c r="C2940" s="40" t="n"/>
      <c r="D2940" s="41" t="n"/>
      <c r="E2940" s="42" t="n">
        <v>41655.70138888889</v>
      </c>
      <c r="F2940" s="52" t="inlineStr">
        <is>
          <t>Super Carlin Gaming</t>
        </is>
      </c>
      <c r="G2940" t="inlineStr">
        <is>
          <t>Pokemon FireRed Nuzlocke Challenge #11 - BURN!</t>
        </is>
      </c>
      <c r="H2940" s="44" t="n">
        <v>0.0121412037037037</v>
      </c>
      <c r="I2940" s="45" t="n">
        <v>30317</v>
      </c>
      <c r="J2940" s="45" t="n">
        <v>491</v>
      </c>
      <c r="K2940" s="45" t="n">
        <v>60</v>
      </c>
      <c r="L2940" s="46" t="n"/>
      <c r="M2940" s="47" t="n"/>
      <c r="N2940" s="47" t="inlineStr">
        <is>
          <t>UCor_9jRnNNZVzTuQ92PKsaQ</t>
        </is>
      </c>
      <c r="O2940" s="48" t="n">
        <v>41655.90972222222</v>
      </c>
      <c r="P2940" s="49" t="n">
        <v>41655</v>
      </c>
      <c r="Q2940" s="47" t="n">
        <v>328</v>
      </c>
      <c r="R2940" s="47" t="inlineStr">
        <is>
          <t>No Video ID yet</t>
        </is>
      </c>
      <c r="S2940" s="49" t="n"/>
      <c r="T2940" s="49" t="n"/>
      <c r="U2940" s="47" t="inlineStr">
        <is>
          <t>BURN IT TO THE GROUND!!!</t>
        </is>
      </c>
      <c r="V2940" s="47">
        <f>IF(AND(P2940&gt;=Calendar!$K$2,P2940&lt;EDATE(Calendar!$K$2,1),OR(Calendar!$K$4="*",N2940=Calendar!$K$4)),P2940*100+COUNTIFS($P$6:$P$3267,P2940,$Q$6:$Q$3267,"&lt;="&amp;Q2940,$N$6:$N$3267,Calendar!$K$4),"")</f>
        <v/>
      </c>
      <c r="W2940" s="47">
        <f>IF(AND(B2940=Queue!$C$4,OR(Queue!$K$4="*",N2940=Queue!$K$4)),Q2940,"")</f>
        <v/>
      </c>
    </row>
    <row r="2941">
      <c r="A2941" s="38">
        <f>IF(M2941="","",HYPERLINK("https://www.youtube.com/watch?v="&amp;M2941,"▶"))</f>
        <v/>
      </c>
      <c r="B2941" s="39">
        <f>IF(C2941&lt;&gt;"",C2941,IF(P2941&lt;=IFERROR(INDEX(tblChannels[Watched Through],MATCH(N2941,tblChannels[Channel ID],0)),0),"Watched","Unwatched"))</f>
        <v/>
      </c>
      <c r="C2941" s="40" t="n"/>
      <c r="D2941" s="41" t="n"/>
      <c r="E2941" s="42" t="n">
        <v>41653.95</v>
      </c>
      <c r="F2941" s="50" t="inlineStr">
        <is>
          <t>Super Carlin Brothers</t>
        </is>
      </c>
      <c r="G2941" t="inlineStr">
        <is>
          <t>SINGING IN THE CAR! Beth's Top 25</t>
        </is>
      </c>
      <c r="H2941" s="44" t="n">
        <v>0.005358796296296296</v>
      </c>
      <c r="I2941" s="45" t="n">
        <v>53275</v>
      </c>
      <c r="J2941" s="45" t="n">
        <v>1347</v>
      </c>
      <c r="K2941" s="45" t="n">
        <v>249</v>
      </c>
      <c r="L2941" s="46" t="n"/>
      <c r="M2941" s="47" t="n"/>
      <c r="N2941" s="47" t="inlineStr">
        <is>
          <t>UCKZo4N0lVPccBkSiuyVh4yg</t>
        </is>
      </c>
      <c r="O2941" s="48" t="n">
        <v>41654.15833333333</v>
      </c>
      <c r="P2941" s="49" t="n">
        <v>41653</v>
      </c>
      <c r="Q2941" s="47" t="n">
        <v>327</v>
      </c>
      <c r="R2941" s="47" t="inlineStr">
        <is>
          <t>No Video ID yet</t>
        </is>
      </c>
      <c r="S2941" s="49" t="n"/>
      <c r="T2941" s="49" t="n"/>
      <c r="U2941" s="47" t="inlineStr">
        <is>
          <t>The sequel your ears have been bleeding for is finally here! Top song in your iTunes library? (I will totally be singing at the Worst Day of the Year Party next year!) SINGING IN THE CAR: J's Top 25:</t>
        </is>
      </c>
      <c r="V2941" s="47">
        <f>IF(AND(P2941&gt;=Calendar!$K$2,P2941&lt;EDATE(Calendar!$K$2,1),OR(Calendar!$K$4="*",N2941=Calendar!$K$4)),P2941*100+COUNTIFS($P$6:$P$3267,P2941,$Q$6:$Q$3267,"&lt;="&amp;Q2941,$N$6:$N$3267,Calendar!$K$4),"")</f>
        <v/>
      </c>
      <c r="W2941" s="47">
        <f>IF(AND(B2941=Queue!$C$4,OR(Queue!$K$4="*",N2941=Queue!$K$4)),Q2941,"")</f>
        <v/>
      </c>
    </row>
    <row r="2942">
      <c r="A2942" s="38">
        <f>IF(M2942="","",HYPERLINK("https://www.youtube.com/watch?v="&amp;M2942,"▶"))</f>
        <v/>
      </c>
      <c r="B2942" s="39">
        <f>IF(C2942&lt;&gt;"",C2942,IF(P2942&lt;=IFERROR(INDEX(tblChannels[Watched Through],MATCH(N2942,tblChannels[Channel ID],0)),0),"Watched","Unwatched"))</f>
        <v/>
      </c>
      <c r="C2942" s="40" t="n"/>
      <c r="D2942" s="41" t="n"/>
      <c r="E2942" s="42" t="n">
        <v>41648.94166666667</v>
      </c>
      <c r="F2942" s="50" t="inlineStr">
        <is>
          <t>Super Carlin Brothers</t>
        </is>
      </c>
      <c r="G2942" t="inlineStr">
        <is>
          <t>Motivational Advice... With Ben</t>
        </is>
      </c>
      <c r="H2942" s="44" t="n">
        <v>0.002905092592592593</v>
      </c>
      <c r="I2942" s="45" t="n">
        <v>8639</v>
      </c>
      <c r="J2942" s="45" t="n">
        <v>195</v>
      </c>
      <c r="K2942" s="45" t="n">
        <v>38</v>
      </c>
      <c r="L2942" s="46" t="n"/>
      <c r="M2942" s="47" t="n"/>
      <c r="N2942" s="47" t="inlineStr">
        <is>
          <t>UCKZo4N0lVPccBkSiuyVh4yg</t>
        </is>
      </c>
      <c r="O2942" s="48" t="n">
        <v>41649.15</v>
      </c>
      <c r="P2942" s="49" t="n">
        <v>41648</v>
      </c>
      <c r="Q2942" s="47" t="n">
        <v>326</v>
      </c>
      <c r="R2942" s="47" t="inlineStr">
        <is>
          <t>No Video ID yet</t>
        </is>
      </c>
      <c r="S2942" s="49" t="n"/>
      <c r="T2942" s="49" t="n"/>
      <c r="U2942" s="47" t="inlineStr">
        <is>
          <t>Please let there be a day (and please tell me when it happens) when you say "Like my friend Ben always says: Always have both a rooftop koi pond AND a snow machine" It could be surprisingly relatable. Also I say block of ice three times. That's what I get for not writing a script.</t>
        </is>
      </c>
      <c r="V2942" s="47">
        <f>IF(AND(P2942&gt;=Calendar!$K$2,P2942&lt;EDATE(Calendar!$K$2,1),OR(Calendar!$K$4="*",N2942=Calendar!$K$4)),P2942*100+COUNTIFS($P$6:$P$3267,P2942,$Q$6:$Q$3267,"&lt;="&amp;Q2942,$N$6:$N$3267,Calendar!$K$4),"")</f>
        <v/>
      </c>
      <c r="W2942" s="47">
        <f>IF(AND(B2942=Queue!$C$4,OR(Queue!$K$4="*",N2942=Queue!$K$4)),Q2942,"")</f>
        <v/>
      </c>
    </row>
    <row r="2943">
      <c r="A2943" s="38">
        <f>IF(M2943="","",HYPERLINK("https://www.youtube.com/watch?v="&amp;M2943,"▶"))</f>
        <v/>
      </c>
      <c r="B2943" s="39">
        <f>IF(C2943&lt;&gt;"",C2943,IF(P2943&lt;=IFERROR(INDEX(tblChannels[Watched Through],MATCH(N2943,tblChannels[Channel ID],0)),0),"Watched","Unwatched"))</f>
        <v/>
      </c>
      <c r="C2943" s="40" t="n"/>
      <c r="D2943" s="41" t="n"/>
      <c r="E2943" s="42" t="n">
        <v>41646.91180555556</v>
      </c>
      <c r="F2943" s="50" t="inlineStr">
        <is>
          <t>Super Carlin Brothers</t>
        </is>
      </c>
      <c r="G2943" t="inlineStr">
        <is>
          <t>Worst Day of 2014!</t>
        </is>
      </c>
      <c r="H2943" s="44" t="n">
        <v>0.003171296296296296</v>
      </c>
      <c r="I2943" s="45" t="n">
        <v>39389</v>
      </c>
      <c r="J2943" s="45" t="n">
        <v>758</v>
      </c>
      <c r="K2943" s="45" t="n">
        <v>215</v>
      </c>
      <c r="L2943" s="46" t="n"/>
      <c r="M2943" s="47" t="n"/>
      <c r="N2943" s="47" t="inlineStr">
        <is>
          <t>UCKZo4N0lVPccBkSiuyVh4yg</t>
        </is>
      </c>
      <c r="O2943" s="48" t="n">
        <v>41647.12013888889</v>
      </c>
      <c r="P2943" s="49" t="n">
        <v>41646</v>
      </c>
      <c r="Q2943" s="47" t="n">
        <v>325</v>
      </c>
      <c r="R2943" s="47" t="inlineStr">
        <is>
          <t>No Video ID yet</t>
        </is>
      </c>
      <c r="S2943" s="49" t="n"/>
      <c r="T2943" s="49" t="n"/>
      <c r="U2943" s="47" t="inlineStr">
        <is>
          <t>Seriously if you guys don't RSVP..... Why Jan. 6 was the worst day all year ::</t>
        </is>
      </c>
      <c r="V2943" s="47">
        <f>IF(AND(P2943&gt;=Calendar!$K$2,P2943&lt;EDATE(Calendar!$K$2,1),OR(Calendar!$K$4="*",N2943=Calendar!$K$4)),P2943*100+COUNTIFS($P$6:$P$3267,P2943,$Q$6:$Q$3267,"&lt;="&amp;Q2943,$N$6:$N$3267,Calendar!$K$4),"")</f>
        <v/>
      </c>
      <c r="W2943" s="47">
        <f>IF(AND(B2943=Queue!$C$4,OR(Queue!$K$4="*",N2943=Queue!$K$4)),Q2943,"")</f>
        <v/>
      </c>
    </row>
    <row r="2944">
      <c r="A2944" s="38">
        <f>IF(M2944="","",HYPERLINK("https://www.youtube.com/watch?v="&amp;M2944,"▶"))</f>
        <v/>
      </c>
      <c r="B2944" s="39">
        <f>IF(C2944&lt;&gt;"",C2944,IF(P2944&lt;=IFERROR(INDEX(tblChannels[Watched Through],MATCH(N2944,tblChannels[Channel ID],0)),0),"Watched","Unwatched"))</f>
        <v/>
      </c>
      <c r="C2944" s="40" t="n"/>
      <c r="D2944" s="41" t="n"/>
      <c r="E2944" s="42" t="n">
        <v>41641.98194444444</v>
      </c>
      <c r="F2944" s="50" t="inlineStr">
        <is>
          <t>Super Carlin Brothers</t>
        </is>
      </c>
      <c r="G2944" t="inlineStr">
        <is>
          <t>Million Dollar Idea</t>
        </is>
      </c>
      <c r="H2944" s="44" t="n">
        <v>0.002488425925925926</v>
      </c>
      <c r="I2944" s="45" t="n">
        <v>9300</v>
      </c>
      <c r="J2944" s="45" t="n">
        <v>258</v>
      </c>
      <c r="K2944" s="45" t="n">
        <v>73</v>
      </c>
      <c r="L2944" s="46" t="n"/>
      <c r="M2944" s="47" t="n"/>
      <c r="N2944" s="47" t="inlineStr">
        <is>
          <t>UCKZo4N0lVPccBkSiuyVh4yg</t>
        </is>
      </c>
      <c r="O2944" s="48" t="n">
        <v>41642.19027777778</v>
      </c>
      <c r="P2944" s="49" t="n">
        <v>41641</v>
      </c>
      <c r="Q2944" s="47" t="n">
        <v>324</v>
      </c>
      <c r="R2944" s="47" t="inlineStr">
        <is>
          <t>No Video ID yet</t>
        </is>
      </c>
      <c r="S2944" s="49" t="n"/>
      <c r="T2944" s="49" t="n"/>
      <c r="U2944" s="47" t="n"/>
      <c r="V2944" s="47">
        <f>IF(AND(P2944&gt;=Calendar!$K$2,P2944&lt;EDATE(Calendar!$K$2,1),OR(Calendar!$K$4="*",N2944=Calendar!$K$4)),P2944*100+COUNTIFS($P$6:$P$3267,P2944,$Q$6:$Q$3267,"&lt;="&amp;Q2944,$N$6:$N$3267,Calendar!$K$4),"")</f>
        <v/>
      </c>
      <c r="W2944" s="47">
        <f>IF(AND(B2944=Queue!$C$4,OR(Queue!$K$4="*",N2944=Queue!$K$4)),Q2944,"")</f>
        <v/>
      </c>
    </row>
    <row r="2945">
      <c r="A2945" s="38">
        <f>IF(M2945="","",HYPERLINK("https://www.youtube.com/watch?v="&amp;M2945,"▶"))</f>
        <v/>
      </c>
      <c r="B2945" s="39">
        <f>IF(C2945&lt;&gt;"",C2945,IF(P2945&lt;=IFERROR(INDEX(tblChannels[Watched Through],MATCH(N2945,tblChannels[Channel ID],0)),0),"Watched","Unwatched"))</f>
        <v/>
      </c>
      <c r="C2945" s="40" t="n"/>
      <c r="D2945" s="41" t="n"/>
      <c r="E2945" s="42" t="n">
        <v>41639.63055555556</v>
      </c>
      <c r="F2945" s="50" t="inlineStr">
        <is>
          <t>Super Carlin Brothers</t>
        </is>
      </c>
      <c r="G2945" t="inlineStr">
        <is>
          <t>Is Angry Birds for Kids?</t>
        </is>
      </c>
      <c r="H2945" s="44" t="n">
        <v>0.003460648148148148</v>
      </c>
      <c r="I2945" s="45" t="n">
        <v>171577</v>
      </c>
      <c r="J2945" s="45" t="n">
        <v>2513</v>
      </c>
      <c r="K2945" s="45" t="n">
        <v>432</v>
      </c>
      <c r="L2945" s="46" t="n"/>
      <c r="M2945" s="47" t="n"/>
      <c r="N2945" s="47" t="inlineStr">
        <is>
          <t>UCKZo4N0lVPccBkSiuyVh4yg</t>
        </is>
      </c>
      <c r="O2945" s="48" t="n">
        <v>41639.83888888889</v>
      </c>
      <c r="P2945" s="49" t="n">
        <v>41639</v>
      </c>
      <c r="Q2945" s="47" t="n">
        <v>323</v>
      </c>
      <c r="R2945" s="47" t="inlineStr">
        <is>
          <t>No Video ID yet</t>
        </is>
      </c>
      <c r="S2945" s="49" t="n"/>
      <c r="T2945" s="49" t="n"/>
      <c r="U2945" s="47" t="inlineStr">
        <is>
          <t>Basically what I'm trying to say is.. please send me fruit snacks!</t>
        </is>
      </c>
      <c r="V2945" s="47">
        <f>IF(AND(P2945&gt;=Calendar!$K$2,P2945&lt;EDATE(Calendar!$K$2,1),OR(Calendar!$K$4="*",N2945=Calendar!$K$4)),P2945*100+COUNTIFS($P$6:$P$3267,P2945,$Q$6:$Q$3267,"&lt;="&amp;Q2945,$N$6:$N$3267,Calendar!$K$4),"")</f>
        <v/>
      </c>
      <c r="W2945" s="47">
        <f>IF(AND(B2945=Queue!$C$4,OR(Queue!$K$4="*",N2945=Queue!$K$4)),Q2945,"")</f>
        <v/>
      </c>
    </row>
    <row r="2946">
      <c r="A2946" s="38">
        <f>IF(M2946="","",HYPERLINK("https://www.youtube.com/watch?v="&amp;M2946,"▶"))</f>
        <v/>
      </c>
      <c r="B2946" s="39">
        <f>IF(C2946&lt;&gt;"",C2946,IF(P2946&lt;=IFERROR(INDEX(tblChannels[Watched Through],MATCH(N2946,tblChannels[Channel ID],0)),0),"Watched","Unwatched"))</f>
        <v/>
      </c>
      <c r="C2946" s="40" t="n"/>
      <c r="D2946" s="41" t="n"/>
      <c r="E2946" s="42" t="n">
        <v>41627.91736111111</v>
      </c>
      <c r="F2946" s="50" t="inlineStr">
        <is>
          <t>Super Carlin Brothers</t>
        </is>
      </c>
      <c r="G2946" t="inlineStr">
        <is>
          <t>Anti-Tourist</t>
        </is>
      </c>
      <c r="H2946" s="44" t="n">
        <v>0.002638888888888889</v>
      </c>
      <c r="I2946" s="45" t="n">
        <v>9404</v>
      </c>
      <c r="J2946" s="45" t="n">
        <v>229</v>
      </c>
      <c r="K2946" s="45" t="n">
        <v>55</v>
      </c>
      <c r="L2946" s="46" t="n"/>
      <c r="M2946" s="47" t="n"/>
      <c r="N2946" s="47" t="inlineStr">
        <is>
          <t>UCKZo4N0lVPccBkSiuyVh4yg</t>
        </is>
      </c>
      <c r="O2946" s="48" t="n">
        <v>41628.12569444445</v>
      </c>
      <c r="P2946" s="49" t="n">
        <v>41627</v>
      </c>
      <c r="Q2946" s="47" t="n">
        <v>322</v>
      </c>
      <c r="R2946" s="47" t="inlineStr">
        <is>
          <t>No Video ID yet</t>
        </is>
      </c>
      <c r="S2946" s="49" t="n"/>
      <c r="T2946" s="49" t="n"/>
      <c r="U2946" s="47" t="inlineStr">
        <is>
          <t>i.e.: Rank enjoyment of an activity on a scale of 1-10. Rank awesomeness of location on a scale of 1-10. Multiply. Standing: Activity Points: 1 Uluru: Location Points: 10 1 x 10 = 10. Snowboarding: Activity Points: 10 Colorado: Location Points: 10 10 x 10 = 100. That's roughly what I'm saying yall.</t>
        </is>
      </c>
      <c r="V2946" s="47">
        <f>IF(AND(P2946&gt;=Calendar!$K$2,P2946&lt;EDATE(Calendar!$K$2,1),OR(Calendar!$K$4="*",N2946=Calendar!$K$4)),P2946*100+COUNTIFS($P$6:$P$3267,P2946,$Q$6:$Q$3267,"&lt;="&amp;Q2946,$N$6:$N$3267,Calendar!$K$4),"")</f>
        <v/>
      </c>
      <c r="W2946" s="47">
        <f>IF(AND(B2946=Queue!$C$4,OR(Queue!$K$4="*",N2946=Queue!$K$4)),Q2946,"")</f>
        <v/>
      </c>
    </row>
    <row r="2947">
      <c r="A2947" s="38">
        <f>IF(M2947="","",HYPERLINK("https://www.youtube.com/watch?v="&amp;M2947,"▶"))</f>
        <v/>
      </c>
      <c r="B2947" s="39">
        <f>IF(C2947&lt;&gt;"",C2947,IF(P2947&lt;=IFERROR(INDEX(tblChannels[Watched Through],MATCH(N2947,tblChannels[Channel ID],0)),0),"Watched","Unwatched"))</f>
        <v/>
      </c>
      <c r="C2947" s="40" t="n"/>
      <c r="D2947" s="41" t="n"/>
      <c r="E2947" s="42" t="n">
        <v>41625.91805555556</v>
      </c>
      <c r="F2947" s="50" t="inlineStr">
        <is>
          <t>Super Carlin Brothers</t>
        </is>
      </c>
      <c r="G2947" t="inlineStr">
        <is>
          <t>Project For Awesome 2013: Big Brothers Big Sisters</t>
        </is>
      </c>
      <c r="H2947" s="44" t="n">
        <v>0.002604166666666667</v>
      </c>
      <c r="I2947" s="45" t="n">
        <v>8434</v>
      </c>
      <c r="J2947" s="45" t="n">
        <v>329</v>
      </c>
      <c r="K2947" s="45" t="n">
        <v>210</v>
      </c>
      <c r="L2947" s="46" t="n"/>
      <c r="M2947" s="47" t="n"/>
      <c r="N2947" s="47" t="inlineStr">
        <is>
          <t>UCKZo4N0lVPccBkSiuyVh4yg</t>
        </is>
      </c>
      <c r="O2947" s="48" t="n">
        <v>41626.12638888889</v>
      </c>
      <c r="P2947" s="49" t="n">
        <v>41625</v>
      </c>
      <c r="Q2947" s="47" t="n">
        <v>321</v>
      </c>
      <c r="R2947" s="47" t="inlineStr">
        <is>
          <t>No Video ID yet</t>
        </is>
      </c>
      <c r="S2947" s="49" t="n"/>
      <c r="T2947" s="49" t="n"/>
      <c r="U2947" s="47" t="inlineStr">
        <is>
          <t>Big Brothers Big Sisters of Southwest Virginia: Big Brothers Big Sisters National: Vote for this video here :: DFTBA</t>
        </is>
      </c>
      <c r="V2947" s="47">
        <f>IF(AND(P2947&gt;=Calendar!$K$2,P2947&lt;EDATE(Calendar!$K$2,1),OR(Calendar!$K$4="*",N2947=Calendar!$K$4)),P2947*100+COUNTIFS($P$6:$P$3267,P2947,$Q$6:$Q$3267,"&lt;="&amp;Q2947,$N$6:$N$3267,Calendar!$K$4),"")</f>
        <v/>
      </c>
      <c r="W2947" s="47">
        <f>IF(AND(B2947=Queue!$C$4,OR(Queue!$K$4="*",N2947=Queue!$K$4)),Q2947,"")</f>
        <v/>
      </c>
    </row>
    <row r="2948">
      <c r="A2948" s="38">
        <f>IF(M2948="","",HYPERLINK("https://www.youtube.com/watch?v="&amp;M2948,"▶"))</f>
        <v/>
      </c>
      <c r="B2948" s="39">
        <f>IF(C2948&lt;&gt;"",C2948,IF(P2948&lt;=IFERROR(INDEX(tblChannels[Watched Through],MATCH(N2948,tblChannels[Channel ID],0)),0),"Watched","Unwatched"))</f>
        <v/>
      </c>
      <c r="C2948" s="40" t="n"/>
      <c r="D2948" s="41" t="n"/>
      <c r="E2948" s="42" t="n">
        <v>41625.87361111111</v>
      </c>
      <c r="F2948" s="52" t="inlineStr">
        <is>
          <t>Super Carlin Gaming</t>
        </is>
      </c>
      <c r="G2948" t="inlineStr">
        <is>
          <t>Pokemon FireRed Nuzlocke Challenge #10 - SELFDESTRUCT</t>
        </is>
      </c>
      <c r="H2948" s="44" t="n">
        <v>0.01685185185185185</v>
      </c>
      <c r="I2948" s="45" t="n">
        <v>34307</v>
      </c>
      <c r="J2948" s="45" t="n">
        <v>531</v>
      </c>
      <c r="K2948" s="45" t="n">
        <v>257</v>
      </c>
      <c r="L2948" s="46" t="n"/>
      <c r="M2948" s="47" t="n"/>
      <c r="N2948" s="47" t="inlineStr">
        <is>
          <t>UCor_9jRnNNZVzTuQ92PKsaQ</t>
        </is>
      </c>
      <c r="O2948" s="48" t="n">
        <v>41626.08194444444</v>
      </c>
      <c r="P2948" s="49" t="n">
        <v>41625</v>
      </c>
      <c r="Q2948" s="47" t="n">
        <v>320</v>
      </c>
      <c r="R2948" s="47" t="inlineStr">
        <is>
          <t>No Video ID yet</t>
        </is>
      </c>
      <c r="S2948" s="49" t="n"/>
      <c r="T2948" s="49" t="n"/>
      <c r="U2948" s="47" t="inlineStr">
        <is>
          <t>I SHOULD HAVE USED SLEEP POWER!...</t>
        </is>
      </c>
      <c r="V2948" s="47">
        <f>IF(AND(P2948&gt;=Calendar!$K$2,P2948&lt;EDATE(Calendar!$K$2,1),OR(Calendar!$K$4="*",N2948=Calendar!$K$4)),P2948*100+COUNTIFS($P$6:$P$3267,P2948,$Q$6:$Q$3267,"&lt;="&amp;Q2948,$N$6:$N$3267,Calendar!$K$4),"")</f>
        <v/>
      </c>
      <c r="W2948" s="47">
        <f>IF(AND(B2948=Queue!$C$4,OR(Queue!$K$4="*",N2948=Queue!$K$4)),Q2948,"")</f>
        <v/>
      </c>
    </row>
    <row r="2949">
      <c r="A2949" s="38">
        <f>IF(M2949="","",HYPERLINK("https://www.youtube.com/watch?v="&amp;M2949,"▶"))</f>
        <v/>
      </c>
      <c r="B2949" s="39">
        <f>IF(C2949&lt;&gt;"",C2949,IF(P2949&lt;=IFERROR(INDEX(tblChannels[Watched Through],MATCH(N2949,tblChannels[Channel ID],0)),0),"Watched","Unwatched"))</f>
        <v/>
      </c>
      <c r="C2949" s="40" t="n"/>
      <c r="D2949" s="41" t="n"/>
      <c r="E2949" s="42" t="n">
        <v>41620.93055555555</v>
      </c>
      <c r="F2949" s="50" t="inlineStr">
        <is>
          <t>Super Carlin Brothers</t>
        </is>
      </c>
      <c r="G2949" t="inlineStr">
        <is>
          <t>Gift Giving Clichés</t>
        </is>
      </c>
      <c r="H2949" s="44" t="n">
        <v>0.002453703703703704</v>
      </c>
      <c r="I2949" s="45" t="n">
        <v>12069</v>
      </c>
      <c r="J2949" s="45" t="n">
        <v>270</v>
      </c>
      <c r="K2949" s="45" t="n">
        <v>40</v>
      </c>
      <c r="L2949" s="46" t="n"/>
      <c r="M2949" s="47" t="n"/>
      <c r="N2949" s="47" t="inlineStr">
        <is>
          <t>UCKZo4N0lVPccBkSiuyVh4yg</t>
        </is>
      </c>
      <c r="O2949" s="48" t="n">
        <v>41621.13888888889</v>
      </c>
      <c r="P2949" s="49" t="n">
        <v>41620</v>
      </c>
      <c r="Q2949" s="47" t="n">
        <v>319</v>
      </c>
      <c r="R2949" s="47" t="inlineStr">
        <is>
          <t>No Video ID yet</t>
        </is>
      </c>
      <c r="S2949" s="49" t="n"/>
      <c r="T2949" s="49" t="n"/>
      <c r="U2949" s="47" t="inlineStr">
        <is>
          <t>What kind of gift giver or gift receiver are you?</t>
        </is>
      </c>
      <c r="V2949" s="47">
        <f>IF(AND(P2949&gt;=Calendar!$K$2,P2949&lt;EDATE(Calendar!$K$2,1),OR(Calendar!$K$4="*",N2949=Calendar!$K$4)),P2949*100+COUNTIFS($P$6:$P$3267,P2949,$Q$6:$Q$3267,"&lt;="&amp;Q2949,$N$6:$N$3267,Calendar!$K$4),"")</f>
        <v/>
      </c>
      <c r="W2949" s="47">
        <f>IF(AND(B2949=Queue!$C$4,OR(Queue!$K$4="*",N2949=Queue!$K$4)),Q2949,"")</f>
        <v/>
      </c>
    </row>
    <row r="2950">
      <c r="A2950" s="38">
        <f>IF(M2950="","",HYPERLINK("https://www.youtube.com/watch?v="&amp;M2950,"▶"))</f>
        <v/>
      </c>
      <c r="B2950" s="39">
        <f>IF(C2950&lt;&gt;"",C2950,IF(P2950&lt;=IFERROR(INDEX(tblChannels[Watched Through],MATCH(N2950,tblChannels[Channel ID],0)),0),"Watched","Unwatched"))</f>
        <v/>
      </c>
      <c r="C2950" s="40" t="n"/>
      <c r="D2950" s="41" t="n"/>
      <c r="E2950" s="42" t="n">
        <v>41618.94513888889</v>
      </c>
      <c r="F2950" s="50" t="inlineStr">
        <is>
          <t>Super Carlin Brothers</t>
        </is>
      </c>
      <c r="G2950" t="inlineStr">
        <is>
          <t>12 Things You Will Do This Winter</t>
        </is>
      </c>
      <c r="H2950" s="44" t="n">
        <v>0.002280092592592593</v>
      </c>
      <c r="I2950" s="45" t="n">
        <v>45500</v>
      </c>
      <c r="J2950" s="45" t="n">
        <v>814</v>
      </c>
      <c r="K2950" s="45" t="n">
        <v>177</v>
      </c>
      <c r="L2950" s="46" t="n"/>
      <c r="M2950" s="47" t="n"/>
      <c r="N2950" s="47" t="inlineStr">
        <is>
          <t>UCKZo4N0lVPccBkSiuyVh4yg</t>
        </is>
      </c>
      <c r="O2950" s="48" t="n">
        <v>41619.15347222222</v>
      </c>
      <c r="P2950" s="49" t="n">
        <v>41618</v>
      </c>
      <c r="Q2950" s="47" t="n">
        <v>318</v>
      </c>
      <c r="R2950" s="47" t="inlineStr">
        <is>
          <t>No Video ID yet</t>
        </is>
      </c>
      <c r="S2950" s="49" t="n"/>
      <c r="T2950" s="49" t="n"/>
      <c r="U2950" s="47" t="inlineStr">
        <is>
          <t>Admit it, you can't beat her at Scrabble.. What are some other Winter stereotypes?</t>
        </is>
      </c>
      <c r="V2950" s="47">
        <f>IF(AND(P2950&gt;=Calendar!$K$2,P2950&lt;EDATE(Calendar!$K$2,1),OR(Calendar!$K$4="*",N2950=Calendar!$K$4)),P2950*100+COUNTIFS($P$6:$P$3267,P2950,$Q$6:$Q$3267,"&lt;="&amp;Q2950,$N$6:$N$3267,Calendar!$K$4),"")</f>
        <v/>
      </c>
      <c r="W2950" s="47">
        <f>IF(AND(B2950=Queue!$C$4,OR(Queue!$K$4="*",N2950=Queue!$K$4)),Q2950,"")</f>
        <v/>
      </c>
    </row>
    <row r="2951">
      <c r="A2951" s="38">
        <f>IF(M2951="","",HYPERLINK("https://www.youtube.com/watch?v="&amp;M2951,"▶"))</f>
        <v/>
      </c>
      <c r="B2951" s="39">
        <f>IF(C2951&lt;&gt;"",C2951,IF(P2951&lt;=IFERROR(INDEX(tblChannels[Watched Through],MATCH(N2951,tblChannels[Channel ID],0)),0),"Watched","Unwatched"))</f>
        <v/>
      </c>
      <c r="C2951" s="40" t="n"/>
      <c r="D2951" s="41" t="n"/>
      <c r="E2951" s="42" t="n">
        <v>41613.97777777778</v>
      </c>
      <c r="F2951" s="50" t="inlineStr">
        <is>
          <t>Super Carlin Brothers</t>
        </is>
      </c>
      <c r="G2951" t="inlineStr">
        <is>
          <t>Amazon Drones</t>
        </is>
      </c>
      <c r="H2951" s="44" t="n">
        <v>0.001597222222222222</v>
      </c>
      <c r="I2951" s="45" t="n">
        <v>8282</v>
      </c>
      <c r="J2951" s="45" t="n">
        <v>169</v>
      </c>
      <c r="K2951" s="45" t="n">
        <v>28</v>
      </c>
      <c r="L2951" s="46" t="n"/>
      <c r="M2951" s="47" t="n"/>
      <c r="N2951" s="47" t="inlineStr">
        <is>
          <t>UCKZo4N0lVPccBkSiuyVh4yg</t>
        </is>
      </c>
      <c r="O2951" s="48" t="n">
        <v>41614.18611111111</v>
      </c>
      <c r="P2951" s="49" t="n">
        <v>41613</v>
      </c>
      <c r="Q2951" s="47" t="n">
        <v>317</v>
      </c>
      <c r="R2951" s="47" t="inlineStr">
        <is>
          <t>No Video ID yet</t>
        </is>
      </c>
      <c r="S2951" s="49" t="n"/>
      <c r="T2951" s="49" t="n"/>
      <c r="U2951" s="47" t="inlineStr">
        <is>
          <t>Sorry for the seemingly pointless video. The idea was to give an example of how I would tell a story to get you to be on my side by the end of it. Similar to the concept of J's video "YOU KNOW WHAT I MEAN." I really do think this concept stand to be pretty groundbreaking. Wouldn't it be crazy to get an amazon order delivered faster than a pizza?</t>
        </is>
      </c>
      <c r="V2951" s="47">
        <f>IF(AND(P2951&gt;=Calendar!$K$2,P2951&lt;EDATE(Calendar!$K$2,1),OR(Calendar!$K$4="*",N2951=Calendar!$K$4)),P2951*100+COUNTIFS($P$6:$P$3267,P2951,$Q$6:$Q$3267,"&lt;="&amp;Q2951,$N$6:$N$3267,Calendar!$K$4),"")</f>
        <v/>
      </c>
      <c r="W2951" s="47">
        <f>IF(AND(B2951=Queue!$C$4,OR(Queue!$K$4="*",N2951=Queue!$K$4)),Q2951,"")</f>
        <v/>
      </c>
    </row>
    <row r="2952">
      <c r="A2952" s="38">
        <f>IF(M2952="","",HYPERLINK("https://www.youtube.com/watch?v="&amp;M2952,"▶"))</f>
        <v/>
      </c>
      <c r="B2952" s="39">
        <f>IF(C2952&lt;&gt;"",C2952,IF(P2952&lt;=IFERROR(INDEX(tblChannels[Watched Through],MATCH(N2952,tblChannels[Channel ID],0)),0),"Watched","Unwatched"))</f>
        <v/>
      </c>
      <c r="C2952" s="40" t="n"/>
      <c r="D2952" s="41" t="n"/>
      <c r="E2952" s="42" t="n">
        <v>41611.93194444444</v>
      </c>
      <c r="F2952" s="50" t="inlineStr">
        <is>
          <t>Super Carlin Brothers</t>
        </is>
      </c>
      <c r="G2952" t="inlineStr">
        <is>
          <t>YOU KNOW WHAT I MEAN!</t>
        </is>
      </c>
      <c r="H2952" s="44" t="n">
        <v>0.002395833333333333</v>
      </c>
      <c r="I2952" s="45" t="n">
        <v>42150</v>
      </c>
      <c r="J2952" s="45" t="n">
        <v>1272</v>
      </c>
      <c r="K2952" s="45" t="n">
        <v>173</v>
      </c>
      <c r="L2952" s="46" t="n"/>
      <c r="M2952" s="47" t="n"/>
      <c r="N2952" s="47" t="inlineStr">
        <is>
          <t>UCKZo4N0lVPccBkSiuyVh4yg</t>
        </is>
      </c>
      <c r="O2952" s="48" t="n">
        <v>41612.14027777778</v>
      </c>
      <c r="P2952" s="49" t="n">
        <v>41611</v>
      </c>
      <c r="Q2952" s="47" t="n">
        <v>316</v>
      </c>
      <c r="R2952" s="47" t="inlineStr">
        <is>
          <t>No Video ID yet</t>
        </is>
      </c>
      <c r="S2952" s="49" t="n"/>
      <c r="T2952" s="49" t="n"/>
      <c r="U2952" s="47" t="inlineStr">
        <is>
          <t>If you know what I mean... What are super manipulative phrases and/or just annoying over used ones???</t>
        </is>
      </c>
      <c r="V2952" s="47">
        <f>IF(AND(P2952&gt;=Calendar!$K$2,P2952&lt;EDATE(Calendar!$K$2,1),OR(Calendar!$K$4="*",N2952=Calendar!$K$4)),P2952*100+COUNTIFS($P$6:$P$3267,P2952,$Q$6:$Q$3267,"&lt;="&amp;Q2952,$N$6:$N$3267,Calendar!$K$4),"")</f>
        <v/>
      </c>
      <c r="W2952" s="47">
        <f>IF(AND(B2952=Queue!$C$4,OR(Queue!$K$4="*",N2952=Queue!$K$4)),Q2952,"")</f>
        <v/>
      </c>
    </row>
    <row r="2953">
      <c r="A2953" s="38">
        <f>IF(M2953="","",HYPERLINK("https://www.youtube.com/watch?v="&amp;M2953,"▶"))</f>
        <v/>
      </c>
      <c r="B2953" s="39">
        <f>IF(C2953&lt;&gt;"",C2953,IF(P2953&lt;=IFERROR(INDEX(tblChannels[Watched Through],MATCH(N2953,tblChannels[Channel ID],0)),0),"Watched","Unwatched"))</f>
        <v/>
      </c>
      <c r="C2953" s="40" t="n"/>
      <c r="D2953" s="41" t="n"/>
      <c r="E2953" s="42" t="n">
        <v>41611.33611111111</v>
      </c>
      <c r="F2953" s="52" t="inlineStr">
        <is>
          <t>Super Carlin Gaming</t>
        </is>
      </c>
      <c r="G2953" t="inlineStr">
        <is>
          <t>Pokemon FireRed Nuzlocke Challenge #9 - FANG UNIT ALPHA</t>
        </is>
      </c>
      <c r="H2953" s="44" t="n">
        <v>0.01480324074074074</v>
      </c>
      <c r="I2953" s="45" t="n">
        <v>33926</v>
      </c>
      <c r="J2953" s="45" t="n">
        <v>530</v>
      </c>
      <c r="K2953" s="45" t="n">
        <v>45</v>
      </c>
      <c r="L2953" s="46" t="n"/>
      <c r="M2953" s="47" t="n"/>
      <c r="N2953" s="47" t="inlineStr">
        <is>
          <t>UCor_9jRnNNZVzTuQ92PKsaQ</t>
        </is>
      </c>
      <c r="O2953" s="48" t="n">
        <v>41611.54444444444</v>
      </c>
      <c r="P2953" s="49" t="n">
        <v>41611</v>
      </c>
      <c r="Q2953" s="47" t="n">
        <v>315</v>
      </c>
      <c r="R2953" s="47" t="inlineStr">
        <is>
          <t>No Video ID yet</t>
        </is>
      </c>
      <c r="S2953" s="49" t="n"/>
      <c r="T2953" s="49" t="n"/>
      <c r="U2953" s="47" t="inlineStr">
        <is>
          <t>FANG UNIT ALPHA grinds their way into usability and we take on Team Rocket at the Game Corner.</t>
        </is>
      </c>
      <c r="V2953" s="47">
        <f>IF(AND(P2953&gt;=Calendar!$K$2,P2953&lt;EDATE(Calendar!$K$2,1),OR(Calendar!$K$4="*",N2953=Calendar!$K$4)),P2953*100+COUNTIFS($P$6:$P$3267,P2953,$Q$6:$Q$3267,"&lt;="&amp;Q2953,$N$6:$N$3267,Calendar!$K$4),"")</f>
        <v/>
      </c>
      <c r="W2953" s="47">
        <f>IF(AND(B2953=Queue!$C$4,OR(Queue!$K$4="*",N2953=Queue!$K$4)),Q2953,"")</f>
        <v/>
      </c>
    </row>
    <row r="2954">
      <c r="A2954" s="38">
        <f>IF(M2954="","",HYPERLINK("https://www.youtube.com/watch?v="&amp;M2954,"▶"))</f>
        <v/>
      </c>
      <c r="B2954" s="39">
        <f>IF(C2954&lt;&gt;"",C2954,IF(P2954&lt;=IFERROR(INDEX(tblChannels[Watched Through],MATCH(N2954,tblChannels[Channel ID],0)),0),"Watched","Unwatched"))</f>
        <v/>
      </c>
      <c r="C2954" s="40" t="n"/>
      <c r="D2954" s="41" t="n"/>
      <c r="E2954" s="42" t="n">
        <v>41606.61666666667</v>
      </c>
      <c r="F2954" s="50" t="inlineStr">
        <is>
          <t>Super Carlin Brothers</t>
        </is>
      </c>
      <c r="G2954" t="inlineStr">
        <is>
          <t>Juxtabros, Thanksgiving, and Apocalypse</t>
        </is>
      </c>
      <c r="H2954" s="44" t="n">
        <v>0.003159722222222222</v>
      </c>
      <c r="I2954" s="45" t="n">
        <v>47391</v>
      </c>
      <c r="J2954" s="45" t="n">
        <v>830</v>
      </c>
      <c r="K2954" s="45" t="n">
        <v>168</v>
      </c>
      <c r="L2954" s="46" t="n"/>
      <c r="M2954" s="47" t="n"/>
      <c r="N2954" s="47" t="inlineStr">
        <is>
          <t>UCKZo4N0lVPccBkSiuyVh4yg</t>
        </is>
      </c>
      <c r="O2954" s="48" t="n">
        <v>41606.825</v>
      </c>
      <c r="P2954" s="49" t="n">
        <v>41606</v>
      </c>
      <c r="Q2954" s="47" t="n">
        <v>314</v>
      </c>
      <c r="R2954" s="47" t="inlineStr">
        <is>
          <t>No Video ID yet</t>
        </is>
      </c>
      <c r="S2954" s="49" t="n"/>
      <c r="T2954" s="49" t="n"/>
      <c r="U2954" s="47" t="inlineStr">
        <is>
          <t>Happy Thanksgiving! What are you thankful for this year?</t>
        </is>
      </c>
      <c r="V2954" s="47">
        <f>IF(AND(P2954&gt;=Calendar!$K$2,P2954&lt;EDATE(Calendar!$K$2,1),OR(Calendar!$K$4="*",N2954=Calendar!$K$4)),P2954*100+COUNTIFS($P$6:$P$3267,P2954,$Q$6:$Q$3267,"&lt;="&amp;Q2954,$N$6:$N$3267,Calendar!$K$4),"")</f>
        <v/>
      </c>
      <c r="W2954" s="47">
        <f>IF(AND(B2954=Queue!$C$4,OR(Queue!$K$4="*",N2954=Queue!$K$4)),Q2954,"")</f>
        <v/>
      </c>
    </row>
    <row r="2955">
      <c r="A2955" s="38">
        <f>IF(M2955="","",HYPERLINK("https://www.youtube.com/watch?v="&amp;M2955,"▶"))</f>
        <v/>
      </c>
      <c r="B2955" s="39">
        <f>IF(C2955&lt;&gt;"",C2955,IF(P2955&lt;=IFERROR(INDEX(tblChannels[Watched Through],MATCH(N2955,tblChannels[Channel ID],0)),0),"Watched","Unwatched"))</f>
        <v/>
      </c>
      <c r="C2955" s="40" t="n"/>
      <c r="D2955" s="41" t="n"/>
      <c r="E2955" s="42" t="n">
        <v>41604.90347222222</v>
      </c>
      <c r="F2955" s="50" t="inlineStr">
        <is>
          <t>Super Carlin Brothers</t>
        </is>
      </c>
      <c r="G2955" t="inlineStr">
        <is>
          <t>THE COTTON BALL CHALLENGE WITH BETH!</t>
        </is>
      </c>
      <c r="H2955" s="44" t="n">
        <v>0.004780092592592593</v>
      </c>
      <c r="I2955" s="45" t="n">
        <v>85888</v>
      </c>
      <c r="J2955" s="45" t="n">
        <v>2579</v>
      </c>
      <c r="K2955" s="45" t="n">
        <v>139</v>
      </c>
      <c r="L2955" s="46" t="n"/>
      <c r="M2955" s="47" t="n"/>
      <c r="N2955" s="47" t="inlineStr">
        <is>
          <t>UCKZo4N0lVPccBkSiuyVh4yg</t>
        </is>
      </c>
      <c r="O2955" s="48" t="n">
        <v>41605.11180555556</v>
      </c>
      <c r="P2955" s="49" t="n">
        <v>41604</v>
      </c>
      <c r="Q2955" s="47" t="n">
        <v>313</v>
      </c>
      <c r="R2955" s="47" t="inlineStr">
        <is>
          <t>No Video ID yet</t>
        </is>
      </c>
      <c r="S2955" s="49" t="n"/>
      <c r="T2955" s="49" t="n"/>
      <c r="U2955" s="47" t="inlineStr">
        <is>
          <t>Leave Ben, Ty and I questions for JUXTABROS!!! Any other challenges you'd like to see us try?</t>
        </is>
      </c>
      <c r="V2955" s="47">
        <f>IF(AND(P2955&gt;=Calendar!$K$2,P2955&lt;EDATE(Calendar!$K$2,1),OR(Calendar!$K$4="*",N2955=Calendar!$K$4)),P2955*100+COUNTIFS($P$6:$P$3267,P2955,$Q$6:$Q$3267,"&lt;="&amp;Q2955,$N$6:$N$3267,Calendar!$K$4),"")</f>
        <v/>
      </c>
      <c r="W2955" s="47">
        <f>IF(AND(B2955=Queue!$C$4,OR(Queue!$K$4="*",N2955=Queue!$K$4)),Q2955,"")</f>
        <v/>
      </c>
    </row>
    <row r="2956">
      <c r="A2956" s="38">
        <f>IF(M2956="","",HYPERLINK("https://www.youtube.com/watch?v="&amp;M2956,"▶"))</f>
        <v/>
      </c>
      <c r="B2956" s="39">
        <f>IF(C2956&lt;&gt;"",C2956,IF(P2956&lt;=IFERROR(INDEX(tblChannels[Watched Through],MATCH(N2956,tblChannels[Channel ID],0)),0),"Watched","Unwatched"))</f>
        <v/>
      </c>
      <c r="C2956" s="40" t="n"/>
      <c r="D2956" s="41" t="n"/>
      <c r="E2956" s="42" t="n">
        <v>41603.99930555555</v>
      </c>
      <c r="F2956" s="52" t="inlineStr">
        <is>
          <t>Super Carlin Gaming</t>
        </is>
      </c>
      <c r="G2956" t="inlineStr">
        <is>
          <t>Pokemon FireRed Nuzlocke Challenge #8 - Golden Boy!</t>
        </is>
      </c>
      <c r="H2956" s="44" t="n">
        <v>0.01667824074074074</v>
      </c>
      <c r="I2956" s="45" t="n">
        <v>36955</v>
      </c>
      <c r="J2956" s="45" t="n">
        <v>575</v>
      </c>
      <c r="K2956" s="45" t="n">
        <v>145</v>
      </c>
      <c r="L2956" s="46" t="n"/>
      <c r="M2956" s="47" t="n"/>
      <c r="N2956" s="47" t="inlineStr">
        <is>
          <t>UCor_9jRnNNZVzTuQ92PKsaQ</t>
        </is>
      </c>
      <c r="O2956" s="48" t="n">
        <v>41604.20763888889</v>
      </c>
      <c r="P2956" s="49" t="n">
        <v>41603</v>
      </c>
      <c r="Q2956" s="47" t="n">
        <v>312</v>
      </c>
      <c r="R2956" s="47" t="inlineStr">
        <is>
          <t>No Video ID yet</t>
        </is>
      </c>
      <c r="S2956" s="49" t="n"/>
      <c r="T2956" s="49" t="n"/>
      <c r="U2956" s="47" t="inlineStr">
        <is>
          <t>This episode cut short due to a case of DEATH! ....oooh it hurts.... Leave your votes below!</t>
        </is>
      </c>
      <c r="V2956" s="47">
        <f>IF(AND(P2956&gt;=Calendar!$K$2,P2956&lt;EDATE(Calendar!$K$2,1),OR(Calendar!$K$4="*",N2956=Calendar!$K$4)),P2956*100+COUNTIFS($P$6:$P$3267,P2956,$Q$6:$Q$3267,"&lt;="&amp;Q2956,$N$6:$N$3267,Calendar!$K$4),"")</f>
        <v/>
      </c>
      <c r="W2956" s="47">
        <f>IF(AND(B2956=Queue!$C$4,OR(Queue!$K$4="*",N2956=Queue!$K$4)),Q2956,"")</f>
        <v/>
      </c>
    </row>
    <row r="2957">
      <c r="A2957" s="38">
        <f>IF(M2957="","",HYPERLINK("https://www.youtube.com/watch?v="&amp;M2957,"▶"))</f>
        <v/>
      </c>
      <c r="B2957" s="39">
        <f>IF(C2957&lt;&gt;"",C2957,IF(P2957&lt;=IFERROR(INDEX(tblChannels[Watched Through],MATCH(N2957,tblChannels[Channel ID],0)),0),"Watched","Unwatched"))</f>
        <v/>
      </c>
      <c r="C2957" s="40" t="n"/>
      <c r="D2957" s="41" t="n"/>
      <c r="E2957" s="42" t="n">
        <v>41599.79375</v>
      </c>
      <c r="F2957" s="50" t="inlineStr">
        <is>
          <t>Super Carlin Brothers</t>
        </is>
      </c>
      <c r="G2957" t="inlineStr">
        <is>
          <t>What is Layman's Terms</t>
        </is>
      </c>
      <c r="H2957" s="44" t="n">
        <v>0.002465277777777778</v>
      </c>
      <c r="I2957" s="45" t="n">
        <v>26513</v>
      </c>
      <c r="J2957" s="45" t="n">
        <v>357</v>
      </c>
      <c r="K2957" s="45" t="n">
        <v>122</v>
      </c>
      <c r="L2957" s="46" t="n"/>
      <c r="M2957" s="47" t="n"/>
      <c r="N2957" s="47" t="inlineStr">
        <is>
          <t>UCKZo4N0lVPccBkSiuyVh4yg</t>
        </is>
      </c>
      <c r="O2957" s="48" t="n">
        <v>41600.00208333333</v>
      </c>
      <c r="P2957" s="49" t="n">
        <v>41599</v>
      </c>
      <c r="Q2957" s="47" t="n">
        <v>311</v>
      </c>
      <c r="R2957" s="47" t="inlineStr">
        <is>
          <t>No Video ID yet</t>
        </is>
      </c>
      <c r="S2957" s="49" t="n"/>
      <c r="T2957" s="49" t="n"/>
      <c r="U2957" s="47" t="inlineStr">
        <is>
          <t>Explain it to me. In terms I wont understand.</t>
        </is>
      </c>
      <c r="V2957" s="47">
        <f>IF(AND(P2957&gt;=Calendar!$K$2,P2957&lt;EDATE(Calendar!$K$2,1),OR(Calendar!$K$4="*",N2957=Calendar!$K$4)),P2957*100+COUNTIFS($P$6:$P$3267,P2957,$Q$6:$Q$3267,"&lt;="&amp;Q2957,$N$6:$N$3267,Calendar!$K$4),"")</f>
        <v/>
      </c>
      <c r="W2957" s="47">
        <f>IF(AND(B2957=Queue!$C$4,OR(Queue!$K$4="*",N2957=Queue!$K$4)),Q2957,"")</f>
        <v/>
      </c>
    </row>
    <row r="2958">
      <c r="A2958" s="38">
        <f>IF(M2958="","",HYPERLINK("https://www.youtube.com/watch?v="&amp;M2958,"▶"))</f>
        <v/>
      </c>
      <c r="B2958" s="39">
        <f>IF(C2958&lt;&gt;"",C2958,IF(P2958&lt;=IFERROR(INDEX(tblChannels[Watched Through],MATCH(N2958,tblChannels[Channel ID],0)),0),"Watched","Unwatched"))</f>
        <v/>
      </c>
      <c r="C2958" s="40" t="n"/>
      <c r="D2958" s="41" t="n"/>
      <c r="E2958" s="42" t="n">
        <v>41598.98541666667</v>
      </c>
      <c r="F2958" s="52" t="inlineStr">
        <is>
          <t>Super Carlin Gaming</t>
        </is>
      </c>
      <c r="G2958" t="inlineStr">
        <is>
          <t>Pokemon FireRed Nuzlocke Challenge #7 - Dont try anything funny in the dark!</t>
        </is>
      </c>
      <c r="H2958" s="44" t="n">
        <v>0.02011574074074074</v>
      </c>
      <c r="I2958" s="45" t="n">
        <v>41137</v>
      </c>
      <c r="J2958" s="45" t="n">
        <v>656</v>
      </c>
      <c r="K2958" s="45" t="n">
        <v>107</v>
      </c>
      <c r="L2958" s="46" t="n"/>
      <c r="M2958" s="47" t="n"/>
      <c r="N2958" s="47" t="inlineStr">
        <is>
          <t>UCor_9jRnNNZVzTuQ92PKsaQ</t>
        </is>
      </c>
      <c r="O2958" s="48" t="n">
        <v>41599.19375</v>
      </c>
      <c r="P2958" s="49" t="n">
        <v>41598</v>
      </c>
      <c r="Q2958" s="47" t="n">
        <v>310</v>
      </c>
      <c r="R2958" s="47" t="inlineStr">
        <is>
          <t>No Video ID yet</t>
        </is>
      </c>
      <c r="S2958" s="49" t="n"/>
      <c r="T2958" s="49" t="n"/>
      <c r="U2958" s="47" t="inlineStr">
        <is>
          <t>Lavender town or bust!</t>
        </is>
      </c>
      <c r="V2958" s="47">
        <f>IF(AND(P2958&gt;=Calendar!$K$2,P2958&lt;EDATE(Calendar!$K$2,1),OR(Calendar!$K$4="*",N2958=Calendar!$K$4)),P2958*100+COUNTIFS($P$6:$P$3267,P2958,$Q$6:$Q$3267,"&lt;="&amp;Q2958,$N$6:$N$3267,Calendar!$K$4),"")</f>
        <v/>
      </c>
      <c r="W2958" s="47">
        <f>IF(AND(B2958=Queue!$C$4,OR(Queue!$K$4="*",N2958=Queue!$K$4)),Q2958,"")</f>
        <v/>
      </c>
    </row>
    <row r="2959">
      <c r="A2959" s="38">
        <f>IF(M2959="","",HYPERLINK("https://www.youtube.com/watch?v="&amp;M2959,"▶"))</f>
        <v/>
      </c>
      <c r="B2959" s="39">
        <f>IF(C2959&lt;&gt;"",C2959,IF(P2959&lt;=IFERROR(INDEX(tblChannels[Watched Through],MATCH(N2959,tblChannels[Channel ID],0)),0),"Watched","Unwatched"))</f>
        <v/>
      </c>
      <c r="C2959" s="40" t="n"/>
      <c r="D2959" s="41" t="n"/>
      <c r="E2959" s="42" t="n">
        <v>41597.97847222222</v>
      </c>
      <c r="F2959" s="50" t="inlineStr">
        <is>
          <t>Super Carlin Brothers</t>
        </is>
      </c>
      <c r="G2959" t="inlineStr">
        <is>
          <t>How to Public Speak</t>
        </is>
      </c>
      <c r="H2959" s="44" t="n">
        <v>0.003564814814814815</v>
      </c>
      <c r="I2959" s="45" t="n">
        <v>16598</v>
      </c>
      <c r="J2959" s="45" t="n">
        <v>526</v>
      </c>
      <c r="K2959" s="45" t="n">
        <v>97</v>
      </c>
      <c r="L2959" s="46" t="n"/>
      <c r="M2959" s="47" t="n"/>
      <c r="N2959" s="47" t="inlineStr">
        <is>
          <t>UCKZo4N0lVPccBkSiuyVh4yg</t>
        </is>
      </c>
      <c r="O2959" s="48" t="n">
        <v>41598.18680555555</v>
      </c>
      <c r="P2959" s="49" t="n">
        <v>41597</v>
      </c>
      <c r="Q2959" s="47" t="n">
        <v>309</v>
      </c>
      <c r="R2959" s="47" t="inlineStr">
        <is>
          <t>No Video ID yet</t>
        </is>
      </c>
      <c r="S2959" s="49" t="n"/>
      <c r="T2959" s="49" t="n"/>
      <c r="U2959" s="47" t="inlineStr">
        <is>
          <t>Are you a good public speaker? Share your stories below!</t>
        </is>
      </c>
      <c r="V2959" s="47">
        <f>IF(AND(P2959&gt;=Calendar!$K$2,P2959&lt;EDATE(Calendar!$K$2,1),OR(Calendar!$K$4="*",N2959=Calendar!$K$4)),P2959*100+COUNTIFS($P$6:$P$3267,P2959,$Q$6:$Q$3267,"&lt;="&amp;Q2959,$N$6:$N$3267,Calendar!$K$4),"")</f>
        <v/>
      </c>
      <c r="W2959" s="47">
        <f>IF(AND(B2959=Queue!$C$4,OR(Queue!$K$4="*",N2959=Queue!$K$4)),Q2959,"")</f>
        <v/>
      </c>
    </row>
    <row r="2960">
      <c r="A2960" s="38">
        <f>IF(M2960="","",HYPERLINK("https://www.youtube.com/watch?v="&amp;M2960,"▶"))</f>
        <v/>
      </c>
      <c r="B2960" s="39">
        <f>IF(C2960&lt;&gt;"",C2960,IF(P2960&lt;=IFERROR(INDEX(tblChannels[Watched Through],MATCH(N2960,tblChannels[Channel ID],0)),0),"Watched","Unwatched"))</f>
        <v/>
      </c>
      <c r="C2960" s="40" t="n"/>
      <c r="D2960" s="41" t="n"/>
      <c r="E2960" s="42" t="n">
        <v>41592.92013888889</v>
      </c>
      <c r="F2960" s="50" t="inlineStr">
        <is>
          <t>Super Carlin Brothers</t>
        </is>
      </c>
      <c r="G2960" t="inlineStr">
        <is>
          <t>My Idea</t>
        </is>
      </c>
      <c r="H2960" s="44" t="n">
        <v>0.002789351851851852</v>
      </c>
      <c r="I2960" s="45" t="n">
        <v>9692</v>
      </c>
      <c r="J2960" s="45" t="n">
        <v>239</v>
      </c>
      <c r="K2960" s="45" t="n">
        <v>63</v>
      </c>
      <c r="L2960" s="46" t="n"/>
      <c r="M2960" s="47" t="n"/>
      <c r="N2960" s="47" t="inlineStr">
        <is>
          <t>UCKZo4N0lVPccBkSiuyVh4yg</t>
        </is>
      </c>
      <c r="O2960" s="48" t="n">
        <v>41593.12847222222</v>
      </c>
      <c r="P2960" s="49" t="n">
        <v>41592</v>
      </c>
      <c r="Q2960" s="47" t="n">
        <v>308</v>
      </c>
      <c r="R2960" s="47" t="inlineStr">
        <is>
          <t>No Video ID yet</t>
        </is>
      </c>
      <c r="S2960" s="49" t="n"/>
      <c r="T2960" s="49" t="n"/>
      <c r="U2960" s="47" t="n"/>
      <c r="V2960" s="47">
        <f>IF(AND(P2960&gt;=Calendar!$K$2,P2960&lt;EDATE(Calendar!$K$2,1),OR(Calendar!$K$4="*",N2960=Calendar!$K$4)),P2960*100+COUNTIFS($P$6:$P$3267,P2960,$Q$6:$Q$3267,"&lt;="&amp;Q2960,$N$6:$N$3267,Calendar!$K$4),"")</f>
        <v/>
      </c>
      <c r="W2960" s="47">
        <f>IF(AND(B2960=Queue!$C$4,OR(Queue!$K$4="*",N2960=Queue!$K$4)),Q2960,"")</f>
        <v/>
      </c>
    </row>
    <row r="2961">
      <c r="A2961" s="38">
        <f>IF(M2961="","",HYPERLINK("https://www.youtube.com/watch?v="&amp;M2961,"▶"))</f>
        <v/>
      </c>
      <c r="B2961" s="39">
        <f>IF(C2961&lt;&gt;"",C2961,IF(P2961&lt;=IFERROR(INDEX(tblChannels[Watched Through],MATCH(N2961,tblChannels[Channel ID],0)),0),"Watched","Unwatched"))</f>
        <v/>
      </c>
      <c r="C2961" s="40" t="n"/>
      <c r="D2961" s="41" t="n"/>
      <c r="E2961" s="42" t="n">
        <v>41591.00416666667</v>
      </c>
      <c r="F2961" s="50" t="inlineStr">
        <is>
          <t>Super Carlin Brothers</t>
        </is>
      </c>
      <c r="G2961" t="inlineStr">
        <is>
          <t>Will I Google Autofill</t>
        </is>
      </c>
      <c r="H2961" s="44" t="n">
        <v>0.003240740740740741</v>
      </c>
      <c r="I2961" s="45" t="n">
        <v>250153</v>
      </c>
      <c r="J2961" s="45" t="n">
        <v>4254</v>
      </c>
      <c r="K2961" s="45" t="n">
        <v>494</v>
      </c>
      <c r="L2961" s="46" t="n"/>
      <c r="M2961" s="47" t="n"/>
      <c r="N2961" s="47" t="inlineStr">
        <is>
          <t>UCKZo4N0lVPccBkSiuyVh4yg</t>
        </is>
      </c>
      <c r="O2961" s="48" t="n">
        <v>41591.2125</v>
      </c>
      <c r="P2961" s="49" t="n">
        <v>41591</v>
      </c>
      <c r="Q2961" s="47" t="n">
        <v>307</v>
      </c>
      <c r="R2961" s="47" t="inlineStr">
        <is>
          <t>No Video ID yet</t>
        </is>
      </c>
      <c r="S2961" s="49" t="n"/>
      <c r="T2961" s="49" t="n"/>
      <c r="U2961" s="47" t="inlineStr">
        <is>
          <t>There is horrible singing in this video... you have been warned. Suggest punishments for Ben in the Towel section! Thank you everyone for helping us get to 2,200 Subs and 300 videos!!!</t>
        </is>
      </c>
      <c r="V2961" s="47">
        <f>IF(AND(P2961&gt;=Calendar!$K$2,P2961&lt;EDATE(Calendar!$K$2,1),OR(Calendar!$K$4="*",N2961=Calendar!$K$4)),P2961*100+COUNTIFS($P$6:$P$3267,P2961,$Q$6:$Q$3267,"&lt;="&amp;Q2961,$N$6:$N$3267,Calendar!$K$4),"")</f>
        <v/>
      </c>
      <c r="W2961" s="47">
        <f>IF(AND(B2961=Queue!$C$4,OR(Queue!$K$4="*",N2961=Queue!$K$4)),Q2961,"")</f>
        <v/>
      </c>
    </row>
    <row r="2962">
      <c r="A2962" s="38">
        <f>IF(M2962="","",HYPERLINK("https://www.youtube.com/watch?v="&amp;M2962,"▶"))</f>
        <v/>
      </c>
      <c r="B2962" s="39">
        <f>IF(C2962&lt;&gt;"",C2962,IF(P2962&lt;=IFERROR(INDEX(tblChannels[Watched Through],MATCH(N2962,tblChannels[Channel ID],0)),0),"Watched","Unwatched"))</f>
        <v/>
      </c>
      <c r="C2962" s="40" t="n"/>
      <c r="D2962" s="41" t="n"/>
      <c r="E2962" s="42" t="n">
        <v>41590.34583333333</v>
      </c>
      <c r="F2962" s="52" t="inlineStr">
        <is>
          <t>Super Carlin Gaming</t>
        </is>
      </c>
      <c r="G2962" t="inlineStr">
        <is>
          <t>Pokemon FireRed Nuzlocke Challenge #6 - SO MANY DIGLETTS</t>
        </is>
      </c>
      <c r="H2962" s="44" t="n">
        <v>0.01890046296296296</v>
      </c>
      <c r="I2962" s="45" t="n">
        <v>41942</v>
      </c>
      <c r="J2962" s="45" t="n">
        <v>642</v>
      </c>
      <c r="K2962" s="45" t="n">
        <v>175</v>
      </c>
      <c r="L2962" s="46" t="n"/>
      <c r="M2962" s="47" t="n"/>
      <c r="N2962" s="47" t="inlineStr">
        <is>
          <t>UCor_9jRnNNZVzTuQ92PKsaQ</t>
        </is>
      </c>
      <c r="O2962" s="48" t="n">
        <v>41590.55416666667</v>
      </c>
      <c r="P2962" s="49" t="n">
        <v>41590</v>
      </c>
      <c r="Q2962" s="47" t="n">
        <v>306</v>
      </c>
      <c r="R2962" s="47" t="inlineStr">
        <is>
          <t>No Video ID yet</t>
        </is>
      </c>
      <c r="S2962" s="49" t="n"/>
      <c r="T2962" s="49" t="n"/>
      <c r="U2962" s="47" t="inlineStr">
        <is>
          <t>But seriously so many Digletts... Also we meet a new friend and fight Lt. Surge!</t>
        </is>
      </c>
      <c r="V2962" s="47">
        <f>IF(AND(P2962&gt;=Calendar!$K$2,P2962&lt;EDATE(Calendar!$K$2,1),OR(Calendar!$K$4="*",N2962=Calendar!$K$4)),P2962*100+COUNTIFS($P$6:$P$3267,P2962,$Q$6:$Q$3267,"&lt;="&amp;Q2962,$N$6:$N$3267,Calendar!$K$4),"")</f>
        <v/>
      </c>
      <c r="W2962" s="47">
        <f>IF(AND(B2962=Queue!$C$4,OR(Queue!$K$4="*",N2962=Queue!$K$4)),Q2962,"")</f>
        <v/>
      </c>
    </row>
    <row r="2963">
      <c r="A2963" s="38">
        <f>IF(M2963="","",HYPERLINK("https://www.youtube.com/watch?v="&amp;M2963,"▶"))</f>
        <v/>
      </c>
      <c r="B2963" s="39">
        <f>IF(C2963&lt;&gt;"",C2963,IF(P2963&lt;=IFERROR(INDEX(tblChannels[Watched Through],MATCH(N2963,tblChannels[Channel ID],0)),0),"Watched","Unwatched"))</f>
        <v/>
      </c>
      <c r="C2963" s="40" t="n"/>
      <c r="D2963" s="41" t="n"/>
      <c r="E2963" s="42" t="n">
        <v>41583.86666666667</v>
      </c>
      <c r="F2963" s="50" t="inlineStr">
        <is>
          <t>Super Carlin Brothers</t>
        </is>
      </c>
      <c r="G2963" t="inlineStr">
        <is>
          <t>Machines Control Your Thoughts!</t>
        </is>
      </c>
      <c r="H2963" s="44" t="n">
        <v>0.00306712962962963</v>
      </c>
      <c r="I2963" s="45" t="n">
        <v>30918</v>
      </c>
      <c r="J2963" s="45" t="n">
        <v>776</v>
      </c>
      <c r="K2963" s="45" t="n">
        <v>162</v>
      </c>
      <c r="L2963" s="46" t="n"/>
      <c r="M2963" s="47" t="n"/>
      <c r="N2963" s="47" t="inlineStr">
        <is>
          <t>UCKZo4N0lVPccBkSiuyVh4yg</t>
        </is>
      </c>
      <c r="O2963" s="48" t="n">
        <v>41584.075</v>
      </c>
      <c r="P2963" s="49" t="n">
        <v>41583</v>
      </c>
      <c r="Q2963" s="47" t="n">
        <v>305</v>
      </c>
      <c r="R2963" s="47" t="inlineStr">
        <is>
          <t>No Video ID yet</t>
        </is>
      </c>
      <c r="S2963" s="49" t="n"/>
      <c r="T2963" s="49" t="n"/>
      <c r="U2963" s="47" t="inlineStr">
        <is>
          <t>Friend Code: 3368-2100-2035 (leave yours in comments or PM me and I'll add you back) Seriously it seems like I am doing nothing but looking at screens some days - are we to connected? Tumblr, Tumblr, Tumblr, Tumblr:</t>
        </is>
      </c>
      <c r="V2963" s="47">
        <f>IF(AND(P2963&gt;=Calendar!$K$2,P2963&lt;EDATE(Calendar!$K$2,1),OR(Calendar!$K$4="*",N2963=Calendar!$K$4)),P2963*100+COUNTIFS($P$6:$P$3267,P2963,$Q$6:$Q$3267,"&lt;="&amp;Q2963,$N$6:$N$3267,Calendar!$K$4),"")</f>
        <v/>
      </c>
      <c r="W2963" s="47">
        <f>IF(AND(B2963=Queue!$C$4,OR(Queue!$K$4="*",N2963=Queue!$K$4)),Q2963,"")</f>
        <v/>
      </c>
    </row>
    <row r="2964">
      <c r="A2964" s="38">
        <f>IF(M2964="","",HYPERLINK("https://www.youtube.com/watch?v="&amp;M2964,"▶"))</f>
        <v/>
      </c>
      <c r="B2964" s="39">
        <f>IF(C2964&lt;&gt;"",C2964,IF(P2964&lt;=IFERROR(INDEX(tblChannels[Watched Through],MATCH(N2964,tblChannels[Channel ID],0)),0),"Watched","Unwatched"))</f>
        <v/>
      </c>
      <c r="C2964" s="40" t="n"/>
      <c r="D2964" s="41" t="n"/>
      <c r="E2964" s="42" t="n">
        <v>41578.88888888889</v>
      </c>
      <c r="F2964" s="50" t="inlineStr">
        <is>
          <t>Super Carlin Brothers</t>
        </is>
      </c>
      <c r="G2964" t="inlineStr">
        <is>
          <t>Halloween Curse</t>
        </is>
      </c>
      <c r="H2964" s="44" t="n">
        <v>0.0008217592592592593</v>
      </c>
      <c r="I2964" s="45" t="n">
        <v>9990</v>
      </c>
      <c r="J2964" s="45" t="n">
        <v>185</v>
      </c>
      <c r="K2964" s="45" t="n">
        <v>22</v>
      </c>
      <c r="L2964" s="46" t="n"/>
      <c r="M2964" s="47" t="n"/>
      <c r="N2964" s="47" t="inlineStr">
        <is>
          <t>UCKZo4N0lVPccBkSiuyVh4yg</t>
        </is>
      </c>
      <c r="O2964" s="48" t="n">
        <v>41579.05555555555</v>
      </c>
      <c r="P2964" s="49" t="n">
        <v>41578</v>
      </c>
      <c r="Q2964" s="47" t="n">
        <v>304</v>
      </c>
      <c r="R2964" s="47" t="inlineStr">
        <is>
          <t>No Video ID yet</t>
        </is>
      </c>
      <c r="S2964" s="49" t="n"/>
      <c r="T2964" s="49" t="n"/>
      <c r="U2964" s="47" t="inlineStr">
        <is>
          <t>Wooo you have no clue how hard I worked even to get this pitiful video together today... I basically filmed three other topics but just wasn't happy with what I was getting... How was your Halloween? Any insane stories from previous years?!</t>
        </is>
      </c>
      <c r="V2964" s="47">
        <f>IF(AND(P2964&gt;=Calendar!$K$2,P2964&lt;EDATE(Calendar!$K$2,1),OR(Calendar!$K$4="*",N2964=Calendar!$K$4)),P2964*100+COUNTIFS($P$6:$P$3267,P2964,$Q$6:$Q$3267,"&lt;="&amp;Q2964,$N$6:$N$3267,Calendar!$K$4),"")</f>
        <v/>
      </c>
      <c r="W2964" s="47">
        <f>IF(AND(B2964=Queue!$C$4,OR(Queue!$K$4="*",N2964=Queue!$K$4)),Q2964,"")</f>
        <v/>
      </c>
    </row>
    <row r="2965">
      <c r="A2965" s="38">
        <f>IF(M2965="","",HYPERLINK("https://www.youtube.com/watch?v="&amp;M2965,"▶"))</f>
        <v/>
      </c>
      <c r="B2965" s="39">
        <f>IF(C2965&lt;&gt;"",C2965,IF(P2965&lt;=IFERROR(INDEX(tblChannels[Watched Through],MATCH(N2965,tblChannels[Channel ID],0)),0),"Watched","Unwatched"))</f>
        <v/>
      </c>
      <c r="C2965" s="40" t="n"/>
      <c r="D2965" s="41" t="n"/>
      <c r="E2965" s="42" t="n">
        <v>41576.88541666666</v>
      </c>
      <c r="F2965" s="50" t="inlineStr">
        <is>
          <t>Super Carlin Brothers</t>
        </is>
      </c>
      <c r="G2965" t="inlineStr">
        <is>
          <t>FIRST IMPRESSIONS</t>
        </is>
      </c>
      <c r="H2965" s="44" t="n">
        <v>0.002222222222222222</v>
      </c>
      <c r="I2965" s="45" t="n">
        <v>23007</v>
      </c>
      <c r="J2965" s="45" t="n">
        <v>497</v>
      </c>
      <c r="K2965" s="45" t="n">
        <v>73</v>
      </c>
      <c r="L2965" s="46" t="n"/>
      <c r="M2965" s="47" t="n"/>
      <c r="N2965" s="47" t="inlineStr">
        <is>
          <t>UCKZo4N0lVPccBkSiuyVh4yg</t>
        </is>
      </c>
      <c r="O2965" s="48" t="n">
        <v>41577.05208333334</v>
      </c>
      <c r="P2965" s="49" t="n">
        <v>41576</v>
      </c>
      <c r="Q2965" s="47" t="n">
        <v>303</v>
      </c>
      <c r="R2965" s="47" t="inlineStr">
        <is>
          <t>No Video ID yet</t>
        </is>
      </c>
      <c r="S2965" s="49" t="n"/>
      <c r="T2965" s="49" t="n"/>
      <c r="U2965" s="47" t="inlineStr">
        <is>
          <t>How important is it to make a good first impression? Have you ever judged someone incorrectly based on one?</t>
        </is>
      </c>
      <c r="V2965" s="47">
        <f>IF(AND(P2965&gt;=Calendar!$K$2,P2965&lt;EDATE(Calendar!$K$2,1),OR(Calendar!$K$4="*",N2965=Calendar!$K$4)),P2965*100+COUNTIFS($P$6:$P$3267,P2965,$Q$6:$Q$3267,"&lt;="&amp;Q2965,$N$6:$N$3267,Calendar!$K$4),"")</f>
        <v/>
      </c>
      <c r="W2965" s="47">
        <f>IF(AND(B2965=Queue!$C$4,OR(Queue!$K$4="*",N2965=Queue!$K$4)),Q2965,"")</f>
        <v/>
      </c>
    </row>
    <row r="2966">
      <c r="A2966" s="38">
        <f>IF(M2966="","",HYPERLINK("https://www.youtube.com/watch?v="&amp;M2966,"▶"))</f>
        <v/>
      </c>
      <c r="B2966" s="39">
        <f>IF(C2966&lt;&gt;"",C2966,IF(P2966&lt;=IFERROR(INDEX(tblChannels[Watched Through],MATCH(N2966,tblChannels[Channel ID],0)),0),"Watched","Unwatched"))</f>
        <v/>
      </c>
      <c r="C2966" s="40" t="n"/>
      <c r="D2966" s="41" t="n"/>
      <c r="E2966" s="42" t="n">
        <v>41576.30763888889</v>
      </c>
      <c r="F2966" s="52" t="inlineStr">
        <is>
          <t>Super Carlin Gaming</t>
        </is>
      </c>
      <c r="G2966" t="inlineStr">
        <is>
          <t>Pokemon FireRed Nuzlocke Challenge #5 - Feisty Kids</t>
        </is>
      </c>
      <c r="H2966" s="44" t="n">
        <v>0.02023148148148148</v>
      </c>
      <c r="I2966" s="45" t="n">
        <v>47564</v>
      </c>
      <c r="J2966" s="45" t="n">
        <v>646</v>
      </c>
      <c r="K2966" s="45" t="n">
        <v>87</v>
      </c>
      <c r="L2966" s="46" t="n"/>
      <c r="M2966" s="47" t="n"/>
      <c r="N2966" s="47" t="inlineStr">
        <is>
          <t>UCor_9jRnNNZVzTuQ92PKsaQ</t>
        </is>
      </c>
      <c r="O2966" s="48" t="n">
        <v>41576.47430555556</v>
      </c>
      <c r="P2966" s="49" t="n">
        <v>41576</v>
      </c>
      <c r="Q2966" s="47" t="n">
        <v>302</v>
      </c>
      <c r="R2966" s="47" t="inlineStr">
        <is>
          <t>No Video ID yet</t>
        </is>
      </c>
      <c r="S2966" s="49" t="n"/>
      <c r="T2966" s="49" t="n"/>
      <c r="U2966" s="47" t="inlineStr">
        <is>
          <t>A new team member rises through the ranks as we make our way through the S.S. Anne Also the cruise ship totally abandons us...</t>
        </is>
      </c>
      <c r="V2966" s="47">
        <f>IF(AND(P2966&gt;=Calendar!$K$2,P2966&lt;EDATE(Calendar!$K$2,1),OR(Calendar!$K$4="*",N2966=Calendar!$K$4)),P2966*100+COUNTIFS($P$6:$P$3267,P2966,$Q$6:$Q$3267,"&lt;="&amp;Q2966,$N$6:$N$3267,Calendar!$K$4),"")</f>
        <v/>
      </c>
      <c r="W2966" s="47">
        <f>IF(AND(B2966=Queue!$C$4,OR(Queue!$K$4="*",N2966=Queue!$K$4)),Q2966,"")</f>
        <v/>
      </c>
    </row>
    <row r="2967">
      <c r="A2967" s="38">
        <f>IF(M2967="","",HYPERLINK("https://www.youtube.com/watch?v="&amp;M2967,"▶"))</f>
        <v/>
      </c>
      <c r="B2967" s="39">
        <f>IF(C2967&lt;&gt;"",C2967,IF(P2967&lt;=IFERROR(INDEX(tblChannels[Watched Through],MATCH(N2967,tblChannels[Channel ID],0)),0),"Watched","Unwatched"))</f>
        <v/>
      </c>
      <c r="C2967" s="40" t="n"/>
      <c r="D2967" s="41" t="n"/>
      <c r="E2967" s="42" t="n">
        <v>41571.94513888889</v>
      </c>
      <c r="F2967" s="50" t="inlineStr">
        <is>
          <t>Super Carlin Brothers</t>
        </is>
      </c>
      <c r="G2967" t="inlineStr">
        <is>
          <t>Snapshot</t>
        </is>
      </c>
      <c r="H2967" s="44" t="n">
        <v>0.001539351851851852</v>
      </c>
      <c r="I2967" s="45" t="n">
        <v>8588</v>
      </c>
      <c r="J2967" s="45" t="n">
        <v>195</v>
      </c>
      <c r="K2967" s="45" t="n">
        <v>34</v>
      </c>
      <c r="L2967" s="46" t="n"/>
      <c r="M2967" s="47" t="n"/>
      <c r="N2967" s="47" t="inlineStr">
        <is>
          <t>UCKZo4N0lVPccBkSiuyVh4yg</t>
        </is>
      </c>
      <c r="O2967" s="48" t="n">
        <v>41572.11180555556</v>
      </c>
      <c r="P2967" s="49" t="n">
        <v>41571</v>
      </c>
      <c r="Q2967" s="47" t="n">
        <v>301</v>
      </c>
      <c r="R2967" s="47" t="inlineStr">
        <is>
          <t>No Video ID yet</t>
        </is>
      </c>
      <c r="S2967" s="49" t="n"/>
      <c r="T2967" s="49" t="n"/>
      <c r="U2967" s="47" t="inlineStr">
        <is>
          <t>What is your snapshot?!</t>
        </is>
      </c>
      <c r="V2967" s="47">
        <f>IF(AND(P2967&gt;=Calendar!$K$2,P2967&lt;EDATE(Calendar!$K$2,1),OR(Calendar!$K$4="*",N2967=Calendar!$K$4)),P2967*100+COUNTIFS($P$6:$P$3267,P2967,$Q$6:$Q$3267,"&lt;="&amp;Q2967,$N$6:$N$3267,Calendar!$K$4),"")</f>
        <v/>
      </c>
      <c r="W2967" s="47">
        <f>IF(AND(B2967=Queue!$C$4,OR(Queue!$K$4="*",N2967=Queue!$K$4)),Q2967,"")</f>
        <v/>
      </c>
    </row>
    <row r="2968">
      <c r="A2968" s="38">
        <f>IF(M2968="","",HYPERLINK("https://www.youtube.com/watch?v="&amp;M2968,"▶"))</f>
        <v/>
      </c>
      <c r="B2968" s="39">
        <f>IF(C2968&lt;&gt;"",C2968,IF(P2968&lt;=IFERROR(INDEX(tblChannels[Watched Through],MATCH(N2968,tblChannels[Channel ID],0)),0),"Watched","Unwatched"))</f>
        <v/>
      </c>
      <c r="C2968" s="40" t="n"/>
      <c r="D2968" s="41" t="n"/>
      <c r="E2968" s="42" t="n">
        <v>41569.92361111111</v>
      </c>
      <c r="F2968" s="50" t="inlineStr">
        <is>
          <t>Super Carlin Brothers</t>
        </is>
      </c>
      <c r="G2968" t="inlineStr">
        <is>
          <t>SMILE!</t>
        </is>
      </c>
      <c r="H2968" s="44" t="n">
        <v>0.001539351851851852</v>
      </c>
      <c r="I2968" s="45" t="n">
        <v>12641</v>
      </c>
      <c r="J2968" s="45" t="n">
        <v>461</v>
      </c>
      <c r="K2968" s="45" t="n">
        <v>73</v>
      </c>
      <c r="L2968" s="46" t="n"/>
      <c r="M2968" s="47" t="n"/>
      <c r="N2968" s="47" t="inlineStr">
        <is>
          <t>UCKZo4N0lVPccBkSiuyVh4yg</t>
        </is>
      </c>
      <c r="O2968" s="48" t="n">
        <v>41570.09027777778</v>
      </c>
      <c r="P2968" s="49" t="n">
        <v>41569</v>
      </c>
      <c r="Q2968" s="47" t="n">
        <v>300</v>
      </c>
      <c r="R2968" s="47" t="inlineStr">
        <is>
          <t>No Video ID yet</t>
        </is>
      </c>
      <c r="S2968" s="49" t="n"/>
      <c r="T2968" s="49" t="n"/>
      <c r="U2968" s="47" t="inlineStr">
        <is>
          <t>I like smiling, smiling is my favorite!</t>
        </is>
      </c>
      <c r="V2968" s="47">
        <f>IF(AND(P2968&gt;=Calendar!$K$2,P2968&lt;EDATE(Calendar!$K$2,1),OR(Calendar!$K$4="*",N2968=Calendar!$K$4)),P2968*100+COUNTIFS($P$6:$P$3267,P2968,$Q$6:$Q$3267,"&lt;="&amp;Q2968,$N$6:$N$3267,Calendar!$K$4),"")</f>
        <v/>
      </c>
      <c r="W2968" s="47">
        <f>IF(AND(B2968=Queue!$C$4,OR(Queue!$K$4="*",N2968=Queue!$K$4)),Q2968,"")</f>
        <v/>
      </c>
    </row>
    <row r="2969">
      <c r="A2969" s="38">
        <f>IF(M2969="","",HYPERLINK("https://www.youtube.com/watch?v="&amp;M2969,"▶"))</f>
        <v/>
      </c>
      <c r="B2969" s="39">
        <f>IF(C2969&lt;&gt;"",C2969,IF(P2969&lt;=IFERROR(INDEX(tblChannels[Watched Through],MATCH(N2969,tblChannels[Channel ID],0)),0),"Watched","Unwatched"))</f>
        <v/>
      </c>
      <c r="C2969" s="40" t="n"/>
      <c r="D2969" s="41" t="n"/>
      <c r="E2969" s="42" t="n">
        <v>41569.19097222222</v>
      </c>
      <c r="F2969" s="52" t="inlineStr">
        <is>
          <t>Super Carlin Gaming</t>
        </is>
      </c>
      <c r="G2969" t="inlineStr">
        <is>
          <t>Pokemon FireRed Nuzlocke Challenge #4 - Someone will die..</t>
        </is>
      </c>
      <c r="H2969" s="44" t="n">
        <v>0.01555555555555556</v>
      </c>
      <c r="I2969" s="45" t="n">
        <v>51625</v>
      </c>
      <c r="J2969" s="45" t="n">
        <v>696</v>
      </c>
      <c r="K2969" s="45" t="n">
        <v>134</v>
      </c>
      <c r="L2969" s="46" t="n"/>
      <c r="M2969" s="47" t="n"/>
      <c r="N2969" s="47" t="inlineStr">
        <is>
          <t>UCor_9jRnNNZVzTuQ92PKsaQ</t>
        </is>
      </c>
      <c r="O2969" s="48" t="n">
        <v>41569.35763888889</v>
      </c>
      <c r="P2969" s="49" t="n">
        <v>41569</v>
      </c>
      <c r="Q2969" s="47" t="n">
        <v>299</v>
      </c>
      <c r="R2969" s="47" t="inlineStr">
        <is>
          <t>No Video ID yet</t>
        </is>
      </c>
      <c r="S2969" s="49" t="n"/>
      <c r="T2969" s="49" t="n"/>
      <c r="U2969" s="47" t="inlineStr">
        <is>
          <t>The title says it all... but who will perish in this weeks episode?!?! Grinding Muisc Courtesy of: Maklibek POKEMON BATTLE THEME DUBSTEP REMIX!</t>
        </is>
      </c>
      <c r="V2969" s="47">
        <f>IF(AND(P2969&gt;=Calendar!$K$2,P2969&lt;EDATE(Calendar!$K$2,1),OR(Calendar!$K$4="*",N2969=Calendar!$K$4)),P2969*100+COUNTIFS($P$6:$P$3267,P2969,$Q$6:$Q$3267,"&lt;="&amp;Q2969,$N$6:$N$3267,Calendar!$K$4),"")</f>
        <v/>
      </c>
      <c r="W2969" s="47">
        <f>IF(AND(B2969=Queue!$C$4,OR(Queue!$K$4="*",N2969=Queue!$K$4)),Q2969,"")</f>
        <v/>
      </c>
    </row>
    <row r="2970">
      <c r="A2970" s="38">
        <f>IF(M2970="","",HYPERLINK("https://www.youtube.com/watch?v="&amp;M2970,"▶"))</f>
        <v/>
      </c>
      <c r="B2970" s="39">
        <f>IF(C2970&lt;&gt;"",C2970,IF(P2970&lt;=IFERROR(INDEX(tblChannels[Watched Through],MATCH(N2970,tblChannels[Channel ID],0)),0),"Watched","Unwatched"))</f>
        <v/>
      </c>
      <c r="C2970" s="40" t="n"/>
      <c r="D2970" s="41" t="n"/>
      <c r="E2970" s="42" t="n">
        <v>41564.77638888889</v>
      </c>
      <c r="F2970" s="50" t="inlineStr">
        <is>
          <t>Super Carlin Brothers</t>
        </is>
      </c>
      <c r="G2970" t="inlineStr">
        <is>
          <t>Bragging</t>
        </is>
      </c>
      <c r="H2970" s="44" t="n">
        <v>0.002766203703703704</v>
      </c>
      <c r="I2970" s="45" t="n">
        <v>9962</v>
      </c>
      <c r="J2970" s="45" t="n">
        <v>215</v>
      </c>
      <c r="K2970" s="45" t="n">
        <v>33</v>
      </c>
      <c r="L2970" s="46" t="n"/>
      <c r="M2970" s="47" t="n"/>
      <c r="N2970" s="47" t="inlineStr">
        <is>
          <t>UCKZo4N0lVPccBkSiuyVh4yg</t>
        </is>
      </c>
      <c r="O2970" s="48" t="n">
        <v>41564.94305555556</v>
      </c>
      <c r="P2970" s="49" t="n">
        <v>41564</v>
      </c>
      <c r="Q2970" s="47" t="n">
        <v>298</v>
      </c>
      <c r="R2970" s="47" t="inlineStr">
        <is>
          <t>No Video ID yet</t>
        </is>
      </c>
      <c r="S2970" s="49" t="n"/>
      <c r="T2970" s="49" t="n"/>
      <c r="U2970" s="47" t="inlineStr">
        <is>
          <t>Had to hit upload as I was running out the door... It's kinda like playing thumbnail roulette... :-/</t>
        </is>
      </c>
      <c r="V2970" s="47">
        <f>IF(AND(P2970&gt;=Calendar!$K$2,P2970&lt;EDATE(Calendar!$K$2,1),OR(Calendar!$K$4="*",N2970=Calendar!$K$4)),P2970*100+COUNTIFS($P$6:$P$3267,P2970,$Q$6:$Q$3267,"&lt;="&amp;Q2970,$N$6:$N$3267,Calendar!$K$4),"")</f>
        <v/>
      </c>
      <c r="W2970" s="47">
        <f>IF(AND(B2970=Queue!$C$4,OR(Queue!$K$4="*",N2970=Queue!$K$4)),Q2970,"")</f>
        <v/>
      </c>
    </row>
    <row r="2971">
      <c r="A2971" s="38">
        <f>IF(M2971="","",HYPERLINK("https://www.youtube.com/watch?v="&amp;M2971,"▶"))</f>
        <v/>
      </c>
      <c r="B2971" s="39">
        <f>IF(C2971&lt;&gt;"",C2971,IF(P2971&lt;=IFERROR(INDEX(tblChannels[Watched Through],MATCH(N2971,tblChannels[Channel ID],0)),0),"Watched","Unwatched"))</f>
        <v/>
      </c>
      <c r="C2971" s="40" t="n"/>
      <c r="D2971" s="41" t="n"/>
      <c r="E2971" s="42" t="n">
        <v>41562.85</v>
      </c>
      <c r="F2971" s="50" t="inlineStr">
        <is>
          <t>Super Carlin Brothers</t>
        </is>
      </c>
      <c r="G2971" t="inlineStr">
        <is>
          <t>The Other 90%</t>
        </is>
      </c>
      <c r="H2971" s="44" t="n">
        <v>0.003321759259259259</v>
      </c>
      <c r="I2971" s="45" t="n">
        <v>79641</v>
      </c>
      <c r="J2971" s="45" t="n">
        <v>1480</v>
      </c>
      <c r="K2971" s="45" t="n">
        <v>192</v>
      </c>
      <c r="L2971" s="46" t="n"/>
      <c r="M2971" s="47" t="n"/>
      <c r="N2971" s="47" t="inlineStr">
        <is>
          <t>UCKZo4N0lVPccBkSiuyVh4yg</t>
        </is>
      </c>
      <c r="O2971" s="48" t="n">
        <v>41563.01666666667</v>
      </c>
      <c r="P2971" s="49" t="n">
        <v>41562</v>
      </c>
      <c r="Q2971" s="47" t="n">
        <v>297</v>
      </c>
      <c r="R2971" s="47" t="inlineStr">
        <is>
          <t>No Video ID yet</t>
        </is>
      </c>
      <c r="S2971" s="49" t="n"/>
      <c r="T2971" s="49" t="n"/>
      <c r="U2971" s="47" t="inlineStr">
        <is>
          <t>Nintendo FC: 3368-2100-2035 What is something that has gotten in your way that had nothing to do with the task at hand??</t>
        </is>
      </c>
      <c r="V2971" s="47">
        <f>IF(AND(P2971&gt;=Calendar!$K$2,P2971&lt;EDATE(Calendar!$K$2,1),OR(Calendar!$K$4="*",N2971=Calendar!$K$4)),P2971*100+COUNTIFS($P$6:$P$3267,P2971,$Q$6:$Q$3267,"&lt;="&amp;Q2971,$N$6:$N$3267,Calendar!$K$4),"")</f>
        <v/>
      </c>
      <c r="W2971" s="47">
        <f>IF(AND(B2971=Queue!$C$4,OR(Queue!$K$4="*",N2971=Queue!$K$4)),Q2971,"")</f>
        <v/>
      </c>
    </row>
    <row r="2972">
      <c r="A2972" s="38">
        <f>IF(M2972="","",HYPERLINK("https://www.youtube.com/watch?v="&amp;M2972,"▶"))</f>
        <v/>
      </c>
      <c r="B2972" s="39">
        <f>IF(C2972&lt;&gt;"",C2972,IF(P2972&lt;=IFERROR(INDEX(tblChannels[Watched Through],MATCH(N2972,tblChannels[Channel ID],0)),0),"Watched","Unwatched"))</f>
        <v/>
      </c>
      <c r="C2972" s="40" t="n"/>
      <c r="D2972" s="41" t="n"/>
      <c r="E2972" s="42" t="n">
        <v>41560.75625</v>
      </c>
      <c r="F2972" s="52" t="inlineStr">
        <is>
          <t>Super Carlin Gaming</t>
        </is>
      </c>
      <c r="G2972" t="inlineStr">
        <is>
          <t>Pokemon FireRed Nuzlocke Challenge #3 - I like shorts!</t>
        </is>
      </c>
      <c r="H2972" s="44" t="n">
        <v>0.01733796296296296</v>
      </c>
      <c r="I2972" s="45" t="n">
        <v>56185</v>
      </c>
      <c r="J2972" s="45" t="n">
        <v>817</v>
      </c>
      <c r="K2972" s="45" t="n">
        <v>135</v>
      </c>
      <c r="L2972" s="46" t="n"/>
      <c r="M2972" s="47" t="n"/>
      <c r="N2972" s="47" t="inlineStr">
        <is>
          <t>UCor_9jRnNNZVzTuQ92PKsaQ</t>
        </is>
      </c>
      <c r="O2972" s="48" t="n">
        <v>41560.92291666667</v>
      </c>
      <c r="P2972" s="49" t="n">
        <v>41560</v>
      </c>
      <c r="Q2972" s="47" t="n">
        <v>296</v>
      </c>
      <c r="R2972" s="47" t="inlineStr">
        <is>
          <t>No Video ID yet</t>
        </is>
      </c>
      <c r="S2972" s="49" t="n"/>
      <c r="T2972" s="49" t="n"/>
      <c r="U2972" s="47" t="inlineStr">
        <is>
          <t>Episode 3 - Route 3 and Mt. Moon! .... I like shorts.. Will Donatello achieve his dream of evolution? Can Sanza and Pegoo settle their differences? What new friends will join the team?</t>
        </is>
      </c>
      <c r="V2972" s="47">
        <f>IF(AND(P2972&gt;=Calendar!$K$2,P2972&lt;EDATE(Calendar!$K$2,1),OR(Calendar!$K$4="*",N2972=Calendar!$K$4)),P2972*100+COUNTIFS($P$6:$P$3267,P2972,$Q$6:$Q$3267,"&lt;="&amp;Q2972,$N$6:$N$3267,Calendar!$K$4),"")</f>
        <v/>
      </c>
      <c r="W2972" s="47">
        <f>IF(AND(B2972=Queue!$C$4,OR(Queue!$K$4="*",N2972=Queue!$K$4)),Q2972,"")</f>
        <v/>
      </c>
    </row>
    <row r="2973">
      <c r="A2973" s="38">
        <f>IF(M2973="","",HYPERLINK("https://www.youtube.com/watch?v="&amp;M2973,"▶"))</f>
        <v/>
      </c>
      <c r="B2973" s="39">
        <f>IF(C2973&lt;&gt;"",C2973,IF(P2973&lt;=IFERROR(INDEX(tblChannels[Watched Through],MATCH(N2973,tblChannels[Channel ID],0)),0),"Watched","Unwatched"))</f>
        <v/>
      </c>
      <c r="C2973" s="40" t="n"/>
      <c r="D2973" s="41" t="n"/>
      <c r="E2973" s="42" t="n">
        <v>41557.8875</v>
      </c>
      <c r="F2973" s="50" t="inlineStr">
        <is>
          <t>Super Carlin Brothers</t>
        </is>
      </c>
      <c r="G2973" t="inlineStr">
        <is>
          <t>10%</t>
        </is>
      </c>
      <c r="H2973" s="44" t="n">
        <v>0.002627314814814815</v>
      </c>
      <c r="I2973" s="45" t="n">
        <v>14287</v>
      </c>
      <c r="J2973" s="45" t="n">
        <v>281</v>
      </c>
      <c r="K2973" s="45" t="n">
        <v>20</v>
      </c>
      <c r="L2973" s="46" t="n"/>
      <c r="M2973" s="47" t="n"/>
      <c r="N2973" s="47" t="inlineStr">
        <is>
          <t>UCKZo4N0lVPccBkSiuyVh4yg</t>
        </is>
      </c>
      <c r="O2973" s="48" t="n">
        <v>41558.05416666667</v>
      </c>
      <c r="P2973" s="49" t="n">
        <v>41557</v>
      </c>
      <c r="Q2973" s="47" t="n">
        <v>295</v>
      </c>
      <c r="R2973" s="47" t="inlineStr">
        <is>
          <t>No Video ID yet</t>
        </is>
      </c>
      <c r="S2973" s="49" t="n"/>
      <c r="T2973" s="49" t="n"/>
      <c r="U2973" s="47" t="inlineStr">
        <is>
          <t>Writing this description really falls into my last ten percent philosophy... Seems kinda hypocritical to not put more effort into it...</t>
        </is>
      </c>
      <c r="V2973" s="47">
        <f>IF(AND(P2973&gt;=Calendar!$K$2,P2973&lt;EDATE(Calendar!$K$2,1),OR(Calendar!$K$4="*",N2973=Calendar!$K$4)),P2973*100+COUNTIFS($P$6:$P$3267,P2973,$Q$6:$Q$3267,"&lt;="&amp;Q2973,$N$6:$N$3267,Calendar!$K$4),"")</f>
        <v/>
      </c>
      <c r="W2973" s="47">
        <f>IF(AND(B2973=Queue!$C$4,OR(Queue!$K$4="*",N2973=Queue!$K$4)),Q2973,"")</f>
        <v/>
      </c>
    </row>
    <row r="2974">
      <c r="A2974" s="38">
        <f>IF(M2974="","",HYPERLINK("https://www.youtube.com/watch?v="&amp;M2974,"▶"))</f>
        <v/>
      </c>
      <c r="B2974" s="39">
        <f>IF(C2974&lt;&gt;"",C2974,IF(P2974&lt;=IFERROR(INDEX(tblChannels[Watched Through],MATCH(N2974,tblChannels[Channel ID],0)),0),"Watched","Unwatched"))</f>
        <v/>
      </c>
      <c r="C2974" s="40" t="n"/>
      <c r="D2974" s="41" t="n"/>
      <c r="E2974" s="42" t="n">
        <v>41555.80972222222</v>
      </c>
      <c r="F2974" s="50" t="inlineStr">
        <is>
          <t>Super Carlin Brothers</t>
        </is>
      </c>
      <c r="G2974" t="inlineStr">
        <is>
          <t>NETFLIX Cheating</t>
        </is>
      </c>
      <c r="H2974" s="44" t="n">
        <v>0.002627314814814815</v>
      </c>
      <c r="I2974" s="45" t="n">
        <v>160433</v>
      </c>
      <c r="J2974" s="45" t="n">
        <v>2613</v>
      </c>
      <c r="K2974" s="45" t="n">
        <v>386</v>
      </c>
      <c r="L2974" s="46" t="n"/>
      <c r="M2974" s="47" t="n"/>
      <c r="N2974" s="47" t="inlineStr">
        <is>
          <t>UCKZo4N0lVPccBkSiuyVh4yg</t>
        </is>
      </c>
      <c r="O2974" s="48" t="n">
        <v>41555.97638888889</v>
      </c>
      <c r="P2974" s="49" t="n">
        <v>41555</v>
      </c>
      <c r="Q2974" s="47" t="n">
        <v>294</v>
      </c>
      <c r="R2974" s="47" t="inlineStr">
        <is>
          <t>No Video ID yet</t>
        </is>
      </c>
      <c r="S2974" s="49" t="n"/>
      <c r="T2974" s="49" t="n"/>
      <c r="U2974" s="47" t="inlineStr">
        <is>
          <t>Lets face it, you do this. NEW CHANNEL :: SUPER CARLIN GAMING</t>
        </is>
      </c>
      <c r="V2974" s="47">
        <f>IF(AND(P2974&gt;=Calendar!$K$2,P2974&lt;EDATE(Calendar!$K$2,1),OR(Calendar!$K$4="*",N2974=Calendar!$K$4)),P2974*100+COUNTIFS($P$6:$P$3267,P2974,$Q$6:$Q$3267,"&lt;="&amp;Q2974,$N$6:$N$3267,Calendar!$K$4),"")</f>
        <v/>
      </c>
      <c r="W2974" s="47">
        <f>IF(AND(B2974=Queue!$C$4,OR(Queue!$K$4="*",N2974=Queue!$K$4)),Q2974,"")</f>
        <v/>
      </c>
    </row>
    <row r="2975">
      <c r="A2975" s="38">
        <f>IF(M2975="","",HYPERLINK("https://www.youtube.com/watch?v="&amp;M2975,"▶"))</f>
        <v/>
      </c>
      <c r="B2975" s="39">
        <f>IF(C2975&lt;&gt;"",C2975,IF(P2975&lt;=IFERROR(INDEX(tblChannels[Watched Through],MATCH(N2975,tblChannels[Channel ID],0)),0),"Watched","Unwatched"))</f>
        <v/>
      </c>
      <c r="C2975" s="40" t="n"/>
      <c r="D2975" s="41" t="n"/>
      <c r="E2975" s="42" t="n">
        <v>41553.44166666667</v>
      </c>
      <c r="F2975" s="52" t="inlineStr">
        <is>
          <t>Super Carlin Gaming</t>
        </is>
      </c>
      <c r="G2975" t="inlineStr">
        <is>
          <t>Pokemon FireRed Nuzlocke Challenge #2 - Jamming Out</t>
        </is>
      </c>
      <c r="H2975" s="44" t="n">
        <v>0.01586805555555556</v>
      </c>
      <c r="I2975" s="45" t="n">
        <v>65104</v>
      </c>
      <c r="J2975" s="45" t="n">
        <v>1174</v>
      </c>
      <c r="K2975" s="45" t="n">
        <v>162</v>
      </c>
      <c r="L2975" s="46" t="n"/>
      <c r="M2975" s="47" t="n"/>
      <c r="N2975" s="47" t="inlineStr">
        <is>
          <t>UCor_9jRnNNZVzTuQ92PKsaQ</t>
        </is>
      </c>
      <c r="O2975" s="48" t="n">
        <v>41553.60833333333</v>
      </c>
      <c r="P2975" s="49" t="n">
        <v>41553</v>
      </c>
      <c r="Q2975" s="47" t="n">
        <v>293</v>
      </c>
      <c r="R2975" s="47" t="inlineStr">
        <is>
          <t>No Video ID yet</t>
        </is>
      </c>
      <c r="S2975" s="49" t="n"/>
      <c r="T2975" s="49" t="n"/>
      <c r="U2975" s="47" t="inlineStr">
        <is>
          <t>Episode 2 - We journey through Viridian Forest and take on our first Gym Leader - the team struggles for respect within its members and new friends are made! Apologies if any of the music is off I had to edit it back in manually after forgetting to hit record on the microphone during game play (whoops!) Grinding Muisc Courtesy of: Maklibek POKEMON BATTLE THEME DUBSTEP REMIX!</t>
        </is>
      </c>
      <c r="V2975" s="47">
        <f>IF(AND(P2975&gt;=Calendar!$K$2,P2975&lt;EDATE(Calendar!$K$2,1),OR(Calendar!$K$4="*",N2975=Calendar!$K$4)),P2975*100+COUNTIFS($P$6:$P$3267,P2975,$Q$6:$Q$3267,"&lt;="&amp;Q2975,$N$6:$N$3267,Calendar!$K$4),"")</f>
        <v/>
      </c>
      <c r="W2975" s="47">
        <f>IF(AND(B2975=Queue!$C$4,OR(Queue!$K$4="*",N2975=Queue!$K$4)),Q2975,"")</f>
        <v/>
      </c>
    </row>
    <row r="2976">
      <c r="A2976" s="38">
        <f>IF(M2976="","",HYPERLINK("https://www.youtube.com/watch?v="&amp;M2976,"▶"))</f>
        <v/>
      </c>
      <c r="B2976" s="39">
        <f>IF(C2976&lt;&gt;"",C2976,IF(P2976&lt;=IFERROR(INDEX(tblChannels[Watched Through],MATCH(N2976,tblChannels[Channel ID],0)),0),"Watched","Unwatched"))</f>
        <v/>
      </c>
      <c r="C2976" s="40" t="n"/>
      <c r="D2976" s="41" t="n"/>
      <c r="E2976" s="42" t="n">
        <v>41550.88611111111</v>
      </c>
      <c r="F2976" s="50" t="inlineStr">
        <is>
          <t>Super Carlin Brothers</t>
        </is>
      </c>
      <c r="G2976" t="inlineStr">
        <is>
          <t>Boxers</t>
        </is>
      </c>
      <c r="H2976" s="44" t="n">
        <v>0.002534722222222222</v>
      </c>
      <c r="I2976" s="45" t="n">
        <v>14697</v>
      </c>
      <c r="J2976" s="45" t="n">
        <v>193</v>
      </c>
      <c r="K2976" s="45" t="n">
        <v>50</v>
      </c>
      <c r="L2976" s="46" t="n"/>
      <c r="M2976" s="47" t="n"/>
      <c r="N2976" s="47" t="inlineStr">
        <is>
          <t>UCKZo4N0lVPccBkSiuyVh4yg</t>
        </is>
      </c>
      <c r="O2976" s="48" t="n">
        <v>41551.05277777778</v>
      </c>
      <c r="P2976" s="49" t="n">
        <v>41550</v>
      </c>
      <c r="Q2976" s="47" t="n">
        <v>292</v>
      </c>
      <c r="R2976" s="47" t="inlineStr">
        <is>
          <t>No Video ID yet</t>
        </is>
      </c>
      <c r="S2976" s="49" t="n"/>
      <c r="T2976" s="49" t="n"/>
      <c r="U2976" s="47" t="inlineStr">
        <is>
          <t>Well look who's digging around the bottom of the video topics barrel. Me. I am. So! Boxers or Briefs?! This is real good first date material. Also! Do you have any aspect of your life or way of doing something that you decided when you were a kid and it just kind of stuck? I also leave the cap off of my toothpaste. Don't know why. I'm told it's the most annoying part about living with me.</t>
        </is>
      </c>
      <c r="V2976" s="47">
        <f>IF(AND(P2976&gt;=Calendar!$K$2,P2976&lt;EDATE(Calendar!$K$2,1),OR(Calendar!$K$4="*",N2976=Calendar!$K$4)),P2976*100+COUNTIFS($P$6:$P$3267,P2976,$Q$6:$Q$3267,"&lt;="&amp;Q2976,$N$6:$N$3267,Calendar!$K$4),"")</f>
        <v/>
      </c>
      <c r="W2976" s="47">
        <f>IF(AND(B2976=Queue!$C$4,OR(Queue!$K$4="*",N2976=Queue!$K$4)),Q2976,"")</f>
        <v/>
      </c>
    </row>
    <row r="2977">
      <c r="A2977" s="38">
        <f>IF(M2977="","",HYPERLINK("https://www.youtube.com/watch?v="&amp;M2977,"▶"))</f>
        <v/>
      </c>
      <c r="B2977" s="39">
        <f>IF(C2977&lt;&gt;"",C2977,IF(P2977&lt;=IFERROR(INDEX(tblChannels[Watched Through],MATCH(N2977,tblChannels[Channel ID],0)),0),"Watched","Unwatched"))</f>
        <v/>
      </c>
      <c r="C2977" s="40" t="n"/>
      <c r="D2977" s="41" t="n"/>
      <c r="E2977" s="42" t="n">
        <v>41548.93819444445</v>
      </c>
      <c r="F2977" s="50" t="inlineStr">
        <is>
          <t>Super Carlin Brothers</t>
        </is>
      </c>
      <c r="G2977" t="inlineStr">
        <is>
          <t>NUZLOCKE</t>
        </is>
      </c>
      <c r="H2977" s="44" t="n">
        <v>0.003460648148148148</v>
      </c>
      <c r="I2977" s="45" t="n">
        <v>34032</v>
      </c>
      <c r="J2977" s="45" t="n">
        <v>728</v>
      </c>
      <c r="K2977" s="45" t="n">
        <v>70</v>
      </c>
      <c r="L2977" s="46" t="n"/>
      <c r="M2977" s="47" t="n"/>
      <c r="N2977" s="47" t="inlineStr">
        <is>
          <t>UCKZo4N0lVPccBkSiuyVh4yg</t>
        </is>
      </c>
      <c r="O2977" s="48" t="n">
        <v>41549.10486111111</v>
      </c>
      <c r="P2977" s="49" t="n">
        <v>41548</v>
      </c>
      <c r="Q2977" s="47" t="n">
        <v>291</v>
      </c>
      <c r="R2977" s="47" t="inlineStr">
        <is>
          <t>No Video ID yet</t>
        </is>
      </c>
      <c r="S2977" s="49" t="n"/>
      <c r="T2977" s="49" t="n"/>
      <c r="U2977" s="47" t="inlineStr">
        <is>
          <t>Jonathan tells the history of his ups and down with Pokemon and makes a BIG announcement! Super Carlin Gaming:</t>
        </is>
      </c>
      <c r="V2977" s="47">
        <f>IF(AND(P2977&gt;=Calendar!$K$2,P2977&lt;EDATE(Calendar!$K$2,1),OR(Calendar!$K$4="*",N2977=Calendar!$K$4)),P2977*100+COUNTIFS($P$6:$P$3267,P2977,$Q$6:$Q$3267,"&lt;="&amp;Q2977,$N$6:$N$3267,Calendar!$K$4),"")</f>
        <v/>
      </c>
      <c r="W2977" s="47">
        <f>IF(AND(B2977=Queue!$C$4,OR(Queue!$K$4="*",N2977=Queue!$K$4)),Q2977,"")</f>
        <v/>
      </c>
    </row>
    <row r="2978">
      <c r="A2978" s="38">
        <f>IF(M2978="","",HYPERLINK("https://www.youtube.com/watch?v="&amp;M2978,"▶"))</f>
        <v/>
      </c>
      <c r="B2978" s="39">
        <f>IF(C2978&lt;&gt;"",C2978,IF(P2978&lt;=IFERROR(INDEX(tblChannels[Watched Through],MATCH(N2978,tblChannels[Channel ID],0)),0),"Watched","Unwatched"))</f>
        <v/>
      </c>
      <c r="C2978" s="40" t="n"/>
      <c r="D2978" s="41" t="n"/>
      <c r="E2978" s="42" t="n">
        <v>41547.92986111111</v>
      </c>
      <c r="F2978" s="52" t="inlineStr">
        <is>
          <t>Super Carlin Gaming</t>
        </is>
      </c>
      <c r="G2978" t="inlineStr">
        <is>
          <t>Pokemon FireRed Nuzlocke Challenge #1 - Enter Peaches</t>
        </is>
      </c>
      <c r="H2978" s="44" t="n">
        <v>0.01302083333333333</v>
      </c>
      <c r="I2978" s="45" t="n">
        <v>149150</v>
      </c>
      <c r="J2978" s="45" t="n">
        <v>1867</v>
      </c>
      <c r="K2978" s="45" t="n">
        <v>340</v>
      </c>
      <c r="L2978" s="46" t="n"/>
      <c r="M2978" s="47" t="n"/>
      <c r="N2978" s="47" t="inlineStr">
        <is>
          <t>UCor_9jRnNNZVzTuQ92PKsaQ</t>
        </is>
      </c>
      <c r="O2978" s="48" t="n">
        <v>41548.09652777778</v>
      </c>
      <c r="P2978" s="49" t="n">
        <v>41547</v>
      </c>
      <c r="Q2978" s="47" t="n">
        <v>290</v>
      </c>
      <c r="R2978" s="47" t="inlineStr">
        <is>
          <t>No Video ID yet</t>
        </is>
      </c>
      <c r="S2978" s="49" t="n"/>
      <c r="T2978" s="49" t="n"/>
      <c r="U2978" s="47" t="inlineStr">
        <is>
          <t>Our journey begins! We get the pokedex and meet our first new teammates, as well as take our Rival, PEACHES, for the first 2 times.. who will win? Grinding Muisc Courtesy of: Maklibek POKEMON BATTLE THEME DUBSTEP REMIX!</t>
        </is>
      </c>
      <c r="V2978" s="47">
        <f>IF(AND(P2978&gt;=Calendar!$K$2,P2978&lt;EDATE(Calendar!$K$2,1),OR(Calendar!$K$4="*",N2978=Calendar!$K$4)),P2978*100+COUNTIFS($P$6:$P$3267,P2978,$Q$6:$Q$3267,"&lt;="&amp;Q2978,$N$6:$N$3267,Calendar!$K$4),"")</f>
        <v/>
      </c>
      <c r="W2978" s="47">
        <f>IF(AND(B2978=Queue!$C$4,OR(Queue!$K$4="*",N2978=Queue!$K$4)),Q2978,"")</f>
        <v/>
      </c>
    </row>
    <row r="2979">
      <c r="A2979" s="38">
        <f>IF(M2979="","",HYPERLINK("https://www.youtube.com/watch?v="&amp;M2979,"▶"))</f>
        <v/>
      </c>
      <c r="B2979" s="39">
        <f>IF(C2979&lt;&gt;"",C2979,IF(P2979&lt;=IFERROR(INDEX(tblChannels[Watched Through],MATCH(N2979,tblChannels[Channel ID],0)),0),"Watched","Unwatched"))</f>
        <v/>
      </c>
      <c r="C2979" s="40" t="n"/>
      <c r="D2979" s="41" t="n"/>
      <c r="E2979" s="42" t="n">
        <v>41543.73263888889</v>
      </c>
      <c r="F2979" s="50" t="inlineStr">
        <is>
          <t>Super Carlin Brothers</t>
        </is>
      </c>
      <c r="G2979" t="inlineStr">
        <is>
          <t>Stereotypes</t>
        </is>
      </c>
      <c r="H2979" s="44" t="n">
        <v>0.00212962962962963</v>
      </c>
      <c r="I2979" s="45" t="n">
        <v>18180</v>
      </c>
      <c r="J2979" s="45" t="n">
        <v>356</v>
      </c>
      <c r="K2979" s="45" t="n">
        <v>91</v>
      </c>
      <c r="L2979" s="46" t="n"/>
      <c r="M2979" s="47" t="n"/>
      <c r="N2979" s="47" t="inlineStr">
        <is>
          <t>UCKZo4N0lVPccBkSiuyVh4yg</t>
        </is>
      </c>
      <c r="O2979" s="48" t="n">
        <v>41543.89930555555</v>
      </c>
      <c r="P2979" s="49" t="n">
        <v>41543</v>
      </c>
      <c r="Q2979" s="47" t="n">
        <v>289</v>
      </c>
      <c r="R2979" s="47" t="inlineStr">
        <is>
          <t>No Video ID yet</t>
        </is>
      </c>
      <c r="S2979" s="49" t="n"/>
      <c r="T2979" s="49" t="n"/>
      <c r="U2979" s="47" t="inlineStr">
        <is>
          <t>Where do you land on stereotypes? Are you stereotyped? Do you stereotype?</t>
        </is>
      </c>
      <c r="V2979" s="47">
        <f>IF(AND(P2979&gt;=Calendar!$K$2,P2979&lt;EDATE(Calendar!$K$2,1),OR(Calendar!$K$4="*",N2979=Calendar!$K$4)),P2979*100+COUNTIFS($P$6:$P$3267,P2979,$Q$6:$Q$3267,"&lt;="&amp;Q2979,$N$6:$N$3267,Calendar!$K$4),"")</f>
        <v/>
      </c>
      <c r="W2979" s="47">
        <f>IF(AND(B2979=Queue!$C$4,OR(Queue!$K$4="*",N2979=Queue!$K$4)),Q2979,"")</f>
        <v/>
      </c>
    </row>
    <row r="2980">
      <c r="A2980" s="38">
        <f>IF(M2980="","",HYPERLINK("https://www.youtube.com/watch?v="&amp;M2980,"▶"))</f>
        <v/>
      </c>
      <c r="B2980" s="39">
        <f>IF(C2980&lt;&gt;"",C2980,IF(P2980&lt;=IFERROR(INDEX(tblChannels[Watched Through],MATCH(N2980,tblChannels[Channel ID],0)),0),"Watched","Unwatched"))</f>
        <v/>
      </c>
      <c r="C2980" s="40" t="n"/>
      <c r="D2980" s="41" t="n"/>
      <c r="E2980" s="42" t="n">
        <v>41541.97013888889</v>
      </c>
      <c r="F2980" s="50" t="inlineStr">
        <is>
          <t>Super Carlin Brothers</t>
        </is>
      </c>
      <c r="G2980" t="inlineStr">
        <is>
          <t>Serving Sizes are BS</t>
        </is>
      </c>
      <c r="H2980" s="44" t="n">
        <v>0.003333333333333334</v>
      </c>
      <c r="I2980" s="45" t="n">
        <v>158499</v>
      </c>
      <c r="J2980" s="45" t="n">
        <v>3349</v>
      </c>
      <c r="K2980" s="45" t="n">
        <v>994</v>
      </c>
      <c r="L2980" s="46" t="n"/>
      <c r="M2980" s="47" t="n"/>
      <c r="N2980" s="47" t="inlineStr">
        <is>
          <t>UCKZo4N0lVPccBkSiuyVh4yg</t>
        </is>
      </c>
      <c r="O2980" s="48" t="n">
        <v>41542.13680555556</v>
      </c>
      <c r="P2980" s="49" t="n">
        <v>41541</v>
      </c>
      <c r="Q2980" s="47" t="n">
        <v>288</v>
      </c>
      <c r="R2980" s="47" t="inlineStr">
        <is>
          <t>No Video ID yet</t>
        </is>
      </c>
      <c r="S2980" s="49" t="n"/>
      <c r="T2980" s="49" t="n"/>
      <c r="U2980" s="47" t="inlineStr">
        <is>
          <t>Seriously who ever only ate 2 Oreos.. nobody thats who. They are sooooo freaking good, I cant even buy them or they are just all gone, the ones I was holding in the vid were bought by Ben - they will probably be devoured by the time this finishes uploading</t>
        </is>
      </c>
      <c r="V2980" s="47">
        <f>IF(AND(P2980&gt;=Calendar!$K$2,P2980&lt;EDATE(Calendar!$K$2,1),OR(Calendar!$K$4="*",N2980=Calendar!$K$4)),P2980*100+COUNTIFS($P$6:$P$3267,P2980,$Q$6:$Q$3267,"&lt;="&amp;Q2980,$N$6:$N$3267,Calendar!$K$4),"")</f>
        <v/>
      </c>
      <c r="W2980" s="47">
        <f>IF(AND(B2980=Queue!$C$4,OR(Queue!$K$4="*",N2980=Queue!$K$4)),Q2980,"")</f>
        <v/>
      </c>
    </row>
    <row r="2981">
      <c r="A2981" s="38">
        <f>IF(M2981="","",HYPERLINK("https://www.youtube.com/watch?v="&amp;M2981,"▶"))</f>
        <v/>
      </c>
      <c r="B2981" s="39">
        <f>IF(C2981&lt;&gt;"",C2981,IF(P2981&lt;=IFERROR(INDEX(tblChannels[Watched Through],MATCH(N2981,tblChannels[Channel ID],0)),0),"Watched","Unwatched"))</f>
        <v/>
      </c>
      <c r="C2981" s="40" t="n"/>
      <c r="D2981" s="41" t="n"/>
      <c r="E2981" s="42" t="n">
        <v>41536.87777777778</v>
      </c>
      <c r="F2981" s="50" t="inlineStr">
        <is>
          <t>Super Carlin Brothers</t>
        </is>
      </c>
      <c r="G2981" t="inlineStr">
        <is>
          <t>YouTube Survey 2013 BEN (and punishment)</t>
        </is>
      </c>
      <c r="H2981" s="44" t="n">
        <v>0.002754629629629629</v>
      </c>
      <c r="I2981" s="45" t="n">
        <v>19120</v>
      </c>
      <c r="J2981" s="45" t="n">
        <v>400</v>
      </c>
      <c r="K2981" s="45" t="n">
        <v>53</v>
      </c>
      <c r="L2981" s="46" t="n"/>
      <c r="M2981" s="47" t="n"/>
      <c r="N2981" s="47" t="inlineStr">
        <is>
          <t>UCKZo4N0lVPccBkSiuyVh4yg</t>
        </is>
      </c>
      <c r="O2981" s="48" t="n">
        <v>41537.04444444444</v>
      </c>
      <c r="P2981" s="49" t="n">
        <v>41536</v>
      </c>
      <c r="Q2981" s="47" t="n">
        <v>287</v>
      </c>
      <c r="R2981" s="47" t="inlineStr">
        <is>
          <t>No Video ID yet</t>
        </is>
      </c>
      <c r="S2981" s="49" t="n"/>
      <c r="T2981" s="49" t="n"/>
      <c r="U2981" s="47" t="inlineStr">
        <is>
          <t>What do you guys think of using money as a score opposed to... "if I make that much I can buy ________" Driven by the desire to get a high score. Whether it be in competition with friends or peers or purely as a personal goal.</t>
        </is>
      </c>
      <c r="V2981" s="47">
        <f>IF(AND(P2981&gt;=Calendar!$K$2,P2981&lt;EDATE(Calendar!$K$2,1),OR(Calendar!$K$4="*",N2981=Calendar!$K$4)),P2981*100+COUNTIFS($P$6:$P$3267,P2981,$Q$6:$Q$3267,"&lt;="&amp;Q2981,$N$6:$N$3267,Calendar!$K$4),"")</f>
        <v/>
      </c>
      <c r="W2981" s="47">
        <f>IF(AND(B2981=Queue!$C$4,OR(Queue!$K$4="*",N2981=Queue!$K$4)),Q2981,"")</f>
        <v/>
      </c>
    </row>
    <row r="2982">
      <c r="A2982" s="38">
        <f>IF(M2982="","",HYPERLINK("https://www.youtube.com/watch?v="&amp;M2982,"▶"))</f>
        <v/>
      </c>
      <c r="B2982" s="39">
        <f>IF(C2982&lt;&gt;"",C2982,IF(P2982&lt;=IFERROR(INDEX(tblChannels[Watched Through],MATCH(N2982,tblChannels[Channel ID],0)),0),"Watched","Unwatched"))</f>
        <v/>
      </c>
      <c r="C2982" s="40" t="n"/>
      <c r="D2982" s="41" t="n"/>
      <c r="E2982" s="42" t="n">
        <v>41534.375</v>
      </c>
      <c r="F2982" s="50" t="inlineStr">
        <is>
          <t>Super Carlin Brothers</t>
        </is>
      </c>
      <c r="G2982" t="inlineStr">
        <is>
          <t>Youtube Survey 2013</t>
        </is>
      </c>
      <c r="H2982" s="44" t="n">
        <v>0.004097222222222223</v>
      </c>
      <c r="I2982" s="45" t="n">
        <v>20165</v>
      </c>
      <c r="J2982" s="45" t="n">
        <v>481</v>
      </c>
      <c r="K2982" s="45" t="n">
        <v>129</v>
      </c>
      <c r="L2982" s="46" t="n"/>
      <c r="M2982" s="47" t="n"/>
      <c r="N2982" s="47" t="inlineStr">
        <is>
          <t>UCKZo4N0lVPccBkSiuyVh4yg</t>
        </is>
      </c>
      <c r="O2982" s="48" t="n">
        <v>41534.54166666666</v>
      </c>
      <c r="P2982" s="49" t="n">
        <v>41534</v>
      </c>
      <c r="Q2982" s="47" t="n">
        <v>286</v>
      </c>
      <c r="R2982" s="47" t="inlineStr">
        <is>
          <t>No Video ID yet</t>
        </is>
      </c>
      <c r="S2982" s="49" t="n"/>
      <c r="T2982" s="49" t="n"/>
      <c r="U2982" s="47" t="inlineStr">
        <is>
          <t>In which Jonathan answers the 2013 Youtube "Nerimon" Survey THE QUESTIONS 1 - WHAT IS YOUR BIGGEST FEAR? 2 - HOW DID YOU FIND OUT SANTA ISN'T REAL? 3 - WHAT IS THE BEST IDEA YOU'VE EVER HAD? 4 - MOST EMBARRASSING THING YOUR PARENTS HAVE EVER DONE? 5 - IF YOU WERE ONLY ALLOWED TO PICK ONE CAREER FOR THE REST OF YOUR LIFE, WHAT WOULD IT BE? The Tags: NerdyAndQuirky: AwkwardAdolecents: SuperCarlinBrothers: You Are Already HERE!</t>
        </is>
      </c>
      <c r="V2982" s="47">
        <f>IF(AND(P2982&gt;=Calendar!$K$2,P2982&lt;EDATE(Calendar!$K$2,1),OR(Calendar!$K$4="*",N2982=Calendar!$K$4)),P2982*100+COUNTIFS($P$6:$P$3267,P2982,$Q$6:$Q$3267,"&lt;="&amp;Q2982,$N$6:$N$3267,Calendar!$K$4),"")</f>
        <v/>
      </c>
      <c r="W2982" s="47">
        <f>IF(AND(B2982=Queue!$C$4,OR(Queue!$K$4="*",N2982=Queue!$K$4)),Q2982,"")</f>
        <v/>
      </c>
    </row>
    <row r="2983">
      <c r="A2983" s="38">
        <f>IF(M2983="","",HYPERLINK("https://www.youtube.com/watch?v="&amp;M2983,"▶"))</f>
        <v/>
      </c>
      <c r="B2983" s="39">
        <f>IF(C2983&lt;&gt;"",C2983,IF(P2983&lt;=IFERROR(INDEX(tblChannels[Watched Through],MATCH(N2983,tblChannels[Channel ID],0)),0),"Watched","Unwatched"))</f>
        <v/>
      </c>
      <c r="C2983" s="40" t="n"/>
      <c r="D2983" s="41" t="n"/>
      <c r="E2983" s="42" t="n">
        <v>41529.96805555555</v>
      </c>
      <c r="F2983" s="50" t="inlineStr">
        <is>
          <t>Super Carlin Brothers</t>
        </is>
      </c>
      <c r="G2983" t="inlineStr">
        <is>
          <t>Battle of the Brands</t>
        </is>
      </c>
      <c r="H2983" s="44" t="n">
        <v>0.002210648148148148</v>
      </c>
      <c r="I2983" s="45" t="n">
        <v>9109</v>
      </c>
      <c r="J2983" s="45" t="n">
        <v>164</v>
      </c>
      <c r="K2983" s="45" t="n">
        <v>66</v>
      </c>
      <c r="L2983" s="46" t="n"/>
      <c r="M2983" s="47" t="n"/>
      <c r="N2983" s="47" t="inlineStr">
        <is>
          <t>UCKZo4N0lVPccBkSiuyVh4yg</t>
        </is>
      </c>
      <c r="O2983" s="48" t="n">
        <v>41530.13472222222</v>
      </c>
      <c r="P2983" s="49" t="n">
        <v>41529</v>
      </c>
      <c r="Q2983" s="47" t="n">
        <v>285</v>
      </c>
      <c r="R2983" s="47" t="inlineStr">
        <is>
          <t>No Video ID yet</t>
        </is>
      </c>
      <c r="S2983" s="49" t="n"/>
      <c r="T2983" s="49" t="n"/>
      <c r="U2983" s="47" t="inlineStr">
        <is>
          <t>Where do you land?! Any, one, none, some? LET ME KNOW Apple vs. Android Verizon vs. AT&amp;T Lowes vs. Home Depot Coke vs. pepsi Xbox vs. Playstation Sweet and Low vs. Splenda vs. Sugar vs. Stevia</t>
        </is>
      </c>
      <c r="V2983" s="47">
        <f>IF(AND(P2983&gt;=Calendar!$K$2,P2983&lt;EDATE(Calendar!$K$2,1),OR(Calendar!$K$4="*",N2983=Calendar!$K$4)),P2983*100+COUNTIFS($P$6:$P$3267,P2983,$Q$6:$Q$3267,"&lt;="&amp;Q2983,$N$6:$N$3267,Calendar!$K$4),"")</f>
        <v/>
      </c>
      <c r="W2983" s="47">
        <f>IF(AND(B2983=Queue!$C$4,OR(Queue!$K$4="*",N2983=Queue!$K$4)),Q2983,"")</f>
        <v/>
      </c>
    </row>
    <row r="2984">
      <c r="A2984" s="38">
        <f>IF(M2984="","",HYPERLINK("https://www.youtube.com/watch?v="&amp;M2984,"▶"))</f>
        <v/>
      </c>
      <c r="B2984" s="39">
        <f>IF(C2984&lt;&gt;"",C2984,IF(P2984&lt;=IFERROR(INDEX(tblChannels[Watched Through],MATCH(N2984,tblChannels[Channel ID],0)),0),"Watched","Unwatched"))</f>
        <v/>
      </c>
      <c r="C2984" s="40" t="n"/>
      <c r="D2984" s="41" t="n"/>
      <c r="E2984" s="42" t="n">
        <v>41527.98055555556</v>
      </c>
      <c r="F2984" s="50" t="inlineStr">
        <is>
          <t>Super Carlin Brothers</t>
        </is>
      </c>
      <c r="G2984" t="inlineStr">
        <is>
          <t>RGIII vs. Game of Thrones</t>
        </is>
      </c>
      <c r="H2984" s="44" t="n">
        <v>0.003391203703703704</v>
      </c>
      <c r="I2984" s="45" t="n">
        <v>10702</v>
      </c>
      <c r="J2984" s="45" t="n">
        <v>202</v>
      </c>
      <c r="K2984" s="45" t="n">
        <v>75</v>
      </c>
      <c r="L2984" s="46" t="n"/>
      <c r="M2984" s="47" t="n"/>
      <c r="N2984" s="47" t="inlineStr">
        <is>
          <t>UCKZo4N0lVPccBkSiuyVh4yg</t>
        </is>
      </c>
      <c r="O2984" s="48" t="n">
        <v>41528.14722222222</v>
      </c>
      <c r="P2984" s="49" t="n">
        <v>41527</v>
      </c>
      <c r="Q2984" s="47" t="n">
        <v>284</v>
      </c>
      <c r="R2984" s="47" t="inlineStr">
        <is>
          <t>No Video ID yet</t>
        </is>
      </c>
      <c r="S2984" s="49" t="n"/>
      <c r="T2984" s="49" t="n"/>
      <c r="U2984" s="47" t="inlineStr">
        <is>
          <t>My real concern here is that despite signing up for a service I greatly enjoy in Audible I have unwittingly forced myself to no longer enjoy the radio... maybe forever! I dont know if everyone enjoys radio as much as me but I think its an incredibly entertaining medium, and while TV, Movies and Print have all fallen by the wayside to other services like Netflix, Hulu and well the internet as a whole I never really suspected a way for radio to be threatened in the same way. I mean obviously there are iPods and CD's and stuff, but thats still optional, whats odd about this scenario is how I feel bound to the service I signed up for by the cost I have to pay every month, if I'm not listening to the books its just a waste of money.</t>
        </is>
      </c>
      <c r="V2984" s="47">
        <f>IF(AND(P2984&gt;=Calendar!$K$2,P2984&lt;EDATE(Calendar!$K$2,1),OR(Calendar!$K$4="*",N2984=Calendar!$K$4)),P2984*100+COUNTIFS($P$6:$P$3267,P2984,$Q$6:$Q$3267,"&lt;="&amp;Q2984,$N$6:$N$3267,Calendar!$K$4),"")</f>
        <v/>
      </c>
      <c r="W2984" s="47">
        <f>IF(AND(B2984=Queue!$C$4,OR(Queue!$K$4="*",N2984=Queue!$K$4)),Q2984,"")</f>
        <v/>
      </c>
    </row>
    <row r="2985">
      <c r="A2985" s="38">
        <f>IF(M2985="","",HYPERLINK("https://www.youtube.com/watch?v="&amp;M2985,"▶"))</f>
        <v/>
      </c>
      <c r="B2985" s="39">
        <f>IF(C2985&lt;&gt;"",C2985,IF(P2985&lt;=IFERROR(INDEX(tblChannels[Watched Through],MATCH(N2985,tblChannels[Channel ID],0)),0),"Watched","Unwatched"))</f>
        <v/>
      </c>
      <c r="C2985" s="40" t="n"/>
      <c r="D2985" s="41" t="n"/>
      <c r="E2985" s="42" t="n">
        <v>41522.92986111111</v>
      </c>
      <c r="F2985" s="50" t="inlineStr">
        <is>
          <t>Super Carlin Brothers</t>
        </is>
      </c>
      <c r="G2985" t="inlineStr">
        <is>
          <t>Underdog Advantage</t>
        </is>
      </c>
      <c r="H2985" s="44" t="n">
        <v>0.003136574074074074</v>
      </c>
      <c r="I2985" s="45" t="n">
        <v>10179</v>
      </c>
      <c r="J2985" s="45" t="n">
        <v>212</v>
      </c>
      <c r="K2985" s="45" t="n">
        <v>27</v>
      </c>
      <c r="L2985" s="46" t="n"/>
      <c r="M2985" s="47" t="n"/>
      <c r="N2985" s="47" t="inlineStr">
        <is>
          <t>UCKZo4N0lVPccBkSiuyVh4yg</t>
        </is>
      </c>
      <c r="O2985" s="48" t="n">
        <v>41523.09652777778</v>
      </c>
      <c r="P2985" s="49" t="n">
        <v>41522</v>
      </c>
      <c r="Q2985" s="47" t="n">
        <v>283</v>
      </c>
      <c r="R2985" s="47" t="inlineStr">
        <is>
          <t>No Video ID yet</t>
        </is>
      </c>
      <c r="S2985" s="49" t="n"/>
      <c r="T2985" s="49" t="n"/>
      <c r="U2985" s="47" t="n"/>
      <c r="V2985" s="47">
        <f>IF(AND(P2985&gt;=Calendar!$K$2,P2985&lt;EDATE(Calendar!$K$2,1),OR(Calendar!$K$4="*",N2985=Calendar!$K$4)),P2985*100+COUNTIFS($P$6:$P$3267,P2985,$Q$6:$Q$3267,"&lt;="&amp;Q2985,$N$6:$N$3267,Calendar!$K$4),"")</f>
        <v/>
      </c>
      <c r="W2985" s="47">
        <f>IF(AND(B2985=Queue!$C$4,OR(Queue!$K$4="*",N2985=Queue!$K$4)),Q2985,"")</f>
        <v/>
      </c>
    </row>
    <row r="2986">
      <c r="A2986" s="38">
        <f>IF(M2986="","",HYPERLINK("https://www.youtube.com/watch?v="&amp;M2986,"▶"))</f>
        <v/>
      </c>
      <c r="B2986" s="39">
        <f>IF(C2986&lt;&gt;"",C2986,IF(P2986&lt;=IFERROR(INDEX(tblChannels[Watched Through],MATCH(N2986,tblChannels[Channel ID],0)),0),"Watched","Unwatched"))</f>
        <v/>
      </c>
      <c r="C2986" s="40" t="n"/>
      <c r="D2986" s="41" t="n"/>
      <c r="E2986" s="42" t="n">
        <v>41520.94930555556</v>
      </c>
      <c r="F2986" s="50" t="inlineStr">
        <is>
          <t>Super Carlin Brothers</t>
        </is>
      </c>
      <c r="G2986" t="inlineStr">
        <is>
          <t>The Importance of Nothing!</t>
        </is>
      </c>
      <c r="H2986" s="44" t="n">
        <v>0.002349537037037037</v>
      </c>
      <c r="I2986" s="45" t="n">
        <v>147971</v>
      </c>
      <c r="J2986" s="45" t="n">
        <v>2880</v>
      </c>
      <c r="K2986" s="45" t="n">
        <v>759</v>
      </c>
      <c r="L2986" s="46" t="n"/>
      <c r="M2986" s="47" t="n"/>
      <c r="N2986" s="47" t="inlineStr">
        <is>
          <t>UCKZo4N0lVPccBkSiuyVh4yg</t>
        </is>
      </c>
      <c r="O2986" s="48" t="n">
        <v>41521.11597222222</v>
      </c>
      <c r="P2986" s="49" t="n">
        <v>41520</v>
      </c>
      <c r="Q2986" s="47" t="n">
        <v>282</v>
      </c>
      <c r="R2986" s="47" t="inlineStr">
        <is>
          <t>No Video ID yet</t>
        </is>
      </c>
      <c r="S2986" s="49" t="n"/>
      <c r="T2986" s="49" t="n"/>
      <c r="U2986" s="47" t="inlineStr">
        <is>
          <t>I thought about just leaving this whole box blank...</t>
        </is>
      </c>
      <c r="V2986" s="47">
        <f>IF(AND(P2986&gt;=Calendar!$K$2,P2986&lt;EDATE(Calendar!$K$2,1),OR(Calendar!$K$4="*",N2986=Calendar!$K$4)),P2986*100+COUNTIFS($P$6:$P$3267,P2986,$Q$6:$Q$3267,"&lt;="&amp;Q2986,$N$6:$N$3267,Calendar!$K$4),"")</f>
        <v/>
      </c>
      <c r="W2986" s="47">
        <f>IF(AND(B2986=Queue!$C$4,OR(Queue!$K$4="*",N2986=Queue!$K$4)),Q2986,"")</f>
        <v/>
      </c>
    </row>
    <row r="2987">
      <c r="A2987" s="38">
        <f>IF(M2987="","",HYPERLINK("https://www.youtube.com/watch?v="&amp;M2987,"▶"))</f>
        <v/>
      </c>
      <c r="B2987" s="39">
        <f>IF(C2987&lt;&gt;"",C2987,IF(P2987&lt;=IFERROR(INDEX(tblChannels[Watched Through],MATCH(N2987,tblChannels[Channel ID],0)),0),"Watched","Unwatched"))</f>
        <v/>
      </c>
      <c r="C2987" s="40" t="n"/>
      <c r="D2987" s="41" t="n"/>
      <c r="E2987" s="42" t="n">
        <v>41515.98125</v>
      </c>
      <c r="F2987" s="50" t="inlineStr">
        <is>
          <t>Super Carlin Brothers</t>
        </is>
      </c>
      <c r="G2987" t="inlineStr">
        <is>
          <t>Tongue Stitches</t>
        </is>
      </c>
      <c r="H2987" s="44" t="n">
        <v>0.001435185185185185</v>
      </c>
      <c r="I2987" s="45" t="n">
        <v>11056</v>
      </c>
      <c r="J2987" s="45" t="n">
        <v>186</v>
      </c>
      <c r="K2987" s="45" t="n">
        <v>10</v>
      </c>
      <c r="L2987" s="46" t="n"/>
      <c r="M2987" s="47" t="n"/>
      <c r="N2987" s="47" t="inlineStr">
        <is>
          <t>UCKZo4N0lVPccBkSiuyVh4yg</t>
        </is>
      </c>
      <c r="O2987" s="48" t="n">
        <v>41516.14791666667</v>
      </c>
      <c r="P2987" s="49" t="n">
        <v>41515</v>
      </c>
      <c r="Q2987" s="47" t="n">
        <v>281</v>
      </c>
      <c r="R2987" s="47" t="inlineStr">
        <is>
          <t>No Video ID yet</t>
        </is>
      </c>
      <c r="S2987" s="49" t="n"/>
      <c r="T2987" s="49" t="n"/>
      <c r="U2987" s="47" t="n"/>
      <c r="V2987" s="47">
        <f>IF(AND(P2987&gt;=Calendar!$K$2,P2987&lt;EDATE(Calendar!$K$2,1),OR(Calendar!$K$4="*",N2987=Calendar!$K$4)),P2987*100+COUNTIFS($P$6:$P$3267,P2987,$Q$6:$Q$3267,"&lt;="&amp;Q2987,$N$6:$N$3267,Calendar!$K$4),"")</f>
        <v/>
      </c>
      <c r="W2987" s="47">
        <f>IF(AND(B2987=Queue!$C$4,OR(Queue!$K$4="*",N2987=Queue!$K$4)),Q2987,"")</f>
        <v/>
      </c>
    </row>
    <row r="2988">
      <c r="A2988" s="38">
        <f>IF(M2988="","",HYPERLINK("https://www.youtube.com/watch?v="&amp;M2988,"▶"))</f>
        <v/>
      </c>
      <c r="B2988" s="39">
        <f>IF(C2988&lt;&gt;"",C2988,IF(P2988&lt;=IFERROR(INDEX(tblChannels[Watched Through],MATCH(N2988,tblChannels[Channel ID],0)),0),"Watched","Unwatched"))</f>
        <v/>
      </c>
      <c r="C2988" s="40" t="n"/>
      <c r="D2988" s="41" t="n"/>
      <c r="E2988" s="42" t="n">
        <v>41513.9875</v>
      </c>
      <c r="F2988" s="50" t="inlineStr">
        <is>
          <t>Super Carlin Brothers</t>
        </is>
      </c>
      <c r="G2988" t="inlineStr">
        <is>
          <t>SCARS!</t>
        </is>
      </c>
      <c r="H2988" s="44" t="n">
        <v>0.002476851851851852</v>
      </c>
      <c r="I2988" s="45" t="n">
        <v>53090</v>
      </c>
      <c r="J2988" s="45" t="n">
        <v>933</v>
      </c>
      <c r="K2988" s="45" t="n">
        <v>480</v>
      </c>
      <c r="L2988" s="46" t="n"/>
      <c r="M2988" s="47" t="n"/>
      <c r="N2988" s="47" t="inlineStr">
        <is>
          <t>UCKZo4N0lVPccBkSiuyVh4yg</t>
        </is>
      </c>
      <c r="O2988" s="48" t="n">
        <v>41514.15416666667</v>
      </c>
      <c r="P2988" s="49" t="n">
        <v>41513</v>
      </c>
      <c r="Q2988" s="47" t="n">
        <v>280</v>
      </c>
      <c r="R2988" s="47" t="inlineStr">
        <is>
          <t>No Video ID yet</t>
        </is>
      </c>
      <c r="S2988" s="49" t="n"/>
      <c r="T2988" s="49" t="n"/>
      <c r="U2988" s="47" t="inlineStr">
        <is>
          <t>What is your best scar story??? Also seriously Gaston is the best villain and he gets screwed. Yes, he is a total dick, but for a guy who is supposed to appear as more of a threat than he is, he is INCREDIBLY effective and resourceful. Everyone in the town loves him and he is charismatic enough and has enough leadership skills to convince the town to go to arms and hunt down a beast far away in a castle with no other proof than a MIRROR an effing mirror are you kidding me? Not only that, but when he gets to the castle he doesn't hesitate at all before engaging the Beast despite obviously being physically outmatched. Yes I know he attacks the Beast even though the Beast has yielded, but even after Beast joins the fight Gaston is still winning, he hits him with that huge cement thing and STABS him.. what does the beast do? Shove him? Boring.</t>
        </is>
      </c>
      <c r="V2988" s="47">
        <f>IF(AND(P2988&gt;=Calendar!$K$2,P2988&lt;EDATE(Calendar!$K$2,1),OR(Calendar!$K$4="*",N2988=Calendar!$K$4)),P2988*100+COUNTIFS($P$6:$P$3267,P2988,$Q$6:$Q$3267,"&lt;="&amp;Q2988,$N$6:$N$3267,Calendar!$K$4),"")</f>
        <v/>
      </c>
      <c r="W2988" s="47">
        <f>IF(AND(B2988=Queue!$C$4,OR(Queue!$K$4="*",N2988=Queue!$K$4)),Q2988,"")</f>
        <v/>
      </c>
    </row>
    <row r="2989">
      <c r="A2989" s="38">
        <f>IF(M2989="","",HYPERLINK("https://www.youtube.com/watch?v="&amp;M2989,"▶"))</f>
        <v/>
      </c>
      <c r="B2989" s="39">
        <f>IF(C2989&lt;&gt;"",C2989,IF(P2989&lt;=IFERROR(INDEX(tblChannels[Watched Through],MATCH(N2989,tblChannels[Channel ID],0)),0),"Watched","Unwatched"))</f>
        <v/>
      </c>
      <c r="C2989" s="40" t="n"/>
      <c r="D2989" s="41" t="n"/>
      <c r="E2989" s="42" t="n">
        <v>41509.00416666667</v>
      </c>
      <c r="F2989" s="50" t="inlineStr">
        <is>
          <t>Super Carlin Brothers</t>
        </is>
      </c>
      <c r="G2989" t="inlineStr">
        <is>
          <t>Weakness</t>
        </is>
      </c>
      <c r="H2989" s="44" t="n">
        <v>0.003726851851851852</v>
      </c>
      <c r="I2989" s="45" t="n">
        <v>11296</v>
      </c>
      <c r="J2989" s="45" t="n">
        <v>227</v>
      </c>
      <c r="K2989" s="45" t="n">
        <v>100</v>
      </c>
      <c r="L2989" s="46" t="n"/>
      <c r="M2989" s="47" t="n"/>
      <c r="N2989" s="47" t="inlineStr">
        <is>
          <t>UCKZo4N0lVPccBkSiuyVh4yg</t>
        </is>
      </c>
      <c r="O2989" s="48" t="n">
        <v>41509.17083333333</v>
      </c>
      <c r="P2989" s="49" t="n">
        <v>41509</v>
      </c>
      <c r="Q2989" s="47" t="n">
        <v>279</v>
      </c>
      <c r="R2989" s="47" t="inlineStr">
        <is>
          <t>No Video ID yet</t>
        </is>
      </c>
      <c r="S2989" s="49" t="n"/>
      <c r="T2989" s="49" t="n"/>
      <c r="U2989" s="47" t="inlineStr">
        <is>
          <t>What is your weakness?</t>
        </is>
      </c>
      <c r="V2989" s="47">
        <f>IF(AND(P2989&gt;=Calendar!$K$2,P2989&lt;EDATE(Calendar!$K$2,1),OR(Calendar!$K$4="*",N2989=Calendar!$K$4)),P2989*100+COUNTIFS($P$6:$P$3267,P2989,$Q$6:$Q$3267,"&lt;="&amp;Q2989,$N$6:$N$3267,Calendar!$K$4),"")</f>
        <v/>
      </c>
      <c r="W2989" s="47">
        <f>IF(AND(B2989=Queue!$C$4,OR(Queue!$K$4="*",N2989=Queue!$K$4)),Q2989,"")</f>
        <v/>
      </c>
    </row>
    <row r="2990">
      <c r="A2990" s="38">
        <f>IF(M2990="","",HYPERLINK("https://www.youtube.com/watch?v="&amp;M2990,"▶"))</f>
        <v/>
      </c>
      <c r="B2990" s="39">
        <f>IF(C2990&lt;&gt;"",C2990,IF(P2990&lt;=IFERROR(INDEX(tblChannels[Watched Through],MATCH(N2990,tblChannels[Channel ID],0)),0),"Watched","Unwatched"))</f>
        <v/>
      </c>
      <c r="C2990" s="40" t="n"/>
      <c r="D2990" s="41" t="n"/>
      <c r="E2990" s="42" t="n">
        <v>41506.97152777778</v>
      </c>
      <c r="F2990" s="50" t="inlineStr">
        <is>
          <t>Super Carlin Brothers</t>
        </is>
      </c>
      <c r="G2990" t="inlineStr">
        <is>
          <t>BEST VIDEO EVER!!!</t>
        </is>
      </c>
      <c r="H2990" s="44" t="n">
        <v>0.002708333333333333</v>
      </c>
      <c r="I2990" s="45" t="n">
        <v>37937</v>
      </c>
      <c r="J2990" s="45" t="n">
        <v>1054</v>
      </c>
      <c r="K2990" s="45" t="n">
        <v>90</v>
      </c>
      <c r="L2990" s="46" t="n"/>
      <c r="M2990" s="47" t="n"/>
      <c r="N2990" s="47" t="inlineStr">
        <is>
          <t>UCKZo4N0lVPccBkSiuyVh4yg</t>
        </is>
      </c>
      <c r="O2990" s="48" t="n">
        <v>41507.13819444444</v>
      </c>
      <c r="P2990" s="49" t="n">
        <v>41506</v>
      </c>
      <c r="Q2990" s="47" t="n">
        <v>278</v>
      </c>
      <c r="R2990" s="47" t="inlineStr">
        <is>
          <t>No Video ID yet</t>
        </is>
      </c>
      <c r="S2990" s="49" t="n"/>
      <c r="T2990" s="49" t="n"/>
      <c r="U2990" s="47" t="inlineStr">
        <is>
          <t>Probably not but I TRIED SO HARD!! Do you think effort should be rewarded?</t>
        </is>
      </c>
      <c r="V2990" s="47">
        <f>IF(AND(P2990&gt;=Calendar!$K$2,P2990&lt;EDATE(Calendar!$K$2,1),OR(Calendar!$K$4="*",N2990=Calendar!$K$4)),P2990*100+COUNTIFS($P$6:$P$3267,P2990,$Q$6:$Q$3267,"&lt;="&amp;Q2990,$N$6:$N$3267,Calendar!$K$4),"")</f>
        <v/>
      </c>
      <c r="W2990" s="47">
        <f>IF(AND(B2990=Queue!$C$4,OR(Queue!$K$4="*",N2990=Queue!$K$4)),Q2990,"")</f>
        <v/>
      </c>
    </row>
    <row r="2991">
      <c r="A2991" s="38">
        <f>IF(M2991="","",HYPERLINK("https://www.youtube.com/watch?v="&amp;M2991,"▶"))</f>
        <v/>
      </c>
      <c r="B2991" s="39">
        <f>IF(C2991&lt;&gt;"",C2991,IF(P2991&lt;=IFERROR(INDEX(tblChannels[Watched Through],MATCH(N2991,tblChannels[Channel ID],0)),0),"Watched","Unwatched"))</f>
        <v/>
      </c>
      <c r="C2991" s="40" t="n"/>
      <c r="D2991" s="41" t="n"/>
      <c r="E2991" s="42" t="n">
        <v>41501.94236111111</v>
      </c>
      <c r="F2991" s="50" t="inlineStr">
        <is>
          <t>Super Carlin Brothers</t>
        </is>
      </c>
      <c r="G2991" t="inlineStr">
        <is>
          <t>Beavers</t>
        </is>
      </c>
      <c r="H2991" s="44" t="n">
        <v>0.00369212962962963</v>
      </c>
      <c r="I2991" s="45" t="n">
        <v>10333</v>
      </c>
      <c r="J2991" s="45" t="n">
        <v>195</v>
      </c>
      <c r="K2991" s="45" t="n">
        <v>45</v>
      </c>
      <c r="L2991" s="46" t="n"/>
      <c r="M2991" s="47" t="n"/>
      <c r="N2991" s="47" t="inlineStr">
        <is>
          <t>UCKZo4N0lVPccBkSiuyVh4yg</t>
        </is>
      </c>
      <c r="O2991" s="48" t="n">
        <v>41502.10902777778</v>
      </c>
      <c r="P2991" s="49" t="n">
        <v>41501</v>
      </c>
      <c r="Q2991" s="47" t="n">
        <v>277</v>
      </c>
      <c r="R2991" s="47" t="inlineStr">
        <is>
          <t>No Video ID yet</t>
        </is>
      </c>
      <c r="S2991" s="49" t="n"/>
      <c r="T2991" s="49" t="n"/>
      <c r="U2991" s="47" t="inlineStr">
        <is>
          <t>I've been thinking about human environmental impacts a lot lately due to a recent aquarium install I did specifically designed to promote awareness about a local endangered fish: the Roanoke Log Perch =D</t>
        </is>
      </c>
      <c r="V2991" s="47">
        <f>IF(AND(P2991&gt;=Calendar!$K$2,P2991&lt;EDATE(Calendar!$K$2,1),OR(Calendar!$K$4="*",N2991=Calendar!$K$4)),P2991*100+COUNTIFS($P$6:$P$3267,P2991,$Q$6:$Q$3267,"&lt;="&amp;Q2991,$N$6:$N$3267,Calendar!$K$4),"")</f>
        <v/>
      </c>
      <c r="W2991" s="47">
        <f>IF(AND(B2991=Queue!$C$4,OR(Queue!$K$4="*",N2991=Queue!$K$4)),Q2991,"")</f>
        <v/>
      </c>
    </row>
    <row r="2992">
      <c r="A2992" s="38">
        <f>IF(M2992="","",HYPERLINK("https://www.youtube.com/watch?v="&amp;M2992,"▶"))</f>
        <v/>
      </c>
      <c r="B2992" s="39">
        <f>IF(C2992&lt;&gt;"",C2992,IF(P2992&lt;=IFERROR(INDEX(tblChannels[Watched Through],MATCH(N2992,tblChannels[Channel ID],0)),0),"Watched","Unwatched"))</f>
        <v/>
      </c>
      <c r="C2992" s="40" t="n"/>
      <c r="D2992" s="41" t="n"/>
      <c r="E2992" s="42" t="n">
        <v>41499.91944444444</v>
      </c>
      <c r="F2992" s="50" t="inlineStr">
        <is>
          <t>Super Carlin Brothers</t>
        </is>
      </c>
      <c r="G2992" t="inlineStr">
        <is>
          <t>ZOMBIE APOCALYPSE!</t>
        </is>
      </c>
      <c r="H2992" s="44" t="n">
        <v>0.003171296296296296</v>
      </c>
      <c r="I2992" s="45" t="n">
        <v>18867</v>
      </c>
      <c r="J2992" s="45" t="n">
        <v>383</v>
      </c>
      <c r="K2992" s="45" t="n">
        <v>116</v>
      </c>
      <c r="L2992" s="46" t="n"/>
      <c r="M2992" s="47" t="n"/>
      <c r="N2992" s="47" t="inlineStr">
        <is>
          <t>UCKZo4N0lVPccBkSiuyVh4yg</t>
        </is>
      </c>
      <c r="O2992" s="48" t="n">
        <v>41500.08611111111</v>
      </c>
      <c r="P2992" s="49" t="n">
        <v>41499</v>
      </c>
      <c r="Q2992" s="47" t="n">
        <v>276</v>
      </c>
      <c r="R2992" s="47" t="inlineStr">
        <is>
          <t>No Video ID yet</t>
        </is>
      </c>
      <c r="S2992" s="49" t="n"/>
      <c r="T2992" s="49" t="n"/>
      <c r="U2992" s="47" t="inlineStr">
        <is>
          <t>We are all doomed.. that is all. Not really.. what could you offer in a post apocalyptic world?</t>
        </is>
      </c>
      <c r="V2992" s="47">
        <f>IF(AND(P2992&gt;=Calendar!$K$2,P2992&lt;EDATE(Calendar!$K$2,1),OR(Calendar!$K$4="*",N2992=Calendar!$K$4)),P2992*100+COUNTIFS($P$6:$P$3267,P2992,$Q$6:$Q$3267,"&lt;="&amp;Q2992,$N$6:$N$3267,Calendar!$K$4),"")</f>
        <v/>
      </c>
      <c r="W2992" s="47">
        <f>IF(AND(B2992=Queue!$C$4,OR(Queue!$K$4="*",N2992=Queue!$K$4)),Q2992,"")</f>
        <v/>
      </c>
    </row>
    <row r="2993">
      <c r="A2993" s="38">
        <f>IF(M2993="","",HYPERLINK("https://www.youtube.com/watch?v="&amp;M2993,"▶"))</f>
        <v/>
      </c>
      <c r="B2993" s="39">
        <f>IF(C2993&lt;&gt;"",C2993,IF(P2993&lt;=IFERROR(INDEX(tblChannels[Watched Through],MATCH(N2993,tblChannels[Channel ID],0)),0),"Watched","Unwatched"))</f>
        <v/>
      </c>
      <c r="C2993" s="40" t="n"/>
      <c r="D2993" s="41" t="n"/>
      <c r="E2993" s="42" t="n">
        <v>41494.78333333333</v>
      </c>
      <c r="F2993" s="50" t="inlineStr">
        <is>
          <t>Super Carlin Brothers</t>
        </is>
      </c>
      <c r="G2993" t="inlineStr">
        <is>
          <t>Segway</t>
        </is>
      </c>
      <c r="H2993" s="44" t="n">
        <v>0.001793981481481481</v>
      </c>
      <c r="I2993" s="45" t="n">
        <v>9923</v>
      </c>
      <c r="J2993" s="45" t="n">
        <v>204</v>
      </c>
      <c r="K2993" s="45" t="n">
        <v>38</v>
      </c>
      <c r="L2993" s="46" t="n"/>
      <c r="M2993" s="47" t="n"/>
      <c r="N2993" s="47" t="inlineStr">
        <is>
          <t>UCKZo4N0lVPccBkSiuyVh4yg</t>
        </is>
      </c>
      <c r="O2993" s="48" t="n">
        <v>41494.95</v>
      </c>
      <c r="P2993" s="49" t="n">
        <v>41494</v>
      </c>
      <c r="Q2993" s="47" t="n">
        <v>275</v>
      </c>
      <c r="R2993" s="47" t="inlineStr">
        <is>
          <t>No Video ID yet</t>
        </is>
      </c>
      <c r="S2993" s="49" t="n"/>
      <c r="T2993" s="49" t="n"/>
      <c r="U2993" s="47" t="inlineStr">
        <is>
          <t>There were two things that could happen when we finished the year long conversation where we had 2-3 videos to do every week.... 1: I would have waaaay more time to focus on making 1 really good video a week... or 2: I would have exactly the same amount of time as always and maintain the previous video standard. I said two things but the third was I would sometimes still have no time. But just because I don't have time doesn't mean I'm not hyper... hence me talking in double time today... that was unplanned.</t>
        </is>
      </c>
      <c r="V2993" s="47">
        <f>IF(AND(P2993&gt;=Calendar!$K$2,P2993&lt;EDATE(Calendar!$K$2,1),OR(Calendar!$K$4="*",N2993=Calendar!$K$4)),P2993*100+COUNTIFS($P$6:$P$3267,P2993,$Q$6:$Q$3267,"&lt;="&amp;Q2993,$N$6:$N$3267,Calendar!$K$4),"")</f>
        <v/>
      </c>
      <c r="W2993" s="47">
        <f>IF(AND(B2993=Queue!$C$4,OR(Queue!$K$4="*",N2993=Queue!$K$4)),Q2993,"")</f>
        <v/>
      </c>
    </row>
    <row r="2994">
      <c r="A2994" s="38">
        <f>IF(M2994="","",HYPERLINK("https://www.youtube.com/watch?v="&amp;M2994,"▶"))</f>
        <v/>
      </c>
      <c r="B2994" s="39">
        <f>IF(C2994&lt;&gt;"",C2994,IF(P2994&lt;=IFERROR(INDEX(tblChannels[Watched Through],MATCH(N2994,tblChannels[Channel ID],0)),0),"Watched","Unwatched"))</f>
        <v/>
      </c>
      <c r="C2994" s="40" t="n"/>
      <c r="D2994" s="41" t="n"/>
      <c r="E2994" s="42" t="n">
        <v>41492.99097222222</v>
      </c>
      <c r="F2994" s="50" t="inlineStr">
        <is>
          <t>Super Carlin Brothers</t>
        </is>
      </c>
      <c r="G2994" t="inlineStr">
        <is>
          <t>J's Summer Favorites</t>
        </is>
      </c>
      <c r="H2994" s="44" t="n">
        <v>0.00337962962962963</v>
      </c>
      <c r="I2994" s="45" t="n">
        <v>15205</v>
      </c>
      <c r="J2994" s="45" t="n">
        <v>286</v>
      </c>
      <c r="K2994" s="45" t="n">
        <v>39</v>
      </c>
      <c r="L2994" s="46" t="n"/>
      <c r="M2994" s="47" t="n"/>
      <c r="N2994" s="47" t="inlineStr">
        <is>
          <t>UCKZo4N0lVPccBkSiuyVh4yg</t>
        </is>
      </c>
      <c r="O2994" s="48" t="n">
        <v>41493.15763888889</v>
      </c>
      <c r="P2994" s="49" t="n">
        <v>41492</v>
      </c>
      <c r="Q2994" s="47" t="n">
        <v>274</v>
      </c>
      <c r="R2994" s="47" t="inlineStr">
        <is>
          <t>No Video ID yet</t>
        </is>
      </c>
      <c r="S2994" s="49" t="n"/>
      <c r="T2994" s="49" t="n"/>
      <c r="U2994" s="47" t="inlineStr">
        <is>
          <t>All my favorite things this summer! What else should I be checking out?? NerdyAndQuirky:</t>
        </is>
      </c>
      <c r="V2994" s="47">
        <f>IF(AND(P2994&gt;=Calendar!$K$2,P2994&lt;EDATE(Calendar!$K$2,1),OR(Calendar!$K$4="*",N2994=Calendar!$K$4)),P2994*100+COUNTIFS($P$6:$P$3267,P2994,$Q$6:$Q$3267,"&lt;="&amp;Q2994,$N$6:$N$3267,Calendar!$K$4),"")</f>
        <v/>
      </c>
      <c r="W2994" s="47">
        <f>IF(AND(B2994=Queue!$C$4,OR(Queue!$K$4="*",N2994=Queue!$K$4)),Q2994,"")</f>
        <v/>
      </c>
    </row>
    <row r="2995">
      <c r="A2995" s="38">
        <f>IF(M2995="","",HYPERLINK("https://www.youtube.com/watch?v="&amp;M2995,"▶"))</f>
        <v/>
      </c>
      <c r="B2995" s="39">
        <f>IF(C2995&lt;&gt;"",C2995,IF(P2995&lt;=IFERROR(INDEX(tblChannels[Watched Through],MATCH(N2995,tblChannels[Channel ID],0)),0),"Watched","Unwatched"))</f>
        <v/>
      </c>
      <c r="C2995" s="40" t="n"/>
      <c r="D2995" s="41" t="n"/>
      <c r="E2995" s="42" t="n">
        <v>41487.95277777778</v>
      </c>
      <c r="F2995" s="50" t="inlineStr">
        <is>
          <t>Super Carlin Brothers</t>
        </is>
      </c>
      <c r="G2995" t="inlineStr">
        <is>
          <t>Not Enough Bad Things</t>
        </is>
      </c>
      <c r="H2995" s="44" t="n">
        <v>0.002685185185185185</v>
      </c>
      <c r="I2995" s="45" t="n">
        <v>11449</v>
      </c>
      <c r="J2995" s="45" t="n">
        <v>223</v>
      </c>
      <c r="K2995" s="45" t="n">
        <v>39</v>
      </c>
      <c r="L2995" s="46" t="n"/>
      <c r="M2995" s="47" t="n"/>
      <c r="N2995" s="47" t="inlineStr">
        <is>
          <t>UCKZo4N0lVPccBkSiuyVh4yg</t>
        </is>
      </c>
      <c r="O2995" s="48" t="n">
        <v>41488.11944444444</v>
      </c>
      <c r="P2995" s="49" t="n">
        <v>41487</v>
      </c>
      <c r="Q2995" s="47" t="n">
        <v>273</v>
      </c>
      <c r="R2995" s="47" t="inlineStr">
        <is>
          <t>No Video ID yet</t>
        </is>
      </c>
      <c r="S2995" s="49" t="n"/>
      <c r="T2995" s="49" t="n"/>
      <c r="U2995" s="47" t="inlineStr">
        <is>
          <t>I know where I land on this question at work. But recently I have started mountain biking... which has proven to provide just extreme amounts of enjoyment. But at my current skill level... I am capable enough to put myself in difficult situations but not good enough to always fully succeed.. aka I fall. some. Enough to call it consistent. But going into every ride I am never carrying the mentality of: sometime in the next 2 hours I will fly from this bike and into a tree/rock/passing mongoose. Even though I will. This particular video was hard to write because I genuinely think I agree with one philosophy or the other. And I can jump back and forth on any given day..</t>
        </is>
      </c>
      <c r="V2995" s="47">
        <f>IF(AND(P2995&gt;=Calendar!$K$2,P2995&lt;EDATE(Calendar!$K$2,1),OR(Calendar!$K$4="*",N2995=Calendar!$K$4)),P2995*100+COUNTIFS($P$6:$P$3267,P2995,$Q$6:$Q$3267,"&lt;="&amp;Q2995,$N$6:$N$3267,Calendar!$K$4),"")</f>
        <v/>
      </c>
      <c r="W2995" s="47">
        <f>IF(AND(B2995=Queue!$C$4,OR(Queue!$K$4="*",N2995=Queue!$K$4)),Q2995,"")</f>
        <v/>
      </c>
    </row>
    <row r="2996">
      <c r="A2996" s="38">
        <f>IF(M2996="","",HYPERLINK("https://www.youtube.com/watch?v="&amp;M2996,"▶"))</f>
        <v/>
      </c>
      <c r="B2996" s="39">
        <f>IF(C2996&lt;&gt;"",C2996,IF(P2996&lt;=IFERROR(INDEX(tblChannels[Watched Through],MATCH(N2996,tblChannels[Channel ID],0)),0),"Watched","Unwatched"))</f>
        <v/>
      </c>
      <c r="C2996" s="40" t="n"/>
      <c r="D2996" s="41" t="n"/>
      <c r="E2996" s="42" t="n">
        <v>41485.97916666666</v>
      </c>
      <c r="F2996" s="50" t="inlineStr">
        <is>
          <t>Super Carlin Brothers</t>
        </is>
      </c>
      <c r="G2996" t="inlineStr">
        <is>
          <t>PERSONAL PHOTOS!</t>
        </is>
      </c>
      <c r="H2996" s="44" t="n">
        <v>0.002314814814814815</v>
      </c>
      <c r="I2996" s="45" t="n">
        <v>52932</v>
      </c>
      <c r="J2996" s="45" t="n">
        <v>937</v>
      </c>
      <c r="K2996" s="45" t="n">
        <v>213</v>
      </c>
      <c r="L2996" s="46" t="n"/>
      <c r="M2996" s="47" t="n"/>
      <c r="N2996" s="47" t="inlineStr">
        <is>
          <t>UCKZo4N0lVPccBkSiuyVh4yg</t>
        </is>
      </c>
      <c r="O2996" s="48" t="n">
        <v>41486.14583333334</v>
      </c>
      <c r="P2996" s="49" t="n">
        <v>41485</v>
      </c>
      <c r="Q2996" s="47" t="n">
        <v>272</v>
      </c>
      <c r="R2996" s="47" t="inlineStr">
        <is>
          <t>No Video ID yet</t>
        </is>
      </c>
      <c r="S2996" s="49" t="n"/>
      <c r="T2996" s="49" t="n"/>
      <c r="U2996" s="47" t="inlineStr">
        <is>
          <t>Why I am very uncomfortable letting people touch my phone.. Are you? Send us your awkward photos here: Speaking of awkward you should totally go check out AwkwardAdolescents: Twitter: @jonkerlin and @SCB_Ben =D</t>
        </is>
      </c>
      <c r="V2996" s="47">
        <f>IF(AND(P2996&gt;=Calendar!$K$2,P2996&lt;EDATE(Calendar!$K$2,1),OR(Calendar!$K$4="*",N2996=Calendar!$K$4)),P2996*100+COUNTIFS($P$6:$P$3267,P2996,$Q$6:$Q$3267,"&lt;="&amp;Q2996,$N$6:$N$3267,Calendar!$K$4),"")</f>
        <v/>
      </c>
      <c r="W2996" s="47">
        <f>IF(AND(B2996=Queue!$C$4,OR(Queue!$K$4="*",N2996=Queue!$K$4)),Q2996,"")</f>
        <v/>
      </c>
    </row>
    <row r="2997">
      <c r="A2997" s="38">
        <f>IF(M2997="","",HYPERLINK("https://www.youtube.com/watch?v="&amp;M2997,"▶"))</f>
        <v/>
      </c>
      <c r="B2997" s="39">
        <f>IF(C2997&lt;&gt;"",C2997,IF(P2997&lt;=IFERROR(INDEX(tblChannels[Watched Through],MATCH(N2997,tblChannels[Channel ID],0)),0),"Watched","Unwatched"))</f>
        <v/>
      </c>
      <c r="C2997" s="40" t="n"/>
      <c r="D2997" s="41" t="n"/>
      <c r="E2997" s="42" t="n">
        <v>41480.85833333333</v>
      </c>
      <c r="F2997" s="50" t="inlineStr">
        <is>
          <t>Super Carlin Brothers</t>
        </is>
      </c>
      <c r="G2997" t="inlineStr">
        <is>
          <t>WHY</t>
        </is>
      </c>
      <c r="H2997" s="44" t="n">
        <v>0.002476851851851852</v>
      </c>
      <c r="I2997" s="45" t="n">
        <v>14852</v>
      </c>
      <c r="J2997" s="45" t="n">
        <v>302</v>
      </c>
      <c r="K2997" s="45" t="n">
        <v>62</v>
      </c>
      <c r="L2997" s="46" t="n"/>
      <c r="M2997" s="47" t="n"/>
      <c r="N2997" s="47" t="inlineStr">
        <is>
          <t>UCKZo4N0lVPccBkSiuyVh4yg</t>
        </is>
      </c>
      <c r="O2997" s="48" t="n">
        <v>41481.025</v>
      </c>
      <c r="P2997" s="49" t="n">
        <v>41480</v>
      </c>
      <c r="Q2997" s="47" t="n">
        <v>271</v>
      </c>
      <c r="R2997" s="47" t="inlineStr">
        <is>
          <t>No Video ID yet</t>
        </is>
      </c>
      <c r="S2997" s="49" t="n"/>
      <c r="T2997" s="49" t="n"/>
      <c r="U2997" s="47" t="inlineStr">
        <is>
          <t>My adventure into the world of vlogging was probably not the typical story. Someone watches vlogs as a primary hobby or as a focal point of their day and slowly comes to the conclusion that maybe they'd be good at it or even just enjoy the process. J was that person. I am J's brother. J started vlogging under the channel name "Jonkerlin" several years ago. As a supporting brother I watched every one of his videos and slowly found 1 or 2 other channels that interested me (sxephil and the vlogbrothers). J had the idea for supercarlinbrothers for years and it took lots of convincing before I finally agreed to give it a shot. After my first video was uploaded I thought I would certainly be sick. I was inconsolable the entire first day and when I got something like 3 comments I considered that a success beyond my wildest imagination. Here I am now... 133 videos later. I still think it would be a reach to classify myself as an a-typical vlogger. But, maybe like being a gossip... no one thinks they are.</t>
        </is>
      </c>
      <c r="V2997" s="47">
        <f>IF(AND(P2997&gt;=Calendar!$K$2,P2997&lt;EDATE(Calendar!$K$2,1),OR(Calendar!$K$4="*",N2997=Calendar!$K$4)),P2997*100+COUNTIFS($P$6:$P$3267,P2997,$Q$6:$Q$3267,"&lt;="&amp;Q2997,$N$6:$N$3267,Calendar!$K$4),"")</f>
        <v/>
      </c>
      <c r="W2997" s="47">
        <f>IF(AND(B2997=Queue!$C$4,OR(Queue!$K$4="*",N2997=Queue!$K$4)),Q2997,"")</f>
        <v/>
      </c>
    </row>
    <row r="2998">
      <c r="A2998" s="38">
        <f>IF(M2998="","",HYPERLINK("https://www.youtube.com/watch?v="&amp;M2998,"▶"))</f>
        <v/>
      </c>
      <c r="B2998" s="39">
        <f>IF(C2998&lt;&gt;"",C2998,IF(P2998&lt;=IFERROR(INDEX(tblChannels[Watched Through],MATCH(N2998,tblChannels[Channel ID],0)),0),"Watched","Unwatched"))</f>
        <v/>
      </c>
      <c r="C2998" s="40" t="n"/>
      <c r="D2998" s="41" t="n"/>
      <c r="E2998" s="42" t="n">
        <v>41479.07777777778</v>
      </c>
      <c r="F2998" s="50" t="inlineStr">
        <is>
          <t>Super Carlin Brothers</t>
        </is>
      </c>
      <c r="G2998" t="inlineStr">
        <is>
          <t>The Pixar Theory</t>
        </is>
      </c>
      <c r="H2998" s="44" t="n">
        <v>0.008437500000000001</v>
      </c>
      <c r="I2998" s="45" t="n">
        <v>10470949</v>
      </c>
      <c r="J2998" s="45" t="n">
        <v>158794</v>
      </c>
      <c r="K2998" s="45" t="n">
        <v>16889</v>
      </c>
      <c r="L2998" s="46" t="n"/>
      <c r="M2998" s="47" t="n"/>
      <c r="N2998" s="47" t="inlineStr">
        <is>
          <t>UCKZo4N0lVPccBkSiuyVh4yg</t>
        </is>
      </c>
      <c r="O2998" s="48" t="n">
        <v>41479.24444444444</v>
      </c>
      <c r="P2998" s="49" t="n">
        <v>41479</v>
      </c>
      <c r="Q2998" s="47" t="n">
        <v>270</v>
      </c>
      <c r="R2998" s="47" t="inlineStr">
        <is>
          <t>No Video ID yet</t>
        </is>
      </c>
      <c r="S2998" s="49" t="n"/>
      <c r="T2998" s="49" t="n"/>
      <c r="U2998" s="47" t="inlineStr">
        <is>
          <t>The theory continues here with the TRUTH ABOUT ANDY'S MOM :: If you think you have found a flaw check out my FAQ video here: Full Theory by Jon Negroni here DFTBA!: Also there is now an official website! For the record as of Dec. 12, 2013 the movies mentioned in the video are the ONLY Pixar movies. The following movies, although commonly mistaken for, are NOT Pixar: Frozen, Tangled, Planes, Wreck it Ralph. Also many of you have commented on Flick and Heimlich appearing in Toy Story 2 as proof of the falsehood of this theory. It is not, please read the full theory as it explains this within the Theory as well.</t>
        </is>
      </c>
      <c r="V2998" s="47">
        <f>IF(AND(P2998&gt;=Calendar!$K$2,P2998&lt;EDATE(Calendar!$K$2,1),OR(Calendar!$K$4="*",N2998=Calendar!$K$4)),P2998*100+COUNTIFS($P$6:$P$3267,P2998,$Q$6:$Q$3267,"&lt;="&amp;Q2998,$N$6:$N$3267,Calendar!$K$4),"")</f>
        <v/>
      </c>
      <c r="W2998" s="47">
        <f>IF(AND(B2998=Queue!$C$4,OR(Queue!$K$4="*",N2998=Queue!$K$4)),Q2998,"")</f>
        <v/>
      </c>
    </row>
    <row r="2999">
      <c r="A2999" s="38">
        <f>IF(M2999="","",HYPERLINK("https://www.youtube.com/watch?v="&amp;M2999,"▶"))</f>
        <v/>
      </c>
      <c r="B2999" s="39">
        <f>IF(C2999&lt;&gt;"",C2999,IF(P2999&lt;=IFERROR(INDEX(tblChannels[Watched Through],MATCH(N2999,tblChannels[Channel ID],0)),0),"Watched","Unwatched"))</f>
        <v/>
      </c>
      <c r="C2999" s="40" t="n"/>
      <c r="D2999" s="41" t="n"/>
      <c r="E2999" s="42" t="n">
        <v>41473.91805555556</v>
      </c>
      <c r="F2999" s="50" t="inlineStr">
        <is>
          <t>Super Carlin Brothers</t>
        </is>
      </c>
      <c r="G2999" t="inlineStr">
        <is>
          <t>TV Paradigm Shift</t>
        </is>
      </c>
      <c r="H2999" s="44" t="n">
        <v>0.002696759259259259</v>
      </c>
      <c r="I2999" s="45" t="n">
        <v>13895</v>
      </c>
      <c r="J2999" s="45" t="n">
        <v>264</v>
      </c>
      <c r="K2999" s="45" t="n">
        <v>71</v>
      </c>
      <c r="L2999" s="46" t="n"/>
      <c r="M2999" s="47" t="n"/>
      <c r="N2999" s="47" t="inlineStr">
        <is>
          <t>UCKZo4N0lVPccBkSiuyVh4yg</t>
        </is>
      </c>
      <c r="O2999" s="48" t="n">
        <v>41474.08472222222</v>
      </c>
      <c r="P2999" s="49" t="n">
        <v>41473</v>
      </c>
      <c r="Q2999" s="47" t="n">
        <v>269</v>
      </c>
      <c r="R2999" s="47" t="inlineStr">
        <is>
          <t>No Video ID yet</t>
        </is>
      </c>
      <c r="S2999" s="49" t="n"/>
      <c r="T2999" s="49" t="n"/>
      <c r="U2999" s="47" t="inlineStr">
        <is>
          <t>Isn't it time for television as we know it to get flipped upside down? Based on how people react to format changes on facebook I have a feeling I'm not going to catch a lot of support... But how cool is it that I got to use "paradigm shift"?? I'll be happy about that all night.</t>
        </is>
      </c>
      <c r="V2999" s="47">
        <f>IF(AND(P2999&gt;=Calendar!$K$2,P2999&lt;EDATE(Calendar!$K$2,1),OR(Calendar!$K$4="*",N2999=Calendar!$K$4)),P2999*100+COUNTIFS($P$6:$P$3267,P2999,$Q$6:$Q$3267,"&lt;="&amp;Q2999,$N$6:$N$3267,Calendar!$K$4),"")</f>
        <v/>
      </c>
      <c r="W2999" s="47">
        <f>IF(AND(B2999=Queue!$C$4,OR(Queue!$K$4="*",N2999=Queue!$K$4)),Q2999,"")</f>
        <v/>
      </c>
    </row>
    <row r="3000">
      <c r="A3000" s="38">
        <f>IF(M3000="","",HYPERLINK("https://www.youtube.com/watch?v="&amp;M3000,"▶"))</f>
        <v/>
      </c>
      <c r="B3000" s="39">
        <f>IF(C3000&lt;&gt;"",C3000,IF(P3000&lt;=IFERROR(INDEX(tblChannels[Watched Through],MATCH(N3000,tblChannels[Channel ID],0)),0),"Watched","Unwatched"))</f>
        <v/>
      </c>
      <c r="C3000" s="40" t="n"/>
      <c r="D3000" s="41" t="n"/>
      <c r="E3000" s="42" t="n">
        <v>41471.95972222222</v>
      </c>
      <c r="F3000" s="50" t="inlineStr">
        <is>
          <t>Super Carlin Brothers</t>
        </is>
      </c>
      <c r="G3000" t="inlineStr">
        <is>
          <t>CHERRY COKE AND TWIZZLERS!</t>
        </is>
      </c>
      <c r="H3000" s="44" t="n">
        <v>0.002754629629629629</v>
      </c>
      <c r="I3000" s="45" t="n">
        <v>73902</v>
      </c>
      <c r="J3000" s="45" t="n">
        <v>1353</v>
      </c>
      <c r="K3000" s="45" t="n">
        <v>395</v>
      </c>
      <c r="L3000" s="46" t="n"/>
      <c r="M3000" s="47" t="n"/>
      <c r="N3000" s="47" t="inlineStr">
        <is>
          <t>UCKZo4N0lVPccBkSiuyVh4yg</t>
        </is>
      </c>
      <c r="O3000" s="48" t="n">
        <v>41472.12638888889</v>
      </c>
      <c r="P3000" s="49" t="n">
        <v>41471</v>
      </c>
      <c r="Q3000" s="47" t="n">
        <v>268</v>
      </c>
      <c r="R3000" s="47" t="inlineStr">
        <is>
          <t>No Video ID yet</t>
        </is>
      </c>
      <c r="S3000" s="49" t="n"/>
      <c r="T3000" s="49" t="n"/>
      <c r="U3000" s="47" t="inlineStr">
        <is>
          <t>Jonathan describes some odd situational food items he enjoys and reveals Ben's punishment!</t>
        </is>
      </c>
      <c r="V3000" s="47">
        <f>IF(AND(P3000&gt;=Calendar!$K$2,P3000&lt;EDATE(Calendar!$K$2,1),OR(Calendar!$K$4="*",N3000=Calendar!$K$4)),P3000*100+COUNTIFS($P$6:$P$3267,P3000,$Q$6:$Q$3267,"&lt;="&amp;Q3000,$N$6:$N$3267,Calendar!$K$4),"")</f>
        <v/>
      </c>
      <c r="W3000" s="47">
        <f>IF(AND(B3000=Queue!$C$4,OR(Queue!$K$4="*",N3000=Queue!$K$4)),Q3000,"")</f>
        <v/>
      </c>
    </row>
    <row r="3001">
      <c r="A3001" s="38">
        <f>IF(M3001="","",HYPERLINK("https://www.youtube.com/watch?v="&amp;M3001,"▶"))</f>
        <v/>
      </c>
      <c r="B3001" s="39">
        <f>IF(C3001&lt;&gt;"",C3001,IF(P3001&lt;=IFERROR(INDEX(tblChannels[Watched Through],MATCH(N3001,tblChannels[Channel ID],0)),0),"Watched","Unwatched"))</f>
        <v/>
      </c>
      <c r="C3001" s="40" t="n"/>
      <c r="D3001" s="41" t="n"/>
      <c r="E3001" s="42" t="n">
        <v>41467.92986111111</v>
      </c>
      <c r="F3001" s="50" t="inlineStr">
        <is>
          <t>Super Carlin Brothers</t>
        </is>
      </c>
      <c r="G3001" t="inlineStr">
        <is>
          <t>Fear</t>
        </is>
      </c>
      <c r="H3001" s="44" t="n">
        <v>0.002511574074074074</v>
      </c>
      <c r="I3001" s="45" t="n">
        <v>13749</v>
      </c>
      <c r="J3001" s="45" t="n">
        <v>307</v>
      </c>
      <c r="K3001" s="45" t="n">
        <v>85</v>
      </c>
      <c r="L3001" s="46" t="n"/>
      <c r="M3001" s="47" t="n"/>
      <c r="N3001" s="47" t="inlineStr">
        <is>
          <t>UCKZo4N0lVPccBkSiuyVh4yg</t>
        </is>
      </c>
      <c r="O3001" s="48" t="n">
        <v>41468.09652777778</v>
      </c>
      <c r="P3001" s="49" t="n">
        <v>41467</v>
      </c>
      <c r="Q3001" s="47" t="n">
        <v>267</v>
      </c>
      <c r="R3001" s="47" t="inlineStr">
        <is>
          <t>No Video ID yet</t>
        </is>
      </c>
      <c r="S3001" s="49" t="n"/>
      <c r="T3001" s="49" t="n"/>
      <c r="U3001" s="47" t="inlineStr">
        <is>
          <t>Well, I'm back... I MISSED YOU GUYS</t>
        </is>
      </c>
      <c r="V3001" s="47">
        <f>IF(AND(P3001&gt;=Calendar!$K$2,P3001&lt;EDATE(Calendar!$K$2,1),OR(Calendar!$K$4="*",N3001=Calendar!$K$4)),P3001*100+COUNTIFS($P$6:$P$3267,P3001,$Q$6:$Q$3267,"&lt;="&amp;Q3001,$N$6:$N$3267,Calendar!$K$4),"")</f>
        <v/>
      </c>
      <c r="W3001" s="47">
        <f>IF(AND(B3001=Queue!$C$4,OR(Queue!$K$4="*",N3001=Queue!$K$4)),Q3001,"")</f>
        <v/>
      </c>
    </row>
    <row r="3002">
      <c r="A3002" s="38">
        <f>IF(M3002="","",HYPERLINK("https://www.youtube.com/watch?v="&amp;M3002,"▶"))</f>
        <v/>
      </c>
      <c r="B3002" s="39">
        <f>IF(C3002&lt;&gt;"",C3002,IF(P3002&lt;=IFERROR(INDEX(tblChannels[Watched Through],MATCH(N3002,tblChannels[Channel ID],0)),0),"Watched","Unwatched"))</f>
        <v/>
      </c>
      <c r="C3002" s="40" t="n"/>
      <c r="D3002" s="41" t="n"/>
      <c r="E3002" s="42" t="n">
        <v>41464.52083333334</v>
      </c>
      <c r="F3002" s="50" t="inlineStr">
        <is>
          <t>Super Carlin Brothers</t>
        </is>
      </c>
      <c r="G3002" t="inlineStr">
        <is>
          <t>Thoughts from Places: Lake Champlain</t>
        </is>
      </c>
      <c r="H3002" s="44" t="n">
        <v>0.002141203703703704</v>
      </c>
      <c r="I3002" s="45" t="n">
        <v>12356</v>
      </c>
      <c r="J3002" s="45" t="n">
        <v>286</v>
      </c>
      <c r="K3002" s="45" t="n">
        <v>74</v>
      </c>
      <c r="L3002" s="46" t="n"/>
      <c r="M3002" s="47" t="n"/>
      <c r="N3002" s="47" t="inlineStr">
        <is>
          <t>UCKZo4N0lVPccBkSiuyVh4yg</t>
        </is>
      </c>
      <c r="O3002" s="48" t="n">
        <v>41464.6875</v>
      </c>
      <c r="P3002" s="49" t="n">
        <v>41464</v>
      </c>
      <c r="Q3002" s="47" t="n">
        <v>266</v>
      </c>
      <c r="R3002" s="47" t="inlineStr">
        <is>
          <t>No Video ID yet</t>
        </is>
      </c>
      <c r="S3002" s="49" t="n"/>
      <c r="T3002" s="49" t="n"/>
      <c r="U3002" s="47" t="inlineStr">
        <is>
          <t>I know this is kind of a John Green thing, but I've wanted to make one of these for awhile so I just went for it. Where is your favorite place?</t>
        </is>
      </c>
      <c r="V3002" s="47">
        <f>IF(AND(P3002&gt;=Calendar!$K$2,P3002&lt;EDATE(Calendar!$K$2,1),OR(Calendar!$K$4="*",N3002=Calendar!$K$4)),P3002*100+COUNTIFS($P$6:$P$3267,P3002,$Q$6:$Q$3267,"&lt;="&amp;Q3002,$N$6:$N$3267,Calendar!$K$4),"")</f>
        <v/>
      </c>
      <c r="W3002" s="47">
        <f>IF(AND(B3002=Queue!$C$4,OR(Queue!$K$4="*",N3002=Queue!$K$4)),Q3002,"")</f>
        <v/>
      </c>
    </row>
    <row r="3003">
      <c r="A3003" s="38">
        <f>IF(M3003="","",HYPERLINK("https://www.youtube.com/watch?v="&amp;M3003,"▶"))</f>
        <v/>
      </c>
      <c r="B3003" s="39">
        <f>IF(C3003&lt;&gt;"",C3003,IF(P3003&lt;=IFERROR(INDEX(tblChannels[Watched Through],MATCH(N3003,tblChannels[Channel ID],0)),0),"Watched","Unwatched"))</f>
        <v/>
      </c>
      <c r="C3003" s="40" t="n"/>
      <c r="D3003" s="41" t="n"/>
      <c r="E3003" s="42" t="n">
        <v>41462.44444444445</v>
      </c>
      <c r="F3003" s="50" t="inlineStr">
        <is>
          <t>Super Carlin Brothers</t>
        </is>
      </c>
      <c r="G3003" t="inlineStr">
        <is>
          <t>Super Carlin Friends Wheezy Wink!</t>
        </is>
      </c>
      <c r="H3003" s="44" t="n">
        <v>4.629629629629629e-05</v>
      </c>
      <c r="I3003" s="45" t="n">
        <v>2157</v>
      </c>
      <c r="J3003" s="45" t="n">
        <v>0</v>
      </c>
      <c r="K3003" s="45" t="n">
        <v>0</v>
      </c>
      <c r="L3003" s="46" t="n"/>
      <c r="M3003" s="47" t="n"/>
      <c r="N3003" s="47" t="inlineStr">
        <is>
          <t>UCKZo4N0lVPccBkSiuyVh4yg</t>
        </is>
      </c>
      <c r="O3003" s="48" t="n">
        <v>41462.61111111111</v>
      </c>
      <c r="P3003" s="49" t="n">
        <v>41462</v>
      </c>
      <c r="Q3003" s="47" t="n">
        <v>265</v>
      </c>
      <c r="R3003" s="47" t="inlineStr">
        <is>
          <t>No Video ID yet</t>
        </is>
      </c>
      <c r="S3003" s="49" t="n"/>
      <c r="T3003" s="49" t="n"/>
      <c r="U3003" s="47" t="inlineStr">
        <is>
          <t>Members of the Super Carlin Brothers community came together to make you a super collab wink!</t>
        </is>
      </c>
      <c r="V3003" s="47">
        <f>IF(AND(P3003&gt;=Calendar!$K$2,P3003&lt;EDATE(Calendar!$K$2,1),OR(Calendar!$K$4="*",N3003=Calendar!$K$4)),P3003*100+COUNTIFS($P$6:$P$3267,P3003,$Q$6:$Q$3267,"&lt;="&amp;Q3003,$N$6:$N$3267,Calendar!$K$4),"")</f>
        <v/>
      </c>
      <c r="W3003" s="47">
        <f>IF(AND(B3003=Queue!$C$4,OR(Queue!$K$4="*",N3003=Queue!$K$4)),Q3003,"")</f>
        <v/>
      </c>
    </row>
    <row r="3004">
      <c r="A3004" s="38">
        <f>IF(M3004="","",HYPERLINK("https://www.youtube.com/watch?v="&amp;M3004,"▶"))</f>
        <v/>
      </c>
      <c r="B3004" s="39">
        <f>IF(C3004&lt;&gt;"",C3004,IF(P3004&lt;=IFERROR(INDEX(tblChannels[Watched Through],MATCH(N3004,tblChannels[Channel ID],0)),0),"Watched","Unwatched"))</f>
        <v/>
      </c>
      <c r="C3004" s="40" t="n"/>
      <c r="D3004" s="41" t="n"/>
      <c r="E3004" s="42" t="n">
        <v>41459.85277777778</v>
      </c>
      <c r="F3004" s="50" t="inlineStr">
        <is>
          <t>Super Carlin Brothers</t>
        </is>
      </c>
      <c r="G3004" t="inlineStr">
        <is>
          <t>Ty Talks on a lake!</t>
        </is>
      </c>
      <c r="H3004" s="44" t="n">
        <v>0.001701388888888889</v>
      </c>
      <c r="I3004" s="45" t="n">
        <v>12993</v>
      </c>
      <c r="J3004" s="45" t="n">
        <v>214</v>
      </c>
      <c r="K3004" s="45" t="n">
        <v>30</v>
      </c>
      <c r="L3004" s="46" t="n"/>
      <c r="M3004" s="47" t="n"/>
      <c r="N3004" s="47" t="inlineStr">
        <is>
          <t>UCKZo4N0lVPccBkSiuyVh4yg</t>
        </is>
      </c>
      <c r="O3004" s="48" t="n">
        <v>41460.01944444444</v>
      </c>
      <c r="P3004" s="49" t="n">
        <v>41459</v>
      </c>
      <c r="Q3004" s="47" t="n">
        <v>264</v>
      </c>
      <c r="R3004" s="47" t="inlineStr">
        <is>
          <t>No Video ID yet</t>
        </is>
      </c>
      <c r="S3004" s="49" t="n"/>
      <c r="T3004" s="49" t="n"/>
      <c r="U3004" s="47" t="inlineStr">
        <is>
          <t>Hey guys! Sorry for the quality! I took a page or of ben's book with the iPhone video to make sure it got out there!!! =D</t>
        </is>
      </c>
      <c r="V3004" s="47">
        <f>IF(AND(P3004&gt;=Calendar!$K$2,P3004&lt;EDATE(Calendar!$K$2,1),OR(Calendar!$K$4="*",N3004=Calendar!$K$4)),P3004*100+COUNTIFS($P$6:$P$3267,P3004,$Q$6:$Q$3267,"&lt;="&amp;Q3004,$N$6:$N$3267,Calendar!$K$4),"")</f>
        <v/>
      </c>
      <c r="W3004" s="47">
        <f>IF(AND(B3004=Queue!$C$4,OR(Queue!$K$4="*",N3004=Queue!$K$4)),Q3004,"")</f>
        <v/>
      </c>
    </row>
    <row r="3005">
      <c r="A3005" s="38">
        <f>IF(M3005="","",HYPERLINK("https://www.youtube.com/watch?v="&amp;M3005,"▶"))</f>
        <v/>
      </c>
      <c r="B3005" s="39">
        <f>IF(C3005&lt;&gt;"",C3005,IF(P3005&lt;=IFERROR(INDEX(tblChannels[Watched Through],MATCH(N3005,tblChannels[Channel ID],0)),0),"Watched","Unwatched"))</f>
        <v/>
      </c>
      <c r="C3005" s="40" t="n"/>
      <c r="D3005" s="41" t="n"/>
      <c r="E3005" s="42" t="n">
        <v>41457.58333333334</v>
      </c>
      <c r="F3005" s="50" t="inlineStr">
        <is>
          <t>Super Carlin Brothers</t>
        </is>
      </c>
      <c r="G3005" t="inlineStr">
        <is>
          <t>HOW TO COLLEGE</t>
        </is>
      </c>
      <c r="H3005" s="44" t="n">
        <v>0.003344907407407408</v>
      </c>
      <c r="I3005" s="45" t="n">
        <v>36428</v>
      </c>
      <c r="J3005" s="45" t="n">
        <v>746</v>
      </c>
      <c r="K3005" s="45" t="n">
        <v>114</v>
      </c>
      <c r="L3005" s="46" t="n"/>
      <c r="M3005" s="47" t="n"/>
      <c r="N3005" s="47" t="inlineStr">
        <is>
          <t>UCKZo4N0lVPccBkSiuyVh4yg</t>
        </is>
      </c>
      <c r="O3005" s="48" t="n">
        <v>41457.75</v>
      </c>
      <c r="P3005" s="49" t="n">
        <v>41457</v>
      </c>
      <c r="Q3005" s="47" t="n">
        <v>263</v>
      </c>
      <c r="R3005" s="47" t="inlineStr">
        <is>
          <t>No Video ID yet</t>
        </is>
      </c>
      <c r="S3005" s="49" t="n"/>
      <c r="T3005" s="49" t="n"/>
      <c r="U3005" s="47" t="inlineStr">
        <is>
          <t>Everything you need to know to succeed in college Mainly what you have to do is Drink.. Coffee and Water</t>
        </is>
      </c>
      <c r="V3005" s="47">
        <f>IF(AND(P3005&gt;=Calendar!$K$2,P3005&lt;EDATE(Calendar!$K$2,1),OR(Calendar!$K$4="*",N3005=Calendar!$K$4)),P3005*100+COUNTIFS($P$6:$P$3267,P3005,$Q$6:$Q$3267,"&lt;="&amp;Q3005,$N$6:$N$3267,Calendar!$K$4),"")</f>
        <v/>
      </c>
      <c r="W3005" s="47">
        <f>IF(AND(B3005=Queue!$C$4,OR(Queue!$K$4="*",N3005=Queue!$K$4)),Q3005,"")</f>
        <v/>
      </c>
    </row>
    <row r="3006">
      <c r="A3006" s="38">
        <f>IF(M3006="","",HYPERLINK("https://www.youtube.com/watch?v="&amp;M3006,"▶"))</f>
        <v/>
      </c>
      <c r="B3006" s="39">
        <f>IF(C3006&lt;&gt;"",C3006,IF(P3006&lt;=IFERROR(INDEX(tblChannels[Watched Through],MATCH(N3006,tblChannels[Channel ID],0)),0),"Watched","Unwatched"))</f>
        <v/>
      </c>
      <c r="C3006" s="40" t="n"/>
      <c r="D3006" s="41" t="n"/>
      <c r="E3006" s="42" t="n">
        <v>41452.59444444445</v>
      </c>
      <c r="F3006" s="50" t="inlineStr">
        <is>
          <t>Super Carlin Brothers</t>
        </is>
      </c>
      <c r="G3006" t="inlineStr">
        <is>
          <t>I HAVE SO MUCH I WANTED TO TELL YOU!</t>
        </is>
      </c>
      <c r="H3006" s="44" t="n">
        <v>0.002835648148148148</v>
      </c>
      <c r="I3006" s="45" t="n">
        <v>24484</v>
      </c>
      <c r="J3006" s="45" t="n">
        <v>481</v>
      </c>
      <c r="K3006" s="45" t="n">
        <v>111</v>
      </c>
      <c r="L3006" s="46" t="n"/>
      <c r="M3006" s="47" t="n"/>
      <c r="N3006" s="47" t="inlineStr">
        <is>
          <t>UCKZo4N0lVPccBkSiuyVh4yg</t>
        </is>
      </c>
      <c r="O3006" s="48" t="n">
        <v>41452.76111111111</v>
      </c>
      <c r="P3006" s="49" t="n">
        <v>41452</v>
      </c>
      <c r="Q3006" s="47" t="n">
        <v>262</v>
      </c>
      <c r="R3006" s="47" t="inlineStr">
        <is>
          <t>No Video ID yet</t>
        </is>
      </c>
      <c r="S3006" s="49" t="n"/>
      <c r="T3006" s="49" t="n"/>
      <c r="U3006" s="47" t="inlineStr">
        <is>
          <t>HEY SUPER CARLIN BROTHERS COMMUNITY! I HAVE TO DO ANOTHER ONE NEXT THURSDAY! what do you want to know?! Twitter: @jonkerlin and @SCB_Ben AND @TyCarlin</t>
        </is>
      </c>
      <c r="V3006" s="47">
        <f>IF(AND(P3006&gt;=Calendar!$K$2,P3006&lt;EDATE(Calendar!$K$2,1),OR(Calendar!$K$4="*",N3006=Calendar!$K$4)),P3006*100+COUNTIFS($P$6:$P$3267,P3006,$Q$6:$Q$3267,"&lt;="&amp;Q3006,$N$6:$N$3267,Calendar!$K$4),"")</f>
        <v/>
      </c>
      <c r="W3006" s="47">
        <f>IF(AND(B3006=Queue!$C$4,OR(Queue!$K$4="*",N3006=Queue!$K$4)),Q3006,"")</f>
        <v/>
      </c>
    </row>
    <row r="3007">
      <c r="A3007" s="38">
        <f>IF(M3007="","",HYPERLINK("https://www.youtube.com/watch?v="&amp;M3007,"▶"))</f>
        <v/>
      </c>
      <c r="B3007" s="39">
        <f>IF(C3007&lt;&gt;"",C3007,IF(P3007&lt;=IFERROR(INDEX(tblChannels[Watched Through],MATCH(N3007,tblChannels[Channel ID],0)),0),"Watched","Unwatched"))</f>
        <v/>
      </c>
      <c r="C3007" s="40" t="n"/>
      <c r="D3007" s="41" t="n"/>
      <c r="E3007" s="42" t="n">
        <v>41450.96736111111</v>
      </c>
      <c r="F3007" s="50" t="inlineStr">
        <is>
          <t>Super Carlin Brothers</t>
        </is>
      </c>
      <c r="G3007" t="inlineStr">
        <is>
          <t>HOW TO VLOG!</t>
        </is>
      </c>
      <c r="H3007" s="44" t="n">
        <v>0.002384259259259259</v>
      </c>
      <c r="I3007" s="45" t="n">
        <v>32721</v>
      </c>
      <c r="J3007" s="45" t="n">
        <v>463</v>
      </c>
      <c r="K3007" s="45" t="n">
        <v>89</v>
      </c>
      <c r="L3007" s="46" t="n"/>
      <c r="M3007" s="47" t="n"/>
      <c r="N3007" s="47" t="inlineStr">
        <is>
          <t>UCKZo4N0lVPccBkSiuyVh4yg</t>
        </is>
      </c>
      <c r="O3007" s="48" t="n">
        <v>41451.13402777778</v>
      </c>
      <c r="P3007" s="49" t="n">
        <v>41450</v>
      </c>
      <c r="Q3007" s="47" t="n">
        <v>261</v>
      </c>
      <c r="R3007" s="47" t="inlineStr">
        <is>
          <t>No Video ID yet</t>
        </is>
      </c>
      <c r="S3007" s="49" t="n"/>
      <c r="T3007" s="49" t="n"/>
      <c r="U3007" s="47" t="inlineStr">
        <is>
          <t>Year 2 is underway!!! - Do you guys have any topics, questions, issues, etc you would like me to discuss/ help with? (not that I am an expert on like... anything)</t>
        </is>
      </c>
      <c r="V3007" s="47">
        <f>IF(AND(P3007&gt;=Calendar!$K$2,P3007&lt;EDATE(Calendar!$K$2,1),OR(Calendar!$K$4="*",N3007=Calendar!$K$4)),P3007*100+COUNTIFS($P$6:$P$3267,P3007,$Q$6:$Q$3267,"&lt;="&amp;Q3007,$N$6:$N$3267,Calendar!$K$4),"")</f>
        <v/>
      </c>
      <c r="W3007" s="47">
        <f>IF(AND(B3007=Queue!$C$4,OR(Queue!$K$4="*",N3007=Queue!$K$4)),Q3007,"")</f>
        <v/>
      </c>
    </row>
    <row r="3008">
      <c r="A3008" s="38">
        <f>IF(M3008="","",HYPERLINK("https://www.youtube.com/watch?v="&amp;M3008,"▶"))</f>
        <v/>
      </c>
      <c r="B3008" s="39">
        <f>IF(C3008&lt;&gt;"",C3008,IF(P3008&lt;=IFERROR(INDEX(tblChannels[Watched Through],MATCH(N3008,tblChannels[Channel ID],0)),0),"Watched","Unwatched"))</f>
        <v/>
      </c>
      <c r="C3008" s="40" t="n"/>
      <c r="D3008" s="41" t="n"/>
      <c r="E3008" s="42" t="n">
        <v>41446.50069444445</v>
      </c>
      <c r="F3008" s="50" t="inlineStr">
        <is>
          <t>Super Carlin Brothers</t>
        </is>
      </c>
      <c r="G3008" t="inlineStr">
        <is>
          <t>A Video Long Conversation Between Brothers</t>
        </is>
      </c>
      <c r="H3008" s="44" t="n">
        <v>0.007037037037037037</v>
      </c>
      <c r="I3008" s="45" t="n">
        <v>89979</v>
      </c>
      <c r="J3008" s="45" t="n">
        <v>2350</v>
      </c>
      <c r="K3008" s="45" t="n">
        <v>438</v>
      </c>
      <c r="L3008" s="46" t="n"/>
      <c r="M3008" s="47" t="n"/>
      <c r="N3008" s="47" t="inlineStr">
        <is>
          <t>UCKZo4N0lVPccBkSiuyVh4yg</t>
        </is>
      </c>
      <c r="O3008" s="48" t="n">
        <v>41446.66736111111</v>
      </c>
      <c r="P3008" s="49" t="n">
        <v>41446</v>
      </c>
      <c r="Q3008" s="47" t="n">
        <v>260</v>
      </c>
      <c r="R3008" s="47" t="inlineStr">
        <is>
          <t>No Video ID yet</t>
        </is>
      </c>
      <c r="S3008" s="49" t="n"/>
      <c r="T3008" s="49" t="n"/>
      <c r="U3008" s="47" t="inlineStr">
        <is>
          <t>WE DID IT!!!!!!!! Now What? (Also make sure you stick around for the end!)</t>
        </is>
      </c>
      <c r="V3008" s="47">
        <f>IF(AND(P3008&gt;=Calendar!$K$2,P3008&lt;EDATE(Calendar!$K$2,1),OR(Calendar!$K$4="*",N3008=Calendar!$K$4)),P3008*100+COUNTIFS($P$6:$P$3267,P3008,$Q$6:$Q$3267,"&lt;="&amp;Q3008,$N$6:$N$3267,Calendar!$K$4),"")</f>
        <v/>
      </c>
      <c r="W3008" s="47">
        <f>IF(AND(B3008=Queue!$C$4,OR(Queue!$K$4="*",N3008=Queue!$K$4)),Q3008,"")</f>
        <v/>
      </c>
    </row>
    <row r="3009">
      <c r="A3009" s="38">
        <f>IF(M3009="","",HYPERLINK("https://www.youtube.com/watch?v="&amp;M3009,"▶"))</f>
        <v/>
      </c>
      <c r="B3009" s="39">
        <f>IF(C3009&lt;&gt;"",C3009,IF(P3009&lt;=IFERROR(INDEX(tblChannels[Watched Through],MATCH(N3009,tblChannels[Channel ID],0)),0),"Watched","Unwatched"))</f>
        <v/>
      </c>
      <c r="C3009" s="40" t="n"/>
      <c r="D3009" s="41" t="n"/>
      <c r="E3009" s="42" t="n">
        <v>41445.50069444445</v>
      </c>
      <c r="F3009" s="50" t="inlineStr">
        <is>
          <t>Super Carlin Brothers</t>
        </is>
      </c>
      <c r="G3009" t="inlineStr">
        <is>
          <t>Ending Problems</t>
        </is>
      </c>
      <c r="H3009" s="44" t="n">
        <v>0.00224537037037037</v>
      </c>
      <c r="I3009" s="45" t="n">
        <v>24158</v>
      </c>
      <c r="J3009" s="45" t="n">
        <v>630</v>
      </c>
      <c r="K3009" s="45" t="n">
        <v>74</v>
      </c>
      <c r="L3009" s="46" t="n"/>
      <c r="M3009" s="47" t="n"/>
      <c r="N3009" s="47" t="inlineStr">
        <is>
          <t>UCKZo4N0lVPccBkSiuyVh4yg</t>
        </is>
      </c>
      <c r="O3009" s="48" t="n">
        <v>41445.66736111111</v>
      </c>
      <c r="P3009" s="49" t="n">
        <v>41445</v>
      </c>
      <c r="Q3009" s="47" t="n">
        <v>259</v>
      </c>
      <c r="R3009" s="47" t="inlineStr">
        <is>
          <t>No Video ID yet</t>
        </is>
      </c>
      <c r="S3009" s="49" t="n"/>
      <c r="T3009" s="49" t="n"/>
      <c r="U3009" s="47" t="inlineStr">
        <is>
          <t>Not gonna lie.. it was kind of emotional editing this...</t>
        </is>
      </c>
      <c r="V3009" s="47">
        <f>IF(AND(P3009&gt;=Calendar!$K$2,P3009&lt;EDATE(Calendar!$K$2,1),OR(Calendar!$K$4="*",N3009=Calendar!$K$4)),P3009*100+COUNTIFS($P$6:$P$3267,P3009,$Q$6:$Q$3267,"&lt;="&amp;Q3009,$N$6:$N$3267,Calendar!$K$4),"")</f>
        <v/>
      </c>
      <c r="W3009" s="47">
        <f>IF(AND(B3009=Queue!$C$4,OR(Queue!$K$4="*",N3009=Queue!$K$4)),Q3009,"")</f>
        <v/>
      </c>
    </row>
    <row r="3010">
      <c r="A3010" s="38">
        <f>IF(M3010="","",HYPERLINK("https://www.youtube.com/watch?v="&amp;M3010,"▶"))</f>
        <v/>
      </c>
      <c r="B3010" s="39">
        <f>IF(C3010&lt;&gt;"",C3010,IF(P3010&lt;=IFERROR(INDEX(tblChannels[Watched Through],MATCH(N3010,tblChannels[Channel ID],0)),0),"Watched","Unwatched"))</f>
        <v/>
      </c>
      <c r="C3010" s="40" t="n"/>
      <c r="D3010" s="41" t="n"/>
      <c r="E3010" s="42" t="n">
        <v>41444.79861111111</v>
      </c>
      <c r="F3010" s="50" t="inlineStr">
        <is>
          <t>Super Carlin Brothers</t>
        </is>
      </c>
      <c r="G3010" t="inlineStr">
        <is>
          <t>What's Next</t>
        </is>
      </c>
      <c r="H3010" s="44" t="n">
        <v>0.001261574074074074</v>
      </c>
      <c r="I3010" s="45" t="n">
        <v>8517</v>
      </c>
      <c r="J3010" s="45" t="n">
        <v>177</v>
      </c>
      <c r="K3010" s="45" t="n">
        <v>51</v>
      </c>
      <c r="L3010" s="46" t="n"/>
      <c r="M3010" s="47" t="n"/>
      <c r="N3010" s="47" t="inlineStr">
        <is>
          <t>UCKZo4N0lVPccBkSiuyVh4yg</t>
        </is>
      </c>
      <c r="O3010" s="48" t="n">
        <v>41444.96527777778</v>
      </c>
      <c r="P3010" s="49" t="n">
        <v>41444</v>
      </c>
      <c r="Q3010" s="47" t="n">
        <v>258</v>
      </c>
      <c r="R3010" s="47" t="inlineStr">
        <is>
          <t>No Video ID yet</t>
        </is>
      </c>
      <c r="S3010" s="49" t="n"/>
      <c r="T3010" s="49" t="n"/>
      <c r="U3010" s="47" t="inlineStr">
        <is>
          <t>So for me: I think one of the big things I really want to do is experiment with different video styles. Now it may be obvious, and maybe it's not. But I'm not sure I fit the a-typical vlogger mold quite the same way as J does. I mean it's been 10+ years since I've played pokemon through.... But one of the channels that I have stumbled across since this project started is Devinsupertramp who does all sorts of seriously upbeat, incredibly well shot, just flat out awesome adventures. The type of adventures that I live for year round. So one of the things I hope to continue to do with J is start a small video production agency that allows me to follow some of the dreams and visions I have for my future with youtube. A project that gains me access to things that I couldn't otherwise justify. I am on a constant mission to never have a day where I don't get to do something that I enjoy.</t>
        </is>
      </c>
      <c r="V3010" s="47">
        <f>IF(AND(P3010&gt;=Calendar!$K$2,P3010&lt;EDATE(Calendar!$K$2,1),OR(Calendar!$K$4="*",N3010=Calendar!$K$4)),P3010*100+COUNTIFS($P$6:$P$3267,P3010,$Q$6:$Q$3267,"&lt;="&amp;Q3010,$N$6:$N$3267,Calendar!$K$4),"")</f>
        <v/>
      </c>
      <c r="W3010" s="47">
        <f>IF(AND(B3010=Queue!$C$4,OR(Queue!$K$4="*",N3010=Queue!$K$4)),Q3010,"")</f>
        <v/>
      </c>
    </row>
    <row r="3011">
      <c r="A3011" s="38">
        <f>IF(M3011="","",HYPERLINK("https://www.youtube.com/watch?v="&amp;M3011,"▶"))</f>
        <v/>
      </c>
      <c r="B3011" s="39">
        <f>IF(C3011&lt;&gt;"",C3011,IF(P3011&lt;=IFERROR(INDEX(tblChannels[Watched Through],MATCH(N3011,tblChannels[Channel ID],0)),0),"Watched","Unwatched"))</f>
        <v/>
      </c>
      <c r="C3011" s="40" t="n"/>
      <c r="D3011" s="41" t="n"/>
      <c r="E3011" s="42" t="n">
        <v>41443.49722222222</v>
      </c>
      <c r="F3011" s="50" t="inlineStr">
        <is>
          <t>Super Carlin Brothers</t>
        </is>
      </c>
      <c r="G3011" t="inlineStr">
        <is>
          <t>Summer Time Blues</t>
        </is>
      </c>
      <c r="H3011" s="44" t="n">
        <v>0.00306712962962963</v>
      </c>
      <c r="I3011" s="45" t="n">
        <v>15362</v>
      </c>
      <c r="J3011" s="45" t="n">
        <v>415</v>
      </c>
      <c r="K3011" s="45" t="n">
        <v>90</v>
      </c>
      <c r="L3011" s="46" t="n"/>
      <c r="M3011" s="47" t="n"/>
      <c r="N3011" s="47" t="inlineStr">
        <is>
          <t>UCKZo4N0lVPccBkSiuyVh4yg</t>
        </is>
      </c>
      <c r="O3011" s="48" t="n">
        <v>41443.66388888889</v>
      </c>
      <c r="P3011" s="49" t="n">
        <v>41443</v>
      </c>
      <c r="Q3011" s="47" t="n">
        <v>257</v>
      </c>
      <c r="R3011" s="47" t="inlineStr">
        <is>
          <t>No Video ID yet</t>
        </is>
      </c>
      <c r="S3011" s="49" t="n"/>
      <c r="T3011" s="49" t="n"/>
      <c r="U3011" s="47" t="inlineStr">
        <is>
          <t>Summer always seems so vast and endless when it starts and then without warning almost over... What are you doing this summer?</t>
        </is>
      </c>
      <c r="V3011" s="47">
        <f>IF(AND(P3011&gt;=Calendar!$K$2,P3011&lt;EDATE(Calendar!$K$2,1),OR(Calendar!$K$4="*",N3011=Calendar!$K$4)),P3011*100+COUNTIFS($P$6:$P$3267,P3011,$Q$6:$Q$3267,"&lt;="&amp;Q3011,$N$6:$N$3267,Calendar!$K$4),"")</f>
        <v/>
      </c>
      <c r="W3011" s="47">
        <f>IF(AND(B3011=Queue!$C$4,OR(Queue!$K$4="*",N3011=Queue!$K$4)),Q3011,"")</f>
        <v/>
      </c>
    </row>
    <row r="3012">
      <c r="A3012" s="38">
        <f>IF(M3012="","",HYPERLINK("https://www.youtube.com/watch?v="&amp;M3012,"▶"))</f>
        <v/>
      </c>
      <c r="B3012" s="39">
        <f>IF(C3012&lt;&gt;"",C3012,IF(P3012&lt;=IFERROR(INDEX(tblChannels[Watched Through],MATCH(N3012,tblChannels[Channel ID],0)),0),"Watched","Unwatched"))</f>
        <v/>
      </c>
      <c r="C3012" s="40" t="n"/>
      <c r="D3012" s="41" t="n"/>
      <c r="E3012" s="42" t="n">
        <v>41442.9375</v>
      </c>
      <c r="F3012" s="50" t="inlineStr">
        <is>
          <t>Super Carlin Brothers</t>
        </is>
      </c>
      <c r="G3012" t="inlineStr">
        <is>
          <t>The Kick</t>
        </is>
      </c>
      <c r="H3012" s="44" t="n">
        <v>0.001770833333333333</v>
      </c>
      <c r="I3012" s="45" t="n">
        <v>7764</v>
      </c>
      <c r="J3012" s="45" t="n">
        <v>215</v>
      </c>
      <c r="K3012" s="45" t="n">
        <v>27</v>
      </c>
      <c r="L3012" s="46" t="n"/>
      <c r="M3012" s="47" t="n"/>
      <c r="N3012" s="47" t="inlineStr">
        <is>
          <t>UCKZo4N0lVPccBkSiuyVh4yg</t>
        </is>
      </c>
      <c r="O3012" s="48" t="n">
        <v>41443.10416666666</v>
      </c>
      <c r="P3012" s="49" t="n">
        <v>41442</v>
      </c>
      <c r="Q3012" s="47" t="n">
        <v>256</v>
      </c>
      <c r="R3012" s="47" t="inlineStr">
        <is>
          <t>No Video ID yet</t>
        </is>
      </c>
      <c r="S3012" s="49" t="n"/>
      <c r="T3012" s="49" t="n"/>
      <c r="U3012" s="47" t="n"/>
      <c r="V3012" s="47">
        <f>IF(AND(P3012&gt;=Calendar!$K$2,P3012&lt;EDATE(Calendar!$K$2,1),OR(Calendar!$K$4="*",N3012=Calendar!$K$4)),P3012*100+COUNTIFS($P$6:$P$3267,P3012,$Q$6:$Q$3267,"&lt;="&amp;Q3012,$N$6:$N$3267,Calendar!$K$4),"")</f>
        <v/>
      </c>
      <c r="W3012" s="47">
        <f>IF(AND(B3012=Queue!$C$4,OR(Queue!$K$4="*",N3012=Queue!$K$4)),Q3012,"")</f>
        <v/>
      </c>
    </row>
    <row r="3013">
      <c r="A3013" s="38">
        <f>IF(M3013="","",HYPERLINK("https://www.youtube.com/watch?v="&amp;M3013,"▶"))</f>
        <v/>
      </c>
      <c r="B3013" s="39">
        <f>IF(C3013&lt;&gt;"",C3013,IF(P3013&lt;=IFERROR(INDEX(tblChannels[Watched Through],MATCH(N3013,tblChannels[Channel ID],0)),0),"Watched","Unwatched"))</f>
        <v/>
      </c>
      <c r="C3013" s="40" t="n"/>
      <c r="D3013" s="41" t="n"/>
      <c r="E3013" s="42" t="n">
        <v>41439.84305555555</v>
      </c>
      <c r="F3013" s="50" t="inlineStr">
        <is>
          <t>Super Carlin Brothers</t>
        </is>
      </c>
      <c r="G3013" t="inlineStr">
        <is>
          <t>Should Men Google Autofill</t>
        </is>
      </c>
      <c r="H3013" s="44" t="n">
        <v>0.003599537037037037</v>
      </c>
      <c r="I3013" s="45" t="n">
        <v>289247</v>
      </c>
      <c r="J3013" s="45" t="n">
        <v>4438</v>
      </c>
      <c r="K3013" s="45" t="n">
        <v>821</v>
      </c>
      <c r="L3013" s="46" t="n"/>
      <c r="M3013" s="47" t="n"/>
      <c r="N3013" s="47" t="inlineStr">
        <is>
          <t>UCKZo4N0lVPccBkSiuyVh4yg</t>
        </is>
      </c>
      <c r="O3013" s="48" t="n">
        <v>41440.00972222222</v>
      </c>
      <c r="P3013" s="49" t="n">
        <v>41439</v>
      </c>
      <c r="Q3013" s="47" t="n">
        <v>255</v>
      </c>
      <c r="R3013" s="47" t="inlineStr">
        <is>
          <t>No Video ID yet</t>
        </is>
      </c>
      <c r="S3013" s="49" t="n"/>
      <c r="T3013" s="49" t="n"/>
      <c r="U3013" s="47" t="inlineStr">
        <is>
          <t>To be fair I'm sure knitting is a useful skill... Week 51 complete! What do you guys want to see next week as we round off year 1?? Also I really just cant thank you guys enough for making this year as a amazing as it has been. Some days the last thing I want to do is sit down and make a video but then I wake up and read your comments and its all worth it. SCB is nothing without you guys and it just makes my day when out of nowhere I get a text saying "I love your videos" or how you "just had to mention SCB in the vlogbrothers census". Seriously I cant describe it. I know 1,100 isnt a huge number of subscribers or anything, but its awesome getting to know you guys better and better each day. I know some of you dont always agree with some of the stuff we say or have different opinions but I think its so cool that you respect ours and offer yours. Thanks, J</t>
        </is>
      </c>
      <c r="V3013" s="47">
        <f>IF(AND(P3013&gt;=Calendar!$K$2,P3013&lt;EDATE(Calendar!$K$2,1),OR(Calendar!$K$4="*",N3013=Calendar!$K$4)),P3013*100+COUNTIFS($P$6:$P$3267,P3013,$Q$6:$Q$3267,"&lt;="&amp;Q3013,$N$6:$N$3267,Calendar!$K$4),"")</f>
        <v/>
      </c>
      <c r="W3013" s="47">
        <f>IF(AND(B3013=Queue!$C$4,OR(Queue!$K$4="*",N3013=Queue!$K$4)),Q3013,"")</f>
        <v/>
      </c>
    </row>
    <row r="3014">
      <c r="A3014" s="38">
        <f>IF(M3014="","",HYPERLINK("https://www.youtube.com/watch?v="&amp;M3014,"▶"))</f>
        <v/>
      </c>
      <c r="B3014" s="39">
        <f>IF(C3014&lt;&gt;"",C3014,IF(P3014&lt;=IFERROR(INDEX(tblChannels[Watched Through],MATCH(N3014,tblChannels[Channel ID],0)),0),"Watched","Unwatched"))</f>
        <v/>
      </c>
      <c r="C3014" s="40" t="n"/>
      <c r="D3014" s="41" t="n"/>
      <c r="E3014" s="42" t="n">
        <v>41438.91319444445</v>
      </c>
      <c r="F3014" s="50" t="inlineStr">
        <is>
          <t>Super Carlin Brothers</t>
        </is>
      </c>
      <c r="G3014" t="inlineStr">
        <is>
          <t>Dwelling</t>
        </is>
      </c>
      <c r="H3014" s="44" t="n">
        <v>0.002002314814814815</v>
      </c>
      <c r="I3014" s="45" t="n">
        <v>8366</v>
      </c>
      <c r="J3014" s="45" t="n">
        <v>186</v>
      </c>
      <c r="K3014" s="45" t="n">
        <v>29</v>
      </c>
      <c r="L3014" s="46" t="n"/>
      <c r="M3014" s="47" t="n"/>
      <c r="N3014" s="47" t="inlineStr">
        <is>
          <t>UCKZo4N0lVPccBkSiuyVh4yg</t>
        </is>
      </c>
      <c r="O3014" s="48" t="n">
        <v>41439.07986111111</v>
      </c>
      <c r="P3014" s="49" t="n">
        <v>41438</v>
      </c>
      <c r="Q3014" s="47" t="n">
        <v>254</v>
      </c>
      <c r="R3014" s="47" t="inlineStr">
        <is>
          <t>No Video ID yet</t>
        </is>
      </c>
      <c r="S3014" s="49" t="n"/>
      <c r="T3014" s="49" t="n"/>
      <c r="U3014" s="47" t="inlineStr">
        <is>
          <t>For real life social situations I chose not to include this example in the actual video but figured it was worth a good share in text form. I first noticed this phenomenon with a friend from college who was crazy about this girl. had been since high school. and every person that knew either of the two people knew how he felt about her. He talked about it with... everyone he met, brought it up constantly with existing friends, talked with her friends about it. And inflated the situation to where I almost feel like in addition to real feelings he now made it so every person he knew was going to know if he didn't win her over. It became this insane uphill battle. And the deeper he got into it, the more it mattered to him, which fueled him to talk about it more. Just one guy's take.</t>
        </is>
      </c>
      <c r="V3014" s="47">
        <f>IF(AND(P3014&gt;=Calendar!$K$2,P3014&lt;EDATE(Calendar!$K$2,1),OR(Calendar!$K$4="*",N3014=Calendar!$K$4)),P3014*100+COUNTIFS($P$6:$P$3267,P3014,$Q$6:$Q$3267,"&lt;="&amp;Q3014,$N$6:$N$3267,Calendar!$K$4),"")</f>
        <v/>
      </c>
      <c r="W3014" s="47">
        <f>IF(AND(B3014=Queue!$C$4,OR(Queue!$K$4="*",N3014=Queue!$K$4)),Q3014,"")</f>
        <v/>
      </c>
    </row>
    <row r="3015">
      <c r="A3015" s="38">
        <f>IF(M3015="","",HYPERLINK("https://www.youtube.com/watch?v="&amp;M3015,"▶"))</f>
        <v/>
      </c>
      <c r="B3015" s="39">
        <f>IF(C3015&lt;&gt;"",C3015,IF(P3015&lt;=IFERROR(INDEX(tblChannels[Watched Through],MATCH(N3015,tblChannels[Channel ID],0)),0),"Watched","Unwatched"))</f>
        <v/>
      </c>
      <c r="C3015" s="40" t="n"/>
      <c r="D3015" s="41" t="n"/>
      <c r="E3015" s="42" t="n">
        <v>41437.98819444444</v>
      </c>
      <c r="F3015" s="50" t="inlineStr">
        <is>
          <t>Super Carlin Brothers</t>
        </is>
      </c>
      <c r="G3015" t="inlineStr">
        <is>
          <t>DOESN'T MATTER!</t>
        </is>
      </c>
      <c r="H3015" s="44" t="n">
        <v>0.002025462962962963</v>
      </c>
      <c r="I3015" s="45" t="n">
        <v>28114</v>
      </c>
      <c r="J3015" s="45" t="n">
        <v>554</v>
      </c>
      <c r="K3015" s="45" t="n">
        <v>99</v>
      </c>
      <c r="L3015" s="46" t="n"/>
      <c r="M3015" s="47" t="n"/>
      <c r="N3015" s="47" t="inlineStr">
        <is>
          <t>UCKZo4N0lVPccBkSiuyVh4yg</t>
        </is>
      </c>
      <c r="O3015" s="48" t="n">
        <v>41438.15486111111</v>
      </c>
      <c r="P3015" s="49" t="n">
        <v>41437</v>
      </c>
      <c r="Q3015" s="47" t="n">
        <v>253</v>
      </c>
      <c r="R3015" s="47" t="inlineStr">
        <is>
          <t>No Video ID yet</t>
        </is>
      </c>
      <c r="S3015" s="49" t="n"/>
      <c r="T3015" s="49" t="n"/>
      <c r="U3015" s="47" t="inlineStr">
        <is>
          <t>Sometimes I have a habit of focusing on really small things that just dont matter, things that I have been living with my whole life but that have only been recently brought to my attention.. nothing I can do about it, just the way things are.. so why sweat it? Do you worry way to much about things you know you shouldnt??</t>
        </is>
      </c>
      <c r="V3015" s="47">
        <f>IF(AND(P3015&gt;=Calendar!$K$2,P3015&lt;EDATE(Calendar!$K$2,1),OR(Calendar!$K$4="*",N3015=Calendar!$K$4)),P3015*100+COUNTIFS($P$6:$P$3267,P3015,$Q$6:$Q$3267,"&lt;="&amp;Q3015,$N$6:$N$3267,Calendar!$K$4),"")</f>
        <v/>
      </c>
      <c r="W3015" s="47">
        <f>IF(AND(B3015=Queue!$C$4,OR(Queue!$K$4="*",N3015=Queue!$K$4)),Q3015,"")</f>
        <v/>
      </c>
    </row>
    <row r="3016">
      <c r="A3016" s="38">
        <f>IF(M3016="","",HYPERLINK("https://www.youtube.com/watch?v="&amp;M3016,"▶"))</f>
        <v/>
      </c>
      <c r="B3016" s="39">
        <f>IF(C3016&lt;&gt;"",C3016,IF(P3016&lt;=IFERROR(INDEX(tblChannels[Watched Through],MATCH(N3016,tblChannels[Channel ID],0)),0),"Watched","Unwatched"))</f>
        <v/>
      </c>
      <c r="C3016" s="40" t="n"/>
      <c r="D3016" s="41" t="n"/>
      <c r="E3016" s="42" t="n">
        <v>41436.90972222222</v>
      </c>
      <c r="F3016" s="50" t="inlineStr">
        <is>
          <t>Super Carlin Brothers</t>
        </is>
      </c>
      <c r="G3016" t="inlineStr">
        <is>
          <t>BEING WATCHED</t>
        </is>
      </c>
      <c r="H3016" s="44" t="n">
        <v>0.001608796296296296</v>
      </c>
      <c r="I3016" s="45" t="n">
        <v>11609</v>
      </c>
      <c r="J3016" s="45" t="n">
        <v>278</v>
      </c>
      <c r="K3016" s="45" t="n">
        <v>63</v>
      </c>
      <c r="L3016" s="46" t="n"/>
      <c r="M3016" s="47" t="n"/>
      <c r="N3016" s="47" t="inlineStr">
        <is>
          <t>UCKZo4N0lVPccBkSiuyVh4yg</t>
        </is>
      </c>
      <c r="O3016" s="48" t="n">
        <v>41437.07638888889</v>
      </c>
      <c r="P3016" s="49" t="n">
        <v>41436</v>
      </c>
      <c r="Q3016" s="47" t="n">
        <v>252</v>
      </c>
      <c r="R3016" s="47" t="inlineStr">
        <is>
          <t>No Video ID yet</t>
        </is>
      </c>
      <c r="S3016" s="49" t="n"/>
      <c r="T3016" s="49" t="n"/>
      <c r="U3016" s="47" t="inlineStr">
        <is>
          <t>Are you being watched... right this second... how do you feel about it?</t>
        </is>
      </c>
      <c r="V3016" s="47">
        <f>IF(AND(P3016&gt;=Calendar!$K$2,P3016&lt;EDATE(Calendar!$K$2,1),OR(Calendar!$K$4="*",N3016=Calendar!$K$4)),P3016*100+COUNTIFS($P$6:$P$3267,P3016,$Q$6:$Q$3267,"&lt;="&amp;Q3016,$N$6:$N$3267,Calendar!$K$4),"")</f>
        <v/>
      </c>
      <c r="W3016" s="47">
        <f>IF(AND(B3016=Queue!$C$4,OR(Queue!$K$4="*",N3016=Queue!$K$4)),Q3016,"")</f>
        <v/>
      </c>
    </row>
    <row r="3017">
      <c r="A3017" s="38">
        <f>IF(M3017="","",HYPERLINK("https://www.youtube.com/watch?v="&amp;M3017,"▶"))</f>
        <v/>
      </c>
      <c r="B3017" s="39">
        <f>IF(C3017&lt;&gt;"",C3017,IF(P3017&lt;=IFERROR(INDEX(tblChannels[Watched Through],MATCH(N3017,tblChannels[Channel ID],0)),0),"Watched","Unwatched"))</f>
        <v/>
      </c>
      <c r="C3017" s="40" t="n"/>
      <c r="D3017" s="41" t="n"/>
      <c r="E3017" s="42" t="n">
        <v>41435.96388888889</v>
      </c>
      <c r="F3017" s="50" t="inlineStr">
        <is>
          <t>Super Carlin Brothers</t>
        </is>
      </c>
      <c r="G3017" t="inlineStr">
        <is>
          <t>BEARD FACE TATTOO!</t>
        </is>
      </c>
      <c r="H3017" s="44" t="n">
        <v>0.002650462962962963</v>
      </c>
      <c r="I3017" s="45" t="n">
        <v>36439</v>
      </c>
      <c r="J3017" s="45" t="n">
        <v>688</v>
      </c>
      <c r="K3017" s="45" t="n">
        <v>273</v>
      </c>
      <c r="L3017" s="46" t="n"/>
      <c r="M3017" s="47" t="n"/>
      <c r="N3017" s="47" t="inlineStr">
        <is>
          <t>UCKZo4N0lVPccBkSiuyVh4yg</t>
        </is>
      </c>
      <c r="O3017" s="48" t="n">
        <v>41436.13055555556</v>
      </c>
      <c r="P3017" s="49" t="n">
        <v>41435</v>
      </c>
      <c r="Q3017" s="47" t="n">
        <v>251</v>
      </c>
      <c r="R3017" s="47" t="inlineStr">
        <is>
          <t>No Video ID yet</t>
        </is>
      </c>
      <c r="S3017" s="49" t="n"/>
      <c r="T3017" s="49" t="n"/>
      <c r="U3017" s="47" t="inlineStr">
        <is>
          <t>Would you get a tattoo? What would you get? Where would it go???</t>
        </is>
      </c>
      <c r="V3017" s="47">
        <f>IF(AND(P3017&gt;=Calendar!$K$2,P3017&lt;EDATE(Calendar!$K$2,1),OR(Calendar!$K$4="*",N3017=Calendar!$K$4)),P3017*100+COUNTIFS($P$6:$P$3267,P3017,$Q$6:$Q$3267,"&lt;="&amp;Q3017,$N$6:$N$3267,Calendar!$K$4),"")</f>
        <v/>
      </c>
      <c r="W3017" s="47">
        <f>IF(AND(B3017=Queue!$C$4,OR(Queue!$K$4="*",N3017=Queue!$K$4)),Q3017,"")</f>
        <v/>
      </c>
    </row>
    <row r="3018">
      <c r="A3018" s="38">
        <f>IF(M3018="","",HYPERLINK("https://www.youtube.com/watch?v="&amp;M3018,"▶"))</f>
        <v/>
      </c>
      <c r="B3018" s="39">
        <f>IF(C3018&lt;&gt;"",C3018,IF(P3018&lt;=IFERROR(INDEX(tblChannels[Watched Through],MATCH(N3018,tblChannels[Channel ID],0)),0),"Watched","Unwatched"))</f>
        <v/>
      </c>
      <c r="C3018" s="40" t="n"/>
      <c r="D3018" s="41" t="n"/>
      <c r="E3018" s="42" t="n">
        <v>41432.96944444445</v>
      </c>
      <c r="F3018" s="50" t="inlineStr">
        <is>
          <t>Super Carlin Brothers</t>
        </is>
      </c>
      <c r="G3018" t="inlineStr">
        <is>
          <t>The Touch</t>
        </is>
      </c>
      <c r="H3018" s="44" t="n">
        <v>0.002152777777777778</v>
      </c>
      <c r="I3018" s="45" t="n">
        <v>7794</v>
      </c>
      <c r="J3018" s="45" t="n">
        <v>178</v>
      </c>
      <c r="K3018" s="45" t="n">
        <v>38</v>
      </c>
      <c r="L3018" s="46" t="n"/>
      <c r="M3018" s="47" t="n"/>
      <c r="N3018" s="47" t="inlineStr">
        <is>
          <t>UCKZo4N0lVPccBkSiuyVh4yg</t>
        </is>
      </c>
      <c r="O3018" s="48" t="n">
        <v>41433.13611111111</v>
      </c>
      <c r="P3018" s="49" t="n">
        <v>41432</v>
      </c>
      <c r="Q3018" s="47" t="n">
        <v>250</v>
      </c>
      <c r="R3018" s="47" t="inlineStr">
        <is>
          <t>No Video ID yet</t>
        </is>
      </c>
      <c r="S3018" s="49" t="n"/>
      <c r="T3018" s="49" t="n"/>
      <c r="U3018" s="47" t="inlineStr">
        <is>
          <t>Well here we are... 250 videos in... 10 to go... no clue what to talk about. SUGGESTIONS WELCOME :)</t>
        </is>
      </c>
      <c r="V3018" s="47">
        <f>IF(AND(P3018&gt;=Calendar!$K$2,P3018&lt;EDATE(Calendar!$K$2,1),OR(Calendar!$K$4="*",N3018=Calendar!$K$4)),P3018*100+COUNTIFS($P$6:$P$3267,P3018,$Q$6:$Q$3267,"&lt;="&amp;Q3018,$N$6:$N$3267,Calendar!$K$4),"")</f>
        <v/>
      </c>
      <c r="W3018" s="47">
        <f>IF(AND(B3018=Queue!$C$4,OR(Queue!$K$4="*",N3018=Queue!$K$4)),Q3018,"")</f>
        <v/>
      </c>
    </row>
    <row r="3019">
      <c r="A3019" s="38">
        <f>IF(M3019="","",HYPERLINK("https://www.youtube.com/watch?v="&amp;M3019,"▶"))</f>
        <v/>
      </c>
      <c r="B3019" s="39">
        <f>IF(C3019&lt;&gt;"",C3019,IF(P3019&lt;=IFERROR(INDEX(tblChannels[Watched Through],MATCH(N3019,tblChannels[Channel ID],0)),0),"Watched","Unwatched"))</f>
        <v/>
      </c>
      <c r="C3019" s="40" t="n"/>
      <c r="D3019" s="41" t="n"/>
      <c r="E3019" s="42" t="n">
        <v>41431.86111111111</v>
      </c>
      <c r="F3019" s="50" t="inlineStr">
        <is>
          <t>Super Carlin Brothers</t>
        </is>
      </c>
      <c r="G3019" t="inlineStr">
        <is>
          <t>TRUMPET TALES</t>
        </is>
      </c>
      <c r="H3019" s="44" t="n">
        <v>0.003321759259259259</v>
      </c>
      <c r="I3019" s="45" t="n">
        <v>37091</v>
      </c>
      <c r="J3019" s="45" t="n">
        <v>767</v>
      </c>
      <c r="K3019" s="45" t="n">
        <v>480</v>
      </c>
      <c r="L3019" s="46" t="n"/>
      <c r="M3019" s="47" t="n"/>
      <c r="N3019" s="47" t="inlineStr">
        <is>
          <t>UCKZo4N0lVPccBkSiuyVh4yg</t>
        </is>
      </c>
      <c r="O3019" s="48" t="n">
        <v>41432.02777777778</v>
      </c>
      <c r="P3019" s="49" t="n">
        <v>41431</v>
      </c>
      <c r="Q3019" s="47" t="n">
        <v>249</v>
      </c>
      <c r="R3019" s="47" t="inlineStr">
        <is>
          <t>No Video ID yet</t>
        </is>
      </c>
      <c r="S3019" s="49" t="n"/>
      <c r="T3019" s="49" t="n"/>
      <c r="U3019" s="47" t="inlineStr">
        <is>
          <t>What instrument do you play/want to play?!!? Also dont forget to send us a wink for our group wink to Wheezy Waiter!! Can you believe Danielle switching the song on me like that? Ugh I cant tell you how embarrassed I was for that... Oh well I guess ultimately it motivated me to become better. Are you guys competitive? I get insanely competitive over things, like to me when I'm playing a board game I never understand why people are like, I'm just trying to have fun, it doesnt matter if I win or not. Right. Good for you... but dont you want to win? Like sure you could just be playing for fun but I imagine you would still rather win than lose? I dunno, that just doesn't make sense to me. THEN when you go about winning in commanding fashion they act like you are some big jerk for being competitive about it.. which is when I say to them.. "I though you didnt care if you lost" BOOM. ROASTED.</t>
        </is>
      </c>
      <c r="V3019" s="47">
        <f>IF(AND(P3019&gt;=Calendar!$K$2,P3019&lt;EDATE(Calendar!$K$2,1),OR(Calendar!$K$4="*",N3019=Calendar!$K$4)),P3019*100+COUNTIFS($P$6:$P$3267,P3019,$Q$6:$Q$3267,"&lt;="&amp;Q3019,$N$6:$N$3267,Calendar!$K$4),"")</f>
        <v/>
      </c>
      <c r="W3019" s="47">
        <f>IF(AND(B3019=Queue!$C$4,OR(Queue!$K$4="*",N3019=Queue!$K$4)),Q3019,"")</f>
        <v/>
      </c>
    </row>
    <row r="3020">
      <c r="A3020" s="38">
        <f>IF(M3020="","",HYPERLINK("https://www.youtube.com/watch?v="&amp;M3020,"▶"))</f>
        <v/>
      </c>
      <c r="B3020" s="39">
        <f>IF(C3020&lt;&gt;"",C3020,IF(P3020&lt;=IFERROR(INDEX(tblChannels[Watched Through],MATCH(N3020,tblChannels[Channel ID],0)),0),"Watched","Unwatched"))</f>
        <v/>
      </c>
      <c r="C3020" s="40" t="n"/>
      <c r="D3020" s="41" t="n"/>
      <c r="E3020" s="42" t="n">
        <v>41430.95208333333</v>
      </c>
      <c r="F3020" s="50" t="inlineStr">
        <is>
          <t>Super Carlin Brothers</t>
        </is>
      </c>
      <c r="G3020" t="inlineStr">
        <is>
          <t>Problem Recognition</t>
        </is>
      </c>
      <c r="H3020" s="44" t="n">
        <v>0.002858796296296296</v>
      </c>
      <c r="I3020" s="45" t="n">
        <v>9261</v>
      </c>
      <c r="J3020" s="45" t="n">
        <v>248</v>
      </c>
      <c r="K3020" s="45" t="n">
        <v>20</v>
      </c>
      <c r="L3020" s="46" t="n"/>
      <c r="M3020" s="47" t="n"/>
      <c r="N3020" s="47" t="inlineStr">
        <is>
          <t>UCKZo4N0lVPccBkSiuyVh4yg</t>
        </is>
      </c>
      <c r="O3020" s="48" t="n">
        <v>41431.11875</v>
      </c>
      <c r="P3020" s="49" t="n">
        <v>41430</v>
      </c>
      <c r="Q3020" s="47" t="n">
        <v>248</v>
      </c>
      <c r="R3020" s="47" t="inlineStr">
        <is>
          <t>No Video ID yet</t>
        </is>
      </c>
      <c r="S3020" s="49" t="n"/>
      <c r="T3020" s="49" t="n"/>
      <c r="U3020" s="47" t="inlineStr">
        <is>
          <t>Guess who was too lazy to change their desktop background? or do I just really like crossfire... I hope this wasn't overly aquarium-y and the example makes sense... Best, Ben CROSSFIRE!!!!</t>
        </is>
      </c>
      <c r="V3020" s="47">
        <f>IF(AND(P3020&gt;=Calendar!$K$2,P3020&lt;EDATE(Calendar!$K$2,1),OR(Calendar!$K$4="*",N3020=Calendar!$K$4)),P3020*100+COUNTIFS($P$6:$P$3267,P3020,$Q$6:$Q$3267,"&lt;="&amp;Q3020,$N$6:$N$3267,Calendar!$K$4),"")</f>
        <v/>
      </c>
      <c r="W3020" s="47">
        <f>IF(AND(B3020=Queue!$C$4,OR(Queue!$K$4="*",N3020=Queue!$K$4)),Q3020,"")</f>
        <v/>
      </c>
    </row>
    <row r="3021">
      <c r="A3021" s="38">
        <f>IF(M3021="","",HYPERLINK("https://www.youtube.com/watch?v="&amp;M3021,"▶"))</f>
        <v/>
      </c>
      <c r="B3021" s="39">
        <f>IF(C3021&lt;&gt;"",C3021,IF(P3021&lt;=IFERROR(INDEX(tblChannels[Watched Through],MATCH(N3021,tblChannels[Channel ID],0)),0),"Watched","Unwatched"))</f>
        <v/>
      </c>
      <c r="C3021" s="40" t="n"/>
      <c r="D3021" s="41" t="n"/>
      <c r="E3021" s="42" t="n">
        <v>41429.98263888889</v>
      </c>
      <c r="F3021" s="50" t="inlineStr">
        <is>
          <t>Super Carlin Brothers</t>
        </is>
      </c>
      <c r="G3021" t="inlineStr">
        <is>
          <t>On Creativity</t>
        </is>
      </c>
      <c r="H3021" s="44" t="n">
        <v>0.002754629629629629</v>
      </c>
      <c r="I3021" s="45" t="n">
        <v>21928</v>
      </c>
      <c r="J3021" s="45" t="n">
        <v>556</v>
      </c>
      <c r="K3021" s="45" t="n">
        <v>91</v>
      </c>
      <c r="L3021" s="46" t="n"/>
      <c r="M3021" s="47" t="n"/>
      <c r="N3021" s="47" t="inlineStr">
        <is>
          <t>UCKZo4N0lVPccBkSiuyVh4yg</t>
        </is>
      </c>
      <c r="O3021" s="48" t="n">
        <v>41430.14930555555</v>
      </c>
      <c r="P3021" s="49" t="n">
        <v>41429</v>
      </c>
      <c r="Q3021" s="47" t="n">
        <v>247</v>
      </c>
      <c r="R3021" s="47" t="inlineStr">
        <is>
          <t>No Video ID yet</t>
        </is>
      </c>
      <c r="S3021" s="49" t="n"/>
      <c r="T3021" s="49" t="n"/>
      <c r="U3021" s="47" t="inlineStr">
        <is>
          <t>Upload us a wink vid! What is the most creative thing you have ever done! (Dont worry I wont judge you for considering yourself creative in this instance!) I got asked that question in my job interview for my current job and I actually responded with my old Jonkerlin video channel and they loved the answer and thought that all the stuff I did to grow the channel was impressive and so now I have a job! Thanks YT</t>
        </is>
      </c>
      <c r="V3021" s="47">
        <f>IF(AND(P3021&gt;=Calendar!$K$2,P3021&lt;EDATE(Calendar!$K$2,1),OR(Calendar!$K$4="*",N3021=Calendar!$K$4)),P3021*100+COUNTIFS($P$6:$P$3267,P3021,$Q$6:$Q$3267,"&lt;="&amp;Q3021,$N$6:$N$3267,Calendar!$K$4),"")</f>
        <v/>
      </c>
      <c r="W3021" s="47">
        <f>IF(AND(B3021=Queue!$C$4,OR(Queue!$K$4="*",N3021=Queue!$K$4)),Q3021,"")</f>
        <v/>
      </c>
    </row>
    <row r="3022">
      <c r="A3022" s="38">
        <f>IF(M3022="","",HYPERLINK("https://www.youtube.com/watch?v="&amp;M3022,"▶"))</f>
        <v/>
      </c>
      <c r="B3022" s="39">
        <f>IF(C3022&lt;&gt;"",C3022,IF(P3022&lt;=IFERROR(INDEX(tblChannels[Watched Through],MATCH(N3022,tblChannels[Channel ID],0)),0),"Watched","Unwatched"))</f>
        <v/>
      </c>
      <c r="C3022" s="40" t="n"/>
      <c r="D3022" s="41" t="n"/>
      <c r="E3022" s="42" t="n">
        <v>41428.99166666667</v>
      </c>
      <c r="F3022" s="50" t="inlineStr">
        <is>
          <t>Super Carlin Brothers</t>
        </is>
      </c>
      <c r="G3022" t="inlineStr">
        <is>
          <t>Ben's 90's tag</t>
        </is>
      </c>
      <c r="H3022" s="44" t="n">
        <v>0.003194444444444445</v>
      </c>
      <c r="I3022" s="45" t="n">
        <v>16416</v>
      </c>
      <c r="J3022" s="45" t="n">
        <v>392</v>
      </c>
      <c r="K3022" s="45" t="n">
        <v>62</v>
      </c>
      <c r="L3022" s="46" t="n"/>
      <c r="M3022" s="47" t="n"/>
      <c r="N3022" s="47" t="inlineStr">
        <is>
          <t>UCKZo4N0lVPccBkSiuyVh4yg</t>
        </is>
      </c>
      <c r="O3022" s="48" t="n">
        <v>41429.15833333333</v>
      </c>
      <c r="P3022" s="49" t="n">
        <v>41428</v>
      </c>
      <c r="Q3022" s="47" t="n">
        <v>246</v>
      </c>
      <c r="R3022" s="47" t="inlineStr">
        <is>
          <t>No Video ID yet</t>
        </is>
      </c>
      <c r="S3022" s="49" t="n"/>
      <c r="T3022" s="49" t="n"/>
      <c r="U3022" s="47" t="inlineStr">
        <is>
          <t>What is something you do right now that you believe you will someday be nostalgic about?</t>
        </is>
      </c>
      <c r="V3022" s="47">
        <f>IF(AND(P3022&gt;=Calendar!$K$2,P3022&lt;EDATE(Calendar!$K$2,1),OR(Calendar!$K$4="*",N3022=Calendar!$K$4)),P3022*100+COUNTIFS($P$6:$P$3267,P3022,$Q$6:$Q$3267,"&lt;="&amp;Q3022,$N$6:$N$3267,Calendar!$K$4),"")</f>
        <v/>
      </c>
      <c r="W3022" s="47">
        <f>IF(AND(B3022=Queue!$C$4,OR(Queue!$K$4="*",N3022=Queue!$K$4)),Q3022,"")</f>
        <v/>
      </c>
    </row>
    <row r="3023">
      <c r="A3023" s="38">
        <f>IF(M3023="","",HYPERLINK("https://www.youtube.com/watch?v="&amp;M3023,"▶"))</f>
        <v/>
      </c>
      <c r="B3023" s="39">
        <f>IF(C3023&lt;&gt;"",C3023,IF(P3023&lt;=IFERROR(INDEX(tblChannels[Watched Through],MATCH(N3023,tblChannels[Channel ID],0)),0),"Watched","Unwatched"))</f>
        <v/>
      </c>
      <c r="C3023" s="40" t="n"/>
      <c r="D3023" s="41" t="n"/>
      <c r="E3023" s="42" t="n">
        <v>41425.98472222222</v>
      </c>
      <c r="F3023" s="50" t="inlineStr">
        <is>
          <t>Super Carlin Brothers</t>
        </is>
      </c>
      <c r="G3023" t="inlineStr">
        <is>
          <t>Ask J #6</t>
        </is>
      </c>
      <c r="H3023" s="44" t="n">
        <v>0.003414351851851852</v>
      </c>
      <c r="I3023" s="45" t="n">
        <v>41811</v>
      </c>
      <c r="J3023" s="45" t="n">
        <v>724</v>
      </c>
      <c r="K3023" s="45" t="n">
        <v>146</v>
      </c>
      <c r="L3023" s="46" t="n"/>
      <c r="M3023" s="47" t="n"/>
      <c r="N3023" s="47" t="inlineStr">
        <is>
          <t>UCKZo4N0lVPccBkSiuyVh4yg</t>
        </is>
      </c>
      <c r="O3023" s="48" t="n">
        <v>41426.15138888889</v>
      </c>
      <c r="P3023" s="49" t="n">
        <v>41425</v>
      </c>
      <c r="Q3023" s="47" t="n">
        <v>245</v>
      </c>
      <c r="R3023" s="47" t="inlineStr">
        <is>
          <t>No Video ID yet</t>
        </is>
      </c>
      <c r="S3023" s="49" t="n"/>
      <c r="T3023" s="49" t="n"/>
      <c r="U3023" s="47" t="inlineStr">
        <is>
          <t>But seriously I totally woudnt mind at all if you wanted to tweet them: Jennette McCurdy: @JennetteMcCurdy Emma Watson: @EmWatson What makes you feel human? - Thanks everyone for your questions sorry if I didnt get to yours!</t>
        </is>
      </c>
      <c r="V3023" s="47">
        <f>IF(AND(P3023&gt;=Calendar!$K$2,P3023&lt;EDATE(Calendar!$K$2,1),OR(Calendar!$K$4="*",N3023=Calendar!$K$4)),P3023*100+COUNTIFS($P$6:$P$3267,P3023,$Q$6:$Q$3267,"&lt;="&amp;Q3023,$N$6:$N$3267,Calendar!$K$4),"")</f>
        <v/>
      </c>
      <c r="W3023" s="47">
        <f>IF(AND(B3023=Queue!$C$4,OR(Queue!$K$4="*",N3023=Queue!$K$4)),Q3023,"")</f>
        <v/>
      </c>
    </row>
    <row r="3024">
      <c r="A3024" s="38">
        <f>IF(M3024="","",HYPERLINK("https://www.youtube.com/watch?v="&amp;M3024,"▶"))</f>
        <v/>
      </c>
      <c r="B3024" s="39">
        <f>IF(C3024&lt;&gt;"",C3024,IF(P3024&lt;=IFERROR(INDEX(tblChannels[Watched Through],MATCH(N3024,tblChannels[Channel ID],0)),0),"Watched","Unwatched"))</f>
        <v/>
      </c>
      <c r="C3024" s="40" t="n"/>
      <c r="D3024" s="41" t="n"/>
      <c r="E3024" s="42" t="n">
        <v>41424.98472222222</v>
      </c>
      <c r="F3024" s="50" t="inlineStr">
        <is>
          <t>Super Carlin Brothers</t>
        </is>
      </c>
      <c r="G3024" t="inlineStr">
        <is>
          <t>Shopping Habits</t>
        </is>
      </c>
      <c r="H3024" s="44" t="n">
        <v>0.002395833333333333</v>
      </c>
      <c r="I3024" s="45" t="n">
        <v>9952</v>
      </c>
      <c r="J3024" s="45" t="n">
        <v>244</v>
      </c>
      <c r="K3024" s="45" t="n">
        <v>49</v>
      </c>
      <c r="L3024" s="46" t="n"/>
      <c r="M3024" s="47" t="n"/>
      <c r="N3024" s="47" t="inlineStr">
        <is>
          <t>UCKZo4N0lVPccBkSiuyVh4yg</t>
        </is>
      </c>
      <c r="O3024" s="48" t="n">
        <v>41425.15138888889</v>
      </c>
      <c r="P3024" s="49" t="n">
        <v>41424</v>
      </c>
      <c r="Q3024" s="47" t="n">
        <v>244</v>
      </c>
      <c r="R3024" s="47" t="inlineStr">
        <is>
          <t>No Video ID yet</t>
        </is>
      </c>
      <c r="S3024" s="49" t="n"/>
      <c r="T3024" s="49" t="n"/>
      <c r="U3024" s="47" t="inlineStr">
        <is>
          <t>Ask lots of really great question for an episode of ask J tomorrow!!!</t>
        </is>
      </c>
      <c r="V3024" s="47">
        <f>IF(AND(P3024&gt;=Calendar!$K$2,P3024&lt;EDATE(Calendar!$K$2,1),OR(Calendar!$K$4="*",N3024=Calendar!$K$4)),P3024*100+COUNTIFS($P$6:$P$3267,P3024,$Q$6:$Q$3267,"&lt;="&amp;Q3024,$N$6:$N$3267,Calendar!$K$4),"")</f>
        <v/>
      </c>
      <c r="W3024" s="47">
        <f>IF(AND(B3024=Queue!$C$4,OR(Queue!$K$4="*",N3024=Queue!$K$4)),Q3024,"")</f>
        <v/>
      </c>
    </row>
    <row r="3025">
      <c r="A3025" s="38">
        <f>IF(M3025="","",HYPERLINK("https://www.youtube.com/watch?v="&amp;M3025,"▶"))</f>
        <v/>
      </c>
      <c r="B3025" s="39">
        <f>IF(C3025&lt;&gt;"",C3025,IF(P3025&lt;=IFERROR(INDEX(tblChannels[Watched Through],MATCH(N3025,tblChannels[Channel ID],0)),0),"Watched","Unwatched"))</f>
        <v/>
      </c>
      <c r="C3025" s="40" t="n"/>
      <c r="D3025" s="41" t="n"/>
      <c r="E3025" s="42" t="n">
        <v>41423.97222222222</v>
      </c>
      <c r="F3025" s="50" t="inlineStr">
        <is>
          <t>Super Carlin Brothers</t>
        </is>
      </c>
      <c r="G3025" t="inlineStr">
        <is>
          <t>RAIN IS THE BEST!</t>
        </is>
      </c>
      <c r="H3025" s="44" t="n">
        <v>0.002719907407407407</v>
      </c>
      <c r="I3025" s="45" t="n">
        <v>53261</v>
      </c>
      <c r="J3025" s="45" t="n">
        <v>1336</v>
      </c>
      <c r="K3025" s="45" t="n">
        <v>479</v>
      </c>
      <c r="L3025" s="46" t="n"/>
      <c r="M3025" s="47" t="n"/>
      <c r="N3025" s="47" t="inlineStr">
        <is>
          <t>UCKZo4N0lVPccBkSiuyVh4yg</t>
        </is>
      </c>
      <c r="O3025" s="48" t="n">
        <v>41424.13888888889</v>
      </c>
      <c r="P3025" s="49" t="n">
        <v>41423</v>
      </c>
      <c r="Q3025" s="47" t="n">
        <v>243</v>
      </c>
      <c r="R3025" s="47" t="inlineStr">
        <is>
          <t>No Video ID yet</t>
        </is>
      </c>
      <c r="S3025" s="49" t="n"/>
      <c r="T3025" s="49" t="n"/>
      <c r="U3025" s="47" t="inlineStr">
        <is>
          <t>Rain vs Sun.... Winner? OK this has nothing to do with the video but I'm reading about it on Buzz Feed as it uploads.. how crazy is this experiment.. Text your Boyfriend/Girlfriend "I'm afraid I have not been totally honest with you" and then dont touch your phone for an hour. Ugh, that would be horrible! Longest hour ever I would have to imagine, like I can guarantee you I would have like 50 missed calls, I'd be willing to bet friends of mine would start getting calls to. But like I was saying about the rain, I really think its odd that people are soaking wet everyday, cause it's such a routine that you dont even realize it. Or maybe you do and I'm just typing this like a MORON. Have you guys watched the new season of Arrested Development yet?? Fun fact the whole "Hey Brother" thing is from that show! Trivia Question: What is "See you in another life brotha" from? Honestly when I frist started signing off like that I felt like i was just copying that character but at this point I think it has really become of the SCB project. A lot of things feel like that these days, I've got this whole odd bank of memories that most of the people I deal with in person each day are very unaware o</t>
        </is>
      </c>
      <c r="V3025" s="47">
        <f>IF(AND(P3025&gt;=Calendar!$K$2,P3025&lt;EDATE(Calendar!$K$2,1),OR(Calendar!$K$4="*",N3025=Calendar!$K$4)),P3025*100+COUNTIFS($P$6:$P$3267,P3025,$Q$6:$Q$3267,"&lt;="&amp;Q3025,$N$6:$N$3267,Calendar!$K$4),"")</f>
        <v/>
      </c>
      <c r="W3025" s="47">
        <f>IF(AND(B3025=Queue!$C$4,OR(Queue!$K$4="*",N3025=Queue!$K$4)),Q3025,"")</f>
        <v/>
      </c>
    </row>
    <row r="3026">
      <c r="A3026" s="38">
        <f>IF(M3026="","",HYPERLINK("https://www.youtube.com/watch?v="&amp;M3026,"▶"))</f>
        <v/>
      </c>
      <c r="B3026" s="39">
        <f>IF(C3026&lt;&gt;"",C3026,IF(P3026&lt;=IFERROR(INDEX(tblChannels[Watched Through],MATCH(N3026,tblChannels[Channel ID],0)),0),"Watched","Unwatched"))</f>
        <v/>
      </c>
      <c r="C3026" s="40" t="n"/>
      <c r="D3026" s="41" t="n"/>
      <c r="E3026" s="42" t="n">
        <v>41422.91805555556</v>
      </c>
      <c r="F3026" s="50" t="inlineStr">
        <is>
          <t>Super Carlin Brothers</t>
        </is>
      </c>
      <c r="G3026" t="inlineStr">
        <is>
          <t>How to... Fun.</t>
        </is>
      </c>
      <c r="H3026" s="44" t="n">
        <v>0.001678240740740741</v>
      </c>
      <c r="I3026" s="45" t="n">
        <v>9262</v>
      </c>
      <c r="J3026" s="45" t="n">
        <v>200</v>
      </c>
      <c r="K3026" s="45" t="n">
        <v>35</v>
      </c>
      <c r="L3026" s="46" t="n"/>
      <c r="M3026" s="47" t="n"/>
      <c r="N3026" s="47" t="inlineStr">
        <is>
          <t>UCKZo4N0lVPccBkSiuyVh4yg</t>
        </is>
      </c>
      <c r="O3026" s="48" t="n">
        <v>41423.08472222222</v>
      </c>
      <c r="P3026" s="49" t="n">
        <v>41422</v>
      </c>
      <c r="Q3026" s="47" t="n">
        <v>242</v>
      </c>
      <c r="R3026" s="47" t="inlineStr">
        <is>
          <t>No Video ID yet</t>
        </is>
      </c>
      <c r="S3026" s="49" t="n"/>
      <c r="T3026" s="49" t="n"/>
      <c r="U3026" s="47" t="n"/>
      <c r="V3026" s="47">
        <f>IF(AND(P3026&gt;=Calendar!$K$2,P3026&lt;EDATE(Calendar!$K$2,1),OR(Calendar!$K$4="*",N3026=Calendar!$K$4)),P3026*100+COUNTIFS($P$6:$P$3267,P3026,$Q$6:$Q$3267,"&lt;="&amp;Q3026,$N$6:$N$3267,Calendar!$K$4),"")</f>
        <v/>
      </c>
      <c r="W3026" s="47">
        <f>IF(AND(B3026=Queue!$C$4,OR(Queue!$K$4="*",N3026=Queue!$K$4)),Q3026,"")</f>
        <v/>
      </c>
    </row>
    <row r="3027">
      <c r="A3027" s="38">
        <f>IF(M3027="","",HYPERLINK("https://www.youtube.com/watch?v="&amp;M3027,"▶"))</f>
        <v/>
      </c>
      <c r="B3027" s="39">
        <f>IF(C3027&lt;&gt;"",C3027,IF(P3027&lt;=IFERROR(INDEX(tblChannels[Watched Through],MATCH(N3027,tblChannels[Channel ID],0)),0),"Watched","Unwatched"))</f>
        <v/>
      </c>
      <c r="C3027" s="40" t="n"/>
      <c r="D3027" s="41" t="n"/>
      <c r="E3027" s="42" t="n">
        <v>41421.52638888889</v>
      </c>
      <c r="F3027" s="50" t="inlineStr">
        <is>
          <t>Super Carlin Brothers</t>
        </is>
      </c>
      <c r="G3027" t="inlineStr">
        <is>
          <t>A WILD GIRAFFALENT APPEARS!!</t>
        </is>
      </c>
      <c r="H3027" s="44" t="n">
        <v>0.001597222222222222</v>
      </c>
      <c r="I3027" s="45" t="n">
        <v>38172</v>
      </c>
      <c r="J3027" s="45" t="n">
        <v>1285</v>
      </c>
      <c r="K3027" s="45" t="n">
        <v>135</v>
      </c>
      <c r="L3027" s="46" t="n"/>
      <c r="M3027" s="47" t="n"/>
      <c r="N3027" s="47" t="inlineStr">
        <is>
          <t>UCKZo4N0lVPccBkSiuyVh4yg</t>
        </is>
      </c>
      <c r="O3027" s="48" t="n">
        <v>41421.69305555556</v>
      </c>
      <c r="P3027" s="49" t="n">
        <v>41421</v>
      </c>
      <c r="Q3027" s="47" t="n">
        <v>241</v>
      </c>
      <c r="R3027" s="47" t="inlineStr">
        <is>
          <t>No Video ID yet</t>
        </is>
      </c>
      <c r="S3027" s="49" t="n"/>
      <c r="T3027" s="49" t="n"/>
      <c r="U3027" s="47" t="inlineStr">
        <is>
          <t>A Wild Giraffalent Appears! The Giraffalent is known for its cunning and trickery. The Giraffalent uses its cute appearance to lure in foes before viciously murdering them. It is hell bent on world domination. When angered its spots turn black. Fortunately as per usual I was packing a bagel.</t>
        </is>
      </c>
      <c r="V3027" s="47">
        <f>IF(AND(P3027&gt;=Calendar!$K$2,P3027&lt;EDATE(Calendar!$K$2,1),OR(Calendar!$K$4="*",N3027=Calendar!$K$4)),P3027*100+COUNTIFS($P$6:$P$3267,P3027,$Q$6:$Q$3267,"&lt;="&amp;Q3027,$N$6:$N$3267,Calendar!$K$4),"")</f>
        <v/>
      </c>
      <c r="W3027" s="47">
        <f>IF(AND(B3027=Queue!$C$4,OR(Queue!$K$4="*",N3027=Queue!$K$4)),Q3027,"")</f>
        <v/>
      </c>
    </row>
    <row r="3028">
      <c r="A3028" s="38">
        <f>IF(M3028="","",HYPERLINK("https://www.youtube.com/watch?v="&amp;M3028,"▶"))</f>
        <v/>
      </c>
      <c r="B3028" s="39">
        <f>IF(C3028&lt;&gt;"",C3028,IF(P3028&lt;=IFERROR(INDEX(tblChannels[Watched Through],MATCH(N3028,tblChannels[Channel ID],0)),0),"Watched","Unwatched"))</f>
        <v/>
      </c>
      <c r="C3028" s="40" t="n"/>
      <c r="D3028" s="41" t="n"/>
      <c r="E3028" s="42" t="n">
        <v>41418.98472222222</v>
      </c>
      <c r="F3028" s="50" t="inlineStr">
        <is>
          <t>Super Carlin Brothers</t>
        </is>
      </c>
      <c r="G3028" t="inlineStr">
        <is>
          <t>Becoming Actionable</t>
        </is>
      </c>
      <c r="H3028" s="44" t="n">
        <v>0.002557870370370371</v>
      </c>
      <c r="I3028" s="45" t="n">
        <v>8194</v>
      </c>
      <c r="J3028" s="45" t="n">
        <v>296</v>
      </c>
      <c r="K3028" s="45" t="n">
        <v>120</v>
      </c>
      <c r="L3028" s="46" t="n"/>
      <c r="M3028" s="47" t="n"/>
      <c r="N3028" s="47" t="inlineStr">
        <is>
          <t>UCKZo4N0lVPccBkSiuyVh4yg</t>
        </is>
      </c>
      <c r="O3028" s="48" t="n">
        <v>41419.15138888889</v>
      </c>
      <c r="P3028" s="49" t="n">
        <v>41418</v>
      </c>
      <c r="Q3028" s="47" t="n">
        <v>240</v>
      </c>
      <c r="R3028" s="47" t="inlineStr">
        <is>
          <t>No Video ID yet</t>
        </is>
      </c>
      <c r="S3028" s="49" t="n"/>
      <c r="T3028" s="49" t="n"/>
      <c r="U3028" s="47" t="n"/>
      <c r="V3028" s="47">
        <f>IF(AND(P3028&gt;=Calendar!$K$2,P3028&lt;EDATE(Calendar!$K$2,1),OR(Calendar!$K$4="*",N3028=Calendar!$K$4)),P3028*100+COUNTIFS($P$6:$P$3267,P3028,$Q$6:$Q$3267,"&lt;="&amp;Q3028,$N$6:$N$3267,Calendar!$K$4),"")</f>
        <v/>
      </c>
      <c r="W3028" s="47">
        <f>IF(AND(B3028=Queue!$C$4,OR(Queue!$K$4="*",N3028=Queue!$K$4)),Q3028,"")</f>
        <v/>
      </c>
    </row>
    <row r="3029">
      <c r="A3029" s="38">
        <f>IF(M3029="","",HYPERLINK("https://www.youtube.com/watch?v="&amp;M3029,"▶"))</f>
        <v/>
      </c>
      <c r="B3029" s="39">
        <f>IF(C3029&lt;&gt;"",C3029,IF(P3029&lt;=IFERROR(INDEX(tblChannels[Watched Through],MATCH(N3029,tblChannels[Channel ID],0)),0),"Watched","Unwatched"))</f>
        <v/>
      </c>
      <c r="C3029" s="40" t="n"/>
      <c r="D3029" s="41" t="n"/>
      <c r="E3029" s="42" t="n">
        <v>41417.92638888889</v>
      </c>
      <c r="F3029" s="50" t="inlineStr">
        <is>
          <t>Super Carlin Brothers</t>
        </is>
      </c>
      <c r="G3029" t="inlineStr">
        <is>
          <t>How Long Should a Vlog be?</t>
        </is>
      </c>
      <c r="H3029" s="44" t="n">
        <v>0.002175925925925926</v>
      </c>
      <c r="I3029" s="45" t="n">
        <v>16418</v>
      </c>
      <c r="J3029" s="45" t="n">
        <v>342</v>
      </c>
      <c r="K3029" s="45" t="n">
        <v>80</v>
      </c>
      <c r="L3029" s="46" t="n"/>
      <c r="M3029" s="47" t="n"/>
      <c r="N3029" s="47" t="inlineStr">
        <is>
          <t>UCKZo4N0lVPccBkSiuyVh4yg</t>
        </is>
      </c>
      <c r="O3029" s="48" t="n">
        <v>41418.09305555555</v>
      </c>
      <c r="P3029" s="49" t="n">
        <v>41417</v>
      </c>
      <c r="Q3029" s="47" t="n">
        <v>239</v>
      </c>
      <c r="R3029" s="47" t="inlineStr">
        <is>
          <t>No Video ID yet</t>
        </is>
      </c>
      <c r="S3029" s="49" t="n"/>
      <c r="T3029" s="49" t="n"/>
      <c r="U3029" s="47" t="inlineStr">
        <is>
          <t>Woohoo Under 4 Min! How long do you think a typical vlog should go? Is there a limit at all?! WHO KNOWS?! How did I not mention the swoodily poopers as a longer video series that I watch? You guys should see the conversations I have on IM at work with my coworkers about Swindon Town.. I'd be lying if I said there wasnt some Fat Lucas posters on the walls. Side note if you are a very meticulous viewer you may have in fact noticed a length change in my videos as of late, this was actually because of a comment from one of our long time viewers 777greenday777 who said they would love to see longer vids. I have not heard any complains or anything so I'm guessing you guys have been ok with it. In any case if you ever do have suggestions I encourage you to leave them as we read all of our comments and take what you guys say very seriously. See you in another life!</t>
        </is>
      </c>
      <c r="V3029" s="47">
        <f>IF(AND(P3029&gt;=Calendar!$K$2,P3029&lt;EDATE(Calendar!$K$2,1),OR(Calendar!$K$4="*",N3029=Calendar!$K$4)),P3029*100+COUNTIFS($P$6:$P$3267,P3029,$Q$6:$Q$3267,"&lt;="&amp;Q3029,$N$6:$N$3267,Calendar!$K$4),"")</f>
        <v/>
      </c>
      <c r="W3029" s="47">
        <f>IF(AND(B3029=Queue!$C$4,OR(Queue!$K$4="*",N3029=Queue!$K$4)),Q3029,"")</f>
        <v/>
      </c>
    </row>
    <row r="3030">
      <c r="A3030" s="38">
        <f>IF(M3030="","",HYPERLINK("https://www.youtube.com/watch?v="&amp;M3030,"▶"))</f>
        <v/>
      </c>
      <c r="B3030" s="39">
        <f>IF(C3030&lt;&gt;"",C3030,IF(P3030&lt;=IFERROR(INDEX(tblChannels[Watched Through],MATCH(N3030,tblChannels[Channel ID],0)),0),"Watched","Unwatched"))</f>
        <v/>
      </c>
      <c r="C3030" s="40" t="n"/>
      <c r="D3030" s="41" t="n"/>
      <c r="E3030" s="42" t="n">
        <v>41416.9875</v>
      </c>
      <c r="F3030" s="50" t="inlineStr">
        <is>
          <t>Super Carlin Brothers</t>
        </is>
      </c>
      <c r="G3030" t="inlineStr">
        <is>
          <t>Fish Geek</t>
        </is>
      </c>
      <c r="H3030" s="44" t="n">
        <v>0.00224537037037037</v>
      </c>
      <c r="I3030" s="45" t="n">
        <v>9297</v>
      </c>
      <c r="J3030" s="45" t="n">
        <v>207</v>
      </c>
      <c r="K3030" s="45" t="n">
        <v>29</v>
      </c>
      <c r="L3030" s="46" t="n"/>
      <c r="M3030" s="47" t="n"/>
      <c r="N3030" s="47" t="inlineStr">
        <is>
          <t>UCKZo4N0lVPccBkSiuyVh4yg</t>
        </is>
      </c>
      <c r="O3030" s="48" t="n">
        <v>41417.15416666667</v>
      </c>
      <c r="P3030" s="49" t="n">
        <v>41416</v>
      </c>
      <c r="Q3030" s="47" t="n">
        <v>238</v>
      </c>
      <c r="R3030" s="47" t="inlineStr">
        <is>
          <t>No Video ID yet</t>
        </is>
      </c>
      <c r="S3030" s="49" t="n"/>
      <c r="T3030" s="49" t="n"/>
      <c r="U3030" s="47" t="inlineStr">
        <is>
          <t>In his obsession to be obsessed Ben takes his role as bagger to the next level. It's important to note that the grocery business is not the focus. It is the BAGGING. Therefore Ben sets out on a quest to find ways to revolutionize the bagging industry. He wrote his plan in a notebook... and in an effort to keep true to his mission refused to store said notebook in any type of existing carrying device (or bag). Without a bag to store the notebook and other valuables the notebook is left to fend for itself. It on it's own is not important enough to hold Ben's attention. Ben leaves the notebook on a bus. Ben realizes the bag concept may not be totally flawed and may not need improving. Ben loses.</t>
        </is>
      </c>
      <c r="V3030" s="47">
        <f>IF(AND(P3030&gt;=Calendar!$K$2,P3030&lt;EDATE(Calendar!$K$2,1),OR(Calendar!$K$4="*",N3030=Calendar!$K$4)),P3030*100+COUNTIFS($P$6:$P$3267,P3030,$Q$6:$Q$3267,"&lt;="&amp;Q3030,$N$6:$N$3267,Calendar!$K$4),"")</f>
        <v/>
      </c>
      <c r="W3030" s="47">
        <f>IF(AND(B3030=Queue!$C$4,OR(Queue!$K$4="*",N3030=Queue!$K$4)),Q3030,"")</f>
        <v/>
      </c>
    </row>
    <row r="3031">
      <c r="A3031" s="38">
        <f>IF(M3031="","",HYPERLINK("https://www.youtube.com/watch?v="&amp;M3031,"▶"))</f>
        <v/>
      </c>
      <c r="B3031" s="39">
        <f>IF(C3031&lt;&gt;"",C3031,IF(P3031&lt;=IFERROR(INDEX(tblChannels[Watched Through],MATCH(N3031,tblChannels[Channel ID],0)),0),"Watched","Unwatched"))</f>
        <v/>
      </c>
      <c r="C3031" s="40" t="n"/>
      <c r="D3031" s="41" t="n"/>
      <c r="E3031" s="42" t="n">
        <v>41416.04305555556</v>
      </c>
      <c r="F3031" s="50" t="inlineStr">
        <is>
          <t>Super Carlin Brothers</t>
        </is>
      </c>
      <c r="G3031" t="inlineStr">
        <is>
          <t>Destiny Story :: What I Wouldn't do</t>
        </is>
      </c>
      <c r="H3031" s="44" t="n">
        <v>0.003460648148148148</v>
      </c>
      <c r="I3031" s="45" t="n">
        <v>28414</v>
      </c>
      <c r="J3031" s="45" t="n">
        <v>536</v>
      </c>
      <c r="K3031" s="45" t="n">
        <v>91</v>
      </c>
      <c r="L3031" s="46" t="n"/>
      <c r="M3031" s="47" t="n"/>
      <c r="N3031" s="47" t="inlineStr">
        <is>
          <t>UCKZo4N0lVPccBkSiuyVh4yg</t>
        </is>
      </c>
      <c r="O3031" s="48" t="n">
        <v>41416.20972222222</v>
      </c>
      <c r="P3031" s="49" t="n">
        <v>41416</v>
      </c>
      <c r="Q3031" s="47" t="n">
        <v>237</v>
      </c>
      <c r="R3031" s="47" t="inlineStr">
        <is>
          <t>No Video ID yet</t>
        </is>
      </c>
      <c r="S3031" s="49" t="n"/>
      <c r="T3031" s="49" t="n"/>
      <c r="U3031" s="47" t="inlineStr">
        <is>
          <t>Have you ever made a tiny decision that you think changed everything for you? Panikann: www.youtube.com/user/Panikann Angry Video Game Nerd: Natalie Tran: True Facts about Ze Frank: Seriously though, if you are ever at a party it's ridiculous how the pizza goes down. Like 10 people will pony up enough money for 2 pizzas and then it will take forever to get there and ultimately you get maybe 2 slices.. um NO. Ordering pizza is one of the hardest things to do in a group, its impossible to decide on toppings, who is going to order (why does nobody want to call (including me!)) plus then you have to get everyone to pool their money, which is impossible because it seems like everyone has a different form of currencty - card, Student Card, cash, check etc. (lets face it if someone says they will pay you back... they wont) Plus then where to order from? Everyone likes somewhere else, and then there will be people who want to use a coupon, which is ridiculous considering how many people are already cutting the price into fractions, but the coupon will still determine location and often set up rules for the order like 2 - 2 topping pizzas. Ugh you always end up with a cheese pizza in the sc</t>
        </is>
      </c>
      <c r="V3031" s="47">
        <f>IF(AND(P3031&gt;=Calendar!$K$2,P3031&lt;EDATE(Calendar!$K$2,1),OR(Calendar!$K$4="*",N3031=Calendar!$K$4)),P3031*100+COUNTIFS($P$6:$P$3267,P3031,$Q$6:$Q$3267,"&lt;="&amp;Q3031,$N$6:$N$3267,Calendar!$K$4),"")</f>
        <v/>
      </c>
      <c r="W3031" s="47">
        <f>IF(AND(B3031=Queue!$C$4,OR(Queue!$K$4="*",N3031=Queue!$K$4)),Q3031,"")</f>
        <v/>
      </c>
    </row>
    <row r="3032">
      <c r="A3032" s="38">
        <f>IF(M3032="","",HYPERLINK("https://www.youtube.com/watch?v="&amp;M3032,"▶"))</f>
        <v/>
      </c>
      <c r="B3032" s="39">
        <f>IF(C3032&lt;&gt;"",C3032,IF(P3032&lt;=IFERROR(INDEX(tblChannels[Watched Through],MATCH(N3032,tblChannels[Channel ID],0)),0),"Watched","Unwatched"))</f>
        <v/>
      </c>
      <c r="C3032" s="40" t="n"/>
      <c r="D3032" s="41" t="n"/>
      <c r="E3032" s="42" t="n">
        <v>41414.93055555555</v>
      </c>
      <c r="F3032" s="50" t="inlineStr">
        <is>
          <t>Super Carlin Brothers</t>
        </is>
      </c>
      <c r="G3032" t="inlineStr">
        <is>
          <t>Pizza</t>
        </is>
      </c>
      <c r="H3032" s="44" t="n">
        <v>0.002210648148148148</v>
      </c>
      <c r="I3032" s="45" t="n">
        <v>10706</v>
      </c>
      <c r="J3032" s="45" t="n">
        <v>233</v>
      </c>
      <c r="K3032" s="45" t="n">
        <v>93</v>
      </c>
      <c r="L3032" s="46" t="n"/>
      <c r="M3032" s="47" t="n"/>
      <c r="N3032" s="47" t="inlineStr">
        <is>
          <t>UCKZo4N0lVPccBkSiuyVh4yg</t>
        </is>
      </c>
      <c r="O3032" s="48" t="n">
        <v>41415.09722222222</v>
      </c>
      <c r="P3032" s="49" t="n">
        <v>41414</v>
      </c>
      <c r="Q3032" s="47" t="n">
        <v>236</v>
      </c>
      <c r="R3032" s="47" t="inlineStr">
        <is>
          <t>No Video ID yet</t>
        </is>
      </c>
      <c r="S3032" s="49" t="n"/>
      <c r="T3032" s="49" t="n"/>
      <c r="U3032" s="47" t="inlineStr">
        <is>
          <t>Funny story: When we were in high school we had a very very tight group of friends called the GMA: Me, Jonathan, John... the architect, and Mike we weren't unpopular but we had our little crew and just stuck to it. But we did have one thing that differentiated us from many high school groups. Sue. Sue was my 1996 isuzu trooper that we took to hell and back in many a offroading adventure. Even though we didn't exactly "party" we had access to really cool spots to do so. So every once and while we would throw a small gathering that we called "Pizzafest" The name arose on a family vacation that the GMA attended and we decided we wanted to see if we could pull one off. We wanted to discuss the event at length without our parents hearing so we used the code word "pizza" Looking back on it I'm sure this wasn't a bulletproof guise and our parents likely knew what we were up to the entire time. Either way we invented Pizzafest. Which had nothing to do with pizza.</t>
        </is>
      </c>
      <c r="V3032" s="47">
        <f>IF(AND(P3032&gt;=Calendar!$K$2,P3032&lt;EDATE(Calendar!$K$2,1),OR(Calendar!$K$4="*",N3032=Calendar!$K$4)),P3032*100+COUNTIFS($P$6:$P$3267,P3032,$Q$6:$Q$3267,"&lt;="&amp;Q3032,$N$6:$N$3267,Calendar!$K$4),"")</f>
        <v/>
      </c>
      <c r="W3032" s="47">
        <f>IF(AND(B3032=Queue!$C$4,OR(Queue!$K$4="*",N3032=Queue!$K$4)),Q3032,"")</f>
        <v/>
      </c>
    </row>
    <row r="3033">
      <c r="A3033" s="38">
        <f>IF(M3033="","",HYPERLINK("https://www.youtube.com/watch?v="&amp;M3033,"▶"))</f>
        <v/>
      </c>
      <c r="B3033" s="39">
        <f>IF(C3033&lt;&gt;"",C3033,IF(P3033&lt;=IFERROR(INDEX(tblChannels[Watched Through],MATCH(N3033,tblChannels[Channel ID],0)),0),"Watched","Unwatched"))</f>
        <v/>
      </c>
      <c r="C3033" s="40" t="n"/>
      <c r="D3033" s="41" t="n"/>
      <c r="E3033" s="42" t="n">
        <v>41411.76388888889</v>
      </c>
      <c r="F3033" s="50" t="inlineStr">
        <is>
          <t>Super Carlin Brothers</t>
        </is>
      </c>
      <c r="G3033" t="inlineStr">
        <is>
          <t>OPPORTUNITY FOOD!</t>
        </is>
      </c>
      <c r="H3033" s="44" t="n">
        <v>0.002939814814814815</v>
      </c>
      <c r="I3033" s="45" t="n">
        <v>50439</v>
      </c>
      <c r="J3033" s="45" t="n">
        <v>1012</v>
      </c>
      <c r="K3033" s="45" t="n">
        <v>263</v>
      </c>
      <c r="L3033" s="46" t="n"/>
      <c r="M3033" s="47" t="n"/>
      <c r="N3033" s="47" t="inlineStr">
        <is>
          <t>UCKZo4N0lVPccBkSiuyVh4yg</t>
        </is>
      </c>
      <c r="O3033" s="48" t="n">
        <v>41411.93055555555</v>
      </c>
      <c r="P3033" s="49" t="n">
        <v>41411</v>
      </c>
      <c r="Q3033" s="47" t="n">
        <v>235</v>
      </c>
      <c r="R3033" s="47" t="inlineStr">
        <is>
          <t>No Video ID yet</t>
        </is>
      </c>
      <c r="S3033" s="49" t="n"/>
      <c r="T3033" s="49" t="n"/>
      <c r="U3033" s="47" t="inlineStr">
        <is>
          <t>What is your opportunity food weakness? I always think its just on holidays when I will be confronted with extra large portions of food, that after Xmas or Thanksgiving I will be able to get into a groove and just be healthy. It never works out that way though, there is ALWAYS another event or occasion where people are pouring it on. My boss is what I would call a "food pusher" like if there is any available food he wants you to eat it, will tell you about it, will remind you about it. I'm not sure what the reasoning is, maybe he will feel better about eating it if someone else does too? Maybe just grew up in a house where food never went to waste? Maybe he just wants to get other people fat? Do you know food pushers? My friend John does this too, if there is a slice of pizza left he'll be like "Joncarlin, finish that!" And if I dont want it he will get upset, not upset at me, just physically upset, like all of a sudden he has been faced with an unsolvable problem. One time he brought like 70 hot dogs on a week long ski trip.. and by the 2nd to last day we'd only eaten like 30.. He was freaking out, and I'm not sure why.. it was as if he would have been embarrassed to have over pac</t>
        </is>
      </c>
      <c r="V3033" s="47">
        <f>IF(AND(P3033&gt;=Calendar!$K$2,P3033&lt;EDATE(Calendar!$K$2,1),OR(Calendar!$K$4="*",N3033=Calendar!$K$4)),P3033*100+COUNTIFS($P$6:$P$3267,P3033,$Q$6:$Q$3267,"&lt;="&amp;Q3033,$N$6:$N$3267,Calendar!$K$4),"")</f>
        <v/>
      </c>
      <c r="W3033" s="47">
        <f>IF(AND(B3033=Queue!$C$4,OR(Queue!$K$4="*",N3033=Queue!$K$4)),Q3033,"")</f>
        <v/>
      </c>
    </row>
    <row r="3034">
      <c r="A3034" s="38">
        <f>IF(M3034="","",HYPERLINK("https://www.youtube.com/watch?v="&amp;M3034,"▶"))</f>
        <v/>
      </c>
      <c r="B3034" s="39">
        <f>IF(C3034&lt;&gt;"",C3034,IF(P3034&lt;=IFERROR(INDEX(tblChannels[Watched Through],MATCH(N3034,tblChannels[Channel ID],0)),0),"Watched","Unwatched"))</f>
        <v/>
      </c>
      <c r="C3034" s="40" t="n"/>
      <c r="D3034" s="41" t="n"/>
      <c r="E3034" s="42" t="n">
        <v>41410.96736111111</v>
      </c>
      <c r="F3034" s="50" t="inlineStr">
        <is>
          <t>Super Carlin Brothers</t>
        </is>
      </c>
      <c r="G3034" t="inlineStr">
        <is>
          <t>I LOVE THIS SONG</t>
        </is>
      </c>
      <c r="H3034" s="44" t="n">
        <v>0.001643518518518519</v>
      </c>
      <c r="I3034" s="45" t="n">
        <v>10539</v>
      </c>
      <c r="J3034" s="45" t="n">
        <v>273</v>
      </c>
      <c r="K3034" s="45" t="n">
        <v>65</v>
      </c>
      <c r="L3034" s="46" t="n"/>
      <c r="M3034" s="47" t="n"/>
      <c r="N3034" s="47" t="inlineStr">
        <is>
          <t>UCKZo4N0lVPccBkSiuyVh4yg</t>
        </is>
      </c>
      <c r="O3034" s="48" t="n">
        <v>41411.13402777778</v>
      </c>
      <c r="P3034" s="49" t="n">
        <v>41410</v>
      </c>
      <c r="Q3034" s="47" t="n">
        <v>234</v>
      </c>
      <c r="R3034" s="47" t="inlineStr">
        <is>
          <t>No Video ID yet</t>
        </is>
      </c>
      <c r="S3034" s="49" t="n"/>
      <c r="T3034" s="49" t="n"/>
      <c r="U3034" s="47" t="n"/>
      <c r="V3034" s="47">
        <f>IF(AND(P3034&gt;=Calendar!$K$2,P3034&lt;EDATE(Calendar!$K$2,1),OR(Calendar!$K$4="*",N3034=Calendar!$K$4)),P3034*100+COUNTIFS($P$6:$P$3267,P3034,$Q$6:$Q$3267,"&lt;="&amp;Q3034,$N$6:$N$3267,Calendar!$K$4),"")</f>
        <v/>
      </c>
      <c r="W3034" s="47">
        <f>IF(AND(B3034=Queue!$C$4,OR(Queue!$K$4="*",N3034=Queue!$K$4)),Q3034,"")</f>
        <v/>
      </c>
    </row>
    <row r="3035">
      <c r="A3035" s="38">
        <f>IF(M3035="","",HYPERLINK("https://www.youtube.com/watch?v="&amp;M3035,"▶"))</f>
        <v/>
      </c>
      <c r="B3035" s="39">
        <f>IF(C3035&lt;&gt;"",C3035,IF(P3035&lt;=IFERROR(INDEX(tblChannels[Watched Through],MATCH(N3035,tblChannels[Channel ID],0)),0),"Watched","Unwatched"))</f>
        <v/>
      </c>
      <c r="C3035" s="40" t="n"/>
      <c r="D3035" s="41" t="n"/>
      <c r="E3035" s="42" t="n">
        <v>41409.98472222222</v>
      </c>
      <c r="F3035" s="50" t="inlineStr">
        <is>
          <t>Super Carlin Brothers</t>
        </is>
      </c>
      <c r="G3035" t="inlineStr">
        <is>
          <t>90's TAG!</t>
        </is>
      </c>
      <c r="H3035" s="44" t="n">
        <v>0.006226851851851851</v>
      </c>
      <c r="I3035" s="45" t="n">
        <v>65562</v>
      </c>
      <c r="J3035" s="45" t="n">
        <v>1165</v>
      </c>
      <c r="K3035" s="45" t="n">
        <v>340</v>
      </c>
      <c r="L3035" s="46" t="n"/>
      <c r="M3035" s="47" t="n"/>
      <c r="N3035" s="47" t="inlineStr">
        <is>
          <t>UCKZo4N0lVPccBkSiuyVh4yg</t>
        </is>
      </c>
      <c r="O3035" s="48" t="n">
        <v>41410.15138888889</v>
      </c>
      <c r="P3035" s="49" t="n">
        <v>41409</v>
      </c>
      <c r="Q3035" s="47" t="n">
        <v>233</v>
      </c>
      <c r="R3035" s="47" t="inlineStr">
        <is>
          <t>No Video ID yet</t>
        </is>
      </c>
      <c r="S3035" s="49" t="n"/>
      <c r="T3035" s="49" t="n"/>
      <c r="U3035" s="47" t="inlineStr">
        <is>
          <t>What were some of your favorite things from the 90's? Let us know in a video response! (or comment whatever) Chayce's Garfield Clock response:</t>
        </is>
      </c>
      <c r="V3035" s="47">
        <f>IF(AND(P3035&gt;=Calendar!$K$2,P3035&lt;EDATE(Calendar!$K$2,1),OR(Calendar!$K$4="*",N3035=Calendar!$K$4)),P3035*100+COUNTIFS($P$6:$P$3267,P3035,$Q$6:$Q$3267,"&lt;="&amp;Q3035,$N$6:$N$3267,Calendar!$K$4),"")</f>
        <v/>
      </c>
      <c r="W3035" s="47">
        <f>IF(AND(B3035=Queue!$C$4,OR(Queue!$K$4="*",N3035=Queue!$K$4)),Q3035,"")</f>
        <v/>
      </c>
    </row>
    <row r="3036">
      <c r="A3036" s="38">
        <f>IF(M3036="","",HYPERLINK("https://www.youtube.com/watch?v="&amp;M3036,"▶"))</f>
        <v/>
      </c>
      <c r="B3036" s="39">
        <f>IF(C3036&lt;&gt;"",C3036,IF(P3036&lt;=IFERROR(INDEX(tblChannels[Watched Through],MATCH(N3036,tblChannels[Channel ID],0)),0),"Watched","Unwatched"))</f>
        <v/>
      </c>
      <c r="C3036" s="40" t="n"/>
      <c r="D3036" s="41" t="n"/>
      <c r="E3036" s="42" t="n">
        <v>41408.90416666667</v>
      </c>
      <c r="F3036" s="50" t="inlineStr">
        <is>
          <t>Super Carlin Brothers</t>
        </is>
      </c>
      <c r="G3036" t="inlineStr">
        <is>
          <t>ADD</t>
        </is>
      </c>
      <c r="H3036" s="44" t="n">
        <v>0.001793981481481481</v>
      </c>
      <c r="I3036" s="45" t="n">
        <v>10565</v>
      </c>
      <c r="J3036" s="45" t="n">
        <v>240</v>
      </c>
      <c r="K3036" s="45" t="n">
        <v>68</v>
      </c>
      <c r="L3036" s="46" t="n"/>
      <c r="M3036" s="47" t="n"/>
      <c r="N3036" s="47" t="inlineStr">
        <is>
          <t>UCKZo4N0lVPccBkSiuyVh4yg</t>
        </is>
      </c>
      <c r="O3036" s="48" t="n">
        <v>41409.07083333333</v>
      </c>
      <c r="P3036" s="49" t="n">
        <v>41408</v>
      </c>
      <c r="Q3036" s="47" t="n">
        <v>232</v>
      </c>
      <c r="R3036" s="47" t="inlineStr">
        <is>
          <t>No Video ID yet</t>
        </is>
      </c>
      <c r="S3036" s="49" t="n"/>
      <c r="T3036" s="49" t="n"/>
      <c r="U3036" s="47" t="inlineStr">
        <is>
          <t>Okay so here is the Ben Theory on ADD... When I was a kid... My next door neighbor was an elderly woman and she was my babysitter for a good chunk of my childhood. We called her Mama Scott. Looking back I now know she was a very caring person and did my parents a huge favor by watching us. When I was a kid I was convinced it was a ploy to teach me how to handle boredom. There was just about nothing to do... which led to just way too many imagination based games with whatever we could find to play with. My theory is... I think at a young age I basically learned how to handle boredom. I wen't to war with it and made peace with it. And despite that I think I am still mildly ADD but more in the form of not always thinking in a linear manner. Now kids have iPads. My time limit for these is the amount of time it takes to upload the video. Just ran out of time. Myers Briggs Personality Test:</t>
        </is>
      </c>
      <c r="V3036" s="47">
        <f>IF(AND(P3036&gt;=Calendar!$K$2,P3036&lt;EDATE(Calendar!$K$2,1),OR(Calendar!$K$4="*",N3036=Calendar!$K$4)),P3036*100+COUNTIFS($P$6:$P$3267,P3036,$Q$6:$Q$3267,"&lt;="&amp;Q3036,$N$6:$N$3267,Calendar!$K$4),"")</f>
        <v/>
      </c>
      <c r="W3036" s="47">
        <f>IF(AND(B3036=Queue!$C$4,OR(Queue!$K$4="*",N3036=Queue!$K$4)),Q3036,"")</f>
        <v/>
      </c>
    </row>
    <row r="3037">
      <c r="A3037" s="38">
        <f>IF(M3037="","",HYPERLINK("https://www.youtube.com/watch?v="&amp;M3037,"▶"))</f>
        <v/>
      </c>
      <c r="B3037" s="39">
        <f>IF(C3037&lt;&gt;"",C3037,IF(P3037&lt;=IFERROR(INDEX(tblChannels[Watched Through],MATCH(N3037,tblChannels[Channel ID],0)),0),"Watched","Unwatched"))</f>
        <v/>
      </c>
      <c r="C3037" s="40" t="n"/>
      <c r="D3037" s="41" t="n"/>
      <c r="E3037" s="42" t="n">
        <v>41407.95833333334</v>
      </c>
      <c r="F3037" s="50" t="inlineStr">
        <is>
          <t>Super Carlin Brothers</t>
        </is>
      </c>
      <c r="G3037" t="inlineStr">
        <is>
          <t>What's in my Wallet</t>
        </is>
      </c>
      <c r="H3037" s="44" t="n">
        <v>0.003449074074074074</v>
      </c>
      <c r="I3037" s="45" t="n">
        <v>90146</v>
      </c>
      <c r="J3037" s="45" t="n">
        <v>1442</v>
      </c>
      <c r="K3037" s="45" t="n">
        <v>311</v>
      </c>
      <c r="L3037" s="46" t="n"/>
      <c r="M3037" s="47" t="n"/>
      <c r="N3037" s="47" t="inlineStr">
        <is>
          <t>UCKZo4N0lVPccBkSiuyVh4yg</t>
        </is>
      </c>
      <c r="O3037" s="48" t="n">
        <v>41408.125</v>
      </c>
      <c r="P3037" s="49" t="n">
        <v>41407</v>
      </c>
      <c r="Q3037" s="47" t="n">
        <v>231</v>
      </c>
      <c r="R3037" s="47" t="inlineStr">
        <is>
          <t>No Video ID yet</t>
        </is>
      </c>
      <c r="S3037" s="49" t="n"/>
      <c r="T3037" s="49" t="n"/>
      <c r="U3037" s="47" t="inlineStr">
        <is>
          <t>I've got some attachement issues in my wallet... do you carry around anything you dont need? I'm really glad I made this because I actually managed to remove 3 keys and 9 cards from my wallet, its crazy how hard it was to just make the cut for something that seems so easy. I think a lot of times I just have to be in the right mood to throw stuff out. I get that way at work, a lot because I inherited someone else's office and it turns out they were a freaking hoarder, but right when I got there it was hard to tell what was necessary to keep for the job and what was just freaking garbage. Turns out most of it was garbage. BUT a lot of it was like "garbage with potential" like unopened picture frames and really nice resume paper. The thing is they are good products that have some value to them BUT SERVE NO PURPOSE TO ME or anyone nor will they. They will just continue to take up space in my filing cabinets.</t>
        </is>
      </c>
      <c r="V3037" s="47">
        <f>IF(AND(P3037&gt;=Calendar!$K$2,P3037&lt;EDATE(Calendar!$K$2,1),OR(Calendar!$K$4="*",N3037=Calendar!$K$4)),P3037*100+COUNTIFS($P$6:$P$3267,P3037,$Q$6:$Q$3267,"&lt;="&amp;Q3037,$N$6:$N$3267,Calendar!$K$4),"")</f>
        <v/>
      </c>
      <c r="W3037" s="47">
        <f>IF(AND(B3037=Queue!$C$4,OR(Queue!$K$4="*",N3037=Queue!$K$4)),Q3037,"")</f>
        <v/>
      </c>
    </row>
    <row r="3038">
      <c r="A3038" s="38">
        <f>IF(M3038="","",HYPERLINK("https://www.youtube.com/watch?v="&amp;M3038,"▶"))</f>
        <v/>
      </c>
      <c r="B3038" s="39">
        <f>IF(C3038&lt;&gt;"",C3038,IF(P3038&lt;=IFERROR(INDEX(tblChannels[Watched Through],MATCH(N3038,tblChannels[Channel ID],0)),0),"Watched","Unwatched"))</f>
        <v/>
      </c>
      <c r="C3038" s="40" t="n"/>
      <c r="D3038" s="41" t="n"/>
      <c r="E3038" s="42" t="n">
        <v>41404.88958333333</v>
      </c>
      <c r="F3038" s="50" t="inlineStr">
        <is>
          <t>Super Carlin Brothers</t>
        </is>
      </c>
      <c r="G3038" t="inlineStr">
        <is>
          <t>John Carlin's Son</t>
        </is>
      </c>
      <c r="H3038" s="44" t="n">
        <v>0.001898148148148148</v>
      </c>
      <c r="I3038" s="45" t="n">
        <v>19381</v>
      </c>
      <c r="J3038" s="45" t="n">
        <v>436</v>
      </c>
      <c r="K3038" s="45" t="n">
        <v>157</v>
      </c>
      <c r="L3038" s="46" t="n"/>
      <c r="M3038" s="47" t="n"/>
      <c r="N3038" s="47" t="inlineStr">
        <is>
          <t>UCKZo4N0lVPccBkSiuyVh4yg</t>
        </is>
      </c>
      <c r="O3038" s="48" t="n">
        <v>41405.05625</v>
      </c>
      <c r="P3038" s="49" t="n">
        <v>41404</v>
      </c>
      <c r="Q3038" s="47" t="n">
        <v>230</v>
      </c>
      <c r="R3038" s="47" t="inlineStr">
        <is>
          <t>No Video ID yet</t>
        </is>
      </c>
      <c r="S3038" s="49" t="n"/>
      <c r="T3038" s="49" t="n"/>
      <c r="U3038" s="47" t="inlineStr">
        <is>
          <t>Are you known for something specific? All in all I feel extremely fortunate to have a Dad like I do.</t>
        </is>
      </c>
      <c r="V3038" s="47">
        <f>IF(AND(P3038&gt;=Calendar!$K$2,P3038&lt;EDATE(Calendar!$K$2,1),OR(Calendar!$K$4="*",N3038=Calendar!$K$4)),P3038*100+COUNTIFS($P$6:$P$3267,P3038,$Q$6:$Q$3267,"&lt;="&amp;Q3038,$N$6:$N$3267,Calendar!$K$4),"")</f>
        <v/>
      </c>
      <c r="W3038" s="47">
        <f>IF(AND(B3038=Queue!$C$4,OR(Queue!$K$4="*",N3038=Queue!$K$4)),Q3038,"")</f>
        <v/>
      </c>
    </row>
    <row r="3039">
      <c r="A3039" s="38">
        <f>IF(M3039="","",HYPERLINK("https://www.youtube.com/watch?v="&amp;M3039,"▶"))</f>
        <v/>
      </c>
      <c r="B3039" s="39">
        <f>IF(C3039&lt;&gt;"",C3039,IF(P3039&lt;=IFERROR(INDEX(tblChannels[Watched Through],MATCH(N3039,tblChannels[Channel ID],0)),0),"Watched","Unwatched"))</f>
        <v/>
      </c>
      <c r="C3039" s="40" t="n"/>
      <c r="D3039" s="41" t="n"/>
      <c r="E3039" s="42" t="n">
        <v>41403.98611111111</v>
      </c>
      <c r="F3039" s="50" t="inlineStr">
        <is>
          <t>Super Carlin Brothers</t>
        </is>
      </c>
      <c r="G3039" t="inlineStr">
        <is>
          <t>I FOUND BIGFOOT!!</t>
        </is>
      </c>
      <c r="H3039" s="44" t="n">
        <v>0.002650462962962963</v>
      </c>
      <c r="I3039" s="45" t="n">
        <v>141712</v>
      </c>
      <c r="J3039" s="45" t="n">
        <v>1869</v>
      </c>
      <c r="K3039" s="45" t="n">
        <v>345</v>
      </c>
      <c r="L3039" s="46" t="n"/>
      <c r="M3039" s="47" t="n"/>
      <c r="N3039" s="47" t="inlineStr">
        <is>
          <t>UCKZo4N0lVPccBkSiuyVh4yg</t>
        </is>
      </c>
      <c r="O3039" s="48" t="n">
        <v>41404.15277777778</v>
      </c>
      <c r="P3039" s="49" t="n">
        <v>41403</v>
      </c>
      <c r="Q3039" s="47" t="n">
        <v>229</v>
      </c>
      <c r="R3039" s="47" t="inlineStr">
        <is>
          <t>No Video ID yet</t>
        </is>
      </c>
      <c r="S3039" s="49" t="n"/>
      <c r="T3039" s="49" t="n"/>
      <c r="U3039" s="47" t="inlineStr">
        <is>
          <t xml:space="preserve">Oh so you're the Funke everyone's been talking about! Great news on the Garfield Clock front, not sure if you noticed but Chayce (if that is your real name) left a comment promising a response. We will get to the bottom of this madness! So the rumor is you guys actually read these whole descriptions! In other exciting news I will be wearing a tuxedo this weekend, so I may actually have to learn how to tie a bow-tie or maybe I'll just end up using one of those adjustable slider ones that they give you for Prom. I'll actually be wearing the tux to Ben's big Gala thing he talked about yesterday, it's certainly costing me enough money to be there so he better have that freaking fish tank looking awesome. And the turtle tank! I learned so much about keeping turtles yesterday in the comments, i didnt realize there was so much to it, mostly I though meh its a turtle.. doesnt do much just make sure you feed it. Guess that was way wrong. Speaking of turtles I guess Megan Fox is going to be playing April O'Niel in the new TMNT movie? Not sure how I feel about that.. I mean on the one hand.. HELLO Megan, but on the other hand TMNT has never really had anything sexy about it, it has more than </t>
        </is>
      </c>
      <c r="V3039" s="47">
        <f>IF(AND(P3039&gt;=Calendar!$K$2,P3039&lt;EDATE(Calendar!$K$2,1),OR(Calendar!$K$4="*",N3039=Calendar!$K$4)),P3039*100+COUNTIFS($P$6:$P$3267,P3039,$Q$6:$Q$3267,"&lt;="&amp;Q3039,$N$6:$N$3267,Calendar!$K$4),"")</f>
        <v/>
      </c>
      <c r="W3039" s="47">
        <f>IF(AND(B3039=Queue!$C$4,OR(Queue!$K$4="*",N3039=Queue!$K$4)),Q3039,"")</f>
        <v/>
      </c>
    </row>
    <row r="3040">
      <c r="A3040" s="38">
        <f>IF(M3040="","",HYPERLINK("https://www.youtube.com/watch?v="&amp;M3040,"▶"))</f>
        <v/>
      </c>
      <c r="B3040" s="39">
        <f>IF(C3040&lt;&gt;"",C3040,IF(P3040&lt;=IFERROR(INDEX(tblChannels[Watched Through],MATCH(N3040,tblChannels[Channel ID],0)),0),"Watched","Unwatched"))</f>
        <v/>
      </c>
      <c r="C3040" s="40" t="n"/>
      <c r="D3040" s="41" t="n"/>
      <c r="E3040" s="42" t="n">
        <v>41402.97847222222</v>
      </c>
      <c r="F3040" s="50" t="inlineStr">
        <is>
          <t>Super Carlin Brothers</t>
        </is>
      </c>
      <c r="G3040" t="inlineStr">
        <is>
          <t>Progress Report</t>
        </is>
      </c>
      <c r="H3040" s="44" t="n">
        <v>0.00224537037037037</v>
      </c>
      <c r="I3040" s="45" t="n">
        <v>9065</v>
      </c>
      <c r="J3040" s="45" t="n">
        <v>197</v>
      </c>
      <c r="K3040" s="45" t="n">
        <v>42</v>
      </c>
      <c r="L3040" s="46" t="n"/>
      <c r="M3040" s="47" t="n"/>
      <c r="N3040" s="47" t="inlineStr">
        <is>
          <t>UCKZo4N0lVPccBkSiuyVh4yg</t>
        </is>
      </c>
      <c r="O3040" s="48" t="n">
        <v>41403.14513888889</v>
      </c>
      <c r="P3040" s="49" t="n">
        <v>41402</v>
      </c>
      <c r="Q3040" s="47" t="n">
        <v>228</v>
      </c>
      <c r="R3040" s="47" t="inlineStr">
        <is>
          <t>No Video ID yet</t>
        </is>
      </c>
      <c r="S3040" s="49" t="n"/>
      <c r="T3040" s="49" t="n"/>
      <c r="U3040" s="47" t="inlineStr">
        <is>
          <t>I thought I would take a minute (or 3) to tell you guys about everything that I've been working on lately. This is the reason I couldn't spend the time working out a real topic today so it IS the topic today. It's a bizarre combination of stress and excitement and anticipation. Like if it became Christmas day and you've been so excited about it for so long but before you get to spend time with your family and exchange gifts you had to run 10 miles barefoot through the snow which is dreadful but completing the task not only allows you to have Christmas but to then have every day thereafter be Christmas. It's hard work... I would say one of the more challenging ordeals I have endured in my lifetime. It is both mentally and physically demanding. Time consuming and exhausting. It's one of the few situations where I am nearly terrified of my excitement. Which in itself is a foreign feeling. I can only imagine it to be like walking a tight rope for the very first time. You've worked and worked. Only a few steps away from safety. But your fatigued and all you can think is your almost there... You cannot fall now. I have a feeling in a month Ill be able to go back and reread this and I wil</t>
        </is>
      </c>
      <c r="V3040" s="47">
        <f>IF(AND(P3040&gt;=Calendar!$K$2,P3040&lt;EDATE(Calendar!$K$2,1),OR(Calendar!$K$4="*",N3040=Calendar!$K$4)),P3040*100+COUNTIFS($P$6:$P$3267,P3040,$Q$6:$Q$3267,"&lt;="&amp;Q3040,$N$6:$N$3267,Calendar!$K$4),"")</f>
        <v/>
      </c>
      <c r="W3040" s="47">
        <f>IF(AND(B3040=Queue!$C$4,OR(Queue!$K$4="*",N3040=Queue!$K$4)),Q3040,"")</f>
        <v/>
      </c>
    </row>
    <row r="3041">
      <c r="A3041" s="38">
        <f>IF(M3041="","",HYPERLINK("https://www.youtube.com/watch?v="&amp;M3041,"▶"))</f>
        <v/>
      </c>
      <c r="B3041" s="39">
        <f>IF(C3041&lt;&gt;"",C3041,IF(P3041&lt;=IFERROR(INDEX(tblChannels[Watched Through],MATCH(N3041,tblChannels[Channel ID],0)),0),"Watched","Unwatched"))</f>
        <v/>
      </c>
      <c r="C3041" s="40" t="n"/>
      <c r="D3041" s="41" t="n"/>
      <c r="E3041" s="42" t="n">
        <v>41401.87569444445</v>
      </c>
      <c r="F3041" s="50" t="inlineStr">
        <is>
          <t>Super Carlin Brothers</t>
        </is>
      </c>
      <c r="G3041" t="inlineStr">
        <is>
          <t>The Garfield Clock</t>
        </is>
      </c>
      <c r="H3041" s="44" t="n">
        <v>0.003032407407407407</v>
      </c>
      <c r="I3041" s="45" t="n">
        <v>54226</v>
      </c>
      <c r="J3041" s="45" t="n">
        <v>790</v>
      </c>
      <c r="K3041" s="45" t="n">
        <v>124</v>
      </c>
      <c r="L3041" s="46" t="n"/>
      <c r="M3041" s="47" t="n"/>
      <c r="N3041" s="47" t="inlineStr">
        <is>
          <t>UCKZo4N0lVPccBkSiuyVh4yg</t>
        </is>
      </c>
      <c r="O3041" s="48" t="n">
        <v>41402.04236111111</v>
      </c>
      <c r="P3041" s="49" t="n">
        <v>41401</v>
      </c>
      <c r="Q3041" s="47" t="n">
        <v>227</v>
      </c>
      <c r="R3041" s="47" t="inlineStr">
        <is>
          <t>No Video ID yet</t>
        </is>
      </c>
      <c r="S3041" s="49" t="n"/>
      <c r="T3041" s="49" t="n"/>
      <c r="U3041" s="47" t="inlineStr">
        <is>
          <t>Humerous Vlogger or Marketing Mastermind??? Chayce's Video: Also you can just check out the entire FriendsWOBenefits Channel here:</t>
        </is>
      </c>
      <c r="V3041" s="47">
        <f>IF(AND(P3041&gt;=Calendar!$K$2,P3041&lt;EDATE(Calendar!$K$2,1),OR(Calendar!$K$4="*",N3041=Calendar!$K$4)),P3041*100+COUNTIFS($P$6:$P$3267,P3041,$Q$6:$Q$3267,"&lt;="&amp;Q3041,$N$6:$N$3267,Calendar!$K$4),"")</f>
        <v/>
      </c>
      <c r="W3041" s="47">
        <f>IF(AND(B3041=Queue!$C$4,OR(Queue!$K$4="*",N3041=Queue!$K$4)),Q3041,"")</f>
        <v/>
      </c>
    </row>
    <row r="3042">
      <c r="A3042" s="38">
        <f>IF(M3042="","",HYPERLINK("https://www.youtube.com/watch?v="&amp;M3042,"▶"))</f>
        <v/>
      </c>
      <c r="B3042" s="39">
        <f>IF(C3042&lt;&gt;"",C3042,IF(P3042&lt;=IFERROR(INDEX(tblChannels[Watched Through],MATCH(N3042,tblChannels[Channel ID],0)),0),"Watched","Unwatched"))</f>
        <v/>
      </c>
      <c r="C3042" s="40" t="n"/>
      <c r="D3042" s="41" t="n"/>
      <c r="E3042" s="42" t="n">
        <v>41400.94861111111</v>
      </c>
      <c r="F3042" s="50" t="inlineStr">
        <is>
          <t>Super Carlin Brothers</t>
        </is>
      </c>
      <c r="G3042" t="inlineStr">
        <is>
          <t>Mini Hippos</t>
        </is>
      </c>
      <c r="H3042" s="44" t="n">
        <v>0.001585648148148148</v>
      </c>
      <c r="I3042" s="45" t="n">
        <v>9788</v>
      </c>
      <c r="J3042" s="45" t="n">
        <v>216</v>
      </c>
      <c r="K3042" s="45" t="n">
        <v>87</v>
      </c>
      <c r="L3042" s="46" t="n"/>
      <c r="M3042" s="47" t="n"/>
      <c r="N3042" s="47" t="inlineStr">
        <is>
          <t>UCKZo4N0lVPccBkSiuyVh4yg</t>
        </is>
      </c>
      <c r="O3042" s="48" t="n">
        <v>41401.11527777778</v>
      </c>
      <c r="P3042" s="49" t="n">
        <v>41400</v>
      </c>
      <c r="Q3042" s="47" t="n">
        <v>226</v>
      </c>
      <c r="R3042" s="47" t="inlineStr">
        <is>
          <t>No Video ID yet</t>
        </is>
      </c>
      <c r="S3042" s="49" t="n"/>
      <c r="T3042" s="49" t="n"/>
      <c r="U3042" s="47" t="inlineStr">
        <is>
          <t>I am intentionally not putting the QOTD in the description today.</t>
        </is>
      </c>
      <c r="V3042" s="47">
        <f>IF(AND(P3042&gt;=Calendar!$K$2,P3042&lt;EDATE(Calendar!$K$2,1),OR(Calendar!$K$4="*",N3042=Calendar!$K$4)),P3042*100+COUNTIFS($P$6:$P$3267,P3042,$Q$6:$Q$3267,"&lt;="&amp;Q3042,$N$6:$N$3267,Calendar!$K$4),"")</f>
        <v/>
      </c>
      <c r="W3042" s="47">
        <f>IF(AND(B3042=Queue!$C$4,OR(Queue!$K$4="*",N3042=Queue!$K$4)),Q3042,"")</f>
        <v/>
      </c>
    </row>
    <row r="3043">
      <c r="A3043" s="38">
        <f>IF(M3043="","",HYPERLINK("https://www.youtube.com/watch?v="&amp;M3043,"▶"))</f>
        <v/>
      </c>
      <c r="B3043" s="39">
        <f>IF(C3043&lt;&gt;"",C3043,IF(P3043&lt;=IFERROR(INDEX(tblChannels[Watched Through],MATCH(N3043,tblChannels[Channel ID],0)),0),"Watched","Unwatched"))</f>
        <v/>
      </c>
      <c r="C3043" s="40" t="n"/>
      <c r="D3043" s="41" t="n"/>
      <c r="E3043" s="42" t="n">
        <v>41397.97152777778</v>
      </c>
      <c r="F3043" s="50" t="inlineStr">
        <is>
          <t>Super Carlin Brothers</t>
        </is>
      </c>
      <c r="G3043" t="inlineStr">
        <is>
          <t>Dr. Who's on First</t>
        </is>
      </c>
      <c r="H3043" s="44" t="n">
        <v>0.003136574074074074</v>
      </c>
      <c r="I3043" s="45" t="n">
        <v>79025</v>
      </c>
      <c r="J3043" s="45" t="n">
        <v>2057</v>
      </c>
      <c r="K3043" s="45" t="n">
        <v>365</v>
      </c>
      <c r="L3043" s="46" t="n"/>
      <c r="M3043" s="47" t="n"/>
      <c r="N3043" s="47" t="inlineStr">
        <is>
          <t>UCKZo4N0lVPccBkSiuyVh4yg</t>
        </is>
      </c>
      <c r="O3043" s="48" t="n">
        <v>41398.13819444444</v>
      </c>
      <c r="P3043" s="49" t="n">
        <v>41397</v>
      </c>
      <c r="Q3043" s="47" t="n">
        <v>225</v>
      </c>
      <c r="R3043" s="47" t="inlineStr">
        <is>
          <t>No Video ID yet</t>
        </is>
      </c>
      <c r="S3043" s="49" t="n"/>
      <c r="T3043" s="49" t="n"/>
      <c r="U3043" s="47" t="inlineStr">
        <is>
          <t>Where is the From? What is the From? Who is the From? When is the From? Why...... is the From? JUXTABROS - Tyler is home from college and decided to come pay me a visit, we spend the day investigating Ben's Typo.. whoops.</t>
        </is>
      </c>
      <c r="V3043" s="47">
        <f>IF(AND(P3043&gt;=Calendar!$K$2,P3043&lt;EDATE(Calendar!$K$2,1),OR(Calendar!$K$4="*",N3043=Calendar!$K$4)),P3043*100+COUNTIFS($P$6:$P$3267,P3043,$Q$6:$Q$3267,"&lt;="&amp;Q3043,$N$6:$N$3267,Calendar!$K$4),"")</f>
        <v/>
      </c>
      <c r="W3043" s="47">
        <f>IF(AND(B3043=Queue!$C$4,OR(Queue!$K$4="*",N3043=Queue!$K$4)),Q3043,"")</f>
        <v/>
      </c>
    </row>
    <row r="3044">
      <c r="A3044" s="38">
        <f>IF(M3044="","",HYPERLINK("https://www.youtube.com/watch?v="&amp;M3044,"▶"))</f>
        <v/>
      </c>
      <c r="B3044" s="39">
        <f>IF(C3044&lt;&gt;"",C3044,IF(P3044&lt;=IFERROR(INDEX(tblChannels[Watched Through],MATCH(N3044,tblChannels[Channel ID],0)),0),"Watched","Unwatched"))</f>
        <v/>
      </c>
      <c r="C3044" s="40" t="n"/>
      <c r="D3044" s="41" t="n"/>
      <c r="E3044" s="42" t="n">
        <v>41396.94513888889</v>
      </c>
      <c r="F3044" s="50" t="inlineStr">
        <is>
          <t>Super Carlin Brothers</t>
        </is>
      </c>
      <c r="G3044" t="inlineStr">
        <is>
          <t>What are they from!?</t>
        </is>
      </c>
      <c r="H3044" s="44" t="n">
        <v>0.001712962962962963</v>
      </c>
      <c r="I3044" s="45" t="n">
        <v>25030</v>
      </c>
      <c r="J3044" s="45" t="n">
        <v>469</v>
      </c>
      <c r="K3044" s="45" t="n">
        <v>117</v>
      </c>
      <c r="L3044" s="46" t="n"/>
      <c r="M3044" s="47" t="n"/>
      <c r="N3044" s="47" t="inlineStr">
        <is>
          <t>UCKZo4N0lVPccBkSiuyVh4yg</t>
        </is>
      </c>
      <c r="O3044" s="48" t="n">
        <v>41397.11180555556</v>
      </c>
      <c r="P3044" s="49" t="n">
        <v>41396</v>
      </c>
      <c r="Q3044" s="47" t="n">
        <v>224</v>
      </c>
      <c r="R3044" s="47" t="inlineStr">
        <is>
          <t>No Video ID yet</t>
        </is>
      </c>
      <c r="S3044" s="49" t="n"/>
      <c r="T3044" s="49" t="n"/>
      <c r="U3044" s="47" t="inlineStr">
        <is>
          <t>Do you ever play what are they from or name that show/movie?!</t>
        </is>
      </c>
      <c r="V3044" s="47">
        <f>IF(AND(P3044&gt;=Calendar!$K$2,P3044&lt;EDATE(Calendar!$K$2,1),OR(Calendar!$K$4="*",N3044=Calendar!$K$4)),P3044*100+COUNTIFS($P$6:$P$3267,P3044,$Q$6:$Q$3267,"&lt;="&amp;Q3044,$N$6:$N$3267,Calendar!$K$4),"")</f>
        <v/>
      </c>
      <c r="W3044" s="47">
        <f>IF(AND(B3044=Queue!$C$4,OR(Queue!$K$4="*",N3044=Queue!$K$4)),Q3044,"")</f>
        <v/>
      </c>
    </row>
    <row r="3045">
      <c r="A3045" s="38">
        <f>IF(M3045="","",HYPERLINK("https://www.youtube.com/watch?v="&amp;M3045,"▶"))</f>
        <v/>
      </c>
      <c r="B3045" s="39">
        <f>IF(C3045&lt;&gt;"",C3045,IF(P3045&lt;=IFERROR(INDEX(tblChannels[Watched Through],MATCH(N3045,tblChannels[Channel ID],0)),0),"Watched","Unwatched"))</f>
        <v/>
      </c>
      <c r="C3045" s="40" t="n"/>
      <c r="D3045" s="41" t="n"/>
      <c r="E3045" s="42" t="n">
        <v>41395.99583333333</v>
      </c>
      <c r="F3045" s="50" t="inlineStr">
        <is>
          <t>Super Carlin Brothers</t>
        </is>
      </c>
      <c r="G3045" t="inlineStr">
        <is>
          <t>How I Met Your Mother Talk</t>
        </is>
      </c>
      <c r="H3045" s="44" t="n">
        <v>0.003599537037037037</v>
      </c>
      <c r="I3045" s="45" t="n">
        <v>52318</v>
      </c>
      <c r="J3045" s="45" t="n">
        <v>1153</v>
      </c>
      <c r="K3045" s="45" t="n">
        <v>245</v>
      </c>
      <c r="L3045" s="46" t="n"/>
      <c r="M3045" s="47" t="n"/>
      <c r="N3045" s="47" t="inlineStr">
        <is>
          <t>UCKZo4N0lVPccBkSiuyVh4yg</t>
        </is>
      </c>
      <c r="O3045" s="48" t="n">
        <v>41396.1625</v>
      </c>
      <c r="P3045" s="49" t="n">
        <v>41395</v>
      </c>
      <c r="Q3045" s="47" t="n">
        <v>223</v>
      </c>
      <c r="R3045" s="47" t="inlineStr">
        <is>
          <t>No Video ID yet</t>
        </is>
      </c>
      <c r="S3045" s="49" t="n"/>
      <c r="T3045" s="49" t="n"/>
      <c r="U3045" s="47" t="inlineStr">
        <is>
          <t>Anytime I'm about to write a dumb description, I stop and write an awesome one instead. True Story. LETS GO TO THE MALL!</t>
        </is>
      </c>
      <c r="V3045" s="47">
        <f>IF(AND(P3045&gt;=Calendar!$K$2,P3045&lt;EDATE(Calendar!$K$2,1),OR(Calendar!$K$4="*",N3045=Calendar!$K$4)),P3045*100+COUNTIFS($P$6:$P$3267,P3045,$Q$6:$Q$3267,"&lt;="&amp;Q3045,$N$6:$N$3267,Calendar!$K$4),"")</f>
        <v/>
      </c>
      <c r="W3045" s="47">
        <f>IF(AND(B3045=Queue!$C$4,OR(Queue!$K$4="*",N3045=Queue!$K$4)),Q3045,"")</f>
        <v/>
      </c>
    </row>
    <row r="3046">
      <c r="A3046" s="38">
        <f>IF(M3046="","",HYPERLINK("https://www.youtube.com/watch?v="&amp;M3046,"▶"))</f>
        <v/>
      </c>
      <c r="B3046" s="39">
        <f>IF(C3046&lt;&gt;"",C3046,IF(P3046&lt;=IFERROR(INDEX(tblChannels[Watched Through],MATCH(N3046,tblChannels[Channel ID],0)),0),"Watched","Unwatched"))</f>
        <v/>
      </c>
      <c r="C3046" s="40" t="n"/>
      <c r="D3046" s="41" t="n"/>
      <c r="E3046" s="42" t="n">
        <v>41394.98958333334</v>
      </c>
      <c r="F3046" s="50" t="inlineStr">
        <is>
          <t>Super Carlin Brothers</t>
        </is>
      </c>
      <c r="G3046" t="inlineStr">
        <is>
          <t>Mantis Shrimp and the Newsroom</t>
        </is>
      </c>
      <c r="H3046" s="44" t="n">
        <v>0.003263888888888889</v>
      </c>
      <c r="I3046" s="45" t="n">
        <v>9171</v>
      </c>
      <c r="J3046" s="45" t="n">
        <v>189</v>
      </c>
      <c r="K3046" s="45" t="n">
        <v>40</v>
      </c>
      <c r="L3046" s="46" t="n"/>
      <c r="M3046" s="47" t="n"/>
      <c r="N3046" s="47" t="inlineStr">
        <is>
          <t>UCKZo4N0lVPccBkSiuyVh4yg</t>
        </is>
      </c>
      <c r="O3046" s="48" t="n">
        <v>41395.15625</v>
      </c>
      <c r="P3046" s="49" t="n">
        <v>41394</v>
      </c>
      <c r="Q3046" s="47" t="n">
        <v>222</v>
      </c>
      <c r="R3046" s="47" t="inlineStr">
        <is>
          <t>No Video ID yet</t>
        </is>
      </c>
      <c r="S3046" s="49" t="n"/>
      <c r="T3046" s="49" t="n"/>
      <c r="U3046" s="47" t="inlineStr">
        <is>
          <t>Do you ever look at watching a tv series as similar to reading a book? Really really really really really really really really tired. Closest I've come to giving up hope on even attempting to make a video. I want to give a huge thank you to all of you that come and watch our videos. You all are an amazing audience and I am honored to have your attention for 3-4 minutes at a time.</t>
        </is>
      </c>
      <c r="V3046" s="47">
        <f>IF(AND(P3046&gt;=Calendar!$K$2,P3046&lt;EDATE(Calendar!$K$2,1),OR(Calendar!$K$4="*",N3046=Calendar!$K$4)),P3046*100+COUNTIFS($P$6:$P$3267,P3046,$Q$6:$Q$3267,"&lt;="&amp;Q3046,$N$6:$N$3267,Calendar!$K$4),"")</f>
        <v/>
      </c>
      <c r="W3046" s="47">
        <f>IF(AND(B3046=Queue!$C$4,OR(Queue!$K$4="*",N3046=Queue!$K$4)),Q3046,"")</f>
        <v/>
      </c>
    </row>
    <row r="3047">
      <c r="A3047" s="38">
        <f>IF(M3047="","",HYPERLINK("https://www.youtube.com/watch?v="&amp;M3047,"▶"))</f>
        <v/>
      </c>
      <c r="B3047" s="39">
        <f>IF(C3047&lt;&gt;"",C3047,IF(P3047&lt;=IFERROR(INDEX(tblChannels[Watched Through],MATCH(N3047,tblChannels[Channel ID],0)),0),"Watched","Unwatched"))</f>
        <v/>
      </c>
      <c r="C3047" s="40" t="n"/>
      <c r="D3047" s="41" t="n"/>
      <c r="E3047" s="42" t="n">
        <v>41393.99444444444</v>
      </c>
      <c r="F3047" s="50" t="inlineStr">
        <is>
          <t>Super Carlin Brothers</t>
        </is>
      </c>
      <c r="G3047" t="inlineStr">
        <is>
          <t>What Makes Something Newsworthy?</t>
        </is>
      </c>
      <c r="H3047" s="44" t="n">
        <v>0.003368055555555556</v>
      </c>
      <c r="I3047" s="45" t="n">
        <v>45792</v>
      </c>
      <c r="J3047" s="45" t="n">
        <v>1466</v>
      </c>
      <c r="K3047" s="45" t="n">
        <v>88</v>
      </c>
      <c r="L3047" s="46" t="n"/>
      <c r="M3047" s="47" t="n"/>
      <c r="N3047" s="47" t="inlineStr">
        <is>
          <t>UCKZo4N0lVPccBkSiuyVh4yg</t>
        </is>
      </c>
      <c r="O3047" s="48" t="n">
        <v>41394.16111111111</v>
      </c>
      <c r="P3047" s="49" t="n">
        <v>41393</v>
      </c>
      <c r="Q3047" s="47" t="n">
        <v>221</v>
      </c>
      <c r="R3047" s="47" t="inlineStr">
        <is>
          <t>No Video ID yet</t>
        </is>
      </c>
      <c r="S3047" s="49" t="n"/>
      <c r="T3047" s="49" t="n"/>
      <c r="U3047" s="47" t="inlineStr">
        <is>
          <t>What kind of shows are newsworthy to you? ... MOOOOOOOOOOO! TV WEEK IS FINALLY HERE! I've thought about so many ways to try and do this week before but am always faced with the same problem.. TV is massive! There are so many genre's and shows we could talk about but also so many people we could alienate if they arent familiar with the show - My thought was to just talk about my favorite shows, but then I also want you guys to be a part of this week since its FOR YOU! Anyway I guess the its up to Ben now to figure it out muwhahaha - thats one of my favorite things about this channel, that at any given point I can just ask ben to do something or promise he will do it on his behalf and he is somewhat obliged to do so - Of course he could just do the same to me at any given point.. I' surprised we dont take advantage of that more often - We really have not had any punishments to speak of this whole year - not that it was ever established that we would but really I always kind of thought that at some point it would come up - I really cant believe that to this point we have completed every single upload. Is anyone still reading this? I'll tell you what I really want to talk about more is</t>
        </is>
      </c>
      <c r="V3047" s="47">
        <f>IF(AND(P3047&gt;=Calendar!$K$2,P3047&lt;EDATE(Calendar!$K$2,1),OR(Calendar!$K$4="*",N3047=Calendar!$K$4)),P3047*100+COUNTIFS($P$6:$P$3267,P3047,$Q$6:$Q$3267,"&lt;="&amp;Q3047,$N$6:$N$3267,Calendar!$K$4),"")</f>
        <v/>
      </c>
      <c r="W3047" s="47">
        <f>IF(AND(B3047=Queue!$C$4,OR(Queue!$K$4="*",N3047=Queue!$K$4)),Q3047,"")</f>
        <v/>
      </c>
    </row>
    <row r="3048">
      <c r="A3048" s="38">
        <f>IF(M3048="","",HYPERLINK("https://www.youtube.com/watch?v="&amp;M3048,"▶"))</f>
        <v/>
      </c>
      <c r="B3048" s="39">
        <f>IF(C3048&lt;&gt;"",C3048,IF(P3048&lt;=IFERROR(INDEX(tblChannels[Watched Through],MATCH(N3048,tblChannels[Channel ID],0)),0),"Watched","Unwatched"))</f>
        <v/>
      </c>
      <c r="C3048" s="40" t="n"/>
      <c r="D3048" s="41" t="n"/>
      <c r="E3048" s="42" t="n">
        <v>41390.9875</v>
      </c>
      <c r="F3048" s="50" t="inlineStr">
        <is>
          <t>Super Carlin Brothers</t>
        </is>
      </c>
      <c r="G3048" t="inlineStr">
        <is>
          <t>Kickstarter</t>
        </is>
      </c>
      <c r="H3048" s="44" t="n">
        <v>0.002893518518518518</v>
      </c>
      <c r="I3048" s="45" t="n">
        <v>9238</v>
      </c>
      <c r="J3048" s="45" t="n">
        <v>206</v>
      </c>
      <c r="K3048" s="45" t="n">
        <v>152</v>
      </c>
      <c r="L3048" s="46" t="n"/>
      <c r="M3048" s="47" t="n"/>
      <c r="N3048" s="47" t="inlineStr">
        <is>
          <t>UCKZo4N0lVPccBkSiuyVh4yg</t>
        </is>
      </c>
      <c r="O3048" s="48" t="n">
        <v>41391.15416666667</v>
      </c>
      <c r="P3048" s="49" t="n">
        <v>41390</v>
      </c>
      <c r="Q3048" s="47" t="n">
        <v>220</v>
      </c>
      <c r="R3048" s="47" t="inlineStr">
        <is>
          <t>No Video ID yet</t>
        </is>
      </c>
      <c r="S3048" s="49" t="n"/>
      <c r="T3048" s="49" t="n"/>
      <c r="U3048" s="47" t="inlineStr">
        <is>
          <t>How do you feel about the rich and/or famous using kickstarter as a means for funding projects? I overthink everything. Maybe everyone does it... maybe they don't.. I definitely do. If something matters to me then that thought rolls its way around in my head relentlessly until something else distracts me or the concern is dealt with. But I will dwell on things that many people around me don't even remember happening. In high school this was a particularly big problem for me because there were so many things that felt like big problems... school, college, girls, sports, work, whether or not I was sleeping enough... I think watching Scrubs was my way of checking out. After a while I had seen the show through so many times that the story line wasn't my drive for watching.. It was so my mind could just sit easy for a little while. The funny thing about it is I've never actually seen the final couple seasons of the show. I sensed it taking a turn and I was too afraid to ruin something that had become so oddly important to me. Somehow ended up overthinking the thing that allow me not to overthink. Zach Braff Kickstarter Page:</t>
        </is>
      </c>
      <c r="V3048" s="47">
        <f>IF(AND(P3048&gt;=Calendar!$K$2,P3048&lt;EDATE(Calendar!$K$2,1),OR(Calendar!$K$4="*",N3048=Calendar!$K$4)),P3048*100+COUNTIFS($P$6:$P$3267,P3048,$Q$6:$Q$3267,"&lt;="&amp;Q3048,$N$6:$N$3267,Calendar!$K$4),"")</f>
        <v/>
      </c>
      <c r="W3048" s="47">
        <f>IF(AND(B3048=Queue!$C$4,OR(Queue!$K$4="*",N3048=Queue!$K$4)),Q3048,"")</f>
        <v/>
      </c>
    </row>
    <row r="3049">
      <c r="A3049" s="38">
        <f>IF(M3049="","",HYPERLINK("https://www.youtube.com/watch?v="&amp;M3049,"▶"))</f>
        <v/>
      </c>
      <c r="B3049" s="39">
        <f>IF(C3049&lt;&gt;"",C3049,IF(P3049&lt;=IFERROR(INDEX(tblChannels[Watched Through],MATCH(N3049,tblChannels[Channel ID],0)),0),"Watched","Unwatched"))</f>
        <v/>
      </c>
      <c r="C3049" s="40" t="n"/>
      <c r="D3049" s="41" t="n"/>
      <c r="E3049" s="42" t="n">
        <v>41389.95208333333</v>
      </c>
      <c r="F3049" s="50" t="inlineStr">
        <is>
          <t>Super Carlin Brothers</t>
        </is>
      </c>
      <c r="G3049" t="inlineStr">
        <is>
          <t>Why do we sneeze?</t>
        </is>
      </c>
      <c r="H3049" s="44" t="n">
        <v>0.003460648148148148</v>
      </c>
      <c r="I3049" s="45" t="n">
        <v>50864</v>
      </c>
      <c r="J3049" s="45" t="n">
        <v>917</v>
      </c>
      <c r="K3049" s="45" t="n">
        <v>299</v>
      </c>
      <c r="L3049" s="46" t="n"/>
      <c r="M3049" s="47" t="n"/>
      <c r="N3049" s="47" t="inlineStr">
        <is>
          <t>UCKZo4N0lVPccBkSiuyVh4yg</t>
        </is>
      </c>
      <c r="O3049" s="48" t="n">
        <v>41390.11875</v>
      </c>
      <c r="P3049" s="49" t="n">
        <v>41389</v>
      </c>
      <c r="Q3049" s="47" t="n">
        <v>219</v>
      </c>
      <c r="R3049" s="47" t="inlineStr">
        <is>
          <t>No Video ID yet</t>
        </is>
      </c>
      <c r="S3049" s="49" t="n"/>
      <c r="T3049" s="49" t="n"/>
      <c r="U3049" s="47" t="inlineStr">
        <is>
          <t>How many times do you have to say God Bless You in a chain of sneezes?</t>
        </is>
      </c>
      <c r="V3049" s="47">
        <f>IF(AND(P3049&gt;=Calendar!$K$2,P3049&lt;EDATE(Calendar!$K$2,1),OR(Calendar!$K$4="*",N3049=Calendar!$K$4)),P3049*100+COUNTIFS($P$6:$P$3267,P3049,$Q$6:$Q$3267,"&lt;="&amp;Q3049,$N$6:$N$3267,Calendar!$K$4),"")</f>
        <v/>
      </c>
      <c r="W3049" s="47">
        <f>IF(AND(B3049=Queue!$C$4,OR(Queue!$K$4="*",N3049=Queue!$K$4)),Q3049,"")</f>
        <v/>
      </c>
    </row>
    <row r="3050">
      <c r="A3050" s="38">
        <f>IF(M3050="","",HYPERLINK("https://www.youtube.com/watch?v="&amp;M3050,"▶"))</f>
        <v/>
      </c>
      <c r="B3050" s="39">
        <f>IF(C3050&lt;&gt;"",C3050,IF(P3050&lt;=IFERROR(INDEX(tblChannels[Watched Through],MATCH(N3050,tblChannels[Channel ID],0)),0),"Watched","Unwatched"))</f>
        <v/>
      </c>
      <c r="C3050" s="40" t="n"/>
      <c r="D3050" s="41" t="n"/>
      <c r="E3050" s="42" t="n">
        <v>41388.97569444445</v>
      </c>
      <c r="F3050" s="50" t="inlineStr">
        <is>
          <t>Super Carlin Brothers</t>
        </is>
      </c>
      <c r="G3050" t="inlineStr">
        <is>
          <t>Not a Controversial Topic</t>
        </is>
      </c>
      <c r="H3050" s="44" t="n">
        <v>0.002824074074074074</v>
      </c>
      <c r="I3050" s="45" t="n">
        <v>11256</v>
      </c>
      <c r="J3050" s="45" t="n">
        <v>221</v>
      </c>
      <c r="K3050" s="45" t="n">
        <v>38</v>
      </c>
      <c r="L3050" s="46" t="n"/>
      <c r="M3050" s="47" t="n"/>
      <c r="N3050" s="47" t="inlineStr">
        <is>
          <t>UCKZo4N0lVPccBkSiuyVh4yg</t>
        </is>
      </c>
      <c r="O3050" s="48" t="n">
        <v>41389.14236111111</v>
      </c>
      <c r="P3050" s="49" t="n">
        <v>41388</v>
      </c>
      <c r="Q3050" s="47" t="n">
        <v>218</v>
      </c>
      <c r="R3050" s="47" t="inlineStr">
        <is>
          <t>No Video ID yet</t>
        </is>
      </c>
      <c r="S3050" s="49" t="n"/>
      <c r="T3050" s="49" t="n"/>
      <c r="U3050" s="47" t="inlineStr">
        <is>
          <t>Is there anything you look back on and ask... why did I ever do that? So my desktop in this video is something that I look back on... and I sure as hell no why I did it. Because it's some of the best damn times I've ever had. What you see is my friends and I (including John, the architect) offroading. Which in itself had a tendency to get myself in trouble with the fuzz (we were so badass) my parents (blew out 3 tires, an alternator, and put countless scratches and dents in my hand-me-down isuzu trooper and sometimes just plain getting stuck. But we decided we could make it more interesting by car surfing... aka I drive and they ride on top of Sue (my troopers name). Looking back on these days I know that there were countless instances where we could have hurt ourselves... but damn if I don't miss feeling invincible. Thank you for watching :D!</t>
        </is>
      </c>
      <c r="V3050" s="47">
        <f>IF(AND(P3050&gt;=Calendar!$K$2,P3050&lt;EDATE(Calendar!$K$2,1),OR(Calendar!$K$4="*",N3050=Calendar!$K$4)),P3050*100+COUNTIFS($P$6:$P$3267,P3050,$Q$6:$Q$3267,"&lt;="&amp;Q3050,$N$6:$N$3267,Calendar!$K$4),"")</f>
        <v/>
      </c>
      <c r="W3050" s="47">
        <f>IF(AND(B3050=Queue!$C$4,OR(Queue!$K$4="*",N3050=Queue!$K$4)),Q3050,"")</f>
        <v/>
      </c>
    </row>
    <row r="3051">
      <c r="A3051" s="38">
        <f>IF(M3051="","",HYPERLINK("https://www.youtube.com/watch?v="&amp;M3051,"▶"))</f>
        <v/>
      </c>
      <c r="B3051" s="39">
        <f>IF(C3051&lt;&gt;"",C3051,IF(P3051&lt;=IFERROR(INDEX(tblChannels[Watched Through],MATCH(N3051,tblChannels[Channel ID],0)),0),"Watched","Unwatched"))</f>
        <v/>
      </c>
      <c r="C3051" s="40" t="n"/>
      <c r="D3051" s="41" t="n"/>
      <c r="E3051" s="42" t="n">
        <v>41387.96180555555</v>
      </c>
      <c r="F3051" s="50" t="inlineStr">
        <is>
          <t>Super Carlin Brothers</t>
        </is>
      </c>
      <c r="G3051" t="inlineStr">
        <is>
          <t>Weight Lifting Epiphany!</t>
        </is>
      </c>
      <c r="H3051" s="44" t="n">
        <v>0.003321759259259259</v>
      </c>
      <c r="I3051" s="45" t="n">
        <v>18055</v>
      </c>
      <c r="J3051" s="45" t="n">
        <v>448</v>
      </c>
      <c r="K3051" s="45" t="n">
        <v>59</v>
      </c>
      <c r="L3051" s="46" t="n"/>
      <c r="M3051" s="47" t="n"/>
      <c r="N3051" s="47" t="inlineStr">
        <is>
          <t>UCKZo4N0lVPccBkSiuyVh4yg</t>
        </is>
      </c>
      <c r="O3051" s="48" t="n">
        <v>41388.12847222222</v>
      </c>
      <c r="P3051" s="49" t="n">
        <v>41387</v>
      </c>
      <c r="Q3051" s="47" t="n">
        <v>217</v>
      </c>
      <c r="R3051" s="47" t="inlineStr">
        <is>
          <t>No Video ID yet</t>
        </is>
      </c>
      <c r="S3051" s="49" t="n"/>
      <c r="T3051" s="49" t="n"/>
      <c r="U3051" s="47" t="inlineStr">
        <is>
          <t>Have you ever redefined yourself or had a life changing epiphany?</t>
        </is>
      </c>
      <c r="V3051" s="47">
        <f>IF(AND(P3051&gt;=Calendar!$K$2,P3051&lt;EDATE(Calendar!$K$2,1),OR(Calendar!$K$4="*",N3051=Calendar!$K$4)),P3051*100+COUNTIFS($P$6:$P$3267,P3051,$Q$6:$Q$3267,"&lt;="&amp;Q3051,$N$6:$N$3267,Calendar!$K$4),"")</f>
        <v/>
      </c>
      <c r="W3051" s="47">
        <f>IF(AND(B3051=Queue!$C$4,OR(Queue!$K$4="*",N3051=Queue!$K$4)),Q3051,"")</f>
        <v/>
      </c>
    </row>
    <row r="3052">
      <c r="A3052" s="38">
        <f>IF(M3052="","",HYPERLINK("https://www.youtube.com/watch?v="&amp;M3052,"▶"))</f>
        <v/>
      </c>
      <c r="B3052" s="39">
        <f>IF(C3052&lt;&gt;"",C3052,IF(P3052&lt;=IFERROR(INDEX(tblChannels[Watched Through],MATCH(N3052,tblChannels[Channel ID],0)),0),"Watched","Unwatched"))</f>
        <v/>
      </c>
      <c r="C3052" s="40" t="n"/>
      <c r="D3052" s="41" t="n"/>
      <c r="E3052" s="42" t="n">
        <v>41387.00138888889</v>
      </c>
      <c r="F3052" s="50" t="inlineStr">
        <is>
          <t>Super Carlin Brothers</t>
        </is>
      </c>
      <c r="G3052" t="inlineStr">
        <is>
          <t>Negligence</t>
        </is>
      </c>
      <c r="H3052" s="44" t="n">
        <v>0.003101851851851852</v>
      </c>
      <c r="I3052" s="45" t="n">
        <v>10405</v>
      </c>
      <c r="J3052" s="45" t="n">
        <v>222</v>
      </c>
      <c r="K3052" s="45" t="n">
        <v>90</v>
      </c>
      <c r="L3052" s="46" t="n"/>
      <c r="M3052" s="47" t="n"/>
      <c r="N3052" s="47" t="inlineStr">
        <is>
          <t>UCKZo4N0lVPccBkSiuyVh4yg</t>
        </is>
      </c>
      <c r="O3052" s="48" t="n">
        <v>41387.16805555556</v>
      </c>
      <c r="P3052" s="49" t="n">
        <v>41387</v>
      </c>
      <c r="Q3052" s="47" t="n">
        <v>216</v>
      </c>
      <c r="R3052" s="47" t="inlineStr">
        <is>
          <t>No Video ID yet</t>
        </is>
      </c>
      <c r="S3052" s="49" t="n"/>
      <c r="T3052" s="49" t="n"/>
      <c r="U3052" s="47" t="inlineStr">
        <is>
          <t>Is it possible to draw the line on who receives help based on negligence? Is it fair to even suggest there should be a standard for one health? This was a strange observation my friend Trae and I noticed that really turned into a pretty lively conversation. We really sparked by talking about welfare and slowly whittled it down to the question: is there a line? is there a point where someone despite everything else doesn't qualify? And I don't know that I stand firmly on this point... I certainly can't imagine any circumstance where I would just say no to people that were in need. But for the sake of detached arguments and conversations I came to the conclusion that my stance would be on people who do not care for themselves. And it's not to say you have to be a super athlete... but just keeping yourself in check enough to where your own lack of effort isn't your demise. And the responsibility of prevention of that demise is placed on others. Thanks for watching!! :)</t>
        </is>
      </c>
      <c r="V3052" s="47">
        <f>IF(AND(P3052&gt;=Calendar!$K$2,P3052&lt;EDATE(Calendar!$K$2,1),OR(Calendar!$K$4="*",N3052=Calendar!$K$4)),P3052*100+COUNTIFS($P$6:$P$3267,P3052,$Q$6:$Q$3267,"&lt;="&amp;Q3052,$N$6:$N$3267,Calendar!$K$4),"")</f>
        <v/>
      </c>
      <c r="W3052" s="47">
        <f>IF(AND(B3052=Queue!$C$4,OR(Queue!$K$4="*",N3052=Queue!$K$4)),Q3052,"")</f>
        <v/>
      </c>
    </row>
    <row r="3053">
      <c r="A3053" s="38">
        <f>IF(M3053="","",HYPERLINK("https://www.youtube.com/watch?v="&amp;M3053,"▶"))</f>
        <v/>
      </c>
      <c r="B3053" s="39">
        <f>IF(C3053&lt;&gt;"",C3053,IF(P3053&lt;=IFERROR(INDEX(tblChannels[Watched Through],MATCH(N3053,tblChannels[Channel ID],0)),0),"Watched","Unwatched"))</f>
        <v/>
      </c>
      <c r="C3053" s="40" t="n"/>
      <c r="D3053" s="41" t="n"/>
      <c r="E3053" s="42" t="n">
        <v>41383.9375</v>
      </c>
      <c r="F3053" s="50" t="inlineStr">
        <is>
          <t>Super Carlin Brothers</t>
        </is>
      </c>
      <c r="G3053" t="inlineStr">
        <is>
          <t>I'M CRAZIER THAN YOU!</t>
        </is>
      </c>
      <c r="H3053" s="44" t="n">
        <v>0.003171296296296296</v>
      </c>
      <c r="I3053" s="45" t="n">
        <v>50669</v>
      </c>
      <c r="J3053" s="45" t="n">
        <v>1072</v>
      </c>
      <c r="K3053" s="45" t="n">
        <v>235</v>
      </c>
      <c r="L3053" s="46" t="n"/>
      <c r="M3053" s="47" t="n"/>
      <c r="N3053" s="47" t="inlineStr">
        <is>
          <t>UCKZo4N0lVPccBkSiuyVh4yg</t>
        </is>
      </c>
      <c r="O3053" s="48" t="n">
        <v>41384.10416666666</v>
      </c>
      <c r="P3053" s="49" t="n">
        <v>41383</v>
      </c>
      <c r="Q3053" s="47" t="n">
        <v>215</v>
      </c>
      <c r="R3053" s="47" t="inlineStr">
        <is>
          <t>No Video ID yet</t>
        </is>
      </c>
      <c r="S3053" s="49" t="n"/>
      <c r="T3053" s="49" t="n"/>
      <c r="U3053" s="47" t="inlineStr">
        <is>
          <t>Have you ever felt threatened by someone liking something you like more than you? GLOBAL SOUP:</t>
        </is>
      </c>
      <c r="V3053" s="47">
        <f>IF(AND(P3053&gt;=Calendar!$K$2,P3053&lt;EDATE(Calendar!$K$2,1),OR(Calendar!$K$4="*",N3053=Calendar!$K$4)),P3053*100+COUNTIFS($P$6:$P$3267,P3053,$Q$6:$Q$3267,"&lt;="&amp;Q3053,$N$6:$N$3267,Calendar!$K$4),"")</f>
        <v/>
      </c>
      <c r="W3053" s="47">
        <f>IF(AND(B3053=Queue!$C$4,OR(Queue!$K$4="*",N3053=Queue!$K$4)),Q3053,"")</f>
        <v/>
      </c>
    </row>
    <row r="3054">
      <c r="A3054" s="38">
        <f>IF(M3054="","",HYPERLINK("https://www.youtube.com/watch?v="&amp;M3054,"▶"))</f>
        <v/>
      </c>
      <c r="B3054" s="39">
        <f>IF(C3054&lt;&gt;"",C3054,IF(P3054&lt;=IFERROR(INDEX(tblChannels[Watched Through],MATCH(N3054,tblChannels[Channel ID],0)),0),"Watched","Unwatched"))</f>
        <v/>
      </c>
      <c r="C3054" s="40" t="n"/>
      <c r="D3054" s="41" t="n"/>
      <c r="E3054" s="42" t="n">
        <v>41382.93541666667</v>
      </c>
      <c r="F3054" s="50" t="inlineStr">
        <is>
          <t>Super Carlin Brothers</t>
        </is>
      </c>
      <c r="G3054" t="inlineStr">
        <is>
          <t>People are Crazy</t>
        </is>
      </c>
      <c r="H3054" s="44" t="n">
        <v>0.002210648148148148</v>
      </c>
      <c r="I3054" s="45" t="n">
        <v>11916</v>
      </c>
      <c r="J3054" s="45" t="n">
        <v>237</v>
      </c>
      <c r="K3054" s="45" t="n">
        <v>88</v>
      </c>
      <c r="L3054" s="46" t="n"/>
      <c r="M3054" s="47" t="n"/>
      <c r="N3054" s="47" t="inlineStr">
        <is>
          <t>UCKZo4N0lVPccBkSiuyVh4yg</t>
        </is>
      </c>
      <c r="O3054" s="48" t="n">
        <v>41383.10208333333</v>
      </c>
      <c r="P3054" s="49" t="n">
        <v>41382</v>
      </c>
      <c r="Q3054" s="47" t="n">
        <v>214</v>
      </c>
      <c r="R3054" s="47" t="inlineStr">
        <is>
          <t>No Video ID yet</t>
        </is>
      </c>
      <c r="S3054" s="49" t="n"/>
      <c r="T3054" s="49" t="n"/>
      <c r="U3054" s="47" t="inlineStr">
        <is>
          <t>What is your crazy! Since it's your crazy... these comments should be particularly interesting. Unless you know someone with a pacu... OKAY. There is a lot I can say about this video topic and why I chose it. When I wrote it... I almost scrapped the entire thing because I felt like I was going to come across as an ass... Hopefully that wasn't the case. Two big reasons why knowing more in depth what goes on beyond the surface. First being the reason I said... lots and lots and lots of conversations and trying to pretend to have the reaction fitting to their expectation of how crazy their story was. This is a fault even I am guilty of and even with aquariums... When I first met my mentor (yes there is such a thing as a fish yoda) I asked him all sorts of questions that in the grand scheme of things were not great questions. They weren't questions that were going to help me further my success and better emulate his business model (which was the goal). Now when I spend time with him I see other people come up and ask the exact questions I asked upon first meeting him. And it puts a pit in my stomach that I once didn't know the answer to that question or that I even thought it was a que</t>
        </is>
      </c>
      <c r="V3054" s="47">
        <f>IF(AND(P3054&gt;=Calendar!$K$2,P3054&lt;EDATE(Calendar!$K$2,1),OR(Calendar!$K$4="*",N3054=Calendar!$K$4)),P3054*100+COUNTIFS($P$6:$P$3267,P3054,$Q$6:$Q$3267,"&lt;="&amp;Q3054,$N$6:$N$3267,Calendar!$K$4),"")</f>
        <v/>
      </c>
      <c r="W3054" s="47">
        <f>IF(AND(B3054=Queue!$C$4,OR(Queue!$K$4="*",N3054=Queue!$K$4)),Q3054,"")</f>
        <v/>
      </c>
    </row>
    <row r="3055">
      <c r="A3055" s="38">
        <f>IF(M3055="","",HYPERLINK("https://www.youtube.com/watch?v="&amp;M3055,"▶"))</f>
        <v/>
      </c>
      <c r="B3055" s="39">
        <f>IF(C3055&lt;&gt;"",C3055,IF(P3055&lt;=IFERROR(INDEX(tblChannels[Watched Through],MATCH(N3055,tblChannels[Channel ID],0)),0),"Watched","Unwatched"))</f>
        <v/>
      </c>
      <c r="C3055" s="40" t="n"/>
      <c r="D3055" s="41" t="n"/>
      <c r="E3055" s="42" t="n">
        <v>41381.975</v>
      </c>
      <c r="F3055" s="50" t="inlineStr">
        <is>
          <t>Super Carlin Brothers</t>
        </is>
      </c>
      <c r="G3055" t="inlineStr">
        <is>
          <t>Fan of Creation = Fan of Creator?</t>
        </is>
      </c>
      <c r="H3055" s="44" t="n">
        <v>0.003252314814814815</v>
      </c>
      <c r="I3055" s="45" t="n">
        <v>24418</v>
      </c>
      <c r="J3055" s="45" t="n">
        <v>486</v>
      </c>
      <c r="K3055" s="45" t="n">
        <v>109</v>
      </c>
      <c r="L3055" s="46" t="n"/>
      <c r="M3055" s="47" t="n"/>
      <c r="N3055" s="47" t="inlineStr">
        <is>
          <t>UCKZo4N0lVPccBkSiuyVh4yg</t>
        </is>
      </c>
      <c r="O3055" s="48" t="n">
        <v>41382.14166666667</v>
      </c>
      <c r="P3055" s="49" t="n">
        <v>41381</v>
      </c>
      <c r="Q3055" s="47" t="n">
        <v>213</v>
      </c>
      <c r="R3055" s="47" t="inlineStr">
        <is>
          <t>No Video ID yet</t>
        </is>
      </c>
      <c r="S3055" s="49" t="n"/>
      <c r="T3055" s="49" t="n"/>
      <c r="U3055" s="47" t="inlineStr">
        <is>
          <t>Should your fandom of something you love be affected by the creators personal life?</t>
        </is>
      </c>
      <c r="V3055" s="47">
        <f>IF(AND(P3055&gt;=Calendar!$K$2,P3055&lt;EDATE(Calendar!$K$2,1),OR(Calendar!$K$4="*",N3055=Calendar!$K$4)),P3055*100+COUNTIFS($P$6:$P$3267,P3055,$Q$6:$Q$3267,"&lt;="&amp;Q3055,$N$6:$N$3267,Calendar!$K$4),"")</f>
        <v/>
      </c>
      <c r="W3055" s="47">
        <f>IF(AND(B3055=Queue!$C$4,OR(Queue!$K$4="*",N3055=Queue!$K$4)),Q3055,"")</f>
        <v/>
      </c>
    </row>
    <row r="3056">
      <c r="A3056" s="38">
        <f>IF(M3056="","",HYPERLINK("https://www.youtube.com/watch?v="&amp;M3056,"▶"))</f>
        <v/>
      </c>
      <c r="B3056" s="39">
        <f>IF(C3056&lt;&gt;"",C3056,IF(P3056&lt;=IFERROR(INDEX(tblChannels[Watched Through],MATCH(N3056,tblChannels[Channel ID],0)),0),"Watched","Unwatched"))</f>
        <v/>
      </c>
      <c r="C3056" s="40" t="n"/>
      <c r="D3056" s="41" t="n"/>
      <c r="E3056" s="42" t="n">
        <v>41380.94444444445</v>
      </c>
      <c r="F3056" s="50" t="inlineStr">
        <is>
          <t>Super Carlin Brothers</t>
        </is>
      </c>
      <c r="G3056" t="inlineStr">
        <is>
          <t>Should We Talk About It?</t>
        </is>
      </c>
      <c r="H3056" s="44" t="n">
        <v>0.002395833333333333</v>
      </c>
      <c r="I3056" s="45" t="n">
        <v>10331</v>
      </c>
      <c r="J3056" s="45" t="n">
        <v>204</v>
      </c>
      <c r="K3056" s="45" t="n">
        <v>39</v>
      </c>
      <c r="L3056" s="46" t="n"/>
      <c r="M3056" s="47" t="n"/>
      <c r="N3056" s="47" t="inlineStr">
        <is>
          <t>UCKZo4N0lVPccBkSiuyVh4yg</t>
        </is>
      </c>
      <c r="O3056" s="48" t="n">
        <v>41381.11111111111</v>
      </c>
      <c r="P3056" s="49" t="n">
        <v>41380</v>
      </c>
      <c r="Q3056" s="47" t="n">
        <v>212</v>
      </c>
      <c r="R3056" s="47" t="inlineStr">
        <is>
          <t>No Video ID yet</t>
        </is>
      </c>
      <c r="S3056" s="49" t="n"/>
      <c r="T3056" s="49" t="n"/>
      <c r="U3056" s="47" t="inlineStr">
        <is>
          <t>Weighing this thought for me quickly turns into a perpetual teeter totter. I hate the idea of "sugar coated" media as much as I have concern for the effects plastering the headlines with the latest tragedy... There are certainly families of victims to think about... as great as it is to highlight the amazing efforts of those people who risked their lives in the efforts to save others... Showing these heroes and throwing a positive spin on a tragedy would lack a necessary compassion for those who fell. I do not believe the world is filled with terrible people... When these events air people from all over send their prayers, words of support, financial contributions, food and water. My concern is desensitization... not only in the minds of the masses... but the twisted. A fear of competition to inflict terror. A bar that is set. But not only set, mounted with a target, a target that only get higher as that bar rises. Like I said. I don't know where I stand. Maybe there isn't a right and wrong answer to this one.</t>
        </is>
      </c>
      <c r="V3056" s="47">
        <f>IF(AND(P3056&gt;=Calendar!$K$2,P3056&lt;EDATE(Calendar!$K$2,1),OR(Calendar!$K$4="*",N3056=Calendar!$K$4)),P3056*100+COUNTIFS($P$6:$P$3267,P3056,$Q$6:$Q$3267,"&lt;="&amp;Q3056,$N$6:$N$3267,Calendar!$K$4),"")</f>
        <v/>
      </c>
      <c r="W3056" s="47">
        <f>IF(AND(B3056=Queue!$C$4,OR(Queue!$K$4="*",N3056=Queue!$K$4)),Q3056,"")</f>
        <v/>
      </c>
    </row>
    <row r="3057">
      <c r="A3057" s="38">
        <f>IF(M3057="","",HYPERLINK("https://www.youtube.com/watch?v="&amp;M3057,"▶"))</f>
        <v/>
      </c>
      <c r="B3057" s="39">
        <f>IF(C3057&lt;&gt;"",C3057,IF(P3057&lt;=IFERROR(INDEX(tblChannels[Watched Through],MATCH(N3057,tblChannels[Channel ID],0)),0),"Watched","Unwatched"))</f>
        <v/>
      </c>
      <c r="C3057" s="40" t="n"/>
      <c r="D3057" s="41" t="n"/>
      <c r="E3057" s="42" t="n">
        <v>41379.95347222222</v>
      </c>
      <c r="F3057" s="50" t="inlineStr">
        <is>
          <t>Super Carlin Brothers</t>
        </is>
      </c>
      <c r="G3057" t="inlineStr">
        <is>
          <t>The Manly Horse Paradox</t>
        </is>
      </c>
      <c r="H3057" s="44" t="n">
        <v>0.002777777777777778</v>
      </c>
      <c r="I3057" s="45" t="n">
        <v>62424</v>
      </c>
      <c r="J3057" s="45" t="n">
        <v>1191</v>
      </c>
      <c r="K3057" s="45" t="n">
        <v>384</v>
      </c>
      <c r="L3057" s="46" t="n"/>
      <c r="M3057" s="47" t="n"/>
      <c r="N3057" s="47" t="inlineStr">
        <is>
          <t>UCKZo4N0lVPccBkSiuyVh4yg</t>
        </is>
      </c>
      <c r="O3057" s="48" t="n">
        <v>41380.12013888889</v>
      </c>
      <c r="P3057" s="49" t="n">
        <v>41379</v>
      </c>
      <c r="Q3057" s="47" t="n">
        <v>211</v>
      </c>
      <c r="R3057" s="47" t="inlineStr">
        <is>
          <t>No Video ID yet</t>
        </is>
      </c>
      <c r="S3057" s="49" t="n"/>
      <c r="T3057" s="49" t="n"/>
      <c r="U3057" s="47" t="inlineStr">
        <is>
          <t>What do you think is oddly assigned to one gender or to both? Yes, 4H camp is where all the cool kids went to summer camp but I have no idea how I ended up in Horse Back Riding. I was told it was very hard to get into because it was so popular, but that just made me feel bad cause I was obviously taking the spot of someone who really wanted to do horseback riding. Sucker. Of course it takes them like 2 days to even let you get on the horse and even then you only get to slowly gallop around. The horse they let me ride was the biggest one there cause ya know I was so brave and stuff his name was Big Tex. I also got a certificate for excellence in canoeing that year. BOOM!</t>
        </is>
      </c>
      <c r="V3057" s="47">
        <f>IF(AND(P3057&gt;=Calendar!$K$2,P3057&lt;EDATE(Calendar!$K$2,1),OR(Calendar!$K$4="*",N3057=Calendar!$K$4)),P3057*100+COUNTIFS($P$6:$P$3267,P3057,$Q$6:$Q$3267,"&lt;="&amp;Q3057,$N$6:$N$3267,Calendar!$K$4),"")</f>
        <v/>
      </c>
      <c r="W3057" s="47">
        <f>IF(AND(B3057=Queue!$C$4,OR(Queue!$K$4="*",N3057=Queue!$K$4)),Q3057,"")</f>
        <v/>
      </c>
    </row>
    <row r="3058">
      <c r="A3058" s="38">
        <f>IF(M3058="","",HYPERLINK("https://www.youtube.com/watch?v="&amp;M3058,"▶"))</f>
        <v/>
      </c>
      <c r="B3058" s="39">
        <f>IF(C3058&lt;&gt;"",C3058,IF(P3058&lt;=IFERROR(INDEX(tblChannels[Watched Through],MATCH(N3058,tblChannels[Channel ID],0)),0),"Watched","Unwatched"))</f>
        <v/>
      </c>
      <c r="C3058" s="40" t="n"/>
      <c r="D3058" s="41" t="n"/>
      <c r="E3058" s="42" t="n">
        <v>41376.96388888889</v>
      </c>
      <c r="F3058" s="50" t="inlineStr">
        <is>
          <t>Super Carlin Brothers</t>
        </is>
      </c>
      <c r="G3058" t="inlineStr">
        <is>
          <t>A Day With Ben</t>
        </is>
      </c>
      <c r="H3058" s="44" t="n">
        <v>0.00431712962962963</v>
      </c>
      <c r="I3058" s="45" t="n">
        <v>19658</v>
      </c>
      <c r="J3058" s="45" t="n">
        <v>449</v>
      </c>
      <c r="K3058" s="45" t="n">
        <v>92</v>
      </c>
      <c r="L3058" s="46" t="n"/>
      <c r="M3058" s="47" t="n"/>
      <c r="N3058" s="47" t="inlineStr">
        <is>
          <t>UCKZo4N0lVPccBkSiuyVh4yg</t>
        </is>
      </c>
      <c r="O3058" s="48" t="n">
        <v>41377.13055555556</v>
      </c>
      <c r="P3058" s="49" t="n">
        <v>41376</v>
      </c>
      <c r="Q3058" s="47" t="n">
        <v>210</v>
      </c>
      <c r="R3058" s="47" t="inlineStr">
        <is>
          <t>No Video ID yet</t>
        </is>
      </c>
      <c r="S3058" s="49" t="n"/>
      <c r="T3058" s="49" t="n"/>
      <c r="U3058" s="47" t="inlineStr">
        <is>
          <t>What are your greatest pet peeve. Rant about it. Okay so owning my own business has been a bit of an experience over the past year since I graduated from college. It has been a time that included some great things and some frustrating things. But when I graduated the museum I referenced in the video was supposed to only be a few months out... Meaning the big exciting work wasn't that far off. Unfortunately construction delays have been a huge problem throughout the year meaning I've just had to keep pushing back when life really gets to start. I tend to be strange about my autonomous life. It's nice a lot of the time because I don't have anyone breathing down my neck and I tend to hold fairly high standards for my work without it. The troubling thing is having no one to ever talk to. To even bounce ideas around with. More often than not I will call one of my parents, J, or Kayla. And start talking about a plumbing concept I'm trying to work over in my head. They have no idea what I'm really talking about but having a sounding board is amazing. Never underestimate how good it is to have someone to share your ideas with. People respond to different things in incredibly different ways</t>
        </is>
      </c>
      <c r="V3058" s="47">
        <f>IF(AND(P3058&gt;=Calendar!$K$2,P3058&lt;EDATE(Calendar!$K$2,1),OR(Calendar!$K$4="*",N3058=Calendar!$K$4)),P3058*100+COUNTIFS($P$6:$P$3267,P3058,$Q$6:$Q$3267,"&lt;="&amp;Q3058,$N$6:$N$3267,Calendar!$K$4),"")</f>
        <v/>
      </c>
      <c r="W3058" s="47">
        <f>IF(AND(B3058=Queue!$C$4,OR(Queue!$K$4="*",N3058=Queue!$K$4)),Q3058,"")</f>
        <v/>
      </c>
    </row>
    <row r="3059">
      <c r="A3059" s="38">
        <f>IF(M3059="","",HYPERLINK("https://www.youtube.com/watch?v="&amp;M3059,"▶"))</f>
        <v/>
      </c>
      <c r="B3059" s="39">
        <f>IF(C3059&lt;&gt;"",C3059,IF(P3059&lt;=IFERROR(INDEX(tblChannels[Watched Through],MATCH(N3059,tblChannels[Channel ID],0)),0),"Watched","Unwatched"))</f>
        <v/>
      </c>
      <c r="C3059" s="40" t="n"/>
      <c r="D3059" s="41" t="n"/>
      <c r="E3059" s="42" t="n">
        <v>41375.97569444445</v>
      </c>
      <c r="F3059" s="50" t="inlineStr">
        <is>
          <t>Super Carlin Brothers</t>
        </is>
      </c>
      <c r="G3059" t="inlineStr">
        <is>
          <t>Good Grief</t>
        </is>
      </c>
      <c r="H3059" s="44" t="n">
        <v>0.002106481481481481</v>
      </c>
      <c r="I3059" s="45" t="n">
        <v>16797</v>
      </c>
      <c r="J3059" s="45" t="n">
        <v>407</v>
      </c>
      <c r="K3059" s="45" t="n">
        <v>141</v>
      </c>
      <c r="L3059" s="46" t="n"/>
      <c r="M3059" s="47" t="n"/>
      <c r="N3059" s="47" t="inlineStr">
        <is>
          <t>UCKZo4N0lVPccBkSiuyVh4yg</t>
        </is>
      </c>
      <c r="O3059" s="48" t="n">
        <v>41376.14236111111</v>
      </c>
      <c r="P3059" s="49" t="n">
        <v>41375</v>
      </c>
      <c r="Q3059" s="47" t="n">
        <v>209</v>
      </c>
      <c r="R3059" s="47" t="inlineStr">
        <is>
          <t>No Video ID yet</t>
        </is>
      </c>
      <c r="S3059" s="49" t="n"/>
      <c r="T3059" s="49" t="n"/>
      <c r="U3059" s="47" t="inlineStr">
        <is>
          <t>How do you grieve and/or what have you grieved over? One of the worst nights of my life was when my best friend John called me, balling his eyes out, something I have never even thought John capable of doing, and just kept repeating, "He's Gone!" After finally calming him down I got him to piece together that his dad had suffered a fatal heart attack out of complete nowhere. I had no idea what to do and had never experienced death before. He asked me to call Ben and our friend Mike because he just couldn't do it. I spent the rest of the night wandering aimlessly around campus, trying to call Ben and Mike and anyone would would listen to me. Ultimately I called Beth, were broken up at the time and had not spoken in months, but I knew she was the only person that could possibly make me feel better. She did, and now here we are.</t>
        </is>
      </c>
      <c r="V3059" s="47">
        <f>IF(AND(P3059&gt;=Calendar!$K$2,P3059&lt;EDATE(Calendar!$K$2,1),OR(Calendar!$K$4="*",N3059=Calendar!$K$4)),P3059*100+COUNTIFS($P$6:$P$3267,P3059,$Q$6:$Q$3267,"&lt;="&amp;Q3059,$N$6:$N$3267,Calendar!$K$4),"")</f>
        <v/>
      </c>
      <c r="W3059" s="47">
        <f>IF(AND(B3059=Queue!$C$4,OR(Queue!$K$4="*",N3059=Queue!$K$4)),Q3059,"")</f>
        <v/>
      </c>
    </row>
    <row r="3060">
      <c r="A3060" s="38">
        <f>IF(M3060="","",HYPERLINK("https://www.youtube.com/watch?v="&amp;M3060,"▶"))</f>
        <v/>
      </c>
      <c r="B3060" s="39">
        <f>IF(C3060&lt;&gt;"",C3060,IF(P3060&lt;=IFERROR(INDEX(tblChannels[Watched Through],MATCH(N3060,tblChannels[Channel ID],0)),0),"Watched","Unwatched"))</f>
        <v/>
      </c>
      <c r="C3060" s="40" t="n"/>
      <c r="D3060" s="41" t="n"/>
      <c r="E3060" s="42" t="n">
        <v>41374.97291666667</v>
      </c>
      <c r="F3060" s="50" t="inlineStr">
        <is>
          <t>Super Carlin Brothers</t>
        </is>
      </c>
      <c r="G3060" t="inlineStr">
        <is>
          <t>Joel...</t>
        </is>
      </c>
      <c r="H3060" s="44" t="n">
        <v>0.001180555555555556</v>
      </c>
      <c r="I3060" s="45" t="n">
        <v>10075</v>
      </c>
      <c r="J3060" s="45" t="n">
        <v>222</v>
      </c>
      <c r="K3060" s="45" t="n">
        <v>47</v>
      </c>
      <c r="L3060" s="46" t="n"/>
      <c r="M3060" s="47" t="n"/>
      <c r="N3060" s="47" t="inlineStr">
        <is>
          <t>UCKZo4N0lVPccBkSiuyVh4yg</t>
        </is>
      </c>
      <c r="O3060" s="48" t="n">
        <v>41375.13958333333</v>
      </c>
      <c r="P3060" s="49" t="n">
        <v>41374</v>
      </c>
      <c r="Q3060" s="47" t="n">
        <v>208</v>
      </c>
      <c r="R3060" s="47" t="inlineStr">
        <is>
          <t>No Video ID yet</t>
        </is>
      </c>
      <c r="S3060" s="49" t="n"/>
      <c r="T3060" s="49" t="n"/>
      <c r="U3060" s="47" t="inlineStr">
        <is>
          <t>Have you ever had something stolen (In 4th grade I stole a Chansey Pokemon card from a class mate... sorry dude) or lost something important that you could never find/recover? I had this red binder thing that held my pokemon cards which were sorted by my gut feeling of how rare they were... Chansey had 120 hp... I wanted that. Charizard, which I pegged as rarest card... also had 120 hp... they don't just hand that shit out. If you read this... also what was your favorite ORIGINAL pokemon card. i'm talking first 150 ya'll. I would always stack my deck with a card called "Bill" which allowed you to draw to cards. I feel quite certain it was breaking some kind of rule... having like seventeen of these in my deck... but who cares jonathan always beat me anyway... I'm interested to see how many people actually read the description? I kinda want to start making this more interesting.</t>
        </is>
      </c>
      <c r="V3060" s="47">
        <f>IF(AND(P3060&gt;=Calendar!$K$2,P3060&lt;EDATE(Calendar!$K$2,1),OR(Calendar!$K$4="*",N3060=Calendar!$K$4)),P3060*100+COUNTIFS($P$6:$P$3267,P3060,$Q$6:$Q$3267,"&lt;="&amp;Q3060,$N$6:$N$3267,Calendar!$K$4),"")</f>
        <v/>
      </c>
      <c r="W3060" s="47">
        <f>IF(AND(B3060=Queue!$C$4,OR(Queue!$K$4="*",N3060=Queue!$K$4)),Q3060,"")</f>
        <v/>
      </c>
    </row>
    <row r="3061">
      <c r="A3061" s="38">
        <f>IF(M3061="","",HYPERLINK("https://www.youtube.com/watch?v="&amp;M3061,"▶"))</f>
        <v/>
      </c>
      <c r="B3061" s="39">
        <f>IF(C3061&lt;&gt;"",C3061,IF(P3061&lt;=IFERROR(INDEX(tblChannels[Watched Through],MATCH(N3061,tblChannels[Channel ID],0)),0),"Watched","Unwatched"))</f>
        <v/>
      </c>
      <c r="C3061" s="40" t="n"/>
      <c r="D3061" s="41" t="n"/>
      <c r="E3061" s="42" t="n">
        <v>41373.92638888889</v>
      </c>
      <c r="F3061" s="50" t="inlineStr">
        <is>
          <t>Super Carlin Brothers</t>
        </is>
      </c>
      <c r="G3061" t="inlineStr">
        <is>
          <t>SINGING IN THE CAR! - J's Top 25</t>
        </is>
      </c>
      <c r="H3061" s="44" t="n">
        <v>0.004803240740740741</v>
      </c>
      <c r="I3061" s="45" t="n">
        <v>45677</v>
      </c>
      <c r="J3061" s="45" t="n">
        <v>1056</v>
      </c>
      <c r="K3061" s="45" t="n">
        <v>293</v>
      </c>
      <c r="L3061" s="46" t="n"/>
      <c r="M3061" s="47" t="n"/>
      <c r="N3061" s="47" t="inlineStr">
        <is>
          <t>UCKZo4N0lVPccBkSiuyVh4yg</t>
        </is>
      </c>
      <c r="O3061" s="48" t="n">
        <v>41374.09305555555</v>
      </c>
      <c r="P3061" s="49" t="n">
        <v>41373</v>
      </c>
      <c r="Q3061" s="47" t="n">
        <v>207</v>
      </c>
      <c r="R3061" s="47" t="inlineStr">
        <is>
          <t>No Video ID yet</t>
        </is>
      </c>
      <c r="S3061" s="49" t="n"/>
      <c r="T3061" s="49" t="n"/>
      <c r="U3061" s="47" t="inlineStr">
        <is>
          <t>What is the top played song in your iTunes library?</t>
        </is>
      </c>
      <c r="V3061" s="47">
        <f>IF(AND(P3061&gt;=Calendar!$K$2,P3061&lt;EDATE(Calendar!$K$2,1),OR(Calendar!$K$4="*",N3061=Calendar!$K$4)),P3061*100+COUNTIFS($P$6:$P$3267,P3061,$Q$6:$Q$3267,"&lt;="&amp;Q3061,$N$6:$N$3267,Calendar!$K$4),"")</f>
        <v/>
      </c>
      <c r="W3061" s="47">
        <f>IF(AND(B3061=Queue!$C$4,OR(Queue!$K$4="*",N3061=Queue!$K$4)),Q3061,"")</f>
        <v/>
      </c>
    </row>
    <row r="3062">
      <c r="A3062" s="38">
        <f>IF(M3062="","",HYPERLINK("https://www.youtube.com/watch?v="&amp;M3062,"▶"))</f>
        <v/>
      </c>
      <c r="B3062" s="39">
        <f>IF(C3062&lt;&gt;"",C3062,IF(P3062&lt;=IFERROR(INDEX(tblChannels[Watched Through],MATCH(N3062,tblChannels[Channel ID],0)),0),"Watched","Unwatched"))</f>
        <v/>
      </c>
      <c r="C3062" s="40" t="n"/>
      <c r="D3062" s="41" t="n"/>
      <c r="E3062" s="42" t="n">
        <v>41372.97152777778</v>
      </c>
      <c r="F3062" s="50" t="inlineStr">
        <is>
          <t>Super Carlin Brothers</t>
        </is>
      </c>
      <c r="G3062" t="inlineStr">
        <is>
          <t>Social Media Development</t>
        </is>
      </c>
      <c r="H3062" s="44" t="n">
        <v>0.003564814814814815</v>
      </c>
      <c r="I3062" s="45" t="n">
        <v>10596</v>
      </c>
      <c r="J3062" s="45" t="n">
        <v>223</v>
      </c>
      <c r="K3062" s="45" t="n">
        <v>32</v>
      </c>
      <c r="L3062" s="46" t="n"/>
      <c r="M3062" s="47" t="n"/>
      <c r="N3062" s="47" t="inlineStr">
        <is>
          <t>UCKZo4N0lVPccBkSiuyVh4yg</t>
        </is>
      </c>
      <c r="O3062" s="48" t="n">
        <v>41373.13819444444</v>
      </c>
      <c r="P3062" s="49" t="n">
        <v>41372</v>
      </c>
      <c r="Q3062" s="47" t="n">
        <v>206</v>
      </c>
      <c r="R3062" s="47" t="inlineStr">
        <is>
          <t>No Video ID yet</t>
        </is>
      </c>
      <c r="S3062" s="49" t="n"/>
      <c r="T3062" s="49" t="n"/>
      <c r="U3062" s="47" t="inlineStr">
        <is>
          <t>Specifically why do you like your favorite social media site? Have you ever thought about your shift away from facebook? Did you have a shift from facebook: Meaning starting your social media career on facebook and then branching or just starting somewhere else? Mail stuff here: We friggin love it, and we will show it.</t>
        </is>
      </c>
      <c r="V3062" s="47">
        <f>IF(AND(P3062&gt;=Calendar!$K$2,P3062&lt;EDATE(Calendar!$K$2,1),OR(Calendar!$K$4="*",N3062=Calendar!$K$4)),P3062*100+COUNTIFS($P$6:$P$3267,P3062,$Q$6:$Q$3267,"&lt;="&amp;Q3062,$N$6:$N$3267,Calendar!$K$4),"")</f>
        <v/>
      </c>
      <c r="W3062" s="47">
        <f>IF(AND(B3062=Queue!$C$4,OR(Queue!$K$4="*",N3062=Queue!$K$4)),Q3062,"")</f>
        <v/>
      </c>
    </row>
    <row r="3063">
      <c r="A3063" s="38">
        <f>IF(M3063="","",HYPERLINK("https://www.youtube.com/watch?v="&amp;M3063,"▶"))</f>
        <v/>
      </c>
      <c r="B3063" s="39">
        <f>IF(C3063&lt;&gt;"",C3063,IF(P3063&lt;=IFERROR(INDEX(tblChannels[Watched Through],MATCH(N3063,tblChannels[Channel ID],0)),0),"Watched","Unwatched"))</f>
        <v/>
      </c>
      <c r="C3063" s="40" t="n"/>
      <c r="D3063" s="41" t="n"/>
      <c r="E3063" s="42" t="n">
        <v>41369.71319444444</v>
      </c>
      <c r="F3063" s="50" t="inlineStr">
        <is>
          <t>Super Carlin Brothers</t>
        </is>
      </c>
      <c r="G3063" t="inlineStr">
        <is>
          <t>When is Art Finished?</t>
        </is>
      </c>
      <c r="H3063" s="44" t="n">
        <v>0.002696759259259259</v>
      </c>
      <c r="I3063" s="45" t="n">
        <v>24648</v>
      </c>
      <c r="J3063" s="45" t="n">
        <v>585</v>
      </c>
      <c r="K3063" s="45" t="n">
        <v>156</v>
      </c>
      <c r="L3063" s="46" t="n"/>
      <c r="M3063" s="47" t="n"/>
      <c r="N3063" s="47" t="inlineStr">
        <is>
          <t>UCKZo4N0lVPccBkSiuyVh4yg</t>
        </is>
      </c>
      <c r="O3063" s="48" t="n">
        <v>41369.87986111111</v>
      </c>
      <c r="P3063" s="49" t="n">
        <v>41369</v>
      </c>
      <c r="Q3063" s="47" t="n">
        <v>205</v>
      </c>
      <c r="R3063" s="47" t="inlineStr">
        <is>
          <t>No Video ID yet</t>
        </is>
      </c>
      <c r="S3063" s="49" t="n"/>
      <c r="T3063" s="49" t="n"/>
      <c r="U3063" s="47" t="inlineStr">
        <is>
          <t>When do you know your creation is done and needs no more modification?</t>
        </is>
      </c>
      <c r="V3063" s="47">
        <f>IF(AND(P3063&gt;=Calendar!$K$2,P3063&lt;EDATE(Calendar!$K$2,1),OR(Calendar!$K$4="*",N3063=Calendar!$K$4)),P3063*100+COUNTIFS($P$6:$P$3267,P3063,$Q$6:$Q$3267,"&lt;="&amp;Q3063,$N$6:$N$3267,Calendar!$K$4),"")</f>
        <v/>
      </c>
      <c r="W3063" s="47">
        <f>IF(AND(B3063=Queue!$C$4,OR(Queue!$K$4="*",N3063=Queue!$K$4)),Q3063,"")</f>
        <v/>
      </c>
    </row>
    <row r="3064">
      <c r="A3064" s="38">
        <f>IF(M3064="","",HYPERLINK("https://www.youtube.com/watch?v="&amp;M3064,"▶"))</f>
        <v/>
      </c>
      <c r="B3064" s="39">
        <f>IF(C3064&lt;&gt;"",C3064,IF(P3064&lt;=IFERROR(INDEX(tblChannels[Watched Through],MATCH(N3064,tblChannels[Channel ID],0)),0),"Watched","Unwatched"))</f>
        <v/>
      </c>
      <c r="C3064" s="40" t="n"/>
      <c r="D3064" s="41" t="n"/>
      <c r="E3064" s="42" t="n">
        <v>41368.82430555556</v>
      </c>
      <c r="F3064" s="50" t="inlineStr">
        <is>
          <t>Super Carlin Brothers</t>
        </is>
      </c>
      <c r="G3064" t="inlineStr">
        <is>
          <t>Sick Days</t>
        </is>
      </c>
      <c r="H3064" s="44" t="n">
        <v>0.002604166666666667</v>
      </c>
      <c r="I3064" s="45" t="n">
        <v>13139</v>
      </c>
      <c r="J3064" s="45" t="n">
        <v>278</v>
      </c>
      <c r="K3064" s="45" t="n">
        <v>52</v>
      </c>
      <c r="L3064" s="46" t="n"/>
      <c r="M3064" s="47" t="n"/>
      <c r="N3064" s="47" t="inlineStr">
        <is>
          <t>UCKZo4N0lVPccBkSiuyVh4yg</t>
        </is>
      </c>
      <c r="O3064" s="48" t="n">
        <v>41368.99097222222</v>
      </c>
      <c r="P3064" s="49" t="n">
        <v>41368</v>
      </c>
      <c r="Q3064" s="47" t="n">
        <v>204</v>
      </c>
      <c r="R3064" s="47" t="inlineStr">
        <is>
          <t>No Video ID yet</t>
        </is>
      </c>
      <c r="S3064" s="49" t="n"/>
      <c r="T3064" s="49" t="n"/>
      <c r="U3064" s="47" t="inlineStr">
        <is>
          <t>Have you ever overextended yourself? How do you handle it? Mail Shtuff: Salem, VA 24153 Twitter:@scb_Ben and @jonkerlin =D</t>
        </is>
      </c>
      <c r="V3064" s="47">
        <f>IF(AND(P3064&gt;=Calendar!$K$2,P3064&lt;EDATE(Calendar!$K$2,1),OR(Calendar!$K$4="*",N3064=Calendar!$K$4)),P3064*100+COUNTIFS($P$6:$P$3267,P3064,$Q$6:$Q$3267,"&lt;="&amp;Q3064,$N$6:$N$3267,Calendar!$K$4),"")</f>
        <v/>
      </c>
      <c r="W3064" s="47">
        <f>IF(AND(B3064=Queue!$C$4,OR(Queue!$K$4="*",N3064=Queue!$K$4)),Q3064,"")</f>
        <v/>
      </c>
    </row>
    <row r="3065">
      <c r="A3065" s="38">
        <f>IF(M3065="","",HYPERLINK("https://www.youtube.com/watch?v="&amp;M3065,"▶"))</f>
        <v/>
      </c>
      <c r="B3065" s="39">
        <f>IF(C3065&lt;&gt;"",C3065,IF(P3065&lt;=IFERROR(INDEX(tblChannels[Watched Through],MATCH(N3065,tblChannels[Channel ID],0)),0),"Watched","Unwatched"))</f>
        <v/>
      </c>
      <c r="C3065" s="40" t="n"/>
      <c r="D3065" s="41" t="n"/>
      <c r="E3065" s="42" t="n">
        <v>41367.94791666666</v>
      </c>
      <c r="F3065" s="50" t="inlineStr">
        <is>
          <t>Super Carlin Brothers</t>
        </is>
      </c>
      <c r="G3065" t="inlineStr">
        <is>
          <t>Stretching and Lunges!</t>
        </is>
      </c>
      <c r="H3065" s="44" t="n">
        <v>0.002465277777777778</v>
      </c>
      <c r="I3065" s="45" t="n">
        <v>13217</v>
      </c>
      <c r="J3065" s="45" t="n">
        <v>293</v>
      </c>
      <c r="K3065" s="45" t="n">
        <v>66</v>
      </c>
      <c r="L3065" s="46" t="n"/>
      <c r="M3065" s="47" t="n"/>
      <c r="N3065" s="47" t="inlineStr">
        <is>
          <t>UCKZo4N0lVPccBkSiuyVh4yg</t>
        </is>
      </c>
      <c r="O3065" s="48" t="n">
        <v>41368.11458333334</v>
      </c>
      <c r="P3065" s="49" t="n">
        <v>41367</v>
      </c>
      <c r="Q3065" s="47" t="n">
        <v>203</v>
      </c>
      <c r="R3065" s="47" t="inlineStr">
        <is>
          <t>No Video ID yet</t>
        </is>
      </c>
      <c r="S3065" s="49" t="n"/>
      <c r="T3065" s="49" t="n"/>
      <c r="U3065" s="47" t="inlineStr">
        <is>
          <t>What were your sick days like as a kid?</t>
        </is>
      </c>
      <c r="V3065" s="47">
        <f>IF(AND(P3065&gt;=Calendar!$K$2,P3065&lt;EDATE(Calendar!$K$2,1),OR(Calendar!$K$4="*",N3065=Calendar!$K$4)),P3065*100+COUNTIFS($P$6:$P$3267,P3065,$Q$6:$Q$3267,"&lt;="&amp;Q3065,$N$6:$N$3267,Calendar!$K$4),"")</f>
        <v/>
      </c>
      <c r="W3065" s="47">
        <f>IF(AND(B3065=Queue!$C$4,OR(Queue!$K$4="*",N3065=Queue!$K$4)),Q3065,"")</f>
        <v/>
      </c>
    </row>
    <row r="3066">
      <c r="A3066" s="38">
        <f>IF(M3066="","",HYPERLINK("https://www.youtube.com/watch?v="&amp;M3066,"▶"))</f>
        <v/>
      </c>
      <c r="B3066" s="39">
        <f>IF(C3066&lt;&gt;"",C3066,IF(P3066&lt;=IFERROR(INDEX(tblChannels[Watched Through],MATCH(N3066,tblChannels[Channel ID],0)),0),"Watched","Unwatched"))</f>
        <v/>
      </c>
      <c r="C3066" s="40" t="n"/>
      <c r="D3066" s="41" t="n"/>
      <c r="E3066" s="42" t="n">
        <v>41366.85416666666</v>
      </c>
      <c r="F3066" s="50" t="inlineStr">
        <is>
          <t>Super Carlin Brothers</t>
        </is>
      </c>
      <c r="G3066" t="inlineStr">
        <is>
          <t>Pop Music</t>
        </is>
      </c>
      <c r="H3066" s="44" t="n">
        <v>0.003368055555555556</v>
      </c>
      <c r="I3066" s="45" t="n">
        <v>14465</v>
      </c>
      <c r="J3066" s="45" t="n">
        <v>321</v>
      </c>
      <c r="K3066" s="45" t="n">
        <v>69</v>
      </c>
      <c r="L3066" s="46" t="n"/>
      <c r="M3066" s="47" t="n"/>
      <c r="N3066" s="47" t="inlineStr">
        <is>
          <t>UCKZo4N0lVPccBkSiuyVh4yg</t>
        </is>
      </c>
      <c r="O3066" s="48" t="n">
        <v>41367.02083333334</v>
      </c>
      <c r="P3066" s="49" t="n">
        <v>41366</v>
      </c>
      <c r="Q3066" s="47" t="n">
        <v>202</v>
      </c>
      <c r="R3066" s="47" t="inlineStr">
        <is>
          <t>No Video ID yet</t>
        </is>
      </c>
      <c r="S3066" s="49" t="n"/>
      <c r="T3066" s="49" t="n"/>
      <c r="U3066" s="47" t="inlineStr">
        <is>
          <t>This video could one day be used to black mail me... Do you think popularity drives popularity? or Does the good stuff always make its way to the surface? What video should represent SCB for Nerd Factor?!!? THIS IS IMPORTANT Twitter: @SCB_Ben and @Jonkerlin =D</t>
        </is>
      </c>
      <c r="V3066" s="47">
        <f>IF(AND(P3066&gt;=Calendar!$K$2,P3066&lt;EDATE(Calendar!$K$2,1),OR(Calendar!$K$4="*",N3066=Calendar!$K$4)),P3066*100+COUNTIFS($P$6:$P$3267,P3066,$Q$6:$Q$3267,"&lt;="&amp;Q3066,$N$6:$N$3267,Calendar!$K$4),"")</f>
        <v/>
      </c>
      <c r="W3066" s="47">
        <f>IF(AND(B3066=Queue!$C$4,OR(Queue!$K$4="*",N3066=Queue!$K$4)),Q3066,"")</f>
        <v/>
      </c>
    </row>
    <row r="3067">
      <c r="A3067" s="38">
        <f>IF(M3067="","",HYPERLINK("https://www.youtube.com/watch?v="&amp;M3067,"▶"))</f>
        <v/>
      </c>
      <c r="B3067" s="39">
        <f>IF(C3067&lt;&gt;"",C3067,IF(P3067&lt;=IFERROR(INDEX(tblChannels[Watched Through],MATCH(N3067,tblChannels[Channel ID],0)),0),"Watched","Unwatched"))</f>
        <v/>
      </c>
      <c r="C3067" s="40" t="n"/>
      <c r="D3067" s="41" t="n"/>
      <c r="E3067" s="42" t="n">
        <v>41365.97291666667</v>
      </c>
      <c r="F3067" s="50" t="inlineStr">
        <is>
          <t>Super Carlin Brothers</t>
        </is>
      </c>
      <c r="G3067" t="inlineStr">
        <is>
          <t>Facebook is Walmart</t>
        </is>
      </c>
      <c r="H3067" s="44" t="n">
        <v>0.002696759259259259</v>
      </c>
      <c r="I3067" s="45" t="n">
        <v>33601</v>
      </c>
      <c r="J3067" s="45" t="n">
        <v>777</v>
      </c>
      <c r="K3067" s="45" t="n">
        <v>118</v>
      </c>
      <c r="L3067" s="46" t="n"/>
      <c r="M3067" s="47" t="n"/>
      <c r="N3067" s="47" t="inlineStr">
        <is>
          <t>UCKZo4N0lVPccBkSiuyVh4yg</t>
        </is>
      </c>
      <c r="O3067" s="48" t="n">
        <v>41366.13958333333</v>
      </c>
      <c r="P3067" s="49" t="n">
        <v>41365</v>
      </c>
      <c r="Q3067" s="47" t="n">
        <v>201</v>
      </c>
      <c r="R3067" s="47" t="inlineStr">
        <is>
          <t>No Video ID yet</t>
        </is>
      </c>
      <c r="S3067" s="49" t="n"/>
      <c r="T3067" s="49" t="n"/>
      <c r="U3067" s="47" t="inlineStr">
        <is>
          <t>What are your internet "Specialty shops"?</t>
        </is>
      </c>
      <c r="V3067" s="47">
        <f>IF(AND(P3067&gt;=Calendar!$K$2,P3067&lt;EDATE(Calendar!$K$2,1),OR(Calendar!$K$4="*",N3067=Calendar!$K$4)),P3067*100+COUNTIFS($P$6:$P$3267,P3067,$Q$6:$Q$3267,"&lt;="&amp;Q3067,$N$6:$N$3267,Calendar!$K$4),"")</f>
        <v/>
      </c>
      <c r="W3067" s="47">
        <f>IF(AND(B3067=Queue!$C$4,OR(Queue!$K$4="*",N3067=Queue!$K$4)),Q3067,"")</f>
        <v/>
      </c>
    </row>
    <row r="3068">
      <c r="A3068" s="38">
        <f>IF(M3068="","",HYPERLINK("https://www.youtube.com/watch?v="&amp;M3068,"▶"))</f>
        <v/>
      </c>
      <c r="B3068" s="39">
        <f>IF(C3068&lt;&gt;"",C3068,IF(P3068&lt;=IFERROR(INDEX(tblChannels[Watched Through],MATCH(N3068,tblChannels[Channel ID],0)),0),"Watched","Unwatched"))</f>
        <v/>
      </c>
      <c r="C3068" s="40" t="n"/>
      <c r="D3068" s="41" t="n"/>
      <c r="E3068" s="42" t="n">
        <v>41363.03888888889</v>
      </c>
      <c r="F3068" s="50" t="inlineStr">
        <is>
          <t>Super Carlin Brothers</t>
        </is>
      </c>
      <c r="G3068" t="inlineStr">
        <is>
          <t>JUXTABROS Video 200!!!</t>
        </is>
      </c>
      <c r="H3068" s="44" t="n">
        <v>0.007824074074074074</v>
      </c>
      <c r="I3068" s="45" t="n">
        <v>30192</v>
      </c>
      <c r="J3068" s="45" t="n">
        <v>736</v>
      </c>
      <c r="K3068" s="45" t="n">
        <v>85</v>
      </c>
      <c r="L3068" s="46" t="n"/>
      <c r="M3068" s="47" t="n"/>
      <c r="N3068" s="47" t="inlineStr">
        <is>
          <t>UCKZo4N0lVPccBkSiuyVh4yg</t>
        </is>
      </c>
      <c r="O3068" s="48" t="n">
        <v>41363.20555555556</v>
      </c>
      <c r="P3068" s="49" t="n">
        <v>41363</v>
      </c>
      <c r="Q3068" s="47" t="n">
        <v>200</v>
      </c>
      <c r="R3068" s="47" t="inlineStr">
        <is>
          <t>No Video ID yet</t>
        </is>
      </c>
      <c r="S3068" s="49" t="n"/>
      <c r="T3068" s="49" t="n"/>
      <c r="U3068" s="47" t="inlineStr">
        <is>
          <t>What is your favorite SCB Video?! Share that video or this video with... well... anyone!!! Panikann: FootofaFerret: =D</t>
        </is>
      </c>
      <c r="V3068" s="47">
        <f>IF(AND(P3068&gt;=Calendar!$K$2,P3068&lt;EDATE(Calendar!$K$2,1),OR(Calendar!$K$4="*",N3068=Calendar!$K$4)),P3068*100+COUNTIFS($P$6:$P$3267,P3068,$Q$6:$Q$3267,"&lt;="&amp;Q3068,$N$6:$N$3267,Calendar!$K$4),"")</f>
        <v/>
      </c>
      <c r="W3068" s="47">
        <f>IF(AND(B3068=Queue!$C$4,OR(Queue!$K$4="*",N3068=Queue!$K$4)),Q3068,"")</f>
        <v/>
      </c>
    </row>
    <row r="3069">
      <c r="A3069" s="38">
        <f>IF(M3069="","",HYPERLINK("https://www.youtube.com/watch?v="&amp;M3069,"▶"))</f>
        <v/>
      </c>
      <c r="B3069" s="39">
        <f>IF(C3069&lt;&gt;"",C3069,IF(P3069&lt;=IFERROR(INDEX(tblChannels[Watched Through],MATCH(N3069,tblChannels[Channel ID],0)),0),"Watched","Unwatched"))</f>
        <v/>
      </c>
      <c r="C3069" s="40" t="n"/>
      <c r="D3069" s="41" t="n"/>
      <c r="E3069" s="42" t="n">
        <v>41361.90069444444</v>
      </c>
      <c r="F3069" s="50" t="inlineStr">
        <is>
          <t>Super Carlin Brothers</t>
        </is>
      </c>
      <c r="G3069" t="inlineStr">
        <is>
          <t>Anti-Bullying and The Golden Rule</t>
        </is>
      </c>
      <c r="H3069" s="44" t="n">
        <v>0.003368055555555556</v>
      </c>
      <c r="I3069" s="45" t="n">
        <v>44614</v>
      </c>
      <c r="J3069" s="45" t="n">
        <v>693</v>
      </c>
      <c r="K3069" s="45" t="n">
        <v>192</v>
      </c>
      <c r="L3069" s="46" t="n"/>
      <c r="M3069" s="47" t="n"/>
      <c r="N3069" s="47" t="inlineStr">
        <is>
          <t>UCKZo4N0lVPccBkSiuyVh4yg</t>
        </is>
      </c>
      <c r="O3069" s="48" t="n">
        <v>41362.06736111111</v>
      </c>
      <c r="P3069" s="49" t="n">
        <v>41361</v>
      </c>
      <c r="Q3069" s="47" t="n">
        <v>199</v>
      </c>
      <c r="R3069" s="47" t="inlineStr">
        <is>
          <t>No Video ID yet</t>
        </is>
      </c>
      <c r="S3069" s="49" t="n"/>
      <c r="T3069" s="49" t="n"/>
      <c r="U3069" s="47" t="inlineStr">
        <is>
          <t>Have you ever been bullied? Leave us questions for JUXTABROS!</t>
        </is>
      </c>
      <c r="V3069" s="47">
        <f>IF(AND(P3069&gt;=Calendar!$K$2,P3069&lt;EDATE(Calendar!$K$2,1),OR(Calendar!$K$4="*",N3069=Calendar!$K$4)),P3069*100+COUNTIFS($P$6:$P$3267,P3069,$Q$6:$Q$3267,"&lt;="&amp;Q3069,$N$6:$N$3267,Calendar!$K$4),"")</f>
        <v/>
      </c>
      <c r="W3069" s="47">
        <f>IF(AND(B3069=Queue!$C$4,OR(Queue!$K$4="*",N3069=Queue!$K$4)),Q3069,"")</f>
        <v/>
      </c>
    </row>
    <row r="3070">
      <c r="A3070" s="38">
        <f>IF(M3070="","",HYPERLINK("https://www.youtube.com/watch?v="&amp;M3070,"▶"))</f>
        <v/>
      </c>
      <c r="B3070" s="39">
        <f>IF(C3070&lt;&gt;"",C3070,IF(P3070&lt;=IFERROR(INDEX(tblChannels[Watched Through],MATCH(N3070,tblChannels[Channel ID],0)),0),"Watched","Unwatched"))</f>
        <v/>
      </c>
      <c r="C3070" s="40" t="n"/>
      <c r="D3070" s="41" t="n"/>
      <c r="E3070" s="42" t="n">
        <v>41360.89930555555</v>
      </c>
      <c r="F3070" s="50" t="inlineStr">
        <is>
          <t>Super Carlin Brothers</t>
        </is>
      </c>
      <c r="G3070" t="inlineStr">
        <is>
          <t>Movie Remakes and Country Music</t>
        </is>
      </c>
      <c r="H3070" s="44" t="n">
        <v>0.002719907407407407</v>
      </c>
      <c r="I3070" s="45" t="n">
        <v>12971</v>
      </c>
      <c r="J3070" s="45" t="n">
        <v>309</v>
      </c>
      <c r="K3070" s="45" t="n">
        <v>110</v>
      </c>
      <c r="L3070" s="46" t="n"/>
      <c r="M3070" s="47" t="n"/>
      <c r="N3070" s="47" t="inlineStr">
        <is>
          <t>UCKZo4N0lVPccBkSiuyVh4yg</t>
        </is>
      </c>
      <c r="O3070" s="48" t="n">
        <v>41361.06597222222</v>
      </c>
      <c r="P3070" s="49" t="n">
        <v>41360</v>
      </c>
      <c r="Q3070" s="47" t="n">
        <v>198</v>
      </c>
      <c r="R3070" s="47" t="inlineStr">
        <is>
          <t>No Video ID yet</t>
        </is>
      </c>
      <c r="S3070" s="49" t="n"/>
      <c r="T3070" s="49" t="n"/>
      <c r="U3070" s="47" t="inlineStr">
        <is>
          <t>Do you dislike any genres at large? What is your favorite Genre/Band?? Do you dance? More importantly... can you? Follow Me! @SCB_Ben and @Jonkerlin =D</t>
        </is>
      </c>
      <c r="V3070" s="47">
        <f>IF(AND(P3070&gt;=Calendar!$K$2,P3070&lt;EDATE(Calendar!$K$2,1),OR(Calendar!$K$4="*",N3070=Calendar!$K$4)),P3070*100+COUNTIFS($P$6:$P$3267,P3070,$Q$6:$Q$3267,"&lt;="&amp;Q3070,$N$6:$N$3267,Calendar!$K$4),"")</f>
        <v/>
      </c>
      <c r="W3070" s="47">
        <f>IF(AND(B3070=Queue!$C$4,OR(Queue!$K$4="*",N3070=Queue!$K$4)),Q3070,"")</f>
        <v/>
      </c>
    </row>
    <row r="3071">
      <c r="A3071" s="38">
        <f>IF(M3071="","",HYPERLINK("https://www.youtube.com/watch?v="&amp;M3071,"▶"))</f>
        <v/>
      </c>
      <c r="B3071" s="39">
        <f>IF(C3071&lt;&gt;"",C3071,IF(P3071&lt;=IFERROR(INDEX(tblChannels[Watched Through],MATCH(N3071,tblChannels[Channel ID],0)),0),"Watched","Unwatched"))</f>
        <v/>
      </c>
      <c r="C3071" s="40" t="n"/>
      <c r="D3071" s="41" t="n"/>
      <c r="E3071" s="42" t="n">
        <v>41359.97083333333</v>
      </c>
      <c r="F3071" s="50" t="inlineStr">
        <is>
          <t>Super Carlin Brothers</t>
        </is>
      </c>
      <c r="G3071" t="inlineStr">
        <is>
          <t>Books vs Movies</t>
        </is>
      </c>
      <c r="H3071" s="44" t="n">
        <v>0.003935185185185185</v>
      </c>
      <c r="I3071" s="45" t="n">
        <v>149608</v>
      </c>
      <c r="J3071" s="45" t="n">
        <v>2974</v>
      </c>
      <c r="K3071" s="45" t="n">
        <v>1560</v>
      </c>
      <c r="L3071" s="46" t="n"/>
      <c r="M3071" s="47" t="n"/>
      <c r="N3071" s="47" t="inlineStr">
        <is>
          <t>UCKZo4N0lVPccBkSiuyVh4yg</t>
        </is>
      </c>
      <c r="O3071" s="48" t="n">
        <v>41360.1375</v>
      </c>
      <c r="P3071" s="49" t="n">
        <v>41359</v>
      </c>
      <c r="Q3071" s="47" t="n">
        <v>197</v>
      </c>
      <c r="R3071" s="47" t="inlineStr">
        <is>
          <t>No Video ID yet</t>
        </is>
      </c>
      <c r="S3071" s="49" t="n"/>
      <c r="T3071" s="49" t="n"/>
      <c r="U3071" s="47" t="inlineStr">
        <is>
          <t>They butchered the Lorax worse than the Onceler butchered the Trufula Trees :*( What movies did you like better than the book or vice versa?</t>
        </is>
      </c>
      <c r="V3071" s="47">
        <f>IF(AND(P3071&gt;=Calendar!$K$2,P3071&lt;EDATE(Calendar!$K$2,1),OR(Calendar!$K$4="*",N3071=Calendar!$K$4)),P3071*100+COUNTIFS($P$6:$P$3267,P3071,$Q$6:$Q$3267,"&lt;="&amp;Q3071,$N$6:$N$3267,Calendar!$K$4),"")</f>
        <v/>
      </c>
      <c r="W3071" s="47">
        <f>IF(AND(B3071=Queue!$C$4,OR(Queue!$K$4="*",N3071=Queue!$K$4)),Q3071,"")</f>
        <v/>
      </c>
    </row>
    <row r="3072">
      <c r="A3072" s="38">
        <f>IF(M3072="","",HYPERLINK("https://www.youtube.com/watch?v="&amp;M3072,"▶"))</f>
        <v/>
      </c>
      <c r="B3072" s="39">
        <f>IF(C3072&lt;&gt;"",C3072,IF(P3072&lt;=IFERROR(INDEX(tblChannels[Watched Through],MATCH(N3072,tblChannels[Channel ID],0)),0),"Watched","Unwatched"))</f>
        <v/>
      </c>
      <c r="C3072" s="40" t="n"/>
      <c r="D3072" s="41" t="n"/>
      <c r="E3072" s="42" t="n">
        <v>41358.95555555556</v>
      </c>
      <c r="F3072" s="50" t="inlineStr">
        <is>
          <t>Super Carlin Brothers</t>
        </is>
      </c>
      <c r="G3072" t="inlineStr">
        <is>
          <t>Thoughts on Vlogging</t>
        </is>
      </c>
      <c r="H3072" s="44" t="n">
        <v>0.0025</v>
      </c>
      <c r="I3072" s="45" t="n">
        <v>9037</v>
      </c>
      <c r="J3072" s="45" t="n">
        <v>214</v>
      </c>
      <c r="K3072" s="45" t="n">
        <v>60</v>
      </c>
      <c r="L3072" s="46" t="n"/>
      <c r="M3072" s="47" t="n"/>
      <c r="N3072" s="47" t="inlineStr">
        <is>
          <t>UCKZo4N0lVPccBkSiuyVh4yg</t>
        </is>
      </c>
      <c r="O3072" s="48" t="n">
        <v>41359.12222222222</v>
      </c>
      <c r="P3072" s="49" t="n">
        <v>41358</v>
      </c>
      <c r="Q3072" s="47" t="n">
        <v>196</v>
      </c>
      <c r="R3072" s="47" t="inlineStr">
        <is>
          <t>No Video ID yet</t>
        </is>
      </c>
      <c r="S3072" s="49" t="n"/>
      <c r="T3072" s="49" t="n"/>
      <c r="U3072" s="47" t="inlineStr">
        <is>
          <t>What tiny morsel, specific nugget, of a unique personal characteristic or trait can you tell us about yourself? Also keep suggesting video topics!! @SCB_Ben and @Jonkerlin =D</t>
        </is>
      </c>
      <c r="V3072" s="47">
        <f>IF(AND(P3072&gt;=Calendar!$K$2,P3072&lt;EDATE(Calendar!$K$2,1),OR(Calendar!$K$4="*",N3072=Calendar!$K$4)),P3072*100+COUNTIFS($P$6:$P$3267,P3072,$Q$6:$Q$3267,"&lt;="&amp;Q3072,$N$6:$N$3267,Calendar!$K$4),"")</f>
        <v/>
      </c>
      <c r="W3072" s="47">
        <f>IF(AND(B3072=Queue!$C$4,OR(Queue!$K$4="*",N3072=Queue!$K$4)),Q3072,"")</f>
        <v/>
      </c>
    </row>
    <row r="3073">
      <c r="A3073" s="38">
        <f>IF(M3073="","",HYPERLINK("https://www.youtube.com/watch?v="&amp;M3073,"▶"))</f>
        <v/>
      </c>
      <c r="B3073" s="39">
        <f>IF(C3073&lt;&gt;"",C3073,IF(P3073&lt;=IFERROR(INDEX(tblChannels[Watched Through],MATCH(N3073,tblChannels[Channel ID],0)),0),"Watched","Unwatched"))</f>
        <v/>
      </c>
      <c r="C3073" s="40" t="n"/>
      <c r="D3073" s="41" t="n"/>
      <c r="E3073" s="42" t="n">
        <v>41355.95208333333</v>
      </c>
      <c r="F3073" s="50" t="inlineStr">
        <is>
          <t>Super Carlin Brothers</t>
        </is>
      </c>
      <c r="G3073" t="inlineStr">
        <is>
          <t>Agenda Setting</t>
        </is>
      </c>
      <c r="H3073" s="44" t="n">
        <v>0.003368055555555556</v>
      </c>
      <c r="I3073" s="45" t="n">
        <v>15108</v>
      </c>
      <c r="J3073" s="45" t="n">
        <v>333</v>
      </c>
      <c r="K3073" s="45" t="n">
        <v>58</v>
      </c>
      <c r="L3073" s="46" t="n"/>
      <c r="M3073" s="47" t="n"/>
      <c r="N3073" s="47" t="inlineStr">
        <is>
          <t>UCKZo4N0lVPccBkSiuyVh4yg</t>
        </is>
      </c>
      <c r="O3073" s="48" t="n">
        <v>41356.11875</v>
      </c>
      <c r="P3073" s="49" t="n">
        <v>41355</v>
      </c>
      <c r="Q3073" s="47" t="n">
        <v>195</v>
      </c>
      <c r="R3073" s="47" t="inlineStr">
        <is>
          <t>No Video ID yet</t>
        </is>
      </c>
      <c r="S3073" s="49" t="n"/>
      <c r="T3073" s="49" t="n"/>
      <c r="U3073" s="47" t="inlineStr">
        <is>
          <t>You set the agenda next week! Tell us what you want us to talk about in the towel section and we will! Tweet questions to: @jonkerlin and @SCB_Ben Facebook: www.facebook.com/supercarlinbrothers =D</t>
        </is>
      </c>
      <c r="V3073" s="47">
        <f>IF(AND(P3073&gt;=Calendar!$K$2,P3073&lt;EDATE(Calendar!$K$2,1),OR(Calendar!$K$4="*",N3073=Calendar!$K$4)),P3073*100+COUNTIFS($P$6:$P$3267,P3073,$Q$6:$Q$3267,"&lt;="&amp;Q3073,$N$6:$N$3267,Calendar!$K$4),"")</f>
        <v/>
      </c>
      <c r="W3073" s="47">
        <f>IF(AND(B3073=Queue!$C$4,OR(Queue!$K$4="*",N3073=Queue!$K$4)),Q3073,"")</f>
        <v/>
      </c>
    </row>
    <row r="3074">
      <c r="A3074" s="38">
        <f>IF(M3074="","",HYPERLINK("https://www.youtube.com/watch?v="&amp;M3074,"▶"))</f>
        <v/>
      </c>
      <c r="B3074" s="39">
        <f>IF(C3074&lt;&gt;"",C3074,IF(P3074&lt;=IFERROR(INDEX(tblChannels[Watched Through],MATCH(N3074,tblChannels[Channel ID],0)),0),"Watched","Unwatched"))</f>
        <v/>
      </c>
      <c r="C3074" s="40" t="n"/>
      <c r="D3074" s="41" t="n"/>
      <c r="E3074" s="42" t="n">
        <v>41354.72916666666</v>
      </c>
      <c r="F3074" s="50" t="inlineStr">
        <is>
          <t>Super Carlin Brothers</t>
        </is>
      </c>
      <c r="G3074" t="inlineStr">
        <is>
          <t>Only if it fits in a Bomb Shelter</t>
        </is>
      </c>
      <c r="H3074" s="44" t="n">
        <v>0.002523148148148148</v>
      </c>
      <c r="I3074" s="45" t="n">
        <v>12990</v>
      </c>
      <c r="J3074" s="45" t="n">
        <v>326</v>
      </c>
      <c r="K3074" s="45" t="n">
        <v>72</v>
      </c>
      <c r="L3074" s="46" t="n"/>
      <c r="M3074" s="47" t="n"/>
      <c r="N3074" s="47" t="inlineStr">
        <is>
          <t>UCKZo4N0lVPccBkSiuyVh4yg</t>
        </is>
      </c>
      <c r="O3074" s="48" t="n">
        <v>41354.89583333334</v>
      </c>
      <c r="P3074" s="49" t="n">
        <v>41354</v>
      </c>
      <c r="Q3074" s="47" t="n">
        <v>194</v>
      </c>
      <c r="R3074" s="47" t="inlineStr">
        <is>
          <t>No Video ID yet</t>
        </is>
      </c>
      <c r="S3074" s="49" t="n"/>
      <c r="T3074" s="49" t="n"/>
      <c r="U3074" s="47" t="inlineStr">
        <is>
          <t>Even if a large percentage of people are taking advantage of a system... what is your opinion on the ethnicity of changing the program that will negatively affect those that are using it for all of the right reasons? What are your thoughts on the voucher system? Or a way to better manage the way people spend welfare related dollars? Is the government becoming too hands on if we control the way people spend the money? Are the circumstances different because they aren't earning that money? Keep it objective. Thanks for Watching. =D</t>
        </is>
      </c>
      <c r="V3074" s="47">
        <f>IF(AND(P3074&gt;=Calendar!$K$2,P3074&lt;EDATE(Calendar!$K$2,1),OR(Calendar!$K$4="*",N3074=Calendar!$K$4)),P3074*100+COUNTIFS($P$6:$P$3267,P3074,$Q$6:$Q$3267,"&lt;="&amp;Q3074,$N$6:$N$3267,Calendar!$K$4),"")</f>
        <v/>
      </c>
      <c r="W3074" s="47">
        <f>IF(AND(B3074=Queue!$C$4,OR(Queue!$K$4="*",N3074=Queue!$K$4)),Q3074,"")</f>
        <v/>
      </c>
    </row>
    <row r="3075">
      <c r="A3075" s="38">
        <f>IF(M3075="","",HYPERLINK("https://www.youtube.com/watch?v="&amp;M3075,"▶"))</f>
        <v/>
      </c>
      <c r="B3075" s="39">
        <f>IF(C3075&lt;&gt;"",C3075,IF(P3075&lt;=IFERROR(INDEX(tblChannels[Watched Through],MATCH(N3075,tblChannels[Channel ID],0)),0),"Watched","Unwatched"))</f>
        <v/>
      </c>
      <c r="C3075" s="40" t="n"/>
      <c r="D3075" s="41" t="n"/>
      <c r="E3075" s="42" t="n">
        <v>41353.94375</v>
      </c>
      <c r="F3075" s="50" t="inlineStr">
        <is>
          <t>Super Carlin Brothers</t>
        </is>
      </c>
      <c r="G3075" t="inlineStr">
        <is>
          <t>The Truth About Heart Stones</t>
        </is>
      </c>
      <c r="H3075" s="44" t="n">
        <v>0.002164351851851852</v>
      </c>
      <c r="I3075" s="45" t="n">
        <v>17696</v>
      </c>
      <c r="J3075" s="45" t="n">
        <v>347</v>
      </c>
      <c r="K3075" s="45" t="n">
        <v>83</v>
      </c>
      <c r="L3075" s="46" t="n"/>
      <c r="M3075" s="47" t="n"/>
      <c r="N3075" s="47" t="inlineStr">
        <is>
          <t>UCKZo4N0lVPccBkSiuyVh4yg</t>
        </is>
      </c>
      <c r="O3075" s="48" t="n">
        <v>41354.11041666667</v>
      </c>
      <c r="P3075" s="49" t="n">
        <v>41353</v>
      </c>
      <c r="Q3075" s="47" t="n">
        <v>193</v>
      </c>
      <c r="R3075" s="47" t="inlineStr">
        <is>
          <t>No Video ID yet</t>
        </is>
      </c>
      <c r="S3075" s="49" t="n"/>
      <c r="T3075" s="49" t="n"/>
      <c r="U3075" s="47" t="inlineStr">
        <is>
          <t>One of the most unusual things about me. What has been your most "fun" trip to the hospital?</t>
        </is>
      </c>
      <c r="V3075" s="47">
        <f>IF(AND(P3075&gt;=Calendar!$K$2,P3075&lt;EDATE(Calendar!$K$2,1),OR(Calendar!$K$4="*",N3075=Calendar!$K$4)),P3075*100+COUNTIFS($P$6:$P$3267,P3075,$Q$6:$Q$3267,"&lt;="&amp;Q3075,$N$6:$N$3267,Calendar!$K$4),"")</f>
        <v/>
      </c>
      <c r="W3075" s="47">
        <f>IF(AND(B3075=Queue!$C$4,OR(Queue!$K$4="*",N3075=Queue!$K$4)),Q3075,"")</f>
        <v/>
      </c>
    </row>
    <row r="3076">
      <c r="A3076" s="38">
        <f>IF(M3076="","",HYPERLINK("https://www.youtube.com/watch?v="&amp;M3076,"▶"))</f>
        <v/>
      </c>
      <c r="B3076" s="39">
        <f>IF(C3076&lt;&gt;"",C3076,IF(P3076&lt;=IFERROR(INDEX(tblChannels[Watched Through],MATCH(N3076,tblChannels[Channel ID],0)),0),"Watched","Unwatched"))</f>
        <v/>
      </c>
      <c r="C3076" s="40" t="n"/>
      <c r="D3076" s="41" t="n"/>
      <c r="E3076" s="42" t="n">
        <v>41352.86666666667</v>
      </c>
      <c r="F3076" s="50" t="inlineStr">
        <is>
          <t>Super Carlin Brothers</t>
        </is>
      </c>
      <c r="G3076" t="inlineStr">
        <is>
          <t>Fan Mail, Jellyfish, and Baller Status</t>
        </is>
      </c>
      <c r="H3076" s="44" t="n">
        <v>0.001793981481481481</v>
      </c>
      <c r="I3076" s="45" t="n">
        <v>9199</v>
      </c>
      <c r="J3076" s="45" t="n">
        <v>196</v>
      </c>
      <c r="K3076" s="45" t="n">
        <v>50</v>
      </c>
      <c r="L3076" s="46" t="n"/>
      <c r="M3076" s="47" t="n"/>
      <c r="N3076" s="47" t="inlineStr">
        <is>
          <t>UCKZo4N0lVPccBkSiuyVh4yg</t>
        </is>
      </c>
      <c r="O3076" s="48" t="n">
        <v>41353.03333333333</v>
      </c>
      <c r="P3076" s="49" t="n">
        <v>41352</v>
      </c>
      <c r="Q3076" s="47" t="n">
        <v>192</v>
      </c>
      <c r="R3076" s="47" t="inlineStr">
        <is>
          <t>No Video ID yet</t>
        </is>
      </c>
      <c r="S3076" s="49" t="n"/>
      <c r="T3076" s="49" t="n"/>
      <c r="U3076" s="47" t="inlineStr">
        <is>
          <t>What is your most baller moment?! and what are you most looking forward to about warm weather?! @SCB_Ben and @jonkerlin =D</t>
        </is>
      </c>
      <c r="V3076" s="47">
        <f>IF(AND(P3076&gt;=Calendar!$K$2,P3076&lt;EDATE(Calendar!$K$2,1),OR(Calendar!$K$4="*",N3076=Calendar!$K$4)),P3076*100+COUNTIFS($P$6:$P$3267,P3076,$Q$6:$Q$3267,"&lt;="&amp;Q3076,$N$6:$N$3267,Calendar!$K$4),"")</f>
        <v/>
      </c>
      <c r="W3076" s="47">
        <f>IF(AND(B3076=Queue!$C$4,OR(Queue!$K$4="*",N3076=Queue!$K$4)),Q3076,"")</f>
        <v/>
      </c>
    </row>
    <row r="3077">
      <c r="A3077" s="38">
        <f>IF(M3077="","",HYPERLINK("https://www.youtube.com/watch?v="&amp;M3077,"▶"))</f>
        <v/>
      </c>
      <c r="B3077" s="39">
        <f>IF(C3077&lt;&gt;"",C3077,IF(P3077&lt;=IFERROR(INDEX(tblChannels[Watched Through],MATCH(N3077,tblChannels[Channel ID],0)),0),"Watched","Unwatched"))</f>
        <v/>
      </c>
      <c r="C3077" s="40" t="n"/>
      <c r="D3077" s="41" t="n"/>
      <c r="E3077" s="42" t="n">
        <v>41351.96597222222</v>
      </c>
      <c r="F3077" s="50" t="inlineStr">
        <is>
          <t>Super Carlin Brothers</t>
        </is>
      </c>
      <c r="G3077" t="inlineStr">
        <is>
          <t>Half Marathon and Road Trip Food</t>
        </is>
      </c>
      <c r="H3077" s="44" t="n">
        <v>0.002905092592592593</v>
      </c>
      <c r="I3077" s="45" t="n">
        <v>15693</v>
      </c>
      <c r="J3077" s="45" t="n">
        <v>369</v>
      </c>
      <c r="K3077" s="45" t="n">
        <v>63</v>
      </c>
      <c r="L3077" s="46" t="n"/>
      <c r="M3077" s="47" t="n"/>
      <c r="N3077" s="47" t="inlineStr">
        <is>
          <t>UCKZo4N0lVPccBkSiuyVh4yg</t>
        </is>
      </c>
      <c r="O3077" s="48" t="n">
        <v>41352.13263888889</v>
      </c>
      <c r="P3077" s="49" t="n">
        <v>41351</v>
      </c>
      <c r="Q3077" s="47" t="n">
        <v>191</v>
      </c>
      <c r="R3077" s="47" t="inlineStr">
        <is>
          <t>No Video ID yet</t>
        </is>
      </c>
      <c r="S3077" s="49" t="n"/>
      <c r="T3077" s="49" t="n"/>
      <c r="U3077" s="47" t="inlineStr">
        <is>
          <t>...and then Beth had to pee.</t>
        </is>
      </c>
      <c r="V3077" s="47">
        <f>IF(AND(P3077&gt;=Calendar!$K$2,P3077&lt;EDATE(Calendar!$K$2,1),OR(Calendar!$K$4="*",N3077=Calendar!$K$4)),P3077*100+COUNTIFS($P$6:$P$3267,P3077,$Q$6:$Q$3267,"&lt;="&amp;Q3077,$N$6:$N$3267,Calendar!$K$4),"")</f>
        <v/>
      </c>
      <c r="W3077" s="47">
        <f>IF(AND(B3077=Queue!$C$4,OR(Queue!$K$4="*",N3077=Queue!$K$4)),Q3077,"")</f>
        <v/>
      </c>
    </row>
    <row r="3078">
      <c r="A3078" s="38">
        <f>IF(M3078="","",HYPERLINK("https://www.youtube.com/watch?v="&amp;M3078,"▶"))</f>
        <v/>
      </c>
      <c r="B3078" s="39">
        <f>IF(C3078&lt;&gt;"",C3078,IF(P3078&lt;=IFERROR(INDEX(tblChannels[Watched Through],MATCH(N3078,tblChannels[Channel ID],0)),0),"Watched","Unwatched"))</f>
        <v/>
      </c>
      <c r="C3078" s="40" t="n"/>
      <c r="D3078" s="41" t="n"/>
      <c r="E3078" s="42" t="n">
        <v>41348.95416666667</v>
      </c>
      <c r="F3078" s="50" t="inlineStr">
        <is>
          <t>Super Carlin Brothers</t>
        </is>
      </c>
      <c r="G3078" t="inlineStr">
        <is>
          <t>Best of Ben SCB</t>
        </is>
      </c>
      <c r="H3078" s="44" t="n">
        <v>0.003310185185185185</v>
      </c>
      <c r="I3078" s="45" t="n">
        <v>15988</v>
      </c>
      <c r="J3078" s="45" t="n">
        <v>437</v>
      </c>
      <c r="K3078" s="45" t="n">
        <v>57</v>
      </c>
      <c r="L3078" s="46" t="n"/>
      <c r="M3078" s="47" t="n"/>
      <c r="N3078" s="47" t="inlineStr">
        <is>
          <t>UCKZo4N0lVPccBkSiuyVh4yg</t>
        </is>
      </c>
      <c r="O3078" s="48" t="n">
        <v>41349.12083333333</v>
      </c>
      <c r="P3078" s="49" t="n">
        <v>41348</v>
      </c>
      <c r="Q3078" s="47" t="n">
        <v>190</v>
      </c>
      <c r="R3078" s="47" t="inlineStr">
        <is>
          <t>No Video ID yet</t>
        </is>
      </c>
      <c r="S3078" s="49" t="n"/>
      <c r="T3078" s="49" t="n"/>
      <c r="U3078" s="47" t="inlineStr">
        <is>
          <t>Super Carlin Brothers fans are one of a kind. You all are the best. =D</t>
        </is>
      </c>
      <c r="V3078" s="47">
        <f>IF(AND(P3078&gt;=Calendar!$K$2,P3078&lt;EDATE(Calendar!$K$2,1),OR(Calendar!$K$4="*",N3078=Calendar!$K$4)),P3078*100+COUNTIFS($P$6:$P$3267,P3078,$Q$6:$Q$3267,"&lt;="&amp;Q3078,$N$6:$N$3267,Calendar!$K$4),"")</f>
        <v/>
      </c>
      <c r="W3078" s="47">
        <f>IF(AND(B3078=Queue!$C$4,OR(Queue!$K$4="*",N3078=Queue!$K$4)),Q3078,"")</f>
        <v/>
      </c>
    </row>
    <row r="3079">
      <c r="A3079" s="38">
        <f>IF(M3079="","",HYPERLINK("https://www.youtube.com/watch?v="&amp;M3079,"▶"))</f>
        <v/>
      </c>
      <c r="B3079" s="39">
        <f>IF(C3079&lt;&gt;"",C3079,IF(P3079&lt;=IFERROR(INDEX(tblChannels[Watched Through],MATCH(N3079,tblChannels[Channel ID],0)),0),"Watched","Unwatched"))</f>
        <v/>
      </c>
      <c r="C3079" s="40" t="n"/>
      <c r="D3079" s="41" t="n"/>
      <c r="E3079" s="42" t="n">
        <v>41347.91736111111</v>
      </c>
      <c r="F3079" s="50" t="inlineStr">
        <is>
          <t>Super Carlin Brothers</t>
        </is>
      </c>
      <c r="G3079" t="inlineStr">
        <is>
          <t>Most Random Number 1-100</t>
        </is>
      </c>
      <c r="H3079" s="44" t="n">
        <v>0.002951388888888889</v>
      </c>
      <c r="I3079" s="45" t="n">
        <v>99023</v>
      </c>
      <c r="J3079" s="45" t="n">
        <v>2056</v>
      </c>
      <c r="K3079" s="45" t="n">
        <v>5087</v>
      </c>
      <c r="L3079" s="46" t="n"/>
      <c r="M3079" s="47" t="n"/>
      <c r="N3079" s="47" t="inlineStr">
        <is>
          <t>UCKZo4N0lVPccBkSiuyVh4yg</t>
        </is>
      </c>
      <c r="O3079" s="48" t="n">
        <v>41348.08402777778</v>
      </c>
      <c r="P3079" s="49" t="n">
        <v>41347</v>
      </c>
      <c r="Q3079" s="47" t="n">
        <v>189</v>
      </c>
      <c r="R3079" s="47" t="inlineStr">
        <is>
          <t>No Video ID yet</t>
        </is>
      </c>
      <c r="S3079" s="49" t="n"/>
      <c r="T3079" s="49" t="n"/>
      <c r="U3079" s="47" t="inlineStr">
        <is>
          <t>Pick a number right now 1-100 and leave it in the towel section! GO! HURRY! Thanks for supporting us and helping our community grow to over 1000 subscribers, what has been your favorite memory so far?</t>
        </is>
      </c>
      <c r="V3079" s="47">
        <f>IF(AND(P3079&gt;=Calendar!$K$2,P3079&lt;EDATE(Calendar!$K$2,1),OR(Calendar!$K$4="*",N3079=Calendar!$K$4)),P3079*100+COUNTIFS($P$6:$P$3267,P3079,$Q$6:$Q$3267,"&lt;="&amp;Q3079,$N$6:$N$3267,Calendar!$K$4),"")</f>
        <v/>
      </c>
      <c r="W3079" s="47">
        <f>IF(AND(B3079=Queue!$C$4,OR(Queue!$K$4="*",N3079=Queue!$K$4)),Q3079,"")</f>
        <v/>
      </c>
    </row>
    <row r="3080">
      <c r="A3080" s="38">
        <f>IF(M3080="","",HYPERLINK("https://www.youtube.com/watch?v="&amp;M3080,"▶"))</f>
        <v/>
      </c>
      <c r="B3080" s="39">
        <f>IF(C3080&lt;&gt;"",C3080,IF(P3080&lt;=IFERROR(INDEX(tblChannels[Watched Through],MATCH(N3080,tblChannels[Channel ID],0)),0),"Watched","Unwatched"))</f>
        <v/>
      </c>
      <c r="C3080" s="40" t="n"/>
      <c r="D3080" s="41" t="n"/>
      <c r="E3080" s="42" t="n">
        <v>41346.90486111111</v>
      </c>
      <c r="F3080" s="50" t="inlineStr">
        <is>
          <t>Super Carlin Brothers</t>
        </is>
      </c>
      <c r="G3080" t="inlineStr">
        <is>
          <t>Being Yourself</t>
        </is>
      </c>
      <c r="H3080" s="44" t="n">
        <v>0.002048611111111111</v>
      </c>
      <c r="I3080" s="45" t="n">
        <v>9273</v>
      </c>
      <c r="J3080" s="45" t="n">
        <v>216</v>
      </c>
      <c r="K3080" s="45" t="n">
        <v>47</v>
      </c>
      <c r="L3080" s="46" t="n"/>
      <c r="M3080" s="47" t="n"/>
      <c r="N3080" s="47" t="inlineStr">
        <is>
          <t>UCKZo4N0lVPccBkSiuyVh4yg</t>
        </is>
      </c>
      <c r="O3080" s="48" t="n">
        <v>41347.07152777778</v>
      </c>
      <c r="P3080" s="49" t="n">
        <v>41346</v>
      </c>
      <c r="Q3080" s="47" t="n">
        <v>188</v>
      </c>
      <c r="R3080" s="47" t="inlineStr">
        <is>
          <t>No Video ID yet</t>
        </is>
      </c>
      <c r="S3080" s="49" t="n"/>
      <c r="T3080" s="49" t="n"/>
      <c r="U3080" s="47" t="inlineStr">
        <is>
          <t>Do you have one version of yourself that applies to all situations? or Different versions to fit situations? This seemed brilliant when I came up with it but I've had very little sleep this week... go easy on me :) Twitter: @SCB_Ben and @Jonkerlin =D</t>
        </is>
      </c>
      <c r="V3080" s="47">
        <f>IF(AND(P3080&gt;=Calendar!$K$2,P3080&lt;EDATE(Calendar!$K$2,1),OR(Calendar!$K$4="*",N3080=Calendar!$K$4)),P3080*100+COUNTIFS($P$6:$P$3267,P3080,$Q$6:$Q$3267,"&lt;="&amp;Q3080,$N$6:$N$3267,Calendar!$K$4),"")</f>
        <v/>
      </c>
      <c r="W3080" s="47">
        <f>IF(AND(B3080=Queue!$C$4,OR(Queue!$K$4="*",N3080=Queue!$K$4)),Q3080,"")</f>
        <v/>
      </c>
    </row>
    <row r="3081">
      <c r="A3081" s="38">
        <f>IF(M3081="","",HYPERLINK("https://www.youtube.com/watch?v="&amp;M3081,"▶"))</f>
        <v/>
      </c>
      <c r="B3081" s="39">
        <f>IF(C3081&lt;&gt;"",C3081,IF(P3081&lt;=IFERROR(INDEX(tblChannels[Watched Through],MATCH(N3081,tblChannels[Channel ID],0)),0),"Watched","Unwatched"))</f>
        <v/>
      </c>
      <c r="C3081" s="40" t="n"/>
      <c r="D3081" s="41" t="n"/>
      <c r="E3081" s="42" t="n">
        <v>41345.86666666667</v>
      </c>
      <c r="F3081" s="50" t="inlineStr">
        <is>
          <t>Super Carlin Brothers</t>
        </is>
      </c>
      <c r="G3081" t="inlineStr">
        <is>
          <t>Candy Wars! -  Feat. Panikann</t>
        </is>
      </c>
      <c r="H3081" s="44" t="n">
        <v>0.002615740740740741</v>
      </c>
      <c r="I3081" s="45" t="n">
        <v>31391</v>
      </c>
      <c r="J3081" s="45" t="n">
        <v>692</v>
      </c>
      <c r="K3081" s="45" t="n">
        <v>86</v>
      </c>
      <c r="L3081" s="46" t="n"/>
      <c r="M3081" s="47" t="n"/>
      <c r="N3081" s="47" t="inlineStr">
        <is>
          <t>UCKZo4N0lVPccBkSiuyVh4yg</t>
        </is>
      </c>
      <c r="O3081" s="48" t="n">
        <v>41346.03333333333</v>
      </c>
      <c r="P3081" s="49" t="n">
        <v>41345</v>
      </c>
      <c r="Q3081" s="47" t="n">
        <v>187</v>
      </c>
      <c r="R3081" s="47" t="inlineStr">
        <is>
          <t>No Video ID yet</t>
        </is>
      </c>
      <c r="S3081" s="49" t="n"/>
      <c r="T3081" s="49" t="n"/>
      <c r="U3081" s="47" t="inlineStr">
        <is>
          <t>Check out Panikann here: What is your favorite Candy? A battle rages across the internet.. who will win??? Twitter: @jonkerlin AND @SCB_Ben AND @Panikann</t>
        </is>
      </c>
      <c r="V3081" s="47">
        <f>IF(AND(P3081&gt;=Calendar!$K$2,P3081&lt;EDATE(Calendar!$K$2,1),OR(Calendar!$K$4="*",N3081=Calendar!$K$4)),P3081*100+COUNTIFS($P$6:$P$3267,P3081,$Q$6:$Q$3267,"&lt;="&amp;Q3081,$N$6:$N$3267,Calendar!$K$4),"")</f>
        <v/>
      </c>
      <c r="W3081" s="47">
        <f>IF(AND(B3081=Queue!$C$4,OR(Queue!$K$4="*",N3081=Queue!$K$4)),Q3081,"")</f>
        <v/>
      </c>
    </row>
    <row r="3082">
      <c r="A3082" s="38">
        <f>IF(M3082="","",HYPERLINK("https://www.youtube.com/watch?v="&amp;M3082,"▶"))</f>
        <v/>
      </c>
      <c r="B3082" s="39">
        <f>IF(C3082&lt;&gt;"",C3082,IF(P3082&lt;=IFERROR(INDEX(tblChannels[Watched Through],MATCH(N3082,tblChannels[Channel ID],0)),0),"Watched","Unwatched"))</f>
        <v/>
      </c>
      <c r="C3082" s="40" t="n"/>
      <c r="D3082" s="41" t="n"/>
      <c r="E3082" s="42" t="n">
        <v>41344.90138888889</v>
      </c>
      <c r="F3082" s="50" t="inlineStr">
        <is>
          <t>Super Carlin Brothers</t>
        </is>
      </c>
      <c r="G3082" t="inlineStr">
        <is>
          <t>Just Noticeable Difference</t>
        </is>
      </c>
      <c r="H3082" s="44" t="n">
        <v>0.002083333333333333</v>
      </c>
      <c r="I3082" s="45" t="n">
        <v>16985</v>
      </c>
      <c r="J3082" s="45" t="n">
        <v>295</v>
      </c>
      <c r="K3082" s="45" t="n">
        <v>49</v>
      </c>
      <c r="L3082" s="46" t="n"/>
      <c r="M3082" s="47" t="n"/>
      <c r="N3082" s="47" t="inlineStr">
        <is>
          <t>UCKZo4N0lVPccBkSiuyVh4yg</t>
        </is>
      </c>
      <c r="O3082" s="48" t="n">
        <v>41345.06805555556</v>
      </c>
      <c r="P3082" s="49" t="n">
        <v>41344</v>
      </c>
      <c r="Q3082" s="47" t="n">
        <v>186</v>
      </c>
      <c r="R3082" s="47" t="inlineStr">
        <is>
          <t>No Video ID yet</t>
        </is>
      </c>
      <c r="S3082" s="49" t="n"/>
      <c r="T3082" s="49" t="n"/>
      <c r="U3082" s="47" t="inlineStr">
        <is>
          <t>1. Do you ever get impatient to where you call just 10 seconds too soon? 2. Would you notice 1-2 fewer m&amp;m's per bag!? 3. Did you notice what was different?! Twitter: @SCB_Ben and @jonkerlin =D</t>
        </is>
      </c>
      <c r="V3082" s="47">
        <f>IF(AND(P3082&gt;=Calendar!$K$2,P3082&lt;EDATE(Calendar!$K$2,1),OR(Calendar!$K$4="*",N3082=Calendar!$K$4)),P3082*100+COUNTIFS($P$6:$P$3267,P3082,$Q$6:$Q$3267,"&lt;="&amp;Q3082,$N$6:$N$3267,Calendar!$K$4),"")</f>
        <v/>
      </c>
      <c r="W3082" s="47">
        <f>IF(AND(B3082=Queue!$C$4,OR(Queue!$K$4="*",N3082=Queue!$K$4)),Q3082,"")</f>
        <v/>
      </c>
    </row>
    <row r="3083">
      <c r="A3083" s="38">
        <f>IF(M3083="","",HYPERLINK("https://www.youtube.com/watch?v="&amp;M3083,"▶"))</f>
        <v/>
      </c>
      <c r="B3083" s="39">
        <f>IF(C3083&lt;&gt;"",C3083,IF(P3083&lt;=IFERROR(INDEX(tblChannels[Watched Through],MATCH(N3083,tblChannels[Channel ID],0)),0),"Watched","Unwatched"))</f>
        <v/>
      </c>
      <c r="C3083" s="40" t="n"/>
      <c r="D3083" s="41" t="n"/>
      <c r="E3083" s="42" t="n">
        <v>41341.86319444444</v>
      </c>
      <c r="F3083" s="50" t="inlineStr">
        <is>
          <t>Super Carlin Brothers</t>
        </is>
      </c>
      <c r="G3083" t="inlineStr">
        <is>
          <t>NOT A Small World Afterall</t>
        </is>
      </c>
      <c r="H3083" s="44" t="n">
        <v>0.00287037037037037</v>
      </c>
      <c r="I3083" s="45" t="n">
        <v>32713</v>
      </c>
      <c r="J3083" s="45" t="n">
        <v>662</v>
      </c>
      <c r="K3083" s="45" t="n">
        <v>186</v>
      </c>
      <c r="L3083" s="46" t="n"/>
      <c r="M3083" s="47" t="n"/>
      <c r="N3083" s="47" t="inlineStr">
        <is>
          <t>UCKZo4N0lVPccBkSiuyVh4yg</t>
        </is>
      </c>
      <c r="O3083" s="48" t="n">
        <v>41342.07152777778</v>
      </c>
      <c r="P3083" s="49" t="n">
        <v>41341</v>
      </c>
      <c r="Q3083" s="47" t="n">
        <v>185</v>
      </c>
      <c r="R3083" s="47" t="inlineStr">
        <is>
          <t>No Video ID yet</t>
        </is>
      </c>
      <c r="S3083" s="49" t="n"/>
      <c r="T3083" s="49" t="n"/>
      <c r="U3083" s="47" t="inlineStr">
        <is>
          <t>I reveal my very poor Geography hand and talk about annoying people. How do you determine where you are from?</t>
        </is>
      </c>
      <c r="V3083" s="47">
        <f>IF(AND(P3083&gt;=Calendar!$K$2,P3083&lt;EDATE(Calendar!$K$2,1),OR(Calendar!$K$4="*",N3083=Calendar!$K$4)),P3083*100+COUNTIFS($P$6:$P$3267,P3083,$Q$6:$Q$3267,"&lt;="&amp;Q3083,$N$6:$N$3267,Calendar!$K$4),"")</f>
        <v/>
      </c>
      <c r="W3083" s="47">
        <f>IF(AND(B3083=Queue!$C$4,OR(Queue!$K$4="*",N3083=Queue!$K$4)),Q3083,"")</f>
        <v/>
      </c>
    </row>
    <row r="3084">
      <c r="A3084" s="38">
        <f>IF(M3084="","",HYPERLINK("https://www.youtube.com/watch?v="&amp;M3084,"▶"))</f>
        <v/>
      </c>
      <c r="B3084" s="39">
        <f>IF(C3084&lt;&gt;"",C3084,IF(P3084&lt;=IFERROR(INDEX(tblChannels[Watched Through],MATCH(N3084,tblChannels[Channel ID],0)),0),"Watched","Unwatched"))</f>
        <v/>
      </c>
      <c r="C3084" s="40" t="n"/>
      <c r="D3084" s="41" t="n"/>
      <c r="E3084" s="42" t="n">
        <v>41341.00208333333</v>
      </c>
      <c r="F3084" s="50" t="inlineStr">
        <is>
          <t>Super Carlin Brothers</t>
        </is>
      </c>
      <c r="G3084" t="inlineStr">
        <is>
          <t>10,000 Hour Rule</t>
        </is>
      </c>
      <c r="H3084" s="44" t="n">
        <v>0.002743055555555555</v>
      </c>
      <c r="I3084" s="45" t="n">
        <v>14079</v>
      </c>
      <c r="J3084" s="45" t="n">
        <v>305</v>
      </c>
      <c r="K3084" s="45" t="n">
        <v>78</v>
      </c>
      <c r="L3084" s="46" t="n"/>
      <c r="M3084" s="47" t="n"/>
      <c r="N3084" s="47" t="inlineStr">
        <is>
          <t>UCKZo4N0lVPccBkSiuyVh4yg</t>
        </is>
      </c>
      <c r="O3084" s="48" t="n">
        <v>41341.21041666667</v>
      </c>
      <c r="P3084" s="49" t="n">
        <v>41341</v>
      </c>
      <c r="Q3084" s="47" t="n">
        <v>184</v>
      </c>
      <c r="R3084" s="47" t="inlineStr">
        <is>
          <t>No Video ID yet</t>
        </is>
      </c>
      <c r="S3084" s="49" t="n"/>
      <c r="T3084" s="49" t="n"/>
      <c r="U3084" s="47" t="inlineStr">
        <is>
          <t>Does talent effect the amount of time it takes to become a professional? Twitter... if you've got one follow me... J is killing me... @SCB_Ben Thanks for watching! =D</t>
        </is>
      </c>
      <c r="V3084" s="47">
        <f>IF(AND(P3084&gt;=Calendar!$K$2,P3084&lt;EDATE(Calendar!$K$2,1),OR(Calendar!$K$4="*",N3084=Calendar!$K$4)),P3084*100+COUNTIFS($P$6:$P$3267,P3084,$Q$6:$Q$3267,"&lt;="&amp;Q3084,$N$6:$N$3267,Calendar!$K$4),"")</f>
        <v/>
      </c>
      <c r="W3084" s="47">
        <f>IF(AND(B3084=Queue!$C$4,OR(Queue!$K$4="*",N3084=Queue!$K$4)),Q3084,"")</f>
        <v/>
      </c>
    </row>
    <row r="3085">
      <c r="A3085" s="38">
        <f>IF(M3085="","",HYPERLINK("https://www.youtube.com/watch?v="&amp;M3085,"▶"))</f>
        <v/>
      </c>
      <c r="B3085" s="39">
        <f>IF(C3085&lt;&gt;"",C3085,IF(P3085&lt;=IFERROR(INDEX(tblChannels[Watched Through],MATCH(N3085,tblChannels[Channel ID],0)),0),"Watched","Unwatched"))</f>
        <v/>
      </c>
      <c r="C3085" s="40" t="n"/>
      <c r="D3085" s="41" t="n"/>
      <c r="E3085" s="42" t="n">
        <v>41339.88402777778</v>
      </c>
      <c r="F3085" s="50" t="inlineStr">
        <is>
          <t>Super Carlin Brothers</t>
        </is>
      </c>
      <c r="G3085" t="inlineStr">
        <is>
          <t>Maximize the Experience!</t>
        </is>
      </c>
      <c r="H3085" s="44" t="n">
        <v>0.003240740740740741</v>
      </c>
      <c r="I3085" s="45" t="n">
        <v>22813</v>
      </c>
      <c r="J3085" s="45" t="n">
        <v>480</v>
      </c>
      <c r="K3085" s="45" t="n">
        <v>82</v>
      </c>
      <c r="L3085" s="46" t="n"/>
      <c r="M3085" s="47" t="n"/>
      <c r="N3085" s="47" t="inlineStr">
        <is>
          <t>UCKZo4N0lVPccBkSiuyVh4yg</t>
        </is>
      </c>
      <c r="O3085" s="48" t="n">
        <v>41340.09236111111</v>
      </c>
      <c r="P3085" s="49" t="n">
        <v>41339</v>
      </c>
      <c r="Q3085" s="47" t="n">
        <v>183</v>
      </c>
      <c r="R3085" s="47" t="inlineStr">
        <is>
          <t>No Video ID yet</t>
        </is>
      </c>
      <c r="S3085" s="49" t="n"/>
      <c r="T3085" s="49" t="n"/>
      <c r="U3085" s="47" t="inlineStr">
        <is>
          <t>Do you try and get the most memories out of every situation?</t>
        </is>
      </c>
      <c r="V3085" s="47">
        <f>IF(AND(P3085&gt;=Calendar!$K$2,P3085&lt;EDATE(Calendar!$K$2,1),OR(Calendar!$K$4="*",N3085=Calendar!$K$4)),P3085*100+COUNTIFS($P$6:$P$3267,P3085,$Q$6:$Q$3267,"&lt;="&amp;Q3085,$N$6:$N$3267,Calendar!$K$4),"")</f>
        <v/>
      </c>
      <c r="W3085" s="47">
        <f>IF(AND(B3085=Queue!$C$4,OR(Queue!$K$4="*",N3085=Queue!$K$4)),Q3085,"")</f>
        <v/>
      </c>
    </row>
    <row r="3086">
      <c r="A3086" s="38">
        <f>IF(M3086="","",HYPERLINK("https://www.youtube.com/watch?v="&amp;M3086,"▶"))</f>
        <v/>
      </c>
      <c r="B3086" s="39">
        <f>IF(C3086&lt;&gt;"",C3086,IF(P3086&lt;=IFERROR(INDEX(tblChannels[Watched Through],MATCH(N3086,tblChannels[Channel ID],0)),0),"Watched","Unwatched"))</f>
        <v/>
      </c>
      <c r="C3086" s="40" t="n"/>
      <c r="D3086" s="41" t="n"/>
      <c r="E3086" s="42" t="n">
        <v>41338.99652777778</v>
      </c>
      <c r="F3086" s="50" t="inlineStr">
        <is>
          <t>Super Carlin Brothers</t>
        </is>
      </c>
      <c r="G3086" t="inlineStr">
        <is>
          <t>Coffee Beans and Tennis Shoes</t>
        </is>
      </c>
      <c r="H3086" s="44" t="n">
        <v>0.002418981481481482</v>
      </c>
      <c r="I3086" s="45" t="n">
        <v>10849</v>
      </c>
      <c r="J3086" s="45" t="n">
        <v>222</v>
      </c>
      <c r="K3086" s="45" t="n">
        <v>68</v>
      </c>
      <c r="L3086" s="46" t="n"/>
      <c r="M3086" s="47" t="n"/>
      <c r="N3086" s="47" t="inlineStr">
        <is>
          <t>UCKZo4N0lVPccBkSiuyVh4yg</t>
        </is>
      </c>
      <c r="O3086" s="48" t="n">
        <v>41339.20486111111</v>
      </c>
      <c r="P3086" s="49" t="n">
        <v>41338</v>
      </c>
      <c r="Q3086" s="47" t="n">
        <v>182</v>
      </c>
      <c r="R3086" s="47" t="inlineStr">
        <is>
          <t>No Video ID yet</t>
        </is>
      </c>
      <c r="S3086" s="49" t="n"/>
      <c r="T3086" s="49" t="n"/>
      <c r="U3086" s="47" t="inlineStr">
        <is>
          <t>I guess what I am wondering is if the end result is the same... Should intentions matter? Twitter: @SCB_Ben and @Jonkerlin =D</t>
        </is>
      </c>
      <c r="V3086" s="47">
        <f>IF(AND(P3086&gt;=Calendar!$K$2,P3086&lt;EDATE(Calendar!$K$2,1),OR(Calendar!$K$4="*",N3086=Calendar!$K$4)),P3086*100+COUNTIFS($P$6:$P$3267,P3086,$Q$6:$Q$3267,"&lt;="&amp;Q3086,$N$6:$N$3267,Calendar!$K$4),"")</f>
        <v/>
      </c>
      <c r="W3086" s="47">
        <f>IF(AND(B3086=Queue!$C$4,OR(Queue!$K$4="*",N3086=Queue!$K$4)),Q3086,"")</f>
        <v/>
      </c>
    </row>
    <row r="3087">
      <c r="A3087" s="38">
        <f>IF(M3087="","",HYPERLINK("https://www.youtube.com/watch?v="&amp;M3087,"▶"))</f>
        <v/>
      </c>
      <c r="B3087" s="39">
        <f>IF(C3087&lt;&gt;"",C3087,IF(P3087&lt;=IFERROR(INDEX(tblChannels[Watched Through],MATCH(N3087,tblChannels[Channel ID],0)),0),"Watched","Unwatched"))</f>
        <v/>
      </c>
      <c r="C3087" s="40" t="n"/>
      <c r="D3087" s="41" t="n"/>
      <c r="E3087" s="42" t="n">
        <v>41337.94375</v>
      </c>
      <c r="F3087" s="50" t="inlineStr">
        <is>
          <t>Super Carlin Brothers</t>
        </is>
      </c>
      <c r="G3087" t="inlineStr">
        <is>
          <t>SNOWMAGEDDON!</t>
        </is>
      </c>
      <c r="H3087" s="44" t="n">
        <v>0.002835648148148148</v>
      </c>
      <c r="I3087" s="45" t="n">
        <v>13852</v>
      </c>
      <c r="J3087" s="45" t="n">
        <v>320</v>
      </c>
      <c r="K3087" s="45" t="n">
        <v>205</v>
      </c>
      <c r="L3087" s="46" t="n"/>
      <c r="M3087" s="47" t="n"/>
      <c r="N3087" s="47" t="inlineStr">
        <is>
          <t>UCKZo4N0lVPccBkSiuyVh4yg</t>
        </is>
      </c>
      <c r="O3087" s="48" t="n">
        <v>41338.15208333333</v>
      </c>
      <c r="P3087" s="49" t="n">
        <v>41337</v>
      </c>
      <c r="Q3087" s="47" t="n">
        <v>181</v>
      </c>
      <c r="R3087" s="47" t="inlineStr">
        <is>
          <t>No Video ID yet</t>
        </is>
      </c>
      <c r="S3087" s="49" t="n"/>
      <c r="T3087" s="49" t="n"/>
      <c r="U3087" s="47" t="inlineStr">
        <is>
          <t>Its worse than a hurricane! Worse than Tornado! It's 4-8 inches of snow!!! Does your town totally freak out when in snows?</t>
        </is>
      </c>
      <c r="V3087" s="47">
        <f>IF(AND(P3087&gt;=Calendar!$K$2,P3087&lt;EDATE(Calendar!$K$2,1),OR(Calendar!$K$4="*",N3087=Calendar!$K$4)),P3087*100+COUNTIFS($P$6:$P$3267,P3087,$Q$6:$Q$3267,"&lt;="&amp;Q3087,$N$6:$N$3267,Calendar!$K$4),"")</f>
        <v/>
      </c>
      <c r="W3087" s="47">
        <f>IF(AND(B3087=Queue!$C$4,OR(Queue!$K$4="*",N3087=Queue!$K$4)),Q3087,"")</f>
        <v/>
      </c>
    </row>
    <row r="3088">
      <c r="A3088" s="38">
        <f>IF(M3088="","",HYPERLINK("https://www.youtube.com/watch?v="&amp;M3088,"▶"))</f>
        <v/>
      </c>
      <c r="B3088" s="39">
        <f>IF(C3088&lt;&gt;"",C3088,IF(P3088&lt;=IFERROR(INDEX(tblChannels[Watched Through],MATCH(N3088,tblChannels[Channel ID],0)),0),"Watched","Unwatched"))</f>
        <v/>
      </c>
      <c r="C3088" s="40" t="n"/>
      <c r="D3088" s="41" t="n"/>
      <c r="E3088" s="42" t="n">
        <v>41334.99236111111</v>
      </c>
      <c r="F3088" s="50" t="inlineStr">
        <is>
          <t>Super Carlin Brothers</t>
        </is>
      </c>
      <c r="G3088" t="inlineStr">
        <is>
          <t>Coral Fragging and Puppy Naming</t>
        </is>
      </c>
      <c r="H3088" s="44" t="n">
        <v>0.002662037037037037</v>
      </c>
      <c r="I3088" s="45" t="n">
        <v>10596</v>
      </c>
      <c r="J3088" s="45" t="n">
        <v>294</v>
      </c>
      <c r="K3088" s="45" t="n">
        <v>77</v>
      </c>
      <c r="L3088" s="46" t="n"/>
      <c r="M3088" s="47" t="n"/>
      <c r="N3088" s="47" t="inlineStr">
        <is>
          <t>UCKZo4N0lVPccBkSiuyVh4yg</t>
        </is>
      </c>
      <c r="O3088" s="48" t="n">
        <v>41335.20069444444</v>
      </c>
      <c r="P3088" s="49" t="n">
        <v>41334</v>
      </c>
      <c r="Q3088" s="47" t="n">
        <v>180</v>
      </c>
      <c r="R3088" s="47" t="inlineStr">
        <is>
          <t>No Video ID yet</t>
        </is>
      </c>
      <c r="S3088" s="49" t="n"/>
      <c r="T3088" s="49" t="n"/>
      <c r="U3088" s="47" t="inlineStr">
        <is>
          <t>Please help me think of a name for this dog :) If I haven't mentioned it before SCB viewers are the best. Twitter: @SCB_Ben and @ Jonkerlin Thanks for Watching =D</t>
        </is>
      </c>
      <c r="V3088" s="47">
        <f>IF(AND(P3088&gt;=Calendar!$K$2,P3088&lt;EDATE(Calendar!$K$2,1),OR(Calendar!$K$4="*",N3088=Calendar!$K$4)),P3088*100+COUNTIFS($P$6:$P$3267,P3088,$Q$6:$Q$3267,"&lt;="&amp;Q3088,$N$6:$N$3267,Calendar!$K$4),"")</f>
        <v/>
      </c>
      <c r="W3088" s="47">
        <f>IF(AND(B3088=Queue!$C$4,OR(Queue!$K$4="*",N3088=Queue!$K$4)),Q3088,"")</f>
        <v/>
      </c>
    </row>
    <row r="3089">
      <c r="A3089" s="38">
        <f>IF(M3089="","",HYPERLINK("https://www.youtube.com/watch?v="&amp;M3089,"▶"))</f>
        <v/>
      </c>
      <c r="B3089" s="39">
        <f>IF(C3089&lt;&gt;"",C3089,IF(P3089&lt;=IFERROR(INDEX(tblChannels[Watched Through],MATCH(N3089,tblChannels[Channel ID],0)),0),"Watched","Unwatched"))</f>
        <v/>
      </c>
      <c r="C3089" s="40" t="n"/>
      <c r="D3089" s="41" t="n"/>
      <c r="E3089" s="42" t="n">
        <v>41333.975</v>
      </c>
      <c r="F3089" s="50" t="inlineStr">
        <is>
          <t>Super Carlin Brothers</t>
        </is>
      </c>
      <c r="G3089" t="inlineStr">
        <is>
          <t>Getting Physical... Therapy</t>
        </is>
      </c>
      <c r="H3089" s="44" t="n">
        <v>0.002453703703703704</v>
      </c>
      <c r="I3089" s="45" t="n">
        <v>21380</v>
      </c>
      <c r="J3089" s="45" t="n">
        <v>692</v>
      </c>
      <c r="K3089" s="45" t="n">
        <v>114</v>
      </c>
      <c r="L3089" s="46" t="n"/>
      <c r="M3089" s="47" t="n"/>
      <c r="N3089" s="47" t="inlineStr">
        <is>
          <t>UCKZo4N0lVPccBkSiuyVh4yg</t>
        </is>
      </c>
      <c r="O3089" s="48" t="n">
        <v>41334.18333333333</v>
      </c>
      <c r="P3089" s="49" t="n">
        <v>41333</v>
      </c>
      <c r="Q3089" s="47" t="n">
        <v>179</v>
      </c>
      <c r="R3089" s="47" t="inlineStr">
        <is>
          <t>No Video ID yet</t>
        </is>
      </c>
      <c r="S3089" s="49" t="n"/>
      <c r="T3089" s="49" t="n"/>
      <c r="U3089" s="47" t="inlineStr">
        <is>
          <t>Well looks like I cant run my half marathon... here are some dance moves though.</t>
        </is>
      </c>
      <c r="V3089" s="47">
        <f>IF(AND(P3089&gt;=Calendar!$K$2,P3089&lt;EDATE(Calendar!$K$2,1),OR(Calendar!$K$4="*",N3089=Calendar!$K$4)),P3089*100+COUNTIFS($P$6:$P$3267,P3089,$Q$6:$Q$3267,"&lt;="&amp;Q3089,$N$6:$N$3267,Calendar!$K$4),"")</f>
        <v/>
      </c>
      <c r="W3089" s="47">
        <f>IF(AND(B3089=Queue!$C$4,OR(Queue!$K$4="*",N3089=Queue!$K$4)),Q3089,"")</f>
        <v/>
      </c>
    </row>
    <row r="3090">
      <c r="A3090" s="38">
        <f>IF(M3090="","",HYPERLINK("https://www.youtube.com/watch?v="&amp;M3090,"▶"))</f>
        <v/>
      </c>
      <c r="B3090" s="39">
        <f>IF(C3090&lt;&gt;"",C3090,IF(P3090&lt;=IFERROR(INDEX(tblChannels[Watched Through],MATCH(N3090,tblChannels[Channel ID],0)),0),"Watched","Unwatched"))</f>
        <v/>
      </c>
      <c r="C3090" s="40" t="n"/>
      <c r="D3090" s="41" t="n"/>
      <c r="E3090" s="42" t="n">
        <v>41332.93263888889</v>
      </c>
      <c r="F3090" s="50" t="inlineStr">
        <is>
          <t>Super Carlin Brothers</t>
        </is>
      </c>
      <c r="G3090" t="inlineStr">
        <is>
          <t>Comment Comments</t>
        </is>
      </c>
      <c r="H3090" s="44" t="n">
        <v>0.002476851851851852</v>
      </c>
      <c r="I3090" s="45" t="n">
        <v>11830</v>
      </c>
      <c r="J3090" s="45" t="n">
        <v>278</v>
      </c>
      <c r="K3090" s="45" t="n">
        <v>48</v>
      </c>
      <c r="L3090" s="46" t="n"/>
      <c r="M3090" s="47" t="n"/>
      <c r="N3090" s="47" t="inlineStr">
        <is>
          <t>UCKZo4N0lVPccBkSiuyVh4yg</t>
        </is>
      </c>
      <c r="O3090" s="48" t="n">
        <v>41333.14097222222</v>
      </c>
      <c r="P3090" s="49" t="n">
        <v>41332</v>
      </c>
      <c r="Q3090" s="47" t="n">
        <v>178</v>
      </c>
      <c r="R3090" s="47" t="inlineStr">
        <is>
          <t>No Video ID yet</t>
        </is>
      </c>
      <c r="S3090" s="49" t="n"/>
      <c r="T3090" s="49" t="n"/>
      <c r="U3090" s="47" t="inlineStr">
        <is>
          <t>What do you think is behind the door?!?! Also what is your opinion on Moustaches? ps. did you find the hidden link? pps. Twitter: @SCB_Ben and @Jonkerlin =D</t>
        </is>
      </c>
      <c r="V3090" s="47">
        <f>IF(AND(P3090&gt;=Calendar!$K$2,P3090&lt;EDATE(Calendar!$K$2,1),OR(Calendar!$K$4="*",N3090=Calendar!$K$4)),P3090*100+COUNTIFS($P$6:$P$3267,P3090,$Q$6:$Q$3267,"&lt;="&amp;Q3090,$N$6:$N$3267,Calendar!$K$4),"")</f>
        <v/>
      </c>
      <c r="W3090" s="47">
        <f>IF(AND(B3090=Queue!$C$4,OR(Queue!$K$4="*",N3090=Queue!$K$4)),Q3090,"")</f>
        <v/>
      </c>
    </row>
    <row r="3091">
      <c r="A3091" s="38">
        <f>IF(M3091="","",HYPERLINK("https://www.youtube.com/watch?v="&amp;M3091,"▶"))</f>
        <v/>
      </c>
      <c r="B3091" s="39">
        <f>IF(C3091&lt;&gt;"",C3091,IF(P3091&lt;=IFERROR(INDEX(tblChannels[Watched Through],MATCH(N3091,tblChannels[Channel ID],0)),0),"Watched","Unwatched"))</f>
        <v/>
      </c>
      <c r="C3091" s="40" t="n"/>
      <c r="D3091" s="41" t="n"/>
      <c r="E3091" s="42" t="n">
        <v>41331.95694444444</v>
      </c>
      <c r="F3091" s="50" t="inlineStr">
        <is>
          <t>Super Carlin Brothers</t>
        </is>
      </c>
      <c r="G3091" t="inlineStr">
        <is>
          <t>How to Eat an Everything Bagel</t>
        </is>
      </c>
      <c r="H3091" s="44" t="n">
        <v>0.002766203703703704</v>
      </c>
      <c r="I3091" s="45" t="n">
        <v>54840</v>
      </c>
      <c r="J3091" s="45" t="n">
        <v>1365</v>
      </c>
      <c r="K3091" s="45" t="n">
        <v>307</v>
      </c>
      <c r="L3091" s="46" t="n"/>
      <c r="M3091" s="47" t="n"/>
      <c r="N3091" s="47" t="inlineStr">
        <is>
          <t>UCKZo4N0lVPccBkSiuyVh4yg</t>
        </is>
      </c>
      <c r="O3091" s="48" t="n">
        <v>41332.16527777778</v>
      </c>
      <c r="P3091" s="49" t="n">
        <v>41331</v>
      </c>
      <c r="Q3091" s="47" t="n">
        <v>177</v>
      </c>
      <c r="R3091" s="47" t="inlineStr">
        <is>
          <t>No Video ID yet</t>
        </is>
      </c>
      <c r="S3091" s="49" t="n"/>
      <c r="T3091" s="49" t="n"/>
      <c r="U3091" s="47" t="inlineStr">
        <is>
          <t>Like you didnt see this coming... Favorite bagel? Vid Response? Send Outro's, Grizzly Eagle Sharks, and/or Giraffalents here: supercarlinbrothers@gmail.com Tumblr :: Twitter :: @jonkerlin and @SCB_ben Facebook :: =D</t>
        </is>
      </c>
      <c r="V3091" s="47">
        <f>IF(AND(P3091&gt;=Calendar!$K$2,P3091&lt;EDATE(Calendar!$K$2,1),OR(Calendar!$K$4="*",N3091=Calendar!$K$4)),P3091*100+COUNTIFS($P$6:$P$3267,P3091,$Q$6:$Q$3267,"&lt;="&amp;Q3091,$N$6:$N$3267,Calendar!$K$4),"")</f>
        <v/>
      </c>
      <c r="W3091" s="47">
        <f>IF(AND(B3091=Queue!$C$4,OR(Queue!$K$4="*",N3091=Queue!$K$4)),Q3091,"")</f>
        <v/>
      </c>
    </row>
    <row r="3092">
      <c r="A3092" s="38">
        <f>IF(M3092="","",HYPERLINK("https://www.youtube.com/watch?v="&amp;M3092,"▶"))</f>
        <v/>
      </c>
      <c r="B3092" s="39">
        <f>IF(C3092&lt;&gt;"",C3092,IF(P3092&lt;=IFERROR(INDEX(tblChannels[Watched Through],MATCH(N3092,tblChannels[Channel ID],0)),0),"Watched","Unwatched"))</f>
        <v/>
      </c>
      <c r="C3092" s="40" t="n"/>
      <c r="D3092" s="41" t="n"/>
      <c r="E3092" s="42" t="n">
        <v>41330.9875</v>
      </c>
      <c r="F3092" s="50" t="inlineStr">
        <is>
          <t>Super Carlin Brothers</t>
        </is>
      </c>
      <c r="G3092" t="inlineStr">
        <is>
          <t>How to Improve Anything</t>
        </is>
      </c>
      <c r="H3092" s="44" t="n">
        <v>0.001388888888888889</v>
      </c>
      <c r="I3092" s="45" t="n">
        <v>15183</v>
      </c>
      <c r="J3092" s="45" t="n">
        <v>349</v>
      </c>
      <c r="K3092" s="45" t="n">
        <v>28</v>
      </c>
      <c r="L3092" s="46" t="n"/>
      <c r="M3092" s="47" t="n"/>
      <c r="N3092" s="47" t="inlineStr">
        <is>
          <t>UCKZo4N0lVPccBkSiuyVh4yg</t>
        </is>
      </c>
      <c r="O3092" s="48" t="n">
        <v>41331.19583333333</v>
      </c>
      <c r="P3092" s="49" t="n">
        <v>41330</v>
      </c>
      <c r="Q3092" s="47" t="n">
        <v>176</v>
      </c>
      <c r="R3092" s="47" t="inlineStr">
        <is>
          <t>No Video ID yet</t>
        </is>
      </c>
      <c r="S3092" s="49" t="n"/>
      <c r="T3092" s="49" t="n"/>
      <c r="U3092" s="47" t="inlineStr">
        <is>
          <t>I took a shot at a stop motion/CGPGrey Style video. The topic is a concept I learned in college by one of my favorite professors. I hope you guys enjoy! Twitter: @SCB_Ben and @Jonkerlin =D</t>
        </is>
      </c>
      <c r="V3092" s="47">
        <f>IF(AND(P3092&gt;=Calendar!$K$2,P3092&lt;EDATE(Calendar!$K$2,1),OR(Calendar!$K$4="*",N3092=Calendar!$K$4)),P3092*100+COUNTIFS($P$6:$P$3267,P3092,$Q$6:$Q$3267,"&lt;="&amp;Q3092,$N$6:$N$3267,Calendar!$K$4),"")</f>
        <v/>
      </c>
      <c r="W3092" s="47">
        <f>IF(AND(B3092=Queue!$C$4,OR(Queue!$K$4="*",N3092=Queue!$K$4)),Q3092,"")</f>
        <v/>
      </c>
    </row>
    <row r="3093">
      <c r="A3093" s="38">
        <f>IF(M3093="","",HYPERLINK("https://www.youtube.com/watch?v="&amp;M3093,"▶"))</f>
        <v/>
      </c>
      <c r="B3093" s="39">
        <f>IF(C3093&lt;&gt;"",C3093,IF(P3093&lt;=IFERROR(INDEX(tblChannels[Watched Through],MATCH(N3093,tblChannels[Channel ID],0)),0),"Watched","Unwatched"))</f>
        <v/>
      </c>
      <c r="C3093" s="40" t="n"/>
      <c r="D3093" s="41" t="n"/>
      <c r="E3093" s="42" t="n">
        <v>41327.98888888889</v>
      </c>
      <c r="F3093" s="50" t="inlineStr">
        <is>
          <t>Super Carlin Brothers</t>
        </is>
      </c>
      <c r="G3093" t="inlineStr">
        <is>
          <t>My Day with a Globetrotter!</t>
        </is>
      </c>
      <c r="H3093" s="44" t="n">
        <v>0.002615740740740741</v>
      </c>
      <c r="I3093" s="45" t="n">
        <v>10523</v>
      </c>
      <c r="J3093" s="45" t="n">
        <v>269</v>
      </c>
      <c r="K3093" s="45" t="n">
        <v>88</v>
      </c>
      <c r="L3093" s="46" t="n"/>
      <c r="M3093" s="47" t="n"/>
      <c r="N3093" s="47" t="inlineStr">
        <is>
          <t>UCKZo4N0lVPccBkSiuyVh4yg</t>
        </is>
      </c>
      <c r="O3093" s="48" t="n">
        <v>41328.19722222222</v>
      </c>
      <c r="P3093" s="49" t="n">
        <v>41327</v>
      </c>
      <c r="Q3093" s="47" t="n">
        <v>175</v>
      </c>
      <c r="R3093" s="47" t="inlineStr">
        <is>
          <t>No Video ID yet</t>
        </is>
      </c>
      <c r="S3093" s="49" t="n"/>
      <c r="T3093" s="49" t="n"/>
      <c r="U3093" s="47" t="inlineStr">
        <is>
          <t>I spent the day driving around Buckets Blakes of the Harlem Globetrotters.. and spinning balls. If you could spend the day with any one person who would it be? Rio: =D</t>
        </is>
      </c>
      <c r="V3093" s="47">
        <f>IF(AND(P3093&gt;=Calendar!$K$2,P3093&lt;EDATE(Calendar!$K$2,1),OR(Calendar!$K$4="*",N3093=Calendar!$K$4)),P3093*100+COUNTIFS($P$6:$P$3267,P3093,$Q$6:$Q$3267,"&lt;="&amp;Q3093,$N$6:$N$3267,Calendar!$K$4),"")</f>
        <v/>
      </c>
      <c r="W3093" s="47">
        <f>IF(AND(B3093=Queue!$C$4,OR(Queue!$K$4="*",N3093=Queue!$K$4)),Q3093,"")</f>
        <v/>
      </c>
    </row>
    <row r="3094">
      <c r="A3094" s="38">
        <f>IF(M3094="","",HYPERLINK("https://www.youtube.com/watch?v="&amp;M3094,"▶"))</f>
        <v/>
      </c>
      <c r="B3094" s="39">
        <f>IF(C3094&lt;&gt;"",C3094,IF(P3094&lt;=IFERROR(INDEX(tblChannels[Watched Through],MATCH(N3094,tblChannels[Channel ID],0)),0),"Watched","Unwatched"))</f>
        <v/>
      </c>
      <c r="C3094" s="40" t="n"/>
      <c r="D3094" s="41" t="n"/>
      <c r="E3094" s="42" t="n">
        <v>41326.93888888889</v>
      </c>
      <c r="F3094" s="50" t="inlineStr">
        <is>
          <t>Super Carlin Brothers</t>
        </is>
      </c>
      <c r="G3094" t="inlineStr">
        <is>
          <t>Say What?</t>
        </is>
      </c>
      <c r="H3094" s="44" t="n">
        <v>0.00119212962962963</v>
      </c>
      <c r="I3094" s="45" t="n">
        <v>10004</v>
      </c>
      <c r="J3094" s="45" t="n">
        <v>335</v>
      </c>
      <c r="K3094" s="45" t="n">
        <v>45</v>
      </c>
      <c r="L3094" s="46" t="n"/>
      <c r="M3094" s="47" t="n"/>
      <c r="N3094" s="47" t="inlineStr">
        <is>
          <t>UCKZo4N0lVPccBkSiuyVh4yg</t>
        </is>
      </c>
      <c r="O3094" s="48" t="n">
        <v>41327.14722222222</v>
      </c>
      <c r="P3094" s="49" t="n">
        <v>41326</v>
      </c>
      <c r="Q3094" s="47" t="n">
        <v>174</v>
      </c>
      <c r="R3094" s="47" t="inlineStr">
        <is>
          <t>No Video ID yet</t>
        </is>
      </c>
      <c r="S3094" s="49" t="n"/>
      <c r="T3094" s="49" t="n"/>
      <c r="U3094" s="47" t="inlineStr">
        <is>
          <t>I had fun with this one! Let me know what ya thought! Twitter: @SCB_Ben and @Jonkerlin =D</t>
        </is>
      </c>
      <c r="V3094" s="47">
        <f>IF(AND(P3094&gt;=Calendar!$K$2,P3094&lt;EDATE(Calendar!$K$2,1),OR(Calendar!$K$4="*",N3094=Calendar!$K$4)),P3094*100+COUNTIFS($P$6:$P$3267,P3094,$Q$6:$Q$3267,"&lt;="&amp;Q3094,$N$6:$N$3267,Calendar!$K$4),"")</f>
        <v/>
      </c>
      <c r="W3094" s="47">
        <f>IF(AND(B3094=Queue!$C$4,OR(Queue!$K$4="*",N3094=Queue!$K$4)),Q3094,"")</f>
        <v/>
      </c>
    </row>
    <row r="3095">
      <c r="A3095" s="38">
        <f>IF(M3095="","",HYPERLINK("https://www.youtube.com/watch?v="&amp;M3095,"▶"))</f>
        <v/>
      </c>
      <c r="B3095" s="39">
        <f>IF(C3095&lt;&gt;"",C3095,IF(P3095&lt;=IFERROR(INDEX(tblChannels[Watched Through],MATCH(N3095,tblChannels[Channel ID],0)),0),"Watched","Unwatched"))</f>
        <v/>
      </c>
      <c r="C3095" s="40" t="n"/>
      <c r="D3095" s="41" t="n"/>
      <c r="E3095" s="42" t="n">
        <v>41325.96111111111</v>
      </c>
      <c r="F3095" s="50" t="inlineStr">
        <is>
          <t>Super Carlin Brothers</t>
        </is>
      </c>
      <c r="G3095" t="inlineStr">
        <is>
          <t>For all Intensive Porpoises</t>
        </is>
      </c>
      <c r="H3095" s="44" t="n">
        <v>0.003055555555555556</v>
      </c>
      <c r="I3095" s="45" t="n">
        <v>22863</v>
      </c>
      <c r="J3095" s="45" t="n">
        <v>651</v>
      </c>
      <c r="K3095" s="45" t="n">
        <v>174</v>
      </c>
      <c r="L3095" s="46" t="n"/>
      <c r="M3095" s="47" t="n"/>
      <c r="N3095" s="47" t="inlineStr">
        <is>
          <t>UCKZo4N0lVPccBkSiuyVh4yg</t>
        </is>
      </c>
      <c r="O3095" s="48" t="n">
        <v>41326.16944444444</v>
      </c>
      <c r="P3095" s="49" t="n">
        <v>41325</v>
      </c>
      <c r="Q3095" s="47" t="n">
        <v>173</v>
      </c>
      <c r="R3095" s="47" t="inlineStr">
        <is>
          <t>No Video ID yet</t>
        </is>
      </c>
      <c r="S3095" s="49" t="n"/>
      <c r="T3095" s="49" t="n"/>
      <c r="U3095" s="47" t="inlineStr">
        <is>
          <t>I stumble through a fairly common phrase.. What's something you miserably misquoted? and/or one of your pet peeves? Twitter: @jonkerlin and @SCB_Ben =D</t>
        </is>
      </c>
      <c r="V3095" s="47">
        <f>IF(AND(P3095&gt;=Calendar!$K$2,P3095&lt;EDATE(Calendar!$K$2,1),OR(Calendar!$K$4="*",N3095=Calendar!$K$4)),P3095*100+COUNTIFS($P$6:$P$3267,P3095,$Q$6:$Q$3267,"&lt;="&amp;Q3095,$N$6:$N$3267,Calendar!$K$4),"")</f>
        <v/>
      </c>
      <c r="W3095" s="47">
        <f>IF(AND(B3095=Queue!$C$4,OR(Queue!$K$4="*",N3095=Queue!$K$4)),Q3095,"")</f>
        <v/>
      </c>
    </row>
    <row r="3096">
      <c r="A3096" s="38">
        <f>IF(M3096="","",HYPERLINK("https://www.youtube.com/watch?v="&amp;M3096,"▶"))</f>
        <v/>
      </c>
      <c r="B3096" s="39">
        <f>IF(C3096&lt;&gt;"",C3096,IF(P3096&lt;=IFERROR(INDEX(tblChannels[Watched Through],MATCH(N3096,tblChannels[Channel ID],0)),0),"Watched","Unwatched"))</f>
        <v/>
      </c>
      <c r="C3096" s="40" t="n"/>
      <c r="D3096" s="41" t="n"/>
      <c r="E3096" s="42" t="n">
        <v>41324.96944444445</v>
      </c>
      <c r="F3096" s="50" t="inlineStr">
        <is>
          <t>Super Carlin Brothers</t>
        </is>
      </c>
      <c r="G3096" t="inlineStr">
        <is>
          <t>Sorry About That</t>
        </is>
      </c>
      <c r="H3096" s="44" t="n">
        <v>0.001793981481481481</v>
      </c>
      <c r="I3096" s="45" t="n">
        <v>10279</v>
      </c>
      <c r="J3096" s="45" t="n">
        <v>215</v>
      </c>
      <c r="K3096" s="45" t="n">
        <v>71</v>
      </c>
      <c r="L3096" s="46" t="n"/>
      <c r="M3096" s="47" t="n"/>
      <c r="N3096" s="47" t="inlineStr">
        <is>
          <t>UCKZo4N0lVPccBkSiuyVh4yg</t>
        </is>
      </c>
      <c r="O3096" s="48" t="n">
        <v>41325.17777777778</v>
      </c>
      <c r="P3096" s="49" t="n">
        <v>41324</v>
      </c>
      <c r="Q3096" s="47" t="n">
        <v>172</v>
      </c>
      <c r="R3096" s="47" t="inlineStr">
        <is>
          <t>No Video ID yet</t>
        </is>
      </c>
      <c r="S3096" s="49" t="n"/>
      <c r="T3096" s="49" t="n"/>
      <c r="U3096" s="47" t="inlineStr">
        <is>
          <t>Are you overly apologetic? How do you feel about people who are? I even apologize in this video... =D</t>
        </is>
      </c>
      <c r="V3096" s="47">
        <f>IF(AND(P3096&gt;=Calendar!$K$2,P3096&lt;EDATE(Calendar!$K$2,1),OR(Calendar!$K$4="*",N3096=Calendar!$K$4)),P3096*100+COUNTIFS($P$6:$P$3267,P3096,$Q$6:$Q$3267,"&lt;="&amp;Q3096,$N$6:$N$3267,Calendar!$K$4),"")</f>
        <v/>
      </c>
      <c r="W3096" s="47">
        <f>IF(AND(B3096=Queue!$C$4,OR(Queue!$K$4="*",N3096=Queue!$K$4)),Q3096,"")</f>
        <v/>
      </c>
    </row>
    <row r="3097">
      <c r="A3097" s="38">
        <f>IF(M3097="","",HYPERLINK("https://www.youtube.com/watch?v="&amp;M3097,"▶"))</f>
        <v/>
      </c>
      <c r="B3097" s="39">
        <f>IF(C3097&lt;&gt;"",C3097,IF(P3097&lt;=IFERROR(INDEX(tblChannels[Watched Through],MATCH(N3097,tblChannels[Channel ID],0)),0),"Watched","Unwatched"))</f>
        <v/>
      </c>
      <c r="C3097" s="40" t="n"/>
      <c r="D3097" s="41" t="n"/>
      <c r="E3097" s="42" t="n">
        <v>41323.88888888889</v>
      </c>
      <c r="F3097" s="50" t="inlineStr">
        <is>
          <t>Super Carlin Brothers</t>
        </is>
      </c>
      <c r="G3097" t="inlineStr">
        <is>
          <t>Name = Personality???</t>
        </is>
      </c>
      <c r="H3097" s="44" t="n">
        <v>0.00287037037037037</v>
      </c>
      <c r="I3097" s="45" t="n">
        <v>162246</v>
      </c>
      <c r="J3097" s="45" t="n">
        <v>2992</v>
      </c>
      <c r="K3097" s="45" t="n">
        <v>1215</v>
      </c>
      <c r="L3097" s="46" t="n"/>
      <c r="M3097" s="47" t="n"/>
      <c r="N3097" s="47" t="inlineStr">
        <is>
          <t>UCKZo4N0lVPccBkSiuyVh4yg</t>
        </is>
      </c>
      <c r="O3097" s="48" t="n">
        <v>41324.09722222222</v>
      </c>
      <c r="P3097" s="49" t="n">
        <v>41323</v>
      </c>
      <c r="Q3097" s="47" t="n">
        <v>171</v>
      </c>
      <c r="R3097" s="47" t="inlineStr">
        <is>
          <t>No Video ID yet</t>
        </is>
      </c>
      <c r="S3097" s="49" t="n"/>
      <c r="T3097" s="49" t="n"/>
      <c r="U3097" s="47" t="inlineStr">
        <is>
          <t>Jonathan discusses how your name might effect your overall personality. Congrats to Shayla Fitzpatrick for her Poster Victory! Twitter: @jonkerlin and @SCB_Ben =D</t>
        </is>
      </c>
      <c r="V3097" s="47">
        <f>IF(AND(P3097&gt;=Calendar!$K$2,P3097&lt;EDATE(Calendar!$K$2,1),OR(Calendar!$K$4="*",N3097=Calendar!$K$4)),P3097*100+COUNTIFS($P$6:$P$3267,P3097,$Q$6:$Q$3267,"&lt;="&amp;Q3097,$N$6:$N$3267,Calendar!$K$4),"")</f>
        <v/>
      </c>
      <c r="W3097" s="47">
        <f>IF(AND(B3097=Queue!$C$4,OR(Queue!$K$4="*",N3097=Queue!$K$4)),Q3097,"")</f>
        <v/>
      </c>
    </row>
    <row r="3098">
      <c r="A3098" s="38">
        <f>IF(M3098="","",HYPERLINK("https://www.youtube.com/watch?v="&amp;M3098,"▶"))</f>
        <v/>
      </c>
      <c r="B3098" s="39">
        <f>IF(C3098&lt;&gt;"",C3098,IF(P3098&lt;=IFERROR(INDEX(tblChannels[Watched Through],MATCH(N3098,tblChannels[Channel ID],0)),0),"Watched","Unwatched"))</f>
        <v/>
      </c>
      <c r="C3098" s="40" t="n"/>
      <c r="D3098" s="41" t="n"/>
      <c r="E3098" s="42" t="n">
        <v>41320.90138888889</v>
      </c>
      <c r="F3098" s="50" t="inlineStr">
        <is>
          <t>Super Carlin Brothers</t>
        </is>
      </c>
      <c r="G3098" t="inlineStr">
        <is>
          <t>Scary Not Dangerous</t>
        </is>
      </c>
      <c r="H3098" s="44" t="n">
        <v>0.002314814814814815</v>
      </c>
      <c r="I3098" s="45" t="n">
        <v>10772</v>
      </c>
      <c r="J3098" s="45" t="n">
        <v>290</v>
      </c>
      <c r="K3098" s="45" t="n">
        <v>52</v>
      </c>
      <c r="L3098" s="46" t="n"/>
      <c r="M3098" s="47" t="n"/>
      <c r="N3098" s="47" t="inlineStr">
        <is>
          <t>UCKZo4N0lVPccBkSiuyVh4yg</t>
        </is>
      </c>
      <c r="O3098" s="48" t="n">
        <v>41321.10972222222</v>
      </c>
      <c r="P3098" s="49" t="n">
        <v>41320</v>
      </c>
      <c r="Q3098" s="47" t="n">
        <v>170</v>
      </c>
      <c r="R3098" s="47" t="inlineStr">
        <is>
          <t>No Video ID yet</t>
        </is>
      </c>
      <c r="S3098" s="49" t="n"/>
      <c r="T3098" s="49" t="n"/>
      <c r="U3098" s="47" t="inlineStr">
        <is>
          <t>Tell me about a risk you've taken in your life and how it went! Also if you would like to vote in the post competition please do so on this video: Twitter: @SCB_Ben and @Jonkerlin =D</t>
        </is>
      </c>
      <c r="V3098" s="47">
        <f>IF(AND(P3098&gt;=Calendar!$K$2,P3098&lt;EDATE(Calendar!$K$2,1),OR(Calendar!$K$4="*",N3098=Calendar!$K$4)),P3098*100+COUNTIFS($P$6:$P$3267,P3098,$Q$6:$Q$3267,"&lt;="&amp;Q3098,$N$6:$N$3267,Calendar!$K$4),"")</f>
        <v/>
      </c>
      <c r="W3098" s="47">
        <f>IF(AND(B3098=Queue!$C$4,OR(Queue!$K$4="*",N3098=Queue!$K$4)),Q3098,"")</f>
        <v/>
      </c>
    </row>
    <row r="3099">
      <c r="A3099" s="38">
        <f>IF(M3099="","",HYPERLINK("https://www.youtube.com/watch?v="&amp;M3099,"▶"))</f>
        <v/>
      </c>
      <c r="B3099" s="39">
        <f>IF(C3099&lt;&gt;"",C3099,IF(P3099&lt;=IFERROR(INDEX(tblChannels[Watched Through],MATCH(N3099,tblChannels[Channel ID],0)),0),"Watched","Unwatched"))</f>
        <v/>
      </c>
      <c r="C3099" s="40" t="n"/>
      <c r="D3099" s="41" t="n"/>
      <c r="E3099" s="42" t="n">
        <v>41319.97569444445</v>
      </c>
      <c r="F3099" s="50" t="inlineStr">
        <is>
          <t>Super Carlin Brothers</t>
        </is>
      </c>
      <c r="G3099" t="inlineStr">
        <is>
          <t>Valentines and Posters</t>
        </is>
      </c>
      <c r="H3099" s="44" t="n">
        <v>0.003032407407407407</v>
      </c>
      <c r="I3099" s="45" t="n">
        <v>15285</v>
      </c>
      <c r="J3099" s="45" t="n">
        <v>355</v>
      </c>
      <c r="K3099" s="45" t="n">
        <v>142</v>
      </c>
      <c r="L3099" s="46" t="n"/>
      <c r="M3099" s="47" t="n"/>
      <c r="N3099" s="47" t="inlineStr">
        <is>
          <t>UCKZo4N0lVPccBkSiuyVh4yg</t>
        </is>
      </c>
      <c r="O3099" s="48" t="n">
        <v>41320.18402777778</v>
      </c>
      <c r="P3099" s="49" t="n">
        <v>41319</v>
      </c>
      <c r="Q3099" s="47" t="n">
        <v>169</v>
      </c>
      <c r="R3099" s="47" t="inlineStr">
        <is>
          <t>No Video ID yet</t>
        </is>
      </c>
      <c r="S3099" s="49" t="n"/>
      <c r="T3099" s="49" t="n"/>
      <c r="U3099" s="47" t="inlineStr">
        <is>
          <t>Vote by saying "I vote for #X" You only get 1 vote, and votes must be cast on Youtube. Voting ends on Monday at Noon Eastern Time Thank you so much for all of your submissions! It was as awesome as being asked out by a girl! SCB in other places: @jonkerlin and @SCB_Ben =D</t>
        </is>
      </c>
      <c r="V3099" s="47">
        <f>IF(AND(P3099&gt;=Calendar!$K$2,P3099&lt;EDATE(Calendar!$K$2,1),OR(Calendar!$K$4="*",N3099=Calendar!$K$4)),P3099*100+COUNTIFS($P$6:$P$3267,P3099,$Q$6:$Q$3267,"&lt;="&amp;Q3099,$N$6:$N$3267,Calendar!$K$4),"")</f>
        <v/>
      </c>
      <c r="W3099" s="47">
        <f>IF(AND(B3099=Queue!$C$4,OR(Queue!$K$4="*",N3099=Queue!$K$4)),Q3099,"")</f>
        <v/>
      </c>
    </row>
    <row r="3100">
      <c r="A3100" s="38">
        <f>IF(M3100="","",HYPERLINK("https://www.youtube.com/watch?v="&amp;M3100,"▶"))</f>
        <v/>
      </c>
      <c r="B3100" s="39">
        <f>IF(C3100&lt;&gt;"",C3100,IF(P3100&lt;=IFERROR(INDEX(tblChannels[Watched Through],MATCH(N3100,tblChannels[Channel ID],0)),0),"Watched","Unwatched"))</f>
        <v/>
      </c>
      <c r="C3100" s="40" t="n"/>
      <c r="D3100" s="41" t="n"/>
      <c r="E3100" s="42" t="n">
        <v>41318.94305555556</v>
      </c>
      <c r="F3100" s="50" t="inlineStr">
        <is>
          <t>Super Carlin Brothers</t>
        </is>
      </c>
      <c r="G3100" t="inlineStr">
        <is>
          <t>Going Viral</t>
        </is>
      </c>
      <c r="H3100" s="44" t="n">
        <v>0.002777777777777778</v>
      </c>
      <c r="I3100" s="45" t="n">
        <v>11141</v>
      </c>
      <c r="J3100" s="45" t="n">
        <v>343</v>
      </c>
      <c r="K3100" s="45" t="n">
        <v>48</v>
      </c>
      <c r="L3100" s="46" t="n"/>
      <c r="M3100" s="47" t="n"/>
      <c r="N3100" s="47" t="inlineStr">
        <is>
          <t>UCKZo4N0lVPccBkSiuyVh4yg</t>
        </is>
      </c>
      <c r="O3100" s="48" t="n">
        <v>41319.15138888889</v>
      </c>
      <c r="P3100" s="49" t="n">
        <v>41318</v>
      </c>
      <c r="Q3100" s="47" t="n">
        <v>168</v>
      </c>
      <c r="R3100" s="47" t="inlineStr">
        <is>
          <t>No Video ID yet</t>
        </is>
      </c>
      <c r="S3100" s="49" t="n"/>
      <c r="T3100" s="49" t="n"/>
      <c r="U3100" s="47" t="inlineStr">
        <is>
          <t>If an important aspect of your life went "viral" would you be open to being in a position potentially out of your league? Also: Poster submissions are due tomorrow to win J's Mario Poster Signed by both of us! Twitter: @SCB_Ben and @Jonkerlin =D</t>
        </is>
      </c>
      <c r="V3100" s="47">
        <f>IF(AND(P3100&gt;=Calendar!$K$2,P3100&lt;EDATE(Calendar!$K$2,1),OR(Calendar!$K$4="*",N3100=Calendar!$K$4)),P3100*100+COUNTIFS($P$6:$P$3267,P3100,$Q$6:$Q$3267,"&lt;="&amp;Q3100,$N$6:$N$3267,Calendar!$K$4),"")</f>
        <v/>
      </c>
      <c r="W3100" s="47">
        <f>IF(AND(B3100=Queue!$C$4,OR(Queue!$K$4="*",N3100=Queue!$K$4)),Q3100,"")</f>
        <v/>
      </c>
    </row>
    <row r="3101">
      <c r="A3101" s="38">
        <f>IF(M3101="","",HYPERLINK("https://www.youtube.com/watch?v="&amp;M3101,"▶"))</f>
        <v/>
      </c>
      <c r="B3101" s="39">
        <f>IF(C3101&lt;&gt;"",C3101,IF(P3101&lt;=IFERROR(INDEX(tblChannels[Watched Through],MATCH(N3101,tblChannels[Channel ID],0)),0),"Watched","Unwatched"))</f>
        <v/>
      </c>
      <c r="C3101" s="40" t="n"/>
      <c r="D3101" s="41" t="n"/>
      <c r="E3101" s="42" t="n">
        <v>41317.975</v>
      </c>
      <c r="F3101" s="50" t="inlineStr">
        <is>
          <t>Super Carlin Brothers</t>
        </is>
      </c>
      <c r="G3101" t="inlineStr">
        <is>
          <t>Payin it Forward</t>
        </is>
      </c>
      <c r="H3101" s="44" t="n">
        <v>0.002708333333333333</v>
      </c>
      <c r="I3101" s="45" t="n">
        <v>12840</v>
      </c>
      <c r="J3101" s="45" t="n">
        <v>309</v>
      </c>
      <c r="K3101" s="45" t="n">
        <v>112</v>
      </c>
      <c r="L3101" s="46" t="n"/>
      <c r="M3101" s="47" t="n"/>
      <c r="N3101" s="47" t="inlineStr">
        <is>
          <t>UCKZo4N0lVPccBkSiuyVh4yg</t>
        </is>
      </c>
      <c r="O3101" s="48" t="n">
        <v>41318.18333333333</v>
      </c>
      <c r="P3101" s="49" t="n">
        <v>41317</v>
      </c>
      <c r="Q3101" s="47" t="n">
        <v>167</v>
      </c>
      <c r="R3101" s="47" t="inlineStr">
        <is>
          <t>No Video ID yet</t>
        </is>
      </c>
      <c r="S3101" s="49" t="n"/>
      <c r="T3101" s="49" t="n"/>
      <c r="U3101" s="47" t="inlineStr">
        <is>
          <t>Panikann :: My New Tumblr! :: Send Poster Submissions here: supercarlinbrothers@gmail.com QotD -- What is your favorite TV show? And finally don't forget to send me a screen shot of your super text! =D</t>
        </is>
      </c>
      <c r="V3101" s="47">
        <f>IF(AND(P3101&gt;=Calendar!$K$2,P3101&lt;EDATE(Calendar!$K$2,1),OR(Calendar!$K$4="*",N3101=Calendar!$K$4)),P3101*100+COUNTIFS($P$6:$P$3267,P3101,$Q$6:$Q$3267,"&lt;="&amp;Q3101,$N$6:$N$3267,Calendar!$K$4),"")</f>
        <v/>
      </c>
      <c r="W3101" s="47">
        <f>IF(AND(B3101=Queue!$C$4,OR(Queue!$K$4="*",N3101=Queue!$K$4)),Q3101,"")</f>
        <v/>
      </c>
    </row>
    <row r="3102">
      <c r="A3102" s="38">
        <f>IF(M3102="","",HYPERLINK("https://www.youtube.com/watch?v="&amp;M3102,"▶"))</f>
        <v/>
      </c>
      <c r="B3102" s="39">
        <f>IF(C3102&lt;&gt;"",C3102,IF(P3102&lt;=IFERROR(INDEX(tblChannels[Watched Through],MATCH(N3102,tblChannels[Channel ID],0)),0),"Watched","Unwatched"))</f>
        <v/>
      </c>
      <c r="C3102" s="40" t="n"/>
      <c r="D3102" s="41" t="n"/>
      <c r="E3102" s="42" t="n">
        <v>41316.81805555556</v>
      </c>
      <c r="F3102" s="50" t="inlineStr">
        <is>
          <t>Super Carlin Brothers</t>
        </is>
      </c>
      <c r="G3102" t="inlineStr">
        <is>
          <t>Line Waiting</t>
        </is>
      </c>
      <c r="H3102" s="44" t="n">
        <v>0.001967592592592592</v>
      </c>
      <c r="I3102" s="45" t="n">
        <v>9726</v>
      </c>
      <c r="J3102" s="45" t="n">
        <v>210</v>
      </c>
      <c r="K3102" s="45" t="n">
        <v>48</v>
      </c>
      <c r="L3102" s="46" t="n"/>
      <c r="M3102" s="47" t="n"/>
      <c r="N3102" s="47" t="inlineStr">
        <is>
          <t>UCKZo4N0lVPccBkSiuyVh4yg</t>
        </is>
      </c>
      <c r="O3102" s="48" t="n">
        <v>41317.02638888889</v>
      </c>
      <c r="P3102" s="49" t="n">
        <v>41316</v>
      </c>
      <c r="Q3102" s="47" t="n">
        <v>166</v>
      </c>
      <c r="R3102" s="47" t="inlineStr">
        <is>
          <t>No Video ID yet</t>
        </is>
      </c>
      <c r="S3102" s="49" t="n"/>
      <c r="T3102" s="49" t="n"/>
      <c r="U3102" s="47" t="inlineStr">
        <is>
          <t>What is your favorite thing to do and does a drawback of that activity help enhance your enjoyment of it? Twitter: @SCB_Ben and @jonkerlin =D</t>
        </is>
      </c>
      <c r="V3102" s="47">
        <f>IF(AND(P3102&gt;=Calendar!$K$2,P3102&lt;EDATE(Calendar!$K$2,1),OR(Calendar!$K$4="*",N3102=Calendar!$K$4)),P3102*100+COUNTIFS($P$6:$P$3267,P3102,$Q$6:$Q$3267,"&lt;="&amp;Q3102,$N$6:$N$3267,Calendar!$K$4),"")</f>
        <v/>
      </c>
      <c r="W3102" s="47">
        <f>IF(AND(B3102=Queue!$C$4,OR(Queue!$K$4="*",N3102=Queue!$K$4)),Q3102,"")</f>
        <v/>
      </c>
    </row>
    <row r="3103">
      <c r="A3103" s="38">
        <f>IF(M3103="","",HYPERLINK("https://www.youtube.com/watch?v="&amp;M3103,"▶"))</f>
        <v/>
      </c>
      <c r="B3103" s="39">
        <f>IF(C3103&lt;&gt;"",C3103,IF(P3103&lt;=IFERROR(INDEX(tblChannels[Watched Through],MATCH(N3103,tblChannels[Channel ID],0)),0),"Watched","Unwatched"))</f>
        <v/>
      </c>
      <c r="C3103" s="40" t="n"/>
      <c r="D3103" s="41" t="n"/>
      <c r="E3103" s="42" t="n">
        <v>41313.525</v>
      </c>
      <c r="F3103" s="50" t="inlineStr">
        <is>
          <t>Super Carlin Brothers</t>
        </is>
      </c>
      <c r="G3103" t="inlineStr">
        <is>
          <t>So God Made a Vlogger</t>
        </is>
      </c>
      <c r="H3103" s="44" t="n">
        <v>0.001898148148148148</v>
      </c>
      <c r="I3103" s="45" t="n">
        <v>12742</v>
      </c>
      <c r="J3103" s="45" t="n">
        <v>627</v>
      </c>
      <c r="K3103" s="45" t="n">
        <v>71</v>
      </c>
      <c r="L3103" s="46" t="n"/>
      <c r="M3103" s="47" t="n"/>
      <c r="N3103" s="47" t="inlineStr">
        <is>
          <t>UCKZo4N0lVPccBkSiuyVh4yg</t>
        </is>
      </c>
      <c r="O3103" s="48" t="n">
        <v>41313.73333333333</v>
      </c>
      <c r="P3103" s="49" t="n">
        <v>41313</v>
      </c>
      <c r="Q3103" s="47" t="n">
        <v>165</v>
      </c>
      <c r="R3103" s="47" t="inlineStr">
        <is>
          <t>No Video ID yet</t>
        </is>
      </c>
      <c r="S3103" s="49" t="n"/>
      <c r="T3103" s="49" t="n"/>
      <c r="U3103" s="47" t="inlineStr">
        <is>
          <t>A tribute to all the vloggers out there big and small. Inspired by Paul Harvey's "So God Made a Farmer" speech. Please share with any vlogger you know or watch! Tweet us at: @jonkerlin and @SCB_Ben Check out Paul Harvey's original here: =D</t>
        </is>
      </c>
      <c r="V3103" s="47">
        <f>IF(AND(P3103&gt;=Calendar!$K$2,P3103&lt;EDATE(Calendar!$K$2,1),OR(Calendar!$K$4="*",N3103=Calendar!$K$4)),P3103*100+COUNTIFS($P$6:$P$3267,P3103,$Q$6:$Q$3267,"&lt;="&amp;Q3103,$N$6:$N$3267,Calendar!$K$4),"")</f>
        <v/>
      </c>
      <c r="W3103" s="47">
        <f>IF(AND(B3103=Queue!$C$4,OR(Queue!$K$4="*",N3103=Queue!$K$4)),Q3103,"")</f>
        <v/>
      </c>
    </row>
    <row r="3104">
      <c r="A3104" s="38">
        <f>IF(M3104="","",HYPERLINK("https://www.youtube.com/watch?v="&amp;M3104,"▶"))</f>
        <v/>
      </c>
      <c r="B3104" s="39">
        <f>IF(C3104&lt;&gt;"",C3104,IF(P3104&lt;=IFERROR(INDEX(tblChannels[Watched Through],MATCH(N3104,tblChannels[Channel ID],0)),0),"Watched","Unwatched"))</f>
        <v/>
      </c>
      <c r="C3104" s="40" t="n"/>
      <c r="D3104" s="41" t="n"/>
      <c r="E3104" s="42" t="n">
        <v>41312.59513888889</v>
      </c>
      <c r="F3104" s="50" t="inlineStr">
        <is>
          <t>Super Carlin Brothers</t>
        </is>
      </c>
      <c r="G3104" t="inlineStr">
        <is>
          <t>Human Sanitizer</t>
        </is>
      </c>
      <c r="H3104" s="44" t="n">
        <v>0.001574074074074074</v>
      </c>
      <c r="I3104" s="45" t="n">
        <v>11058</v>
      </c>
      <c r="J3104" s="45" t="n">
        <v>268</v>
      </c>
      <c r="K3104" s="45" t="n">
        <v>57</v>
      </c>
      <c r="L3104" s="46" t="n"/>
      <c r="M3104" s="47" t="n"/>
      <c r="N3104" s="47" t="inlineStr">
        <is>
          <t>UCKZo4N0lVPccBkSiuyVh4yg</t>
        </is>
      </c>
      <c r="O3104" s="48" t="n">
        <v>41312.80347222222</v>
      </c>
      <c r="P3104" s="49" t="n">
        <v>41312</v>
      </c>
      <c r="Q3104" s="47" t="n">
        <v>164</v>
      </c>
      <c r="R3104" s="47" t="inlineStr">
        <is>
          <t>No Video ID yet</t>
        </is>
      </c>
      <c r="S3104" s="49" t="n"/>
      <c r="T3104" s="49" t="n"/>
      <c r="U3104" s="47" t="inlineStr">
        <is>
          <t>If the entire human population gained a super power... what should it be? Twitter: @SCB_Ben and @Jonkerlin =D</t>
        </is>
      </c>
      <c r="V3104" s="47">
        <f>IF(AND(P3104&gt;=Calendar!$K$2,P3104&lt;EDATE(Calendar!$K$2,1),OR(Calendar!$K$4="*",N3104=Calendar!$K$4)),P3104*100+COUNTIFS($P$6:$P$3267,P3104,$Q$6:$Q$3267,"&lt;="&amp;Q3104,$N$6:$N$3267,Calendar!$K$4),"")</f>
        <v/>
      </c>
      <c r="W3104" s="47">
        <f>IF(AND(B3104=Queue!$C$4,OR(Queue!$K$4="*",N3104=Queue!$K$4)),Q3104,"")</f>
        <v/>
      </c>
    </row>
    <row r="3105">
      <c r="A3105" s="38">
        <f>IF(M3105="","",HYPERLINK("https://www.youtube.com/watch?v="&amp;M3105,"▶"))</f>
        <v/>
      </c>
      <c r="B3105" s="39">
        <f>IF(C3105&lt;&gt;"",C3105,IF(P3105&lt;=IFERROR(INDEX(tblChannels[Watched Through],MATCH(N3105,tblChannels[Channel ID],0)),0),"Watched","Unwatched"))</f>
        <v/>
      </c>
      <c r="C3105" s="40" t="n"/>
      <c r="D3105" s="41" t="n"/>
      <c r="E3105" s="42" t="n">
        <v>41311.94583333333</v>
      </c>
      <c r="F3105" s="50" t="inlineStr">
        <is>
          <t>Super Carlin Brothers</t>
        </is>
      </c>
      <c r="G3105" t="inlineStr">
        <is>
          <t>Death by Hand Sanitizer</t>
        </is>
      </c>
      <c r="H3105" s="44" t="n">
        <v>0.001747685185185185</v>
      </c>
      <c r="I3105" s="45" t="n">
        <v>36218</v>
      </c>
      <c r="J3105" s="45" t="n">
        <v>619</v>
      </c>
      <c r="K3105" s="45" t="n">
        <v>146</v>
      </c>
      <c r="L3105" s="46" t="n"/>
      <c r="M3105" s="47" t="n"/>
      <c r="N3105" s="47" t="inlineStr">
        <is>
          <t>UCKZo4N0lVPccBkSiuyVh4yg</t>
        </is>
      </c>
      <c r="O3105" s="48" t="n">
        <v>41312.15416666667</v>
      </c>
      <c r="P3105" s="49" t="n">
        <v>41311</v>
      </c>
      <c r="Q3105" s="47" t="n">
        <v>163</v>
      </c>
      <c r="R3105" s="47" t="inlineStr">
        <is>
          <t>No Video ID yet</t>
        </is>
      </c>
      <c r="S3105" s="49" t="n"/>
      <c r="T3105" s="49" t="n"/>
      <c r="U3105" s="47" t="inlineStr">
        <is>
          <t>Send Poster submissions here: supercarlinbrothers@gmail.com or here: www.facebook.com/supercarlinbrothers Poster Dimensions: 22x28 inches Should Beth have given me the hand sanitizer or is she out to kill me? Tweet us at: @jonkerlin and @SCB_Ben =D</t>
        </is>
      </c>
      <c r="V3105" s="47">
        <f>IF(AND(P3105&gt;=Calendar!$K$2,P3105&lt;EDATE(Calendar!$K$2,1),OR(Calendar!$K$4="*",N3105=Calendar!$K$4)),P3105*100+COUNTIFS($P$6:$P$3267,P3105,$Q$6:$Q$3267,"&lt;="&amp;Q3105,$N$6:$N$3267,Calendar!$K$4),"")</f>
        <v/>
      </c>
      <c r="W3105" s="47">
        <f>IF(AND(B3105=Queue!$C$4,OR(Queue!$K$4="*",N3105=Queue!$K$4)),Q3105,"")</f>
        <v/>
      </c>
    </row>
    <row r="3106">
      <c r="A3106" s="38">
        <f>IF(M3106="","",HYPERLINK("https://www.youtube.com/watch?v="&amp;M3106,"▶"))</f>
        <v/>
      </c>
      <c r="B3106" s="39">
        <f>IF(C3106&lt;&gt;"",C3106,IF(P3106&lt;=IFERROR(INDEX(tblChannels[Watched Through],MATCH(N3106,tblChannels[Channel ID],0)),0),"Watched","Unwatched"))</f>
        <v/>
      </c>
      <c r="C3106" s="40" t="n"/>
      <c r="D3106" s="41" t="n"/>
      <c r="E3106" s="42" t="n">
        <v>41310.92361111111</v>
      </c>
      <c r="F3106" s="50" t="inlineStr">
        <is>
          <t>Super Carlin Brothers</t>
        </is>
      </c>
      <c r="G3106" t="inlineStr">
        <is>
          <t>Oreos and Contextual Confidence</t>
        </is>
      </c>
      <c r="H3106" s="44" t="n">
        <v>0.003171296296296296</v>
      </c>
      <c r="I3106" s="45" t="n">
        <v>11880</v>
      </c>
      <c r="J3106" s="45" t="n">
        <v>264</v>
      </c>
      <c r="K3106" s="45" t="n">
        <v>23</v>
      </c>
      <c r="L3106" s="46" t="n"/>
      <c r="M3106" s="47" t="n"/>
      <c r="N3106" s="47" t="inlineStr">
        <is>
          <t>UCKZo4N0lVPccBkSiuyVh4yg</t>
        </is>
      </c>
      <c r="O3106" s="48" t="n">
        <v>41311.13194444445</v>
      </c>
      <c r="P3106" s="49" t="n">
        <v>41310</v>
      </c>
      <c r="Q3106" s="47" t="n">
        <v>162</v>
      </c>
      <c r="R3106" s="47" t="inlineStr">
        <is>
          <t>No Video ID yet</t>
        </is>
      </c>
      <c r="S3106" s="49" t="n"/>
      <c r="T3106" s="49" t="n"/>
      <c r="U3106" s="47" t="inlineStr">
        <is>
          <t>In the long run, is it better to graduate the top of your class from a local state school or graduate somewhere in the middle from Harvard. The point of this video is to draw attention to the moments or situations when you have a high degree of contextual confidence. When are you the most confident person in the room? I think it's important to seek these things out. After all.. the first one I ever noticed was that I knew more about fish than anyone else in my 11th grade chemistry class. Twitter: @SCB_Ben and @Jonkerlin =D</t>
        </is>
      </c>
      <c r="V3106" s="47">
        <f>IF(AND(P3106&gt;=Calendar!$K$2,P3106&lt;EDATE(Calendar!$K$2,1),OR(Calendar!$K$4="*",N3106=Calendar!$K$4)),P3106*100+COUNTIFS($P$6:$P$3267,P3106,$Q$6:$Q$3267,"&lt;="&amp;Q3106,$N$6:$N$3267,Calendar!$K$4),"")</f>
        <v/>
      </c>
      <c r="W3106" s="47">
        <f>IF(AND(B3106=Queue!$C$4,OR(Queue!$K$4="*",N3106=Queue!$K$4)),Q3106,"")</f>
        <v/>
      </c>
    </row>
    <row r="3107">
      <c r="A3107" s="38">
        <f>IF(M3107="","",HYPERLINK("https://www.youtube.com/watch?v="&amp;M3107,"▶"))</f>
        <v/>
      </c>
      <c r="B3107" s="39">
        <f>IF(C3107&lt;&gt;"",C3107,IF(P3107&lt;=IFERROR(INDEX(tblChannels[Watched Through],MATCH(N3107,tblChannels[Channel ID],0)),0),"Watched","Unwatched"))</f>
        <v/>
      </c>
      <c r="C3107" s="40" t="n"/>
      <c r="D3107" s="41" t="n"/>
      <c r="E3107" s="42" t="n">
        <v>41309.98333333333</v>
      </c>
      <c r="F3107" s="50" t="inlineStr">
        <is>
          <t>Super Carlin Brothers</t>
        </is>
      </c>
      <c r="G3107" t="inlineStr">
        <is>
          <t>Birthday, Super Bowl, Ze &amp; Poster Challenge</t>
        </is>
      </c>
      <c r="H3107" s="44" t="n">
        <v>0.0034375</v>
      </c>
      <c r="I3107" s="45" t="n">
        <v>12017</v>
      </c>
      <c r="J3107" s="45" t="n">
        <v>311</v>
      </c>
      <c r="K3107" s="45" t="n">
        <v>76</v>
      </c>
      <c r="L3107" s="46" t="n"/>
      <c r="M3107" s="47" t="n"/>
      <c r="N3107" s="47" t="inlineStr">
        <is>
          <t>UCKZo4N0lVPccBkSiuyVh4yg</t>
        </is>
      </c>
      <c r="O3107" s="48" t="n">
        <v>41310.19166666667</v>
      </c>
      <c r="P3107" s="49" t="n">
        <v>41309</v>
      </c>
      <c r="Q3107" s="47" t="n">
        <v>161</v>
      </c>
      <c r="R3107" s="47" t="inlineStr">
        <is>
          <t>No Video ID yet</t>
        </is>
      </c>
      <c r="S3107" s="49" t="n"/>
      <c r="T3107" s="49" t="n"/>
      <c r="U3107" s="47" t="inlineStr">
        <is>
          <t>Send poster submissions here: supercarlinbrothers@gmail.com or www.facebook.com/supercarlinbrothers Dimensions: 22 wide x 28 tall inches We'll have a vote to determine the best poster! What was your favorite part of the Super Bowl? Tweet us at: @jonkerlin and @SCB_Ben Thank you ZeFrank! =D</t>
        </is>
      </c>
      <c r="V3107" s="47">
        <f>IF(AND(P3107&gt;=Calendar!$K$2,P3107&lt;EDATE(Calendar!$K$2,1),OR(Calendar!$K$4="*",N3107=Calendar!$K$4)),P3107*100+COUNTIFS($P$6:$P$3267,P3107,$Q$6:$Q$3267,"&lt;="&amp;Q3107,$N$6:$N$3267,Calendar!$K$4),"")</f>
        <v/>
      </c>
      <c r="W3107" s="47">
        <f>IF(AND(B3107=Queue!$C$4,OR(Queue!$K$4="*",N3107=Queue!$K$4)),Q3107,"")</f>
        <v/>
      </c>
    </row>
    <row r="3108">
      <c r="A3108" s="38">
        <f>IF(M3108="","",HYPERLINK("https://www.youtube.com/watch?v="&amp;M3108,"▶"))</f>
        <v/>
      </c>
      <c r="B3108" s="39">
        <f>IF(C3108&lt;&gt;"",C3108,IF(P3108&lt;=IFERROR(INDEX(tblChannels[Watched Through],MATCH(N3108,tblChannels[Channel ID],0)),0),"Watched","Unwatched"))</f>
        <v/>
      </c>
      <c r="C3108" s="40" t="n"/>
      <c r="D3108" s="41" t="n"/>
      <c r="E3108" s="42" t="n">
        <v>41306.81875</v>
      </c>
      <c r="F3108" s="50" t="inlineStr">
        <is>
          <t>Super Carlin Brothers</t>
        </is>
      </c>
      <c r="G3108" t="inlineStr">
        <is>
          <t>Super Bowl!</t>
        </is>
      </c>
      <c r="H3108" s="44" t="n">
        <v>0.002685185185185185</v>
      </c>
      <c r="I3108" s="45" t="n">
        <v>10234</v>
      </c>
      <c r="J3108" s="45" t="n">
        <v>214</v>
      </c>
      <c r="K3108" s="45" t="n">
        <v>70</v>
      </c>
      <c r="L3108" s="46" t="n"/>
      <c r="M3108" s="47" t="n"/>
      <c r="N3108" s="47" t="inlineStr">
        <is>
          <t>UCKZo4N0lVPccBkSiuyVh4yg</t>
        </is>
      </c>
      <c r="O3108" s="48" t="n">
        <v>41307.02708333333</v>
      </c>
      <c r="P3108" s="49" t="n">
        <v>41306</v>
      </c>
      <c r="Q3108" s="47" t="n">
        <v>160</v>
      </c>
      <c r="R3108" s="47" t="inlineStr">
        <is>
          <t>No Video ID yet</t>
        </is>
      </c>
      <c r="S3108" s="49" t="n"/>
      <c r="T3108" s="49" t="n"/>
      <c r="U3108" s="47" t="inlineStr">
        <is>
          <t>TO WIN: (First I have to win...) but then... TO WIN: Leave a comment with a guess of the SUM of the score of Sunday's Super Bowl Game. i.e. final score of 24-13 your guess would be 37. Comment before 6:30pm eastern time on Sunday Feb. 3, 2013: Your first guess will be the only one that is considered! The closest number to the actual final will win a $100 Gift Certificate of their choice! That is if we win... =D</t>
        </is>
      </c>
      <c r="V3108" s="47">
        <f>IF(AND(P3108&gt;=Calendar!$K$2,P3108&lt;EDATE(Calendar!$K$2,1),OR(Calendar!$K$4="*",N3108=Calendar!$K$4)),P3108*100+COUNTIFS($P$6:$P$3267,P3108,$Q$6:$Q$3267,"&lt;="&amp;Q3108,$N$6:$N$3267,Calendar!$K$4),"")</f>
        <v/>
      </c>
      <c r="W3108" s="47">
        <f>IF(AND(B3108=Queue!$C$4,OR(Queue!$K$4="*",N3108=Queue!$K$4)),Q3108,"")</f>
        <v/>
      </c>
    </row>
    <row r="3109">
      <c r="A3109" s="38">
        <f>IF(M3109="","",HYPERLINK("https://www.youtube.com/watch?v="&amp;M3109,"▶"))</f>
        <v/>
      </c>
      <c r="B3109" s="39">
        <f>IF(C3109&lt;&gt;"",C3109,IF(P3109&lt;=IFERROR(INDEX(tblChannels[Watched Through],MATCH(N3109,tblChannels[Channel ID],0)),0),"Watched","Unwatched"))</f>
        <v/>
      </c>
      <c r="C3109" s="40" t="n"/>
      <c r="D3109" s="41" t="n"/>
      <c r="E3109" s="42" t="n">
        <v>41305.85486111111</v>
      </c>
      <c r="F3109" s="50" t="inlineStr">
        <is>
          <t>Super Carlin Brothers</t>
        </is>
      </c>
      <c r="G3109" t="inlineStr">
        <is>
          <t>Are Narwhals Real?!</t>
        </is>
      </c>
      <c r="H3109" s="44" t="n">
        <v>0.002152777777777778</v>
      </c>
      <c r="I3109" s="45" t="n">
        <v>162106</v>
      </c>
      <c r="J3109" s="45" t="n">
        <v>3622</v>
      </c>
      <c r="K3109" s="45" t="n">
        <v>1448</v>
      </c>
      <c r="L3109" s="46" t="n"/>
      <c r="M3109" s="47" t="n"/>
      <c r="N3109" s="47" t="inlineStr">
        <is>
          <t>UCKZo4N0lVPccBkSiuyVh4yg</t>
        </is>
      </c>
      <c r="O3109" s="48" t="n">
        <v>41306.06319444445</v>
      </c>
      <c r="P3109" s="49" t="n">
        <v>41305</v>
      </c>
      <c r="Q3109" s="47" t="n">
        <v>159</v>
      </c>
      <c r="R3109" s="47" t="inlineStr">
        <is>
          <t>No Video ID yet</t>
        </is>
      </c>
      <c r="S3109" s="49" t="n"/>
      <c r="T3109" s="49" t="n"/>
      <c r="U3109" s="47" t="inlineStr">
        <is>
          <t>NARWHAL TSHIRT :: What do you think... can you be sure... can you?! Tweet us at @jonkerlin and @SCB_Ben =D</t>
        </is>
      </c>
      <c r="V3109" s="47">
        <f>IF(AND(P3109&gt;=Calendar!$K$2,P3109&lt;EDATE(Calendar!$K$2,1),OR(Calendar!$K$4="*",N3109=Calendar!$K$4)),P3109*100+COUNTIFS($P$6:$P$3267,P3109,$Q$6:$Q$3267,"&lt;="&amp;Q3109,$N$6:$N$3267,Calendar!$K$4),"")</f>
        <v/>
      </c>
      <c r="W3109" s="47">
        <f>IF(AND(B3109=Queue!$C$4,OR(Queue!$K$4="*",N3109=Queue!$K$4)),Q3109,"")</f>
        <v/>
      </c>
    </row>
    <row r="3110">
      <c r="A3110" s="38">
        <f>IF(M3110="","",HYPERLINK("https://www.youtube.com/watch?v="&amp;M3110,"▶"))</f>
        <v/>
      </c>
      <c r="B3110" s="39">
        <f>IF(C3110&lt;&gt;"",C3110,IF(P3110&lt;=IFERROR(INDEX(tblChannels[Watched Through],MATCH(N3110,tblChannels[Channel ID],0)),0),"Watched","Unwatched"))</f>
        <v/>
      </c>
      <c r="C3110" s="40" t="n"/>
      <c r="D3110" s="41" t="n"/>
      <c r="E3110" s="42" t="n">
        <v>41304.84097222222</v>
      </c>
      <c r="F3110" s="50" t="inlineStr">
        <is>
          <t>Super Carlin Brothers</t>
        </is>
      </c>
      <c r="G3110" t="inlineStr">
        <is>
          <t>Paid Youtube Subcriptions</t>
        </is>
      </c>
      <c r="H3110" s="44" t="n">
        <v>0.002523148148148148</v>
      </c>
      <c r="I3110" s="45" t="n">
        <v>11052</v>
      </c>
      <c r="J3110" s="45" t="n">
        <v>253</v>
      </c>
      <c r="K3110" s="45" t="n">
        <v>77</v>
      </c>
      <c r="L3110" s="46" t="n"/>
      <c r="M3110" s="47" t="n"/>
      <c r="N3110" s="47" t="inlineStr">
        <is>
          <t>UCKZo4N0lVPccBkSiuyVh4yg</t>
        </is>
      </c>
      <c r="O3110" s="48" t="n">
        <v>41305.04930555556</v>
      </c>
      <c r="P3110" s="49" t="n">
        <v>41304</v>
      </c>
      <c r="Q3110" s="47" t="n">
        <v>158</v>
      </c>
      <c r="R3110" s="47" t="inlineStr">
        <is>
          <t>No Video ID yet</t>
        </is>
      </c>
      <c r="S3110" s="49" t="n"/>
      <c r="T3110" s="49" t="n"/>
      <c r="U3110" s="47" t="inlineStr">
        <is>
          <t>How do you feel about the idea of YouTube subscriptions that you have to pay for?? What would be a YouTube show that you would like to see created? There Will Be Brawl: www.ThereWillBeBrawl.com Twitter: @SCB_Ben and @Jonkerlin =D</t>
        </is>
      </c>
      <c r="V3110" s="47">
        <f>IF(AND(P3110&gt;=Calendar!$K$2,P3110&lt;EDATE(Calendar!$K$2,1),OR(Calendar!$K$4="*",N3110=Calendar!$K$4)),P3110*100+COUNTIFS($P$6:$P$3267,P3110,$Q$6:$Q$3267,"&lt;="&amp;Q3110,$N$6:$N$3267,Calendar!$K$4),"")</f>
        <v/>
      </c>
      <c r="W3110" s="47">
        <f>IF(AND(B3110=Queue!$C$4,OR(Queue!$K$4="*",N3110=Queue!$K$4)),Q3110,"")</f>
        <v/>
      </c>
    </row>
    <row r="3111">
      <c r="A3111" s="38">
        <f>IF(M3111="","",HYPERLINK("https://www.youtube.com/watch?v="&amp;M3111,"▶"))</f>
        <v/>
      </c>
      <c r="B3111" s="39">
        <f>IF(C3111&lt;&gt;"",C3111,IF(P3111&lt;=IFERROR(INDEX(tblChannels[Watched Through],MATCH(N3111,tblChannels[Channel ID],0)),0),"Watched","Unwatched"))</f>
        <v/>
      </c>
      <c r="C3111" s="40" t="n"/>
      <c r="D3111" s="41" t="n"/>
      <c r="E3111" s="42" t="n">
        <v>41303.97361111111</v>
      </c>
      <c r="F3111" s="50" t="inlineStr">
        <is>
          <t>Super Carlin Brothers</t>
        </is>
      </c>
      <c r="G3111" t="inlineStr">
        <is>
          <t>Jobs I've Had</t>
        </is>
      </c>
      <c r="H3111" s="44" t="n">
        <v>0.002673611111111111</v>
      </c>
      <c r="I3111" s="45" t="n">
        <v>43910</v>
      </c>
      <c r="J3111" s="45" t="n">
        <v>798</v>
      </c>
      <c r="K3111" s="45" t="n">
        <v>141</v>
      </c>
      <c r="L3111" s="46" t="n"/>
      <c r="M3111" s="47" t="n"/>
      <c r="N3111" s="47" t="inlineStr">
        <is>
          <t>UCKZo4N0lVPccBkSiuyVh4yg</t>
        </is>
      </c>
      <c r="O3111" s="48" t="n">
        <v>41304.18194444444</v>
      </c>
      <c r="P3111" s="49" t="n">
        <v>41303</v>
      </c>
      <c r="Q3111" s="47" t="n">
        <v>157</v>
      </c>
      <c r="R3111" s="47" t="inlineStr">
        <is>
          <t>No Video ID yet</t>
        </is>
      </c>
      <c r="S3111" s="49" t="n"/>
      <c r="T3111" s="49" t="n"/>
      <c r="U3111" s="47" t="inlineStr">
        <is>
          <t>What is the worst job you have ever had? Tweet us at @jonkerlin and @SCB_Ben =D</t>
        </is>
      </c>
      <c r="V3111" s="47">
        <f>IF(AND(P3111&gt;=Calendar!$K$2,P3111&lt;EDATE(Calendar!$K$2,1),OR(Calendar!$K$4="*",N3111=Calendar!$K$4)),P3111*100+COUNTIFS($P$6:$P$3267,P3111,$Q$6:$Q$3267,"&lt;="&amp;Q3111,$N$6:$N$3267,Calendar!$K$4),"")</f>
        <v/>
      </c>
      <c r="W3111" s="47">
        <f>IF(AND(B3111=Queue!$C$4,OR(Queue!$K$4="*",N3111=Queue!$K$4)),Q3111,"")</f>
        <v/>
      </c>
    </row>
    <row r="3112">
      <c r="A3112" s="38">
        <f>IF(M3112="","",HYPERLINK("https://www.youtube.com/watch?v="&amp;M3112,"▶"))</f>
        <v/>
      </c>
      <c r="B3112" s="39">
        <f>IF(C3112&lt;&gt;"",C3112,IF(P3112&lt;=IFERROR(INDEX(tblChannels[Watched Through],MATCH(N3112,tblChannels[Channel ID],0)),0),"Watched","Unwatched"))</f>
        <v/>
      </c>
      <c r="C3112" s="40" t="n"/>
      <c r="D3112" s="41" t="n"/>
      <c r="E3112" s="42" t="n">
        <v>41302.85208333333</v>
      </c>
      <c r="F3112" s="50" t="inlineStr">
        <is>
          <t>Super Carlin Brothers</t>
        </is>
      </c>
      <c r="G3112" t="inlineStr">
        <is>
          <t>Should a Hobby be a Job?</t>
        </is>
      </c>
      <c r="H3112" s="44" t="n">
        <v>0.002893518518518518</v>
      </c>
      <c r="I3112" s="45" t="n">
        <v>12908</v>
      </c>
      <c r="J3112" s="45" t="n">
        <v>325</v>
      </c>
      <c r="K3112" s="45" t="n">
        <v>113</v>
      </c>
      <c r="L3112" s="46" t="n"/>
      <c r="M3112" s="47" t="n"/>
      <c r="N3112" s="47" t="inlineStr">
        <is>
          <t>UCKZo4N0lVPccBkSiuyVh4yg</t>
        </is>
      </c>
      <c r="O3112" s="48" t="n">
        <v>41303.06041666667</v>
      </c>
      <c r="P3112" s="49" t="n">
        <v>41302</v>
      </c>
      <c r="Q3112" s="47" t="n">
        <v>156</v>
      </c>
      <c r="R3112" s="47" t="inlineStr">
        <is>
          <t>No Video ID yet</t>
        </is>
      </c>
      <c r="S3112" s="49" t="n"/>
      <c r="T3112" s="49" t="n"/>
      <c r="U3112" s="47" t="inlineStr">
        <is>
          <t>Can/should a hobby be a job? Twitter: @SCB_Ben and @Jonkerlin Tweet: True facts about @Zefrank =D</t>
        </is>
      </c>
      <c r="V3112" s="47">
        <f>IF(AND(P3112&gt;=Calendar!$K$2,P3112&lt;EDATE(Calendar!$K$2,1),OR(Calendar!$K$4="*",N3112=Calendar!$K$4)),P3112*100+COUNTIFS($P$6:$P$3267,P3112,$Q$6:$Q$3267,"&lt;="&amp;Q3112,$N$6:$N$3267,Calendar!$K$4),"")</f>
        <v/>
      </c>
      <c r="W3112" s="47">
        <f>IF(AND(B3112=Queue!$C$4,OR(Queue!$K$4="*",N3112=Queue!$K$4)),Q3112,"")</f>
        <v/>
      </c>
    </row>
    <row r="3113">
      <c r="A3113" s="38">
        <f>IF(M3113="","",HYPERLINK("https://www.youtube.com/watch?v="&amp;M3113,"▶"))</f>
        <v/>
      </c>
      <c r="B3113" s="39">
        <f>IF(C3113&lt;&gt;"",C3113,IF(P3113&lt;=IFERROR(INDEX(tblChannels[Watched Through],MATCH(N3113,tblChannels[Channel ID],0)),0),"Watched","Unwatched"))</f>
        <v/>
      </c>
      <c r="C3113" s="40" t="n"/>
      <c r="D3113" s="41" t="n"/>
      <c r="E3113" s="42" t="n">
        <v>41299.58402777778</v>
      </c>
      <c r="F3113" s="50" t="inlineStr">
        <is>
          <t>Super Carlin Brothers</t>
        </is>
      </c>
      <c r="G3113" t="inlineStr">
        <is>
          <t>True Facts about Ze Frank</t>
        </is>
      </c>
      <c r="H3113" s="44" t="n">
        <v>0.001782407407407407</v>
      </c>
      <c r="I3113" s="45" t="n">
        <v>635043</v>
      </c>
      <c r="J3113" s="45" t="n">
        <v>9901</v>
      </c>
      <c r="K3113" s="45" t="n">
        <v>715</v>
      </c>
      <c r="L3113" s="46" t="n"/>
      <c r="M3113" s="47" t="n"/>
      <c r="N3113" s="47" t="inlineStr">
        <is>
          <t>UCKZo4N0lVPccBkSiuyVh4yg</t>
        </is>
      </c>
      <c r="O3113" s="48" t="n">
        <v>41299.79236111111</v>
      </c>
      <c r="P3113" s="49" t="n">
        <v>41299</v>
      </c>
      <c r="Q3113" s="47" t="n">
        <v>155</v>
      </c>
      <c r="R3113" s="47" t="inlineStr">
        <is>
          <t>No Video ID yet</t>
        </is>
      </c>
      <c r="S3113" s="49" t="n"/>
      <c r="T3113" s="49" t="n"/>
      <c r="U3113" s="47" t="inlineStr">
        <is>
          <t>True Facts about Ze Frank If Ze wants you to hear it in both ears... you will. Music: Links to Videos of and by Ze: Ze Frank: What's so funny about the Web? 2601 People Wrote This Song: Planning to Make: TMMTO :: Comfort: Awkward: Special Effects: Best of The Show 2006 :: Outside: 08-30-06 :: fingers in food :: best of the show: Thank you Ze for being an inspiration everyday! =D</t>
        </is>
      </c>
      <c r="V3113" s="47">
        <f>IF(AND(P3113&gt;=Calendar!$K$2,P3113&lt;EDATE(Calendar!$K$2,1),OR(Calendar!$K$4="*",N3113=Calendar!$K$4)),P3113*100+COUNTIFS($P$6:$P$3267,P3113,$Q$6:$Q$3267,"&lt;="&amp;Q3113,$N$6:$N$3267,Calendar!$K$4),"")</f>
        <v/>
      </c>
      <c r="W3113" s="47">
        <f>IF(AND(B3113=Queue!$C$4,OR(Queue!$K$4="*",N3113=Queue!$K$4)),Q3113,"")</f>
        <v/>
      </c>
    </row>
    <row r="3114">
      <c r="A3114" s="38">
        <f>IF(M3114="","",HYPERLINK("https://www.youtube.com/watch?v="&amp;M3114,"▶"))</f>
        <v/>
      </c>
      <c r="B3114" s="39">
        <f>IF(C3114&lt;&gt;"",C3114,IF(P3114&lt;=IFERROR(INDEX(tblChannels[Watched Through],MATCH(N3114,tblChannels[Channel ID],0)),0),"Watched","Unwatched"))</f>
        <v/>
      </c>
      <c r="C3114" s="40" t="n"/>
      <c r="D3114" s="41" t="n"/>
      <c r="E3114" s="42" t="n">
        <v>41298.9125</v>
      </c>
      <c r="F3114" s="50" t="inlineStr">
        <is>
          <t>Super Carlin Brothers</t>
        </is>
      </c>
      <c r="G3114" t="inlineStr">
        <is>
          <t>Commenting First</t>
        </is>
      </c>
      <c r="H3114" s="44" t="n">
        <v>0.001863425925925926</v>
      </c>
      <c r="I3114" s="45" t="n">
        <v>10805</v>
      </c>
      <c r="J3114" s="45" t="n">
        <v>327</v>
      </c>
      <c r="K3114" s="45" t="n">
        <v>524</v>
      </c>
      <c r="L3114" s="46" t="n"/>
      <c r="M3114" s="47" t="n"/>
      <c r="N3114" s="47" t="inlineStr">
        <is>
          <t>UCKZo4N0lVPccBkSiuyVh4yg</t>
        </is>
      </c>
      <c r="O3114" s="48" t="n">
        <v>41299.12083333333</v>
      </c>
      <c r="P3114" s="49" t="n">
        <v>41298</v>
      </c>
      <c r="Q3114" s="47" t="n">
        <v>154</v>
      </c>
      <c r="R3114" s="47" t="inlineStr">
        <is>
          <t>No Video ID yet</t>
        </is>
      </c>
      <c r="S3114" s="49" t="n"/>
      <c r="T3114" s="49" t="n"/>
      <c r="U3114" s="47" t="inlineStr">
        <is>
          <t>Would you rather be the person to invent the FIRST light bulb or be the person to invent the BEST lightbulb? Can you comment last?!?! @SCB_Ben @Jonkerlin =D</t>
        </is>
      </c>
      <c r="V3114" s="47">
        <f>IF(AND(P3114&gt;=Calendar!$K$2,P3114&lt;EDATE(Calendar!$K$2,1),OR(Calendar!$K$4="*",N3114=Calendar!$K$4)),P3114*100+COUNTIFS($P$6:$P$3267,P3114,$Q$6:$Q$3267,"&lt;="&amp;Q3114,$N$6:$N$3267,Calendar!$K$4),"")</f>
        <v/>
      </c>
      <c r="W3114" s="47">
        <f>IF(AND(B3114=Queue!$C$4,OR(Queue!$K$4="*",N3114=Queue!$K$4)),Q3114,"")</f>
        <v/>
      </c>
    </row>
    <row r="3115">
      <c r="A3115" s="38">
        <f>IF(M3115="","",HYPERLINK("https://www.youtube.com/watch?v="&amp;M3115,"▶"))</f>
        <v/>
      </c>
      <c r="B3115" s="39">
        <f>IF(C3115&lt;&gt;"",C3115,IF(P3115&lt;=IFERROR(INDEX(tblChannels[Watched Through],MATCH(N3115,tblChannels[Channel ID],0)),0),"Watched","Unwatched"))</f>
        <v/>
      </c>
      <c r="C3115" s="40" t="n"/>
      <c r="D3115" s="41" t="n"/>
      <c r="E3115" s="42" t="n">
        <v>41297.98611111111</v>
      </c>
      <c r="F3115" s="50" t="inlineStr">
        <is>
          <t>Super Carlin Brothers</t>
        </is>
      </c>
      <c r="G3115" t="inlineStr">
        <is>
          <t>Should I Google Autofill</t>
        </is>
      </c>
      <c r="H3115" s="44" t="n">
        <v>0.003483796296296296</v>
      </c>
      <c r="I3115" s="45" t="n">
        <v>134925</v>
      </c>
      <c r="J3115" s="45" t="n">
        <v>2288</v>
      </c>
      <c r="K3115" s="45" t="n">
        <v>371</v>
      </c>
      <c r="L3115" s="46" t="n"/>
      <c r="M3115" s="47" t="n"/>
      <c r="N3115" s="47" t="inlineStr">
        <is>
          <t>UCKZo4N0lVPccBkSiuyVh4yg</t>
        </is>
      </c>
      <c r="O3115" s="48" t="n">
        <v>41298.19444444445</v>
      </c>
      <c r="P3115" s="49" t="n">
        <v>41297</v>
      </c>
      <c r="Q3115" s="47" t="n">
        <v>153</v>
      </c>
      <c r="R3115" s="47" t="inlineStr">
        <is>
          <t>No Video ID yet</t>
        </is>
      </c>
      <c r="S3115" s="49" t="n"/>
      <c r="T3115" s="49" t="n"/>
      <c r="U3115" s="47" t="inlineStr">
        <is>
          <t>Jonathan answers Google's "Should I's" What should we call the Super Carlin Brother community? Tweet us at @jonkerlin and @SCB_Ben =D</t>
        </is>
      </c>
      <c r="V3115" s="47">
        <f>IF(AND(P3115&gt;=Calendar!$K$2,P3115&lt;EDATE(Calendar!$K$2,1),OR(Calendar!$K$4="*",N3115=Calendar!$K$4)),P3115*100+COUNTIFS($P$6:$P$3267,P3115,$Q$6:$Q$3267,"&lt;="&amp;Q3115,$N$6:$N$3267,Calendar!$K$4),"")</f>
        <v/>
      </c>
      <c r="W3115" s="47">
        <f>IF(AND(B3115=Queue!$C$4,OR(Queue!$K$4="*",N3115=Queue!$K$4)),Q3115,"")</f>
        <v/>
      </c>
    </row>
    <row r="3116">
      <c r="A3116" s="38">
        <f>IF(M3116="","",HYPERLINK("https://www.youtube.com/watch?v="&amp;M3116,"▶"))</f>
        <v/>
      </c>
      <c r="B3116" s="39">
        <f>IF(C3116&lt;&gt;"",C3116,IF(P3116&lt;=IFERROR(INDEX(tblChannels[Watched Through],MATCH(N3116,tblChannels[Channel ID],0)),0),"Watched","Unwatched"))</f>
        <v/>
      </c>
      <c r="C3116" s="40" t="n"/>
      <c r="D3116" s="41" t="n"/>
      <c r="E3116" s="42" t="n">
        <v>41296.92430555556</v>
      </c>
      <c r="F3116" s="50" t="inlineStr">
        <is>
          <t>Super Carlin Brothers</t>
        </is>
      </c>
      <c r="G3116" t="inlineStr">
        <is>
          <t>Night Owl</t>
        </is>
      </c>
      <c r="H3116" s="44" t="n">
        <v>0.0009375</v>
      </c>
      <c r="I3116" s="45" t="n">
        <v>11533</v>
      </c>
      <c r="J3116" s="45" t="n">
        <v>300</v>
      </c>
      <c r="K3116" s="45" t="n">
        <v>84</v>
      </c>
      <c r="L3116" s="46" t="n"/>
      <c r="M3116" s="47" t="n"/>
      <c r="N3116" s="47" t="inlineStr">
        <is>
          <t>UCKZo4N0lVPccBkSiuyVh4yg</t>
        </is>
      </c>
      <c r="O3116" s="48" t="n">
        <v>41297.13263888889</v>
      </c>
      <c r="P3116" s="49" t="n">
        <v>41296</v>
      </c>
      <c r="Q3116" s="47" t="n">
        <v>152</v>
      </c>
      <c r="R3116" s="47" t="inlineStr">
        <is>
          <t>No Video ID yet</t>
        </is>
      </c>
      <c r="S3116" s="49" t="n"/>
      <c r="T3116" s="49" t="n"/>
      <c r="U3116" s="47" t="inlineStr">
        <is>
          <t>What is your super hero name?!! What would be a great name for a SCB justice league? @SCB_Ben and @Jonkerlin =D</t>
        </is>
      </c>
      <c r="V3116" s="47">
        <f>IF(AND(P3116&gt;=Calendar!$K$2,P3116&lt;EDATE(Calendar!$K$2,1),OR(Calendar!$K$4="*",N3116=Calendar!$K$4)),P3116*100+COUNTIFS($P$6:$P$3267,P3116,$Q$6:$Q$3267,"&lt;="&amp;Q3116,$N$6:$N$3267,Calendar!$K$4),"")</f>
        <v/>
      </c>
      <c r="W3116" s="47">
        <f>IF(AND(B3116=Queue!$C$4,OR(Queue!$K$4="*",N3116=Queue!$K$4)),Q3116,"")</f>
        <v/>
      </c>
    </row>
    <row r="3117">
      <c r="A3117" s="38">
        <f>IF(M3117="","",HYPERLINK("https://www.youtube.com/watch?v="&amp;M3117,"▶"))</f>
        <v/>
      </c>
      <c r="B3117" s="39">
        <f>IF(C3117&lt;&gt;"",C3117,IF(P3117&lt;=IFERROR(INDEX(tblChannels[Watched Through],MATCH(N3117,tblChannels[Channel ID],0)),0),"Watched","Unwatched"))</f>
        <v/>
      </c>
      <c r="C3117" s="40" t="n"/>
      <c r="D3117" s="41" t="n"/>
      <c r="E3117" s="42" t="n">
        <v>41295.475</v>
      </c>
      <c r="F3117" s="50" t="inlineStr">
        <is>
          <t>Super Carlin Brothers</t>
        </is>
      </c>
      <c r="G3117" t="inlineStr">
        <is>
          <t>Morning Person!</t>
        </is>
      </c>
      <c r="H3117" s="44" t="n">
        <v>0.002951388888888889</v>
      </c>
      <c r="I3117" s="45" t="n">
        <v>23575</v>
      </c>
      <c r="J3117" s="45" t="n">
        <v>717</v>
      </c>
      <c r="K3117" s="45" t="n">
        <v>178</v>
      </c>
      <c r="L3117" s="46" t="n"/>
      <c r="M3117" s="47" t="n"/>
      <c r="N3117" s="47" t="inlineStr">
        <is>
          <t>UCKZo4N0lVPccBkSiuyVh4yg</t>
        </is>
      </c>
      <c r="O3117" s="48" t="n">
        <v>41295.68333333333</v>
      </c>
      <c r="P3117" s="49" t="n">
        <v>41295</v>
      </c>
      <c r="Q3117" s="47" t="n">
        <v>151</v>
      </c>
      <c r="R3117" s="47" t="inlineStr">
        <is>
          <t>No Video ID yet</t>
        </is>
      </c>
      <c r="S3117" s="49" t="n"/>
      <c r="T3117" s="49" t="n"/>
      <c r="U3117" s="47" t="inlineStr">
        <is>
          <t>I had a lot of coffee this morning.. What is your perfect morning like? TWEET TYLER: @TyCarlin Are you a morning person? or Tweet Ben and I: @Jonkerlin and @SCB_Ben =D</t>
        </is>
      </c>
      <c r="V3117" s="47">
        <f>IF(AND(P3117&gt;=Calendar!$K$2,P3117&lt;EDATE(Calendar!$K$2,1),OR(Calendar!$K$4="*",N3117=Calendar!$K$4)),P3117*100+COUNTIFS($P$6:$P$3267,P3117,$Q$6:$Q$3267,"&lt;="&amp;Q3117,$N$6:$N$3267,Calendar!$K$4),"")</f>
        <v/>
      </c>
      <c r="W3117" s="47">
        <f>IF(AND(B3117=Queue!$C$4,OR(Queue!$K$4="*",N3117=Queue!$K$4)),Q3117,"")</f>
        <v/>
      </c>
    </row>
    <row r="3118">
      <c r="A3118" s="38">
        <f>IF(M3118="","",HYPERLINK("https://www.youtube.com/watch?v="&amp;M3118,"▶"))</f>
        <v/>
      </c>
      <c r="B3118" s="39">
        <f>IF(C3118&lt;&gt;"",C3118,IF(P3118&lt;=IFERROR(INDEX(tblChannels[Watched Through],MATCH(N3118,tblChannels[Channel ID],0)),0),"Watched","Unwatched"))</f>
        <v/>
      </c>
      <c r="C3118" s="40" t="n"/>
      <c r="D3118" s="41" t="n"/>
      <c r="E3118" s="42" t="n">
        <v>41292.89652777778</v>
      </c>
      <c r="F3118" s="50" t="inlineStr">
        <is>
          <t>Super Carlin Brothers</t>
        </is>
      </c>
      <c r="G3118" t="inlineStr">
        <is>
          <t>Ask Ben #2</t>
        </is>
      </c>
      <c r="H3118" s="44" t="n">
        <v>0.003414351851851852</v>
      </c>
      <c r="I3118" s="45" t="n">
        <v>13875</v>
      </c>
      <c r="J3118" s="45" t="n">
        <v>342</v>
      </c>
      <c r="K3118" s="45" t="n">
        <v>61</v>
      </c>
      <c r="L3118" s="46" t="n"/>
      <c r="M3118" s="47" t="n"/>
      <c r="N3118" s="47" t="inlineStr">
        <is>
          <t>UCKZo4N0lVPccBkSiuyVh4yg</t>
        </is>
      </c>
      <c r="O3118" s="48" t="n">
        <v>41293.10486111111</v>
      </c>
      <c r="P3118" s="49" t="n">
        <v>41292</v>
      </c>
      <c r="Q3118" s="47" t="n">
        <v>150</v>
      </c>
      <c r="R3118" s="47" t="inlineStr">
        <is>
          <t>No Video ID yet</t>
        </is>
      </c>
      <c r="S3118" s="49" t="n"/>
      <c r="T3118" s="49" t="n"/>
      <c r="U3118" s="47" t="inlineStr">
        <is>
          <t>Thank you guys for watching 150 videos!!!! or however many you've watched... We appreciate that too. =D</t>
        </is>
      </c>
      <c r="V3118" s="47">
        <f>IF(AND(P3118&gt;=Calendar!$K$2,P3118&lt;EDATE(Calendar!$K$2,1),OR(Calendar!$K$4="*",N3118=Calendar!$K$4)),P3118*100+COUNTIFS($P$6:$P$3267,P3118,$Q$6:$Q$3267,"&lt;="&amp;Q3118,$N$6:$N$3267,Calendar!$K$4),"")</f>
        <v/>
      </c>
      <c r="W3118" s="47">
        <f>IF(AND(B3118=Queue!$C$4,OR(Queue!$K$4="*",N3118=Queue!$K$4)),Q3118,"")</f>
        <v/>
      </c>
    </row>
    <row r="3119">
      <c r="A3119" s="38">
        <f>IF(M3119="","",HYPERLINK("https://www.youtube.com/watch?v="&amp;M3119,"▶"))</f>
        <v/>
      </c>
      <c r="B3119" s="39">
        <f>IF(C3119&lt;&gt;"",C3119,IF(P3119&lt;=IFERROR(INDEX(tblChannels[Watched Through],MATCH(N3119,tblChannels[Channel ID],0)),0),"Watched","Unwatched"))</f>
        <v/>
      </c>
      <c r="C3119" s="40" t="n"/>
      <c r="D3119" s="41" t="n"/>
      <c r="E3119" s="42" t="n">
        <v>41291.84236111111</v>
      </c>
      <c r="F3119" s="50" t="inlineStr">
        <is>
          <t>Super Carlin Brothers</t>
        </is>
      </c>
      <c r="G3119" t="inlineStr">
        <is>
          <t>Mass Confusion!</t>
        </is>
      </c>
      <c r="H3119" s="44" t="n">
        <v>0.002835648148148148</v>
      </c>
      <c r="I3119" s="45" t="n">
        <v>19174</v>
      </c>
      <c r="J3119" s="45" t="n">
        <v>493</v>
      </c>
      <c r="K3119" s="45" t="n">
        <v>145</v>
      </c>
      <c r="L3119" s="46" t="n"/>
      <c r="M3119" s="47" t="n"/>
      <c r="N3119" s="47" t="inlineStr">
        <is>
          <t>UCKZo4N0lVPccBkSiuyVh4yg</t>
        </is>
      </c>
      <c r="O3119" s="48" t="n">
        <v>41292.05069444444</v>
      </c>
      <c r="P3119" s="49" t="n">
        <v>41291</v>
      </c>
      <c r="Q3119" s="47" t="n">
        <v>149</v>
      </c>
      <c r="R3119" s="47" t="inlineStr">
        <is>
          <t>No Video ID yet</t>
        </is>
      </c>
      <c r="S3119" s="49" t="n"/>
      <c r="T3119" s="49" t="n"/>
      <c r="U3119" s="47" t="inlineStr">
        <is>
          <t>Jonathan tells how to cause mass confusion and anarchy with stickers! Leave Ben your questions below!! TWEET US AT :: @Jonkerlin and @SCB_Ben Facebook: www.facebook.com/supercarlinbrothers =D</t>
        </is>
      </c>
      <c r="V3119" s="47">
        <f>IF(AND(P3119&gt;=Calendar!$K$2,P3119&lt;EDATE(Calendar!$K$2,1),OR(Calendar!$K$4="*",N3119=Calendar!$K$4)),P3119*100+COUNTIFS($P$6:$P$3267,P3119,$Q$6:$Q$3267,"&lt;="&amp;Q3119,$N$6:$N$3267,Calendar!$K$4),"")</f>
        <v/>
      </c>
      <c r="W3119" s="47">
        <f>IF(AND(B3119=Queue!$C$4,OR(Queue!$K$4="*",N3119=Queue!$K$4)),Q3119,"")</f>
        <v/>
      </c>
    </row>
    <row r="3120">
      <c r="A3120" s="38">
        <f>IF(M3120="","",HYPERLINK("https://www.youtube.com/watch?v="&amp;M3120,"▶"))</f>
        <v/>
      </c>
      <c r="B3120" s="39">
        <f>IF(C3120&lt;&gt;"",C3120,IF(P3120&lt;=IFERROR(INDEX(tblChannels[Watched Through],MATCH(N3120,tblChannels[Channel ID],0)),0),"Watched","Unwatched"))</f>
        <v/>
      </c>
      <c r="C3120" s="40" t="n"/>
      <c r="D3120" s="41" t="n"/>
      <c r="E3120" s="42" t="n">
        <v>41290.84513888889</v>
      </c>
      <c r="F3120" s="50" t="inlineStr">
        <is>
          <t>Super Carlin Brothers</t>
        </is>
      </c>
      <c r="G3120" t="inlineStr">
        <is>
          <t>Chemistry Class</t>
        </is>
      </c>
      <c r="H3120" s="44" t="n">
        <v>0.0025</v>
      </c>
      <c r="I3120" s="45" t="n">
        <v>13218</v>
      </c>
      <c r="J3120" s="45" t="n">
        <v>365</v>
      </c>
      <c r="K3120" s="45" t="n">
        <v>72</v>
      </c>
      <c r="L3120" s="46" t="n"/>
      <c r="M3120" s="47" t="n"/>
      <c r="N3120" s="47" t="inlineStr">
        <is>
          <t>UCKZo4N0lVPccBkSiuyVh4yg</t>
        </is>
      </c>
      <c r="O3120" s="48" t="n">
        <v>41291.05347222222</v>
      </c>
      <c r="P3120" s="49" t="n">
        <v>41290</v>
      </c>
      <c r="Q3120" s="47" t="n">
        <v>148</v>
      </c>
      <c r="R3120" s="47" t="inlineStr">
        <is>
          <t>No Video ID yet</t>
        </is>
      </c>
      <c r="S3120" s="49" t="n"/>
      <c r="T3120" s="49" t="n"/>
      <c r="U3120" s="47" t="inlineStr">
        <is>
          <t>Have you ever gotten in trouble in class? or Pulled any totally hilarious classic pranks? @SCB_Ben and @Jonkerlin =D</t>
        </is>
      </c>
      <c r="V3120" s="47">
        <f>IF(AND(P3120&gt;=Calendar!$K$2,P3120&lt;EDATE(Calendar!$K$2,1),OR(Calendar!$K$4="*",N3120=Calendar!$K$4)),P3120*100+COUNTIFS($P$6:$P$3267,P3120,$Q$6:$Q$3267,"&lt;="&amp;Q3120,$N$6:$N$3267,Calendar!$K$4),"")</f>
        <v/>
      </c>
      <c r="W3120" s="47">
        <f>IF(AND(B3120=Queue!$C$4,OR(Queue!$K$4="*",N3120=Queue!$K$4)),Q3120,"")</f>
        <v/>
      </c>
    </row>
    <row r="3121">
      <c r="A3121" s="38">
        <f>IF(M3121="","",HYPERLINK("https://www.youtube.com/watch?v="&amp;M3121,"▶"))</f>
        <v/>
      </c>
      <c r="B3121" s="39">
        <f>IF(C3121&lt;&gt;"",C3121,IF(P3121&lt;=IFERROR(INDEX(tblChannels[Watched Through],MATCH(N3121,tblChannels[Channel ID],0)),0),"Watched","Unwatched"))</f>
        <v/>
      </c>
      <c r="C3121" s="40" t="n"/>
      <c r="D3121" s="41" t="n"/>
      <c r="E3121" s="42" t="n">
        <v>41289.95625</v>
      </c>
      <c r="F3121" s="50" t="inlineStr">
        <is>
          <t>Super Carlin Brothers</t>
        </is>
      </c>
      <c r="G3121" t="inlineStr">
        <is>
          <t>Doodle game!</t>
        </is>
      </c>
      <c r="H3121" s="44" t="n">
        <v>0.002604166666666667</v>
      </c>
      <c r="I3121" s="45" t="n">
        <v>22424</v>
      </c>
      <c r="J3121" s="45" t="n">
        <v>488</v>
      </c>
      <c r="K3121" s="45" t="n">
        <v>97</v>
      </c>
      <c r="L3121" s="46" t="n"/>
      <c r="M3121" s="47" t="n"/>
      <c r="N3121" s="47" t="inlineStr">
        <is>
          <t>UCKZo4N0lVPccBkSiuyVh4yg</t>
        </is>
      </c>
      <c r="O3121" s="48" t="n">
        <v>41290.16458333333</v>
      </c>
      <c r="P3121" s="49" t="n">
        <v>41289</v>
      </c>
      <c r="Q3121" s="47" t="n">
        <v>147</v>
      </c>
      <c r="R3121" s="47" t="inlineStr">
        <is>
          <t>No Video ID yet</t>
        </is>
      </c>
      <c r="S3121" s="49" t="n"/>
      <c r="T3121" s="49" t="n"/>
      <c r="U3121" s="47" t="inlineStr">
        <is>
          <t>What is the worst class you ever had and how did you pass the time? Tweet us at: @jonkerlin and @SCB_Ben =D</t>
        </is>
      </c>
      <c r="V3121" s="47">
        <f>IF(AND(P3121&gt;=Calendar!$K$2,P3121&lt;EDATE(Calendar!$K$2,1),OR(Calendar!$K$4="*",N3121=Calendar!$K$4)),P3121*100+COUNTIFS($P$6:$P$3267,P3121,$Q$6:$Q$3267,"&lt;="&amp;Q3121,$N$6:$N$3267,Calendar!$K$4),"")</f>
        <v/>
      </c>
      <c r="W3121" s="47">
        <f>IF(AND(B3121=Queue!$C$4,OR(Queue!$K$4="*",N3121=Queue!$K$4)),Q3121,"")</f>
        <v/>
      </c>
    </row>
    <row r="3122">
      <c r="A3122" s="38">
        <f>IF(M3122="","",HYPERLINK("https://www.youtube.com/watch?v="&amp;M3122,"▶"))</f>
        <v/>
      </c>
      <c r="B3122" s="39">
        <f>IF(C3122&lt;&gt;"",C3122,IF(P3122&lt;=IFERROR(INDEX(tblChannels[Watched Through],MATCH(N3122,tblChannels[Channel ID],0)),0),"Watched","Unwatched"))</f>
        <v/>
      </c>
      <c r="C3122" s="40" t="n"/>
      <c r="D3122" s="41" t="n"/>
      <c r="E3122" s="42" t="n">
        <v>41288.98958333334</v>
      </c>
      <c r="F3122" s="50" t="inlineStr">
        <is>
          <t>Super Carlin Brothers</t>
        </is>
      </c>
      <c r="G3122" t="inlineStr">
        <is>
          <t>Doodle</t>
        </is>
      </c>
      <c r="H3122" s="44" t="n">
        <v>0.001134259259259259</v>
      </c>
      <c r="I3122" s="45" t="n">
        <v>11122</v>
      </c>
      <c r="J3122" s="45" t="n">
        <v>217</v>
      </c>
      <c r="K3122" s="45" t="n">
        <v>50</v>
      </c>
      <c r="L3122" s="46" t="n"/>
      <c r="M3122" s="47" t="n"/>
      <c r="N3122" s="47" t="inlineStr">
        <is>
          <t>UCKZo4N0lVPccBkSiuyVh4yg</t>
        </is>
      </c>
      <c r="O3122" s="48" t="n">
        <v>41289.19791666666</v>
      </c>
      <c r="P3122" s="49" t="n">
        <v>41288</v>
      </c>
      <c r="Q3122" s="47" t="n">
        <v>146</v>
      </c>
      <c r="R3122" s="47" t="inlineStr">
        <is>
          <t>No Video ID yet</t>
        </is>
      </c>
      <c r="S3122" s="49" t="n"/>
      <c r="T3122" s="49" t="n"/>
      <c r="U3122" s="47" t="inlineStr">
        <is>
          <t>What is your go to doodle?? @SCB_Ben www.facebook.com/SuperCarlinBrothers =D</t>
        </is>
      </c>
      <c r="V3122" s="47">
        <f>IF(AND(P3122&gt;=Calendar!$K$2,P3122&lt;EDATE(Calendar!$K$2,1),OR(Calendar!$K$4="*",N3122=Calendar!$K$4)),P3122*100+COUNTIFS($P$6:$P$3267,P3122,$Q$6:$Q$3267,"&lt;="&amp;Q3122,$N$6:$N$3267,Calendar!$K$4),"")</f>
        <v/>
      </c>
      <c r="W3122" s="47">
        <f>IF(AND(B3122=Queue!$C$4,OR(Queue!$K$4="*",N3122=Queue!$K$4)),Q3122,"")</f>
        <v/>
      </c>
    </row>
    <row r="3123">
      <c r="A3123" s="38">
        <f>IF(M3123="","",HYPERLINK("https://www.youtube.com/watch?v="&amp;M3123,"▶"))</f>
        <v/>
      </c>
      <c r="B3123" s="39">
        <f>IF(C3123&lt;&gt;"",C3123,IF(P3123&lt;=IFERROR(INDEX(tblChannels[Watched Through],MATCH(N3123,tblChannels[Channel ID],0)),0),"Watched","Unwatched"))</f>
        <v/>
      </c>
      <c r="C3123" s="40" t="n"/>
      <c r="D3123" s="41" t="n"/>
      <c r="E3123" s="42" t="n">
        <v>41285.92847222222</v>
      </c>
      <c r="F3123" s="50" t="inlineStr">
        <is>
          <t>Super Carlin Brothers</t>
        </is>
      </c>
      <c r="G3123" t="inlineStr">
        <is>
          <t>Ask J! #5</t>
        </is>
      </c>
      <c r="H3123" s="44" t="n">
        <v>0.002349537037037037</v>
      </c>
      <c r="I3123" s="45" t="n">
        <v>22129</v>
      </c>
      <c r="J3123" s="45" t="n">
        <v>406</v>
      </c>
      <c r="K3123" s="45" t="n">
        <v>100</v>
      </c>
      <c r="L3123" s="46" t="n"/>
      <c r="M3123" s="47" t="n"/>
      <c r="N3123" s="47" t="inlineStr">
        <is>
          <t>UCKZo4N0lVPccBkSiuyVh4yg</t>
        </is>
      </c>
      <c r="O3123" s="48" t="n">
        <v>41286.13680555556</v>
      </c>
      <c r="P3123" s="49" t="n">
        <v>41285</v>
      </c>
      <c r="Q3123" s="47" t="n">
        <v>145</v>
      </c>
      <c r="R3123" s="47" t="inlineStr">
        <is>
          <t>No Video ID yet</t>
        </is>
      </c>
      <c r="S3123" s="49" t="n"/>
      <c r="T3123" s="49" t="n"/>
      <c r="U3123" s="47" t="inlineStr">
        <is>
          <t>Jonathan answers your questions! Check out FriendswoBenefits here: What other small channel's should we check out?? Tweet us at: @jonkerlin and @SCB_Ben =D</t>
        </is>
      </c>
      <c r="V3123" s="47">
        <f>IF(AND(P3123&gt;=Calendar!$K$2,P3123&lt;EDATE(Calendar!$K$2,1),OR(Calendar!$K$4="*",N3123=Calendar!$K$4)),P3123*100+COUNTIFS($P$6:$P$3267,P3123,$Q$6:$Q$3267,"&lt;="&amp;Q3123,$N$6:$N$3267,Calendar!$K$4),"")</f>
        <v/>
      </c>
      <c r="W3123" s="47">
        <f>IF(AND(B3123=Queue!$C$4,OR(Queue!$K$4="*",N3123=Queue!$K$4)),Q3123,"")</f>
        <v/>
      </c>
    </row>
    <row r="3124">
      <c r="A3124" s="38">
        <f>IF(M3124="","",HYPERLINK("https://www.youtube.com/watch?v="&amp;M3124,"▶"))</f>
        <v/>
      </c>
      <c r="B3124" s="39">
        <f>IF(C3124&lt;&gt;"",C3124,IF(P3124&lt;=IFERROR(INDEX(tblChannels[Watched Through],MATCH(N3124,tblChannels[Channel ID],0)),0),"Watched","Unwatched"))</f>
        <v/>
      </c>
      <c r="C3124" s="40" t="n"/>
      <c r="D3124" s="41" t="n"/>
      <c r="E3124" s="42" t="n">
        <v>41284.94305555556</v>
      </c>
      <c r="F3124" s="50" t="inlineStr">
        <is>
          <t>Super Carlin Brothers</t>
        </is>
      </c>
      <c r="G3124" t="inlineStr">
        <is>
          <t>Delirious Ben Plays with Sound Bytes</t>
        </is>
      </c>
      <c r="H3124" s="44" t="n">
        <v>0.00119212962962963</v>
      </c>
      <c r="I3124" s="45" t="n">
        <v>11636</v>
      </c>
      <c r="J3124" s="45" t="n">
        <v>269</v>
      </c>
      <c r="K3124" s="45" t="n">
        <v>33</v>
      </c>
      <c r="L3124" s="46" t="n"/>
      <c r="M3124" s="47" t="n"/>
      <c r="N3124" s="47" t="inlineStr">
        <is>
          <t>UCKZo4N0lVPccBkSiuyVh4yg</t>
        </is>
      </c>
      <c r="O3124" s="48" t="n">
        <v>41285.15138888889</v>
      </c>
      <c r="P3124" s="49" t="n">
        <v>41284</v>
      </c>
      <c r="Q3124" s="47" t="n">
        <v>144</v>
      </c>
      <c r="R3124" s="47" t="inlineStr">
        <is>
          <t>No Video ID yet</t>
        </is>
      </c>
      <c r="S3124" s="49" t="n"/>
      <c r="T3124" s="49" t="n"/>
      <c r="U3124" s="47" t="inlineStr">
        <is>
          <t>When I am less delirious I feel certain I will laugh at the stupidity of this video. Ask lots of questions for J to answer in tomorrow's video! Twitters: @SCB_Ben and @Jonkerlin =D</t>
        </is>
      </c>
      <c r="V3124" s="47">
        <f>IF(AND(P3124&gt;=Calendar!$K$2,P3124&lt;EDATE(Calendar!$K$2,1),OR(Calendar!$K$4="*",N3124=Calendar!$K$4)),P3124*100+COUNTIFS($P$6:$P$3267,P3124,$Q$6:$Q$3267,"&lt;="&amp;Q3124,$N$6:$N$3267,Calendar!$K$4),"")</f>
        <v/>
      </c>
      <c r="W3124" s="47">
        <f>IF(AND(B3124=Queue!$C$4,OR(Queue!$K$4="*",N3124=Queue!$K$4)),Q3124,"")</f>
        <v/>
      </c>
    </row>
    <row r="3125">
      <c r="A3125" s="38">
        <f>IF(M3125="","",HYPERLINK("https://www.youtube.com/watch?v="&amp;M3125,"▶"))</f>
        <v/>
      </c>
      <c r="B3125" s="39">
        <f>IF(C3125&lt;&gt;"",C3125,IF(P3125&lt;=IFERROR(INDEX(tblChannels[Watched Through],MATCH(N3125,tblChannels[Channel ID],0)),0),"Watched","Unwatched"))</f>
        <v/>
      </c>
      <c r="C3125" s="40" t="n"/>
      <c r="D3125" s="41" t="n"/>
      <c r="E3125" s="42" t="n">
        <v>41283.97152777778</v>
      </c>
      <c r="F3125" s="50" t="inlineStr">
        <is>
          <t>Super Carlin Brothers</t>
        </is>
      </c>
      <c r="G3125" t="inlineStr">
        <is>
          <t>The first time</t>
        </is>
      </c>
      <c r="H3125" s="44" t="n">
        <v>0.002592592592592593</v>
      </c>
      <c r="I3125" s="45" t="n">
        <v>37186</v>
      </c>
      <c r="J3125" s="45" t="n">
        <v>681</v>
      </c>
      <c r="K3125" s="45" t="n">
        <v>97</v>
      </c>
      <c r="L3125" s="46" t="n"/>
      <c r="M3125" s="47" t="n"/>
      <c r="N3125" s="47" t="inlineStr">
        <is>
          <t>UCKZo4N0lVPccBkSiuyVh4yg</t>
        </is>
      </c>
      <c r="O3125" s="48" t="n">
        <v>41284.17986111111</v>
      </c>
      <c r="P3125" s="49" t="n">
        <v>41283</v>
      </c>
      <c r="Q3125" s="47" t="n">
        <v>143</v>
      </c>
      <c r="R3125" s="47" t="inlineStr">
        <is>
          <t>No Video ID yet</t>
        </is>
      </c>
      <c r="S3125" s="49" t="n"/>
      <c r="T3125" s="49" t="n"/>
      <c r="U3125" s="47" t="inlineStr">
        <is>
          <t>Jonathan describe why somethings are only fun the first time. Have you ever enjoyed something initially and then not so much the 2nd time? TWITTER: @Jonkerlin or @SCB_Ben FACEBOOK: www.facebook.com/supercarlinbrothers =D</t>
        </is>
      </c>
      <c r="V3125" s="47">
        <f>IF(AND(P3125&gt;=Calendar!$K$2,P3125&lt;EDATE(Calendar!$K$2,1),OR(Calendar!$K$4="*",N3125=Calendar!$K$4)),P3125*100+COUNTIFS($P$6:$P$3267,P3125,$Q$6:$Q$3267,"&lt;="&amp;Q3125,$N$6:$N$3267,Calendar!$K$4),"")</f>
        <v/>
      </c>
      <c r="W3125" s="47">
        <f>IF(AND(B3125=Queue!$C$4,OR(Queue!$K$4="*",N3125=Queue!$K$4)),Q3125,"")</f>
        <v/>
      </c>
    </row>
    <row r="3126">
      <c r="A3126" s="38">
        <f>IF(M3126="","",HYPERLINK("https://www.youtube.com/watch?v="&amp;M3126,"▶"))</f>
        <v/>
      </c>
      <c r="B3126" s="39">
        <f>IF(C3126&lt;&gt;"",C3126,IF(P3126&lt;=IFERROR(INDEX(tblChannels[Watched Through],MATCH(N3126,tblChannels[Channel ID],0)),0),"Watched","Unwatched"))</f>
        <v/>
      </c>
      <c r="C3126" s="40" t="n"/>
      <c r="D3126" s="41" t="n"/>
      <c r="E3126" s="42" t="n">
        <v>41282.95694444444</v>
      </c>
      <c r="F3126" s="50" t="inlineStr">
        <is>
          <t>Super Carlin Brothers</t>
        </is>
      </c>
      <c r="G3126" t="inlineStr">
        <is>
          <t>Knick Knacks</t>
        </is>
      </c>
      <c r="H3126" s="44" t="n">
        <v>0.002418981481481482</v>
      </c>
      <c r="I3126" s="45" t="n">
        <v>12547</v>
      </c>
      <c r="J3126" s="45" t="n">
        <v>308</v>
      </c>
      <c r="K3126" s="45" t="n">
        <v>60</v>
      </c>
      <c r="L3126" s="46" t="n"/>
      <c r="M3126" s="47" t="n"/>
      <c r="N3126" s="47" t="inlineStr">
        <is>
          <t>UCKZo4N0lVPccBkSiuyVh4yg</t>
        </is>
      </c>
      <c r="O3126" s="48" t="n">
        <v>41283.16527777778</v>
      </c>
      <c r="P3126" s="49" t="n">
        <v>41282</v>
      </c>
      <c r="Q3126" s="47" t="n">
        <v>142</v>
      </c>
      <c r="R3126" s="47" t="inlineStr">
        <is>
          <t>No Video ID yet</t>
        </is>
      </c>
      <c r="S3126" s="49" t="n"/>
      <c r="T3126" s="49" t="n"/>
      <c r="U3126" s="47" t="inlineStr">
        <is>
          <t>What is your set like!?! (aka general vicinity around where you are... at this moment) Also I am thinking about redoing my set to include SCB viewer submissions! Is there anyone out there that would actually like to mail me something SCB related for me to display on my set?! @SCB_Ben and @jonkerlin =D</t>
        </is>
      </c>
      <c r="V3126" s="47">
        <f>IF(AND(P3126&gt;=Calendar!$K$2,P3126&lt;EDATE(Calendar!$K$2,1),OR(Calendar!$K$4="*",N3126=Calendar!$K$4)),P3126*100+COUNTIFS($P$6:$P$3267,P3126,$Q$6:$Q$3267,"&lt;="&amp;Q3126,$N$6:$N$3267,Calendar!$K$4),"")</f>
        <v/>
      </c>
      <c r="W3126" s="47">
        <f>IF(AND(B3126=Queue!$C$4,OR(Queue!$K$4="*",N3126=Queue!$K$4)),Q3126,"")</f>
        <v/>
      </c>
    </row>
    <row r="3127">
      <c r="A3127" s="38">
        <f>IF(M3127="","",HYPERLINK("https://www.youtube.com/watch?v="&amp;M3127,"▶"))</f>
        <v/>
      </c>
      <c r="B3127" s="39">
        <f>IF(C3127&lt;&gt;"",C3127,IF(P3127&lt;=IFERROR(INDEX(tblChannels[Watched Through],MATCH(N3127,tblChannels[Channel ID],0)),0),"Watched","Unwatched"))</f>
        <v/>
      </c>
      <c r="C3127" s="40" t="n"/>
      <c r="D3127" s="41" t="n"/>
      <c r="E3127" s="42" t="n">
        <v>41281.93611111111</v>
      </c>
      <c r="F3127" s="50" t="inlineStr">
        <is>
          <t>Super Carlin Brothers</t>
        </is>
      </c>
      <c r="G3127" t="inlineStr">
        <is>
          <t>Nostalgia Rangers!</t>
        </is>
      </c>
      <c r="H3127" s="44" t="n">
        <v>0.002835648148148148</v>
      </c>
      <c r="I3127" s="45" t="n">
        <v>12657</v>
      </c>
      <c r="J3127" s="45" t="n">
        <v>353</v>
      </c>
      <c r="K3127" s="45" t="n">
        <v>93</v>
      </c>
      <c r="L3127" s="46" t="n"/>
      <c r="M3127" s="47" t="n"/>
      <c r="N3127" s="47" t="inlineStr">
        <is>
          <t>UCKZo4N0lVPccBkSiuyVh4yg</t>
        </is>
      </c>
      <c r="O3127" s="48" t="n">
        <v>41282.14444444444</v>
      </c>
      <c r="P3127" s="49" t="n">
        <v>41281</v>
      </c>
      <c r="Q3127" s="47" t="n">
        <v>141</v>
      </c>
      <c r="R3127" s="47" t="inlineStr">
        <is>
          <t>No Video ID yet</t>
        </is>
      </c>
      <c r="S3127" s="49" t="n"/>
      <c r="T3127" s="49" t="n"/>
      <c r="U3127" s="47" t="inlineStr">
        <is>
          <t>Jonathan talks about the time his childhood was shattered and when nostalgia kicks in. What is something you have begun feeling nostalgic about despite a period of LAME SAUCE!? TWITTER: @Jonkerlin and @SCB_Ben FACEBOOK: www.facebook.com/supercarlinbrothers =D</t>
        </is>
      </c>
      <c r="V3127" s="47">
        <f>IF(AND(P3127&gt;=Calendar!$K$2,P3127&lt;EDATE(Calendar!$K$2,1),OR(Calendar!$K$4="*",N3127=Calendar!$K$4)),P3127*100+COUNTIFS($P$6:$P$3267,P3127,$Q$6:$Q$3267,"&lt;="&amp;Q3127,$N$6:$N$3267,Calendar!$K$4),"")</f>
        <v/>
      </c>
      <c r="W3127" s="47">
        <f>IF(AND(B3127=Queue!$C$4,OR(Queue!$K$4="*",N3127=Queue!$K$4)),Q3127,"")</f>
        <v/>
      </c>
    </row>
    <row r="3128">
      <c r="A3128" s="38">
        <f>IF(M3128="","",HYPERLINK("https://www.youtube.com/watch?v="&amp;M3128,"▶"))</f>
        <v/>
      </c>
      <c r="B3128" s="39">
        <f>IF(C3128&lt;&gt;"",C3128,IF(P3128&lt;=IFERROR(INDEX(tblChannels[Watched Through],MATCH(N3128,tblChannels[Channel ID],0)),0),"Watched","Unwatched"))</f>
        <v/>
      </c>
      <c r="C3128" s="40" t="n"/>
      <c r="D3128" s="41" t="n"/>
      <c r="E3128" s="42" t="n">
        <v>41278.77222222222</v>
      </c>
      <c r="F3128" s="50" t="inlineStr">
        <is>
          <t>Super Carlin Brothers</t>
        </is>
      </c>
      <c r="G3128" t="inlineStr">
        <is>
          <t>Duct Tape</t>
        </is>
      </c>
      <c r="H3128" s="44" t="n">
        <v>0.001759259259259259</v>
      </c>
      <c r="I3128" s="45" t="n">
        <v>13475</v>
      </c>
      <c r="J3128" s="45" t="n">
        <v>361</v>
      </c>
      <c r="K3128" s="45" t="n">
        <v>103</v>
      </c>
      <c r="L3128" s="46" t="n"/>
      <c r="M3128" s="47" t="n"/>
      <c r="N3128" s="47" t="inlineStr">
        <is>
          <t>UCKZo4N0lVPccBkSiuyVh4yg</t>
        </is>
      </c>
      <c r="O3128" s="48" t="n">
        <v>41278.98055555556</v>
      </c>
      <c r="P3128" s="49" t="n">
        <v>41278</v>
      </c>
      <c r="Q3128" s="47" t="n">
        <v>140</v>
      </c>
      <c r="R3128" s="47" t="inlineStr">
        <is>
          <t>No Video ID yet</t>
        </is>
      </c>
      <c r="S3128" s="49" t="n"/>
      <c r="T3128" s="49" t="n"/>
      <c r="U3128" s="47" t="inlineStr">
        <is>
          <t>Whats a creative way you have used duct tape?! Do you have a video topic idea for me?! I WILL use one suggestion from the comments on this video for next tuesday! =D</t>
        </is>
      </c>
      <c r="V3128" s="47">
        <f>IF(AND(P3128&gt;=Calendar!$K$2,P3128&lt;EDATE(Calendar!$K$2,1),OR(Calendar!$K$4="*",N3128=Calendar!$K$4)),P3128*100+COUNTIFS($P$6:$P$3267,P3128,$Q$6:$Q$3267,"&lt;="&amp;Q3128,$N$6:$N$3267,Calendar!$K$4),"")</f>
        <v/>
      </c>
      <c r="W3128" s="47">
        <f>IF(AND(B3128=Queue!$C$4,OR(Queue!$K$4="*",N3128=Queue!$K$4)),Q3128,"")</f>
        <v/>
      </c>
    </row>
    <row r="3129">
      <c r="A3129" s="38">
        <f>IF(M3129="","",HYPERLINK("https://www.youtube.com/watch?v="&amp;M3129,"▶"))</f>
        <v/>
      </c>
      <c r="B3129" s="39">
        <f>IF(C3129&lt;&gt;"",C3129,IF(P3129&lt;=IFERROR(INDEX(tblChannels[Watched Through],MATCH(N3129,tblChannels[Channel ID],0)),0),"Watched","Unwatched"))</f>
        <v/>
      </c>
      <c r="C3129" s="40" t="n"/>
      <c r="D3129" s="41" t="n"/>
      <c r="E3129" s="42" t="n">
        <v>41277.91527777778</v>
      </c>
      <c r="F3129" s="50" t="inlineStr">
        <is>
          <t>Super Carlin Brothers</t>
        </is>
      </c>
      <c r="G3129" t="inlineStr">
        <is>
          <t>Stupid Alarm Clocks!</t>
        </is>
      </c>
      <c r="H3129" s="44" t="n">
        <v>0.002766203703703704</v>
      </c>
      <c r="I3129" s="45" t="n">
        <v>42043</v>
      </c>
      <c r="J3129" s="45" t="n">
        <v>771</v>
      </c>
      <c r="K3129" s="45" t="n">
        <v>174</v>
      </c>
      <c r="L3129" s="46" t="n"/>
      <c r="M3129" s="47" t="n"/>
      <c r="N3129" s="47" t="inlineStr">
        <is>
          <t>UCKZo4N0lVPccBkSiuyVh4yg</t>
        </is>
      </c>
      <c r="O3129" s="48" t="n">
        <v>41278.12361111111</v>
      </c>
      <c r="P3129" s="49" t="n">
        <v>41277</v>
      </c>
      <c r="Q3129" s="47" t="n">
        <v>139</v>
      </c>
      <c r="R3129" s="47" t="inlineStr">
        <is>
          <t>No Video ID yet</t>
        </is>
      </c>
      <c r="S3129" s="49" t="n"/>
      <c r="T3129" s="49" t="n"/>
      <c r="U3129" s="47" t="inlineStr">
        <is>
          <t>Jonathan gets angry at his alarm clock for being so stupid, just really dumb and lame and stuuuupid, what a dumb invention, they just suck, like seriously. FOR REAL. Have you ever slept through something important? TWITTER: @Jonkerlin and @SCB_Ben (Follow to be a badass!) FACEBOOK: www.facebook.com/supercarlinbrothers =D</t>
        </is>
      </c>
      <c r="V3129" s="47">
        <f>IF(AND(P3129&gt;=Calendar!$K$2,P3129&lt;EDATE(Calendar!$K$2,1),OR(Calendar!$K$4="*",N3129=Calendar!$K$4)),P3129*100+COUNTIFS($P$6:$P$3267,P3129,$Q$6:$Q$3267,"&lt;="&amp;Q3129,$N$6:$N$3267,Calendar!$K$4),"")</f>
        <v/>
      </c>
      <c r="W3129" s="47">
        <f>IF(AND(B3129=Queue!$C$4,OR(Queue!$K$4="*",N3129=Queue!$K$4)),Q3129,"")</f>
        <v/>
      </c>
    </row>
    <row r="3130">
      <c r="A3130" s="38">
        <f>IF(M3130="","",HYPERLINK("https://www.youtube.com/watch?v="&amp;M3130,"▶"))</f>
        <v/>
      </c>
      <c r="B3130" s="39">
        <f>IF(C3130&lt;&gt;"",C3130,IF(P3130&lt;=IFERROR(INDEX(tblChannels[Watched Through],MATCH(N3130,tblChannels[Channel ID],0)),0),"Watched","Unwatched"))</f>
        <v/>
      </c>
      <c r="C3130" s="40" t="n"/>
      <c r="D3130" s="41" t="n"/>
      <c r="E3130" s="42" t="n">
        <v>41276.89097222222</v>
      </c>
      <c r="F3130" s="50" t="inlineStr">
        <is>
          <t>Super Carlin Brothers</t>
        </is>
      </c>
      <c r="G3130" t="inlineStr">
        <is>
          <t>If Cookies Were Money</t>
        </is>
      </c>
      <c r="H3130" s="44" t="n">
        <v>0.002372685185185185</v>
      </c>
      <c r="I3130" s="45" t="n">
        <v>14468</v>
      </c>
      <c r="J3130" s="45" t="n">
        <v>357</v>
      </c>
      <c r="K3130" s="45" t="n">
        <v>60</v>
      </c>
      <c r="L3130" s="46" t="n"/>
      <c r="M3130" s="47" t="n"/>
      <c r="N3130" s="47" t="inlineStr">
        <is>
          <t>UCKZo4N0lVPccBkSiuyVh4yg</t>
        </is>
      </c>
      <c r="O3130" s="48" t="n">
        <v>41277.09930555556</v>
      </c>
      <c r="P3130" s="49" t="n">
        <v>41276</v>
      </c>
      <c r="Q3130" s="47" t="n">
        <v>138</v>
      </c>
      <c r="R3130" s="47" t="inlineStr">
        <is>
          <t>No Video ID yet</t>
        </is>
      </c>
      <c r="S3130" s="49" t="n"/>
      <c r="T3130" s="49" t="n"/>
      <c r="U3130" s="47" t="inlineStr">
        <is>
          <t>If you were responsible for determining how much cookie each person had to contribute, how would you do it? Twitter: @SCB_Ben @Jonkerlin =D</t>
        </is>
      </c>
      <c r="V3130" s="47">
        <f>IF(AND(P3130&gt;=Calendar!$K$2,P3130&lt;EDATE(Calendar!$K$2,1),OR(Calendar!$K$4="*",N3130=Calendar!$K$4)),P3130*100+COUNTIFS($P$6:$P$3267,P3130,$Q$6:$Q$3267,"&lt;="&amp;Q3130,$N$6:$N$3267,Calendar!$K$4),"")</f>
        <v/>
      </c>
      <c r="W3130" s="47">
        <f>IF(AND(B3130=Queue!$C$4,OR(Queue!$K$4="*",N3130=Queue!$K$4)),Q3130,"")</f>
        <v/>
      </c>
    </row>
    <row r="3131">
      <c r="A3131" s="38">
        <f>IF(M3131="","",HYPERLINK("https://www.youtube.com/watch?v="&amp;M3131,"▶"))</f>
        <v/>
      </c>
      <c r="B3131" s="39">
        <f>IF(C3131&lt;&gt;"",C3131,IF(P3131&lt;=IFERROR(INDEX(tblChannels[Watched Through],MATCH(N3131,tblChannels[Channel ID],0)),0),"Watched","Unwatched"))</f>
        <v/>
      </c>
      <c r="C3131" s="40" t="n"/>
      <c r="D3131" s="41" t="n"/>
      <c r="E3131" s="42" t="n">
        <v>41275.90625</v>
      </c>
      <c r="F3131" s="50" t="inlineStr">
        <is>
          <t>Super Carlin Brothers</t>
        </is>
      </c>
      <c r="G3131" t="inlineStr">
        <is>
          <t>Running Resolution</t>
        </is>
      </c>
      <c r="H3131" s="44" t="n">
        <v>0.002314814814814815</v>
      </c>
      <c r="I3131" s="45" t="n">
        <v>11247</v>
      </c>
      <c r="J3131" s="45" t="n">
        <v>268</v>
      </c>
      <c r="K3131" s="45" t="n">
        <v>74</v>
      </c>
      <c r="L3131" s="46" t="n"/>
      <c r="M3131" s="47" t="n"/>
      <c r="N3131" s="47" t="inlineStr">
        <is>
          <t>UCKZo4N0lVPccBkSiuyVh4yg</t>
        </is>
      </c>
      <c r="O3131" s="48" t="n">
        <v>41276.11458333334</v>
      </c>
      <c r="P3131" s="49" t="n">
        <v>41275</v>
      </c>
      <c r="Q3131" s="47" t="n">
        <v>137</v>
      </c>
      <c r="R3131" s="47" t="inlineStr">
        <is>
          <t>No Video ID yet</t>
        </is>
      </c>
      <c r="S3131" s="49" t="n"/>
      <c r="T3131" s="49" t="n"/>
      <c r="U3131" s="47" t="inlineStr">
        <is>
          <t>Jonathan describes how he will prepare for the Anthem 1/2 Marathon in Va Beach on March 17. What is the longest you have ever run/walked? TWITTER: @SCB_Ben (seriously he needs the help) and @Jonkerlin =D</t>
        </is>
      </c>
      <c r="V3131" s="47">
        <f>IF(AND(P3131&gt;=Calendar!$K$2,P3131&lt;EDATE(Calendar!$K$2,1),OR(Calendar!$K$4="*",N3131=Calendar!$K$4)),P3131*100+COUNTIFS($P$6:$P$3267,P3131,$Q$6:$Q$3267,"&lt;="&amp;Q3131,$N$6:$N$3267,Calendar!$K$4),"")</f>
        <v/>
      </c>
      <c r="W3131" s="47">
        <f>IF(AND(B3131=Queue!$C$4,OR(Queue!$K$4="*",N3131=Queue!$K$4)),Q3131,"")</f>
        <v/>
      </c>
    </row>
    <row r="3132">
      <c r="A3132" s="38">
        <f>IF(M3132="","",HYPERLINK("https://www.youtube.com/watch?v="&amp;M3132,"▶"))</f>
        <v/>
      </c>
      <c r="B3132" s="39">
        <f>IF(C3132&lt;&gt;"",C3132,IF(P3132&lt;=IFERROR(INDEX(tblChannels[Watched Through],MATCH(N3132,tblChannels[Channel ID],0)),0),"Watched","Unwatched"))</f>
        <v/>
      </c>
      <c r="C3132" s="40" t="n"/>
      <c r="D3132" s="41" t="n"/>
      <c r="E3132" s="42" t="n">
        <v>41274.76041666666</v>
      </c>
      <c r="F3132" s="50" t="inlineStr">
        <is>
          <t>Super Carlin Brothers</t>
        </is>
      </c>
      <c r="G3132" t="inlineStr">
        <is>
          <t>Resolution for Resolutions</t>
        </is>
      </c>
      <c r="H3132" s="44" t="n">
        <v>0.001886574074074074</v>
      </c>
      <c r="I3132" s="45" t="n">
        <v>10249</v>
      </c>
      <c r="J3132" s="45" t="n">
        <v>255</v>
      </c>
      <c r="K3132" s="45" t="n">
        <v>40</v>
      </c>
      <c r="L3132" s="46" t="n"/>
      <c r="M3132" s="47" t="n"/>
      <c r="N3132" s="47" t="inlineStr">
        <is>
          <t>UCKZo4N0lVPccBkSiuyVh4yg</t>
        </is>
      </c>
      <c r="O3132" s="48" t="n">
        <v>41274.96875</v>
      </c>
      <c r="P3132" s="49" t="n">
        <v>41274</v>
      </c>
      <c r="Q3132" s="47" t="n">
        <v>136</v>
      </c>
      <c r="R3132" s="47" t="inlineStr">
        <is>
          <t>No Video ID yet</t>
        </is>
      </c>
      <c r="S3132" s="49" t="n"/>
      <c r="T3132" s="49" t="n"/>
      <c r="U3132" s="47" t="inlineStr">
        <is>
          <t>My plan to have a new resolution every two weeks! What is your resolution?!!? Twitter: @SCB_Ben =D</t>
        </is>
      </c>
      <c r="V3132" s="47">
        <f>IF(AND(P3132&gt;=Calendar!$K$2,P3132&lt;EDATE(Calendar!$K$2,1),OR(Calendar!$K$4="*",N3132=Calendar!$K$4)),P3132*100+COUNTIFS($P$6:$P$3267,P3132,$Q$6:$Q$3267,"&lt;="&amp;Q3132,$N$6:$N$3267,Calendar!$K$4),"")</f>
        <v/>
      </c>
      <c r="W3132" s="47">
        <f>IF(AND(B3132=Queue!$C$4,OR(Queue!$K$4="*",N3132=Queue!$K$4)),Q3132,"")</f>
        <v/>
      </c>
    </row>
    <row r="3133">
      <c r="A3133" s="38">
        <f>IF(M3133="","",HYPERLINK("https://www.youtube.com/watch?v="&amp;M3133,"▶"))</f>
        <v/>
      </c>
      <c r="B3133" s="39">
        <f>IF(C3133&lt;&gt;"",C3133,IF(P3133&lt;=IFERROR(INDEX(tblChannels[Watched Through],MATCH(N3133,tblChannels[Channel ID],0)),0),"Watched","Unwatched"))</f>
        <v/>
      </c>
      <c r="C3133" s="40" t="n"/>
      <c r="D3133" s="41" t="n"/>
      <c r="E3133" s="42" t="n">
        <v>41271.94722222222</v>
      </c>
      <c r="F3133" s="50" t="inlineStr">
        <is>
          <t>Super Carlin Brothers</t>
        </is>
      </c>
      <c r="G3133" t="inlineStr">
        <is>
          <t>Don't orphan the salt!</t>
        </is>
      </c>
      <c r="H3133" s="44" t="n">
        <v>0.002349537037037037</v>
      </c>
      <c r="I3133" s="45" t="n">
        <v>41146</v>
      </c>
      <c r="J3133" s="45" t="n">
        <v>878</v>
      </c>
      <c r="K3133" s="45" t="n">
        <v>274</v>
      </c>
      <c r="L3133" s="46" t="n"/>
      <c r="M3133" s="47" t="n"/>
      <c r="N3133" s="47" t="inlineStr">
        <is>
          <t>UCKZo4N0lVPccBkSiuyVh4yg</t>
        </is>
      </c>
      <c r="O3133" s="48" t="n">
        <v>41272.15555555555</v>
      </c>
      <c r="P3133" s="49" t="n">
        <v>41271</v>
      </c>
      <c r="Q3133" s="47" t="n">
        <v>135</v>
      </c>
      <c r="R3133" s="47" t="inlineStr">
        <is>
          <t>No Video ID yet</t>
        </is>
      </c>
      <c r="S3133" s="49" t="n"/>
      <c r="T3133" s="49" t="n"/>
      <c r="U3133" s="47" t="inlineStr">
        <is>
          <t>Jonathan talks about all the knowledge he has ever acquired regarding salt? What foods do you like salt on? TWITTER: @jonkerlin and @SCB_Ben =D</t>
        </is>
      </c>
      <c r="V3133" s="47">
        <f>IF(AND(P3133&gt;=Calendar!$K$2,P3133&lt;EDATE(Calendar!$K$2,1),OR(Calendar!$K$4="*",N3133=Calendar!$K$4)),P3133*100+COUNTIFS($P$6:$P$3267,P3133,$Q$6:$Q$3267,"&lt;="&amp;Q3133,$N$6:$N$3267,Calendar!$K$4),"")</f>
        <v/>
      </c>
      <c r="W3133" s="47">
        <f>IF(AND(B3133=Queue!$C$4,OR(Queue!$K$4="*",N3133=Queue!$K$4)),Q3133,"")</f>
        <v/>
      </c>
    </row>
    <row r="3134">
      <c r="A3134" s="38">
        <f>IF(M3134="","",HYPERLINK("https://www.youtube.com/watch?v="&amp;M3134,"▶"))</f>
        <v/>
      </c>
      <c r="B3134" s="39">
        <f>IF(C3134&lt;&gt;"",C3134,IF(P3134&lt;=IFERROR(INDEX(tblChannels[Watched Through],MATCH(N3134,tblChannels[Channel ID],0)),0),"Watched","Unwatched"))</f>
        <v/>
      </c>
      <c r="C3134" s="40" t="n"/>
      <c r="D3134" s="41" t="n"/>
      <c r="E3134" s="42" t="n">
        <v>41270.82291666666</v>
      </c>
      <c r="F3134" s="50" t="inlineStr">
        <is>
          <t>Super Carlin Brothers</t>
        </is>
      </c>
      <c r="G3134" t="inlineStr">
        <is>
          <t>The Year of '012</t>
        </is>
      </c>
      <c r="H3134" s="44" t="n">
        <v>0.001782407407407407</v>
      </c>
      <c r="I3134" s="45" t="n">
        <v>11060</v>
      </c>
      <c r="J3134" s="45" t="n">
        <v>268</v>
      </c>
      <c r="K3134" s="45" t="n">
        <v>55</v>
      </c>
      <c r="L3134" s="46" t="n"/>
      <c r="M3134" s="47" t="n"/>
      <c r="N3134" s="47" t="inlineStr">
        <is>
          <t>UCKZo4N0lVPccBkSiuyVh4yg</t>
        </is>
      </c>
      <c r="O3134" s="48" t="n">
        <v>41271.03125</v>
      </c>
      <c r="P3134" s="49" t="n">
        <v>41270</v>
      </c>
      <c r="Q3134" s="47" t="n">
        <v>134</v>
      </c>
      <c r="R3134" s="47" t="inlineStr">
        <is>
          <t>No Video ID yet</t>
        </is>
      </c>
      <c r="S3134" s="49" t="n"/>
      <c r="T3134" s="49" t="n"/>
      <c r="U3134" s="47" t="inlineStr">
        <is>
          <t>What memorable thing did you do this year?! @SCB_Ben and @Jonkerlin =D</t>
        </is>
      </c>
      <c r="V3134" s="47">
        <f>IF(AND(P3134&gt;=Calendar!$K$2,P3134&lt;EDATE(Calendar!$K$2,1),OR(Calendar!$K$4="*",N3134=Calendar!$K$4)),P3134*100+COUNTIFS($P$6:$P$3267,P3134,$Q$6:$Q$3267,"&lt;="&amp;Q3134,$N$6:$N$3267,Calendar!$K$4),"")</f>
        <v/>
      </c>
      <c r="W3134" s="47">
        <f>IF(AND(B3134=Queue!$C$4,OR(Queue!$K$4="*",N3134=Queue!$K$4)),Q3134,"")</f>
        <v/>
      </c>
    </row>
    <row r="3135">
      <c r="A3135" s="38">
        <f>IF(M3135="","",HYPERLINK("https://www.youtube.com/watch?v="&amp;M3135,"▶"))</f>
        <v/>
      </c>
      <c r="B3135" s="39">
        <f>IF(C3135&lt;&gt;"",C3135,IF(P3135&lt;=IFERROR(INDEX(tblChannels[Watched Through],MATCH(N3135,tblChannels[Channel ID],0)),0),"Watched","Unwatched"))</f>
        <v/>
      </c>
      <c r="C3135" s="40" t="n"/>
      <c r="D3135" s="41" t="n"/>
      <c r="E3135" s="42" t="n">
        <v>41269.92222222222</v>
      </c>
      <c r="F3135" s="50" t="inlineStr">
        <is>
          <t>Super Carlin Brothers</t>
        </is>
      </c>
      <c r="G3135" t="inlineStr">
        <is>
          <t>Beth missed me!</t>
        </is>
      </c>
      <c r="H3135" s="44" t="n">
        <v>0.0007175925925925926</v>
      </c>
      <c r="I3135" s="45" t="n">
        <v>31619</v>
      </c>
      <c r="J3135" s="45" t="n">
        <v>727</v>
      </c>
      <c r="K3135" s="45" t="n">
        <v>86</v>
      </c>
      <c r="L3135" s="46" t="n"/>
      <c r="M3135" s="47" t="n"/>
      <c r="N3135" s="47" t="inlineStr">
        <is>
          <t>UCKZo4N0lVPccBkSiuyVh4yg</t>
        </is>
      </c>
      <c r="O3135" s="48" t="n">
        <v>41270.13055555556</v>
      </c>
      <c r="P3135" s="49" t="n">
        <v>41269</v>
      </c>
      <c r="Q3135" s="47" t="n">
        <v>133</v>
      </c>
      <c r="R3135" s="47" t="inlineStr">
        <is>
          <t>No Video ID yet</t>
        </is>
      </c>
      <c r="S3135" s="49" t="n"/>
      <c r="T3135" s="49" t="n"/>
      <c r="U3135" s="47" t="inlineStr">
        <is>
          <t>Jonathan was about to tell an awesome story about SALT but Beth decides that the video is over cause she missed him so much cause he's so good looking. Merry Day after Christmas! =D</t>
        </is>
      </c>
      <c r="V3135" s="47">
        <f>IF(AND(P3135&gt;=Calendar!$K$2,P3135&lt;EDATE(Calendar!$K$2,1),OR(Calendar!$K$4="*",N3135=Calendar!$K$4)),P3135*100+COUNTIFS($P$6:$P$3267,P3135,$Q$6:$Q$3267,"&lt;="&amp;Q3135,$N$6:$N$3267,Calendar!$K$4),"")</f>
        <v/>
      </c>
      <c r="W3135" s="47">
        <f>IF(AND(B3135=Queue!$C$4,OR(Queue!$K$4="*",N3135=Queue!$K$4)),Q3135,"")</f>
        <v/>
      </c>
    </row>
    <row r="3136">
      <c r="A3136" s="38">
        <f>IF(M3136="","",HYPERLINK("https://www.youtube.com/watch?v="&amp;M3136,"▶"))</f>
        <v/>
      </c>
      <c r="B3136" s="39">
        <f>IF(C3136&lt;&gt;"",C3136,IF(P3136&lt;=IFERROR(INDEX(tblChannels[Watched Through],MATCH(N3136,tblChannels[Channel ID],0)),0),"Watched","Unwatched"))</f>
        <v/>
      </c>
      <c r="C3136" s="40" t="n"/>
      <c r="D3136" s="41" t="n"/>
      <c r="E3136" s="42" t="n">
        <v>41268.85625</v>
      </c>
      <c r="F3136" s="50" t="inlineStr">
        <is>
          <t>Super Carlin Brothers</t>
        </is>
      </c>
      <c r="G3136" t="inlineStr">
        <is>
          <t>Barn Quilt and Merry Christmas!</t>
        </is>
      </c>
      <c r="H3136" s="44" t="n">
        <v>0.00130787037037037</v>
      </c>
      <c r="I3136" s="45" t="n">
        <v>10251</v>
      </c>
      <c r="J3136" s="45" t="n">
        <v>270</v>
      </c>
      <c r="K3136" s="45" t="n">
        <v>22</v>
      </c>
      <c r="L3136" s="46" t="n"/>
      <c r="M3136" s="47" t="n"/>
      <c r="N3136" s="47" t="inlineStr">
        <is>
          <t>UCKZo4N0lVPccBkSiuyVh4yg</t>
        </is>
      </c>
      <c r="O3136" s="48" t="n">
        <v>41269.06458333333</v>
      </c>
      <c r="P3136" s="49" t="n">
        <v>41268</v>
      </c>
      <c r="Q3136" s="47" t="n">
        <v>132</v>
      </c>
      <c r="R3136" s="47" t="inlineStr">
        <is>
          <t>No Video ID yet</t>
        </is>
      </c>
      <c r="S3136" s="49" t="n"/>
      <c r="T3136" s="49" t="n"/>
      <c r="U3136" s="47" t="inlineStr">
        <is>
          <t>Merry Christmas!! What did ya get!?! Twitter: @SCB_Ben and @Jonkerlin =D</t>
        </is>
      </c>
      <c r="V3136" s="47">
        <f>IF(AND(P3136&gt;=Calendar!$K$2,P3136&lt;EDATE(Calendar!$K$2,1),OR(Calendar!$K$4="*",N3136=Calendar!$K$4)),P3136*100+COUNTIFS($P$6:$P$3267,P3136,$Q$6:$Q$3267,"&lt;="&amp;Q3136,$N$6:$N$3267,Calendar!$K$4),"")</f>
        <v/>
      </c>
      <c r="W3136" s="47">
        <f>IF(AND(B3136=Queue!$C$4,OR(Queue!$K$4="*",N3136=Queue!$K$4)),Q3136,"")</f>
        <v/>
      </c>
    </row>
    <row r="3137">
      <c r="A3137" s="38">
        <f>IF(M3137="","",HYPERLINK("https://www.youtube.com/watch?v="&amp;M3137,"▶"))</f>
        <v/>
      </c>
      <c r="B3137" s="39">
        <f>IF(C3137&lt;&gt;"",C3137,IF(P3137&lt;=IFERROR(INDEX(tblChannels[Watched Through],MATCH(N3137,tblChannels[Channel ID],0)),0),"Watched","Unwatched"))</f>
        <v/>
      </c>
      <c r="C3137" s="40" t="n"/>
      <c r="D3137" s="41" t="n"/>
      <c r="E3137" s="42" t="n">
        <v>41267.57152777778</v>
      </c>
      <c r="F3137" s="50" t="inlineStr">
        <is>
          <t>Super Carlin Brothers</t>
        </is>
      </c>
      <c r="G3137" t="inlineStr">
        <is>
          <t>Pokemon Car Trip Battle - Juxtabros!</t>
        </is>
      </c>
      <c r="H3137" s="44" t="n">
        <v>0.00306712962962963</v>
      </c>
      <c r="I3137" s="45" t="n">
        <v>11981</v>
      </c>
      <c r="J3137" s="45" t="n">
        <v>281</v>
      </c>
      <c r="K3137" s="45" t="n">
        <v>37</v>
      </c>
      <c r="L3137" s="46" t="n"/>
      <c r="M3137" s="47" t="n"/>
      <c r="N3137" s="47" t="inlineStr">
        <is>
          <t>UCKZo4N0lVPccBkSiuyVh4yg</t>
        </is>
      </c>
      <c r="O3137" s="48" t="n">
        <v>41267.77986111111</v>
      </c>
      <c r="P3137" s="49" t="n">
        <v>41267</v>
      </c>
      <c r="Q3137" s="47" t="n">
        <v>131</v>
      </c>
      <c r="R3137" s="47" t="inlineStr">
        <is>
          <t>No Video ID yet</t>
        </is>
      </c>
      <c r="S3137" s="49" t="n"/>
      <c r="T3137" s="49" t="n"/>
      <c r="U3137" s="47" t="inlineStr">
        <is>
          <t>Jonathan and Tyler duke it out in Diamond and Pearl! What is your family doing for Christmas and what is your favorite Christmas Carol? Facebook: www.facebook.com/supercarlinbrothers Twitter: @jonkerlin and @scb_ben =D</t>
        </is>
      </c>
      <c r="V3137" s="47">
        <f>IF(AND(P3137&gt;=Calendar!$K$2,P3137&lt;EDATE(Calendar!$K$2,1),OR(Calendar!$K$4="*",N3137=Calendar!$K$4)),P3137*100+COUNTIFS($P$6:$P$3267,P3137,$Q$6:$Q$3267,"&lt;="&amp;Q3137,$N$6:$N$3267,Calendar!$K$4),"")</f>
        <v/>
      </c>
      <c r="W3137" s="47">
        <f>IF(AND(B3137=Queue!$C$4,OR(Queue!$K$4="*",N3137=Queue!$K$4)),Q3137,"")</f>
        <v/>
      </c>
    </row>
    <row r="3138">
      <c r="A3138" s="38">
        <f>IF(M3138="","",HYPERLINK("https://www.youtube.com/watch?v="&amp;M3138,"▶"))</f>
        <v/>
      </c>
      <c r="B3138" s="39">
        <f>IF(C3138&lt;&gt;"",C3138,IF(P3138&lt;=IFERROR(INDEX(tblChannels[Watched Through],MATCH(N3138,tblChannels[Channel ID],0)),0),"Watched","Unwatched"))</f>
        <v/>
      </c>
      <c r="C3138" s="40" t="n"/>
      <c r="D3138" s="41" t="n"/>
      <c r="E3138" s="42" t="n">
        <v>41264.92916666667</v>
      </c>
      <c r="F3138" s="50" t="inlineStr">
        <is>
          <t>Super Carlin Brothers</t>
        </is>
      </c>
      <c r="G3138" t="inlineStr">
        <is>
          <t>Like Button Peer Pressure</t>
        </is>
      </c>
      <c r="H3138" s="44" t="n">
        <v>0.001643518518518519</v>
      </c>
      <c r="I3138" s="45" t="n">
        <v>11472</v>
      </c>
      <c r="J3138" s="45" t="n">
        <v>1059</v>
      </c>
      <c r="K3138" s="45" t="n">
        <v>30</v>
      </c>
      <c r="L3138" s="46" t="n"/>
      <c r="M3138" s="47" t="n"/>
      <c r="N3138" s="47" t="inlineStr">
        <is>
          <t>UCKZo4N0lVPccBkSiuyVh4yg</t>
        </is>
      </c>
      <c r="O3138" s="48" t="n">
        <v>41265.1375</v>
      </c>
      <c r="P3138" s="49" t="n">
        <v>41264</v>
      </c>
      <c r="Q3138" s="47" t="n">
        <v>130</v>
      </c>
      <c r="R3138" s="47" t="inlineStr">
        <is>
          <t>No Video ID yet</t>
        </is>
      </c>
      <c r="S3138" s="49" t="n"/>
      <c r="T3138" s="49" t="n"/>
      <c r="U3138" s="47" t="inlineStr">
        <is>
          <t>Tweet me if you liked this vid! Cmon, cmon, cmon... it'll be so easy :) @SCB_Ben =D</t>
        </is>
      </c>
      <c r="V3138" s="47">
        <f>IF(AND(P3138&gt;=Calendar!$K$2,P3138&lt;EDATE(Calendar!$K$2,1),OR(Calendar!$K$4="*",N3138=Calendar!$K$4)),P3138*100+COUNTIFS($P$6:$P$3267,P3138,$Q$6:$Q$3267,"&lt;="&amp;Q3138,$N$6:$N$3267,Calendar!$K$4),"")</f>
        <v/>
      </c>
      <c r="W3138" s="47">
        <f>IF(AND(B3138=Queue!$C$4,OR(Queue!$K$4="*",N3138=Queue!$K$4)),Q3138,"")</f>
        <v/>
      </c>
    </row>
    <row r="3139">
      <c r="A3139" s="38">
        <f>IF(M3139="","",HYPERLINK("https://www.youtube.com/watch?v="&amp;M3139,"▶"))</f>
        <v/>
      </c>
      <c r="B3139" s="39">
        <f>IF(C3139&lt;&gt;"",C3139,IF(P3139&lt;=IFERROR(INDEX(tblChannels[Watched Through],MATCH(N3139,tblChannels[Channel ID],0)),0),"Watched","Unwatched"))</f>
        <v/>
      </c>
      <c r="C3139" s="40" t="n"/>
      <c r="D3139" s="41" t="n"/>
      <c r="E3139" s="42" t="n">
        <v>41263.98125</v>
      </c>
      <c r="F3139" s="50" t="inlineStr">
        <is>
          <t>Super Carlin Brothers</t>
        </is>
      </c>
      <c r="G3139" t="inlineStr">
        <is>
          <t>Online vs. In Person Shopping</t>
        </is>
      </c>
      <c r="H3139" s="44" t="n">
        <v>0.00224537037037037</v>
      </c>
      <c r="I3139" s="45" t="n">
        <v>35544</v>
      </c>
      <c r="J3139" s="45" t="n">
        <v>667</v>
      </c>
      <c r="K3139" s="45" t="n">
        <v>48</v>
      </c>
      <c r="L3139" s="46" t="n"/>
      <c r="M3139" s="47" t="n"/>
      <c r="N3139" s="47" t="inlineStr">
        <is>
          <t>UCKZo4N0lVPccBkSiuyVh4yg</t>
        </is>
      </c>
      <c r="O3139" s="48" t="n">
        <v>41264.18958333333</v>
      </c>
      <c r="P3139" s="49" t="n">
        <v>41263</v>
      </c>
      <c r="Q3139" s="47" t="n">
        <v>129</v>
      </c>
      <c r="R3139" s="47" t="inlineStr">
        <is>
          <t>No Video ID yet</t>
        </is>
      </c>
      <c r="S3139" s="49" t="n"/>
      <c r="T3139" s="49" t="n"/>
      <c r="U3139" s="47" t="inlineStr">
        <is>
          <t>Jonathan discusses the pros and cons of buying gifts online vs buying them in person. Which do you think is more personal? Facebook: www.facebook.com/supercarlinbrothers Twitter: @jonkerlin and @SCB_Ben =D</t>
        </is>
      </c>
      <c r="V3139" s="47">
        <f>IF(AND(P3139&gt;=Calendar!$K$2,P3139&lt;EDATE(Calendar!$K$2,1),OR(Calendar!$K$4="*",N3139=Calendar!$K$4)),P3139*100+COUNTIFS($P$6:$P$3267,P3139,$Q$6:$Q$3267,"&lt;="&amp;Q3139,$N$6:$N$3267,Calendar!$K$4),"")</f>
        <v/>
      </c>
      <c r="W3139" s="47">
        <f>IF(AND(B3139=Queue!$C$4,OR(Queue!$K$4="*",N3139=Queue!$K$4)),Q3139,"")</f>
        <v/>
      </c>
    </row>
    <row r="3140">
      <c r="A3140" s="38">
        <f>IF(M3140="","",HYPERLINK("https://www.youtube.com/watch?v="&amp;M3140,"▶"))</f>
        <v/>
      </c>
      <c r="B3140" s="39">
        <f>IF(C3140&lt;&gt;"",C3140,IF(P3140&lt;=IFERROR(INDEX(tblChannels[Watched Through],MATCH(N3140,tblChannels[Channel ID],0)),0),"Watched","Unwatched"))</f>
        <v/>
      </c>
      <c r="C3140" s="40" t="n"/>
      <c r="D3140" s="41" t="n"/>
      <c r="E3140" s="42" t="n">
        <v>41262.97013888889</v>
      </c>
      <c r="F3140" s="50" t="inlineStr">
        <is>
          <t>Super Carlin Brothers</t>
        </is>
      </c>
      <c r="G3140" t="inlineStr">
        <is>
          <t>The Bug</t>
        </is>
      </c>
      <c r="H3140" s="44" t="n">
        <v>0.0009375</v>
      </c>
      <c r="I3140" s="45" t="n">
        <v>10496</v>
      </c>
      <c r="J3140" s="45" t="n">
        <v>199</v>
      </c>
      <c r="K3140" s="45" t="n">
        <v>33</v>
      </c>
      <c r="L3140" s="46" t="n"/>
      <c r="M3140" s="47" t="n"/>
      <c r="N3140" s="47" t="inlineStr">
        <is>
          <t>UCKZo4N0lVPccBkSiuyVh4yg</t>
        </is>
      </c>
      <c r="O3140" s="48" t="n">
        <v>41263.17847222222</v>
      </c>
      <c r="P3140" s="49" t="n">
        <v>41262</v>
      </c>
      <c r="Q3140" s="47" t="n">
        <v>128</v>
      </c>
      <c r="R3140" s="47" t="inlineStr">
        <is>
          <t>No Video ID yet</t>
        </is>
      </c>
      <c r="S3140" s="49" t="n"/>
      <c r="T3140" s="49" t="n"/>
      <c r="U3140" s="47" t="inlineStr">
        <is>
          <t>What do you do when you are feeling sick to make yourself feel better? A certain food? Movie or show you watch? Game you play? For me... it's a hot shower. =D</t>
        </is>
      </c>
      <c r="V3140" s="47">
        <f>IF(AND(P3140&gt;=Calendar!$K$2,P3140&lt;EDATE(Calendar!$K$2,1),OR(Calendar!$K$4="*",N3140=Calendar!$K$4)),P3140*100+COUNTIFS($P$6:$P$3267,P3140,$Q$6:$Q$3267,"&lt;="&amp;Q3140,$N$6:$N$3267,Calendar!$K$4),"")</f>
        <v/>
      </c>
      <c r="W3140" s="47">
        <f>IF(AND(B3140=Queue!$C$4,OR(Queue!$K$4="*",N3140=Queue!$K$4)),Q3140,"")</f>
        <v/>
      </c>
    </row>
    <row r="3141">
      <c r="A3141" s="38">
        <f>IF(M3141="","",HYPERLINK("https://www.youtube.com/watch?v="&amp;M3141,"▶"))</f>
        <v/>
      </c>
      <c r="B3141" s="39">
        <f>IF(C3141&lt;&gt;"",C3141,IF(P3141&lt;=IFERROR(INDEX(tblChannels[Watched Through],MATCH(N3141,tblChannels[Channel ID],0)),0),"Watched","Unwatched"))</f>
        <v/>
      </c>
      <c r="C3141" s="40" t="n"/>
      <c r="D3141" s="41" t="n"/>
      <c r="E3141" s="42" t="n">
        <v>41261.97430555556</v>
      </c>
      <c r="F3141" s="50" t="inlineStr">
        <is>
          <t>Super Carlin Brothers</t>
        </is>
      </c>
      <c r="G3141" t="inlineStr">
        <is>
          <t>What your favorite cookie says about you</t>
        </is>
      </c>
      <c r="H3141" s="44" t="n">
        <v>0.002997685185185185</v>
      </c>
      <c r="I3141" s="45" t="n">
        <v>103759</v>
      </c>
      <c r="J3141" s="45" t="n">
        <v>2034</v>
      </c>
      <c r="K3141" s="45" t="n">
        <v>1664</v>
      </c>
      <c r="L3141" s="46" t="n"/>
      <c r="M3141" s="47" t="n"/>
      <c r="N3141" s="47" t="inlineStr">
        <is>
          <t>UCKZo4N0lVPccBkSiuyVh4yg</t>
        </is>
      </c>
      <c r="O3141" s="48" t="n">
        <v>41262.18263888889</v>
      </c>
      <c r="P3141" s="49" t="n">
        <v>41261</v>
      </c>
      <c r="Q3141" s="47" t="n">
        <v>127</v>
      </c>
      <c r="R3141" s="47" t="inlineStr">
        <is>
          <t>No Video ID yet</t>
        </is>
      </c>
      <c r="S3141" s="49" t="n"/>
      <c r="T3141" s="49" t="n"/>
      <c r="U3141" s="47" t="inlineStr">
        <is>
          <t>Jonathan tells what your favorite cookies mean about you and is racist towards white people. What is your favorite cookie? Facebook: www.facebook.com/supercarlinbrothers Twitter: @jonkerlin and @SCB_Ben =D</t>
        </is>
      </c>
      <c r="V3141" s="47">
        <f>IF(AND(P3141&gt;=Calendar!$K$2,P3141&lt;EDATE(Calendar!$K$2,1),OR(Calendar!$K$4="*",N3141=Calendar!$K$4)),P3141*100+COUNTIFS($P$6:$P$3267,P3141,$Q$6:$Q$3267,"&lt;="&amp;Q3141,$N$6:$N$3267,Calendar!$K$4),"")</f>
        <v/>
      </c>
      <c r="W3141" s="47">
        <f>IF(AND(B3141=Queue!$C$4,OR(Queue!$K$4="*",N3141=Queue!$K$4)),Q3141,"")</f>
        <v/>
      </c>
    </row>
    <row r="3142">
      <c r="A3142" s="38">
        <f>IF(M3142="","",HYPERLINK("https://www.youtube.com/watch?v="&amp;M3142,"▶"))</f>
        <v/>
      </c>
      <c r="B3142" s="39">
        <f>IF(C3142&lt;&gt;"",C3142,IF(P3142&lt;=IFERROR(INDEX(tblChannels[Watched Through],MATCH(N3142,tblChannels[Channel ID],0)),0),"Watched","Unwatched"))</f>
        <v/>
      </c>
      <c r="C3142" s="40" t="n"/>
      <c r="D3142" s="41" t="n"/>
      <c r="E3142" s="42" t="n">
        <v>41260.78125</v>
      </c>
      <c r="F3142" s="50" t="inlineStr">
        <is>
          <t>Super Carlin Brothers</t>
        </is>
      </c>
      <c r="G3142" t="inlineStr">
        <is>
          <t>Project for Awesome: Coral Restoration Foundation #P4A</t>
        </is>
      </c>
      <c r="H3142" s="44" t="n">
        <v>0.002615740740740741</v>
      </c>
      <c r="I3142" s="45" t="n">
        <v>12782</v>
      </c>
      <c r="J3142" s="45" t="n">
        <v>321</v>
      </c>
      <c r="K3142" s="45" t="n">
        <v>45</v>
      </c>
      <c r="L3142" s="46" t="n"/>
      <c r="M3142" s="47" t="n"/>
      <c r="N3142" s="47" t="inlineStr">
        <is>
          <t>UCKZo4N0lVPccBkSiuyVh4yg</t>
        </is>
      </c>
      <c r="O3142" s="48" t="n">
        <v>41260.98958333334</v>
      </c>
      <c r="P3142" s="49" t="n">
        <v>41260</v>
      </c>
      <c r="Q3142" s="47" t="n">
        <v>126</v>
      </c>
      <c r="R3142" s="47" t="inlineStr">
        <is>
          <t>No Video ID yet</t>
        </is>
      </c>
      <c r="S3142" s="49" t="n"/>
      <c r="T3142" s="49" t="n"/>
      <c r="U3142" s="47" t="inlineStr">
        <is>
          <t>The Coral Restoration Foundation Official Page: Jonathan's previous P4A Video: Twitter: @SCB_Ben and @Jonkerlin =D</t>
        </is>
      </c>
      <c r="V3142" s="47">
        <f>IF(AND(P3142&gt;=Calendar!$K$2,P3142&lt;EDATE(Calendar!$K$2,1),OR(Calendar!$K$4="*",N3142=Calendar!$K$4)),P3142*100+COUNTIFS($P$6:$P$3267,P3142,$Q$6:$Q$3267,"&lt;="&amp;Q3142,$N$6:$N$3267,Calendar!$K$4),"")</f>
        <v/>
      </c>
      <c r="W3142" s="47">
        <f>IF(AND(B3142=Queue!$C$4,OR(Queue!$K$4="*",N3142=Queue!$K$4)),Q3142,"")</f>
        <v/>
      </c>
    </row>
    <row r="3143">
      <c r="A3143" s="38">
        <f>IF(M3143="","",HYPERLINK("https://www.youtube.com/watch?v="&amp;M3143,"▶"))</f>
        <v/>
      </c>
      <c r="B3143" s="39">
        <f>IF(C3143&lt;&gt;"",C3143,IF(P3143&lt;=IFERROR(INDEX(tblChannels[Watched Through],MATCH(N3143,tblChannels[Channel ID],0)),0),"Watched","Unwatched"))</f>
        <v/>
      </c>
      <c r="C3143" s="40" t="n"/>
      <c r="D3143" s="41" t="n"/>
      <c r="E3143" s="42" t="n">
        <v>41257.72986111111</v>
      </c>
      <c r="F3143" s="50" t="inlineStr">
        <is>
          <t>Super Carlin Brothers</t>
        </is>
      </c>
      <c r="G3143" t="inlineStr">
        <is>
          <t>Connecticut Elementary School Shooting</t>
        </is>
      </c>
      <c r="H3143" s="44" t="n">
        <v>0.002766203703703704</v>
      </c>
      <c r="I3143" s="45" t="n">
        <v>13396</v>
      </c>
      <c r="J3143" s="45" t="n">
        <v>391</v>
      </c>
      <c r="K3143" s="45" t="n">
        <v>58</v>
      </c>
      <c r="L3143" s="46" t="n"/>
      <c r="M3143" s="47" t="n"/>
      <c r="N3143" s="47" t="inlineStr">
        <is>
          <t>UCKZo4N0lVPccBkSiuyVh4yg</t>
        </is>
      </c>
      <c r="O3143" s="48" t="n">
        <v>41257.93819444445</v>
      </c>
      <c r="P3143" s="49" t="n">
        <v>41257</v>
      </c>
      <c r="Q3143" s="47" t="n">
        <v>125</v>
      </c>
      <c r="R3143" s="47" t="inlineStr">
        <is>
          <t>No Video ID yet</t>
        </is>
      </c>
      <c r="S3143" s="49" t="n"/>
      <c r="T3143" s="49" t="n"/>
      <c r="U3143" s="47" t="inlineStr">
        <is>
          <t>Jonathan talks about the horrific Connecticut school shooting of earlier today. Please keep the families hurt by this tragedy in your thoughts and prayers. =D</t>
        </is>
      </c>
      <c r="V3143" s="47">
        <f>IF(AND(P3143&gt;=Calendar!$K$2,P3143&lt;EDATE(Calendar!$K$2,1),OR(Calendar!$K$4="*",N3143=Calendar!$K$4)),P3143*100+COUNTIFS($P$6:$P$3267,P3143,$Q$6:$Q$3267,"&lt;="&amp;Q3143,$N$6:$N$3267,Calendar!$K$4),"")</f>
        <v/>
      </c>
      <c r="W3143" s="47">
        <f>IF(AND(B3143=Queue!$C$4,OR(Queue!$K$4="*",N3143=Queue!$K$4)),Q3143,"")</f>
        <v/>
      </c>
    </row>
    <row r="3144">
      <c r="A3144" s="38">
        <f>IF(M3144="","",HYPERLINK("https://www.youtube.com/watch?v="&amp;M3144,"▶"))</f>
        <v/>
      </c>
      <c r="B3144" s="39">
        <f>IF(C3144&lt;&gt;"",C3144,IF(P3144&lt;=IFERROR(INDEX(tblChannels[Watched Through],MATCH(N3144,tblChannels[Channel ID],0)),0),"Watched","Unwatched"))</f>
        <v/>
      </c>
      <c r="C3144" s="40" t="n"/>
      <c r="D3144" s="41" t="n"/>
      <c r="E3144" s="42" t="n">
        <v>41256.90555555555</v>
      </c>
      <c r="F3144" s="50" t="inlineStr">
        <is>
          <t>Super Carlin Brothers</t>
        </is>
      </c>
      <c r="G3144" t="inlineStr">
        <is>
          <t>Realm Down</t>
        </is>
      </c>
      <c r="H3144" s="44" t="n">
        <v>0.001840277777777778</v>
      </c>
      <c r="I3144" s="45" t="n">
        <v>10759</v>
      </c>
      <c r="J3144" s="45" t="n">
        <v>222</v>
      </c>
      <c r="K3144" s="45" t="n">
        <v>30</v>
      </c>
      <c r="L3144" s="46" t="n"/>
      <c r="M3144" s="47" t="n"/>
      <c r="N3144" s="47" t="inlineStr">
        <is>
          <t>UCKZo4N0lVPccBkSiuyVh4yg</t>
        </is>
      </c>
      <c r="O3144" s="48" t="n">
        <v>41257.11388888889</v>
      </c>
      <c r="P3144" s="49" t="n">
        <v>41256</v>
      </c>
      <c r="Q3144" s="47" t="n">
        <v>124</v>
      </c>
      <c r="R3144" s="47" t="inlineStr">
        <is>
          <t>No Video ID yet</t>
        </is>
      </c>
      <c r="S3144" s="49" t="n"/>
      <c r="T3144" s="49" t="n"/>
      <c r="U3144" s="47" t="inlineStr">
        <is>
          <t>What game are you anxiously awaiting playing?! =D</t>
        </is>
      </c>
      <c r="V3144" s="47">
        <f>IF(AND(P3144&gt;=Calendar!$K$2,P3144&lt;EDATE(Calendar!$K$2,1),OR(Calendar!$K$4="*",N3144=Calendar!$K$4)),P3144*100+COUNTIFS($P$6:$P$3267,P3144,$Q$6:$Q$3267,"&lt;="&amp;Q3144,$N$6:$N$3267,Calendar!$K$4),"")</f>
        <v/>
      </c>
      <c r="W3144" s="47">
        <f>IF(AND(B3144=Queue!$C$4,OR(Queue!$K$4="*",N3144=Queue!$K$4)),Q3144,"")</f>
        <v/>
      </c>
    </row>
    <row r="3145">
      <c r="A3145" s="38">
        <f>IF(M3145="","",HYPERLINK("https://www.youtube.com/watch?v="&amp;M3145,"▶"))</f>
        <v/>
      </c>
      <c r="B3145" s="39">
        <f>IF(C3145&lt;&gt;"",C3145,IF(P3145&lt;=IFERROR(INDEX(tblChannels[Watched Through],MATCH(N3145,tblChannels[Channel ID],0)),0),"Watched","Unwatched"))</f>
        <v/>
      </c>
      <c r="C3145" s="40" t="n"/>
      <c r="D3145" s="41" t="n"/>
      <c r="E3145" s="42" t="n">
        <v>41255.95347222222</v>
      </c>
      <c r="F3145" s="50" t="inlineStr">
        <is>
          <t>Super Carlin Brothers</t>
        </is>
      </c>
      <c r="G3145" t="inlineStr">
        <is>
          <t>Top 5 Favorite Video Games</t>
        </is>
      </c>
      <c r="H3145" s="44" t="n">
        <v>0.003391203703703704</v>
      </c>
      <c r="I3145" s="45" t="n">
        <v>18746</v>
      </c>
      <c r="J3145" s="45" t="n">
        <v>452</v>
      </c>
      <c r="K3145" s="45" t="n">
        <v>183</v>
      </c>
      <c r="L3145" s="46" t="n"/>
      <c r="M3145" s="47" t="n"/>
      <c r="N3145" s="47" t="inlineStr">
        <is>
          <t>UCKZo4N0lVPccBkSiuyVh4yg</t>
        </is>
      </c>
      <c r="O3145" s="48" t="n">
        <v>41256.16180555556</v>
      </c>
      <c r="P3145" s="49" t="n">
        <v>41255</v>
      </c>
      <c r="Q3145" s="47" t="n">
        <v>123</v>
      </c>
      <c r="R3145" s="47" t="inlineStr">
        <is>
          <t>No Video ID yet</t>
        </is>
      </c>
      <c r="S3145" s="49" t="n"/>
      <c r="T3145" s="49" t="n"/>
      <c r="U3145" s="47" t="inlineStr">
        <is>
          <t>Jonathan discusses his 5 favorite video games. What is your favorite??? TWITTER: @jonkerlin and @SCB_ben =D</t>
        </is>
      </c>
      <c r="V3145" s="47">
        <f>IF(AND(P3145&gt;=Calendar!$K$2,P3145&lt;EDATE(Calendar!$K$2,1),OR(Calendar!$K$4="*",N3145=Calendar!$K$4)),P3145*100+COUNTIFS($P$6:$P$3267,P3145,$Q$6:$Q$3267,"&lt;="&amp;Q3145,$N$6:$N$3267,Calendar!$K$4),"")</f>
        <v/>
      </c>
      <c r="W3145" s="47">
        <f>IF(AND(B3145=Queue!$C$4,OR(Queue!$K$4="*",N3145=Queue!$K$4)),Q3145,"")</f>
        <v/>
      </c>
    </row>
    <row r="3146">
      <c r="A3146" s="38">
        <f>IF(M3146="","",HYPERLINK("https://www.youtube.com/watch?v="&amp;M3146,"▶"))</f>
        <v/>
      </c>
      <c r="B3146" s="39">
        <f>IF(C3146&lt;&gt;"",C3146,IF(P3146&lt;=IFERROR(INDEX(tblChannels[Watched Through],MATCH(N3146,tblChannels[Channel ID],0)),0),"Watched","Unwatched"))</f>
        <v/>
      </c>
      <c r="C3146" s="40" t="n"/>
      <c r="D3146" s="41" t="n"/>
      <c r="E3146" s="42" t="n">
        <v>41254.87569444445</v>
      </c>
      <c r="F3146" s="50" t="inlineStr">
        <is>
          <t>Super Carlin Brothers</t>
        </is>
      </c>
      <c r="G3146" t="inlineStr">
        <is>
          <t>Nervous Ticks</t>
        </is>
      </c>
      <c r="H3146" s="44" t="n">
        <v>0.001666666666666667</v>
      </c>
      <c r="I3146" s="45" t="n">
        <v>20387</v>
      </c>
      <c r="J3146" s="45" t="n">
        <v>364</v>
      </c>
      <c r="K3146" s="45" t="n">
        <v>83</v>
      </c>
      <c r="L3146" s="46" t="n"/>
      <c r="M3146" s="47" t="n"/>
      <c r="N3146" s="47" t="inlineStr">
        <is>
          <t>UCKZo4N0lVPccBkSiuyVh4yg</t>
        </is>
      </c>
      <c r="O3146" s="48" t="n">
        <v>41255.08402777778</v>
      </c>
      <c r="P3146" s="49" t="n">
        <v>41254</v>
      </c>
      <c r="Q3146" s="47" t="n">
        <v>122</v>
      </c>
      <c r="R3146" s="47" t="inlineStr">
        <is>
          <t>No Video ID yet</t>
        </is>
      </c>
      <c r="S3146" s="49" t="n"/>
      <c r="T3146" s="49" t="n"/>
      <c r="U3146" s="47" t="inlineStr">
        <is>
          <t>Do you have a nervous tick!? You can also let me know via tweet! @SCB_Ben =D</t>
        </is>
      </c>
      <c r="V3146" s="47">
        <f>IF(AND(P3146&gt;=Calendar!$K$2,P3146&lt;EDATE(Calendar!$K$2,1),OR(Calendar!$K$4="*",N3146=Calendar!$K$4)),P3146*100+COUNTIFS($P$6:$P$3267,P3146,$Q$6:$Q$3267,"&lt;="&amp;Q3146,$N$6:$N$3267,Calendar!$K$4),"")</f>
        <v/>
      </c>
      <c r="W3146" s="47">
        <f>IF(AND(B3146=Queue!$C$4,OR(Queue!$K$4="*",N3146=Queue!$K$4)),Q3146,"")</f>
        <v/>
      </c>
    </row>
    <row r="3147">
      <c r="A3147" s="38">
        <f>IF(M3147="","",HYPERLINK("https://www.youtube.com/watch?v="&amp;M3147,"▶"))</f>
        <v/>
      </c>
      <c r="B3147" s="39">
        <f>IF(C3147&lt;&gt;"",C3147,IF(P3147&lt;=IFERROR(INDEX(tblChannels[Watched Through],MATCH(N3147,tblChannels[Channel ID],0)),0),"Watched","Unwatched"))</f>
        <v/>
      </c>
      <c r="C3147" s="40" t="n"/>
      <c r="D3147" s="41" t="n"/>
      <c r="E3147" s="42" t="n">
        <v>41253.59652777778</v>
      </c>
      <c r="F3147" s="50" t="inlineStr">
        <is>
          <t>Super Carlin Brothers</t>
        </is>
      </c>
      <c r="G3147" t="inlineStr">
        <is>
          <t>Platypus VS Koala</t>
        </is>
      </c>
      <c r="H3147" s="44" t="n">
        <v>0.002314814814814815</v>
      </c>
      <c r="I3147" s="45" t="n">
        <v>39825</v>
      </c>
      <c r="J3147" s="45" t="n">
        <v>654</v>
      </c>
      <c r="K3147" s="45" t="n">
        <v>334</v>
      </c>
      <c r="L3147" s="46" t="n"/>
      <c r="M3147" s="47" t="n"/>
      <c r="N3147" s="47" t="inlineStr">
        <is>
          <t>UCKZo4N0lVPccBkSiuyVh4yg</t>
        </is>
      </c>
      <c r="O3147" s="48" t="n">
        <v>41253.80486111111</v>
      </c>
      <c r="P3147" s="49" t="n">
        <v>41253</v>
      </c>
      <c r="Q3147" s="47" t="n">
        <v>121</v>
      </c>
      <c r="R3147" s="47" t="inlineStr">
        <is>
          <t>No Video ID yet</t>
        </is>
      </c>
      <c r="S3147" s="49" t="n"/>
      <c r="T3147" s="49" t="n"/>
      <c r="U3147" s="47" t="inlineStr">
        <is>
          <t>Jonathan describes the differences between 2 of the most interesting (and boring) animals he's ever come across. What is your favorite animal? TWITTER: @jonkerlin and @SCB_Ben =D</t>
        </is>
      </c>
      <c r="V3147" s="47">
        <f>IF(AND(P3147&gt;=Calendar!$K$2,P3147&lt;EDATE(Calendar!$K$2,1),OR(Calendar!$K$4="*",N3147=Calendar!$K$4)),P3147*100+COUNTIFS($P$6:$P$3267,P3147,$Q$6:$Q$3267,"&lt;="&amp;Q3147,$N$6:$N$3267,Calendar!$K$4),"")</f>
        <v/>
      </c>
      <c r="W3147" s="47">
        <f>IF(AND(B3147=Queue!$C$4,OR(Queue!$K$4="*",N3147=Queue!$K$4)),Q3147,"")</f>
        <v/>
      </c>
    </row>
    <row r="3148">
      <c r="A3148" s="38">
        <f>IF(M3148="","",HYPERLINK("https://www.youtube.com/watch?v="&amp;M3148,"▶"))</f>
        <v/>
      </c>
      <c r="B3148" s="39">
        <f>IF(C3148&lt;&gt;"",C3148,IF(P3148&lt;=IFERROR(INDEX(tblChannels[Watched Through],MATCH(N3148,tblChannels[Channel ID],0)),0),"Watched","Unwatched"))</f>
        <v/>
      </c>
      <c r="C3148" s="40" t="n"/>
      <c r="D3148" s="41" t="n"/>
      <c r="E3148" s="42" t="n">
        <v>41250.94375</v>
      </c>
      <c r="F3148" s="50" t="inlineStr">
        <is>
          <t>Super Carlin Brothers</t>
        </is>
      </c>
      <c r="G3148" t="inlineStr">
        <is>
          <t>Relationship Advice: Breakups</t>
        </is>
      </c>
      <c r="H3148" s="44" t="n">
        <v>0.003425925925925926</v>
      </c>
      <c r="I3148" s="45" t="n">
        <v>17822</v>
      </c>
      <c r="J3148" s="45" t="n">
        <v>443</v>
      </c>
      <c r="K3148" s="45" t="n">
        <v>75</v>
      </c>
      <c r="L3148" s="46" t="n"/>
      <c r="M3148" s="47" t="n"/>
      <c r="N3148" s="47" t="inlineStr">
        <is>
          <t>UCKZo4N0lVPccBkSiuyVh4yg</t>
        </is>
      </c>
      <c r="O3148" s="48" t="n">
        <v>41251.15208333333</v>
      </c>
      <c r="P3148" s="49" t="n">
        <v>41250</v>
      </c>
      <c r="Q3148" s="47" t="n">
        <v>120</v>
      </c>
      <c r="R3148" s="47" t="inlineStr">
        <is>
          <t>No Video ID yet</t>
        </is>
      </c>
      <c r="S3148" s="49" t="n"/>
      <c r="T3148" s="49" t="n"/>
      <c r="U3148" s="47" t="inlineStr">
        <is>
          <t>What are your break up stories?! OR Platypus vs. Koala Bear... Where do you stand?!!? =D</t>
        </is>
      </c>
      <c r="V3148" s="47">
        <f>IF(AND(P3148&gt;=Calendar!$K$2,P3148&lt;EDATE(Calendar!$K$2,1),OR(Calendar!$K$4="*",N3148=Calendar!$K$4)),P3148*100+COUNTIFS($P$6:$P$3267,P3148,$Q$6:$Q$3267,"&lt;="&amp;Q3148,$N$6:$N$3267,Calendar!$K$4),"")</f>
        <v/>
      </c>
      <c r="W3148" s="47">
        <f>IF(AND(B3148=Queue!$C$4,OR(Queue!$K$4="*",N3148=Queue!$K$4)),Q3148,"")</f>
        <v/>
      </c>
    </row>
    <row r="3149">
      <c r="A3149" s="38">
        <f>IF(M3149="","",HYPERLINK("https://www.youtube.com/watch?v="&amp;M3149,"▶"))</f>
        <v/>
      </c>
      <c r="B3149" s="39">
        <f>IF(C3149&lt;&gt;"",C3149,IF(P3149&lt;=IFERROR(INDEX(tblChannels[Watched Through],MATCH(N3149,tblChannels[Channel ID],0)),0),"Watched","Unwatched"))</f>
        <v/>
      </c>
      <c r="C3149" s="40" t="n"/>
      <c r="D3149" s="41" t="n"/>
      <c r="E3149" s="42" t="n">
        <v>41249.97916666666</v>
      </c>
      <c r="F3149" s="50" t="inlineStr">
        <is>
          <t>Super Carlin Brothers</t>
        </is>
      </c>
      <c r="G3149" t="inlineStr">
        <is>
          <t>How to Ask a Girl Out</t>
        </is>
      </c>
      <c r="H3149" s="44" t="n">
        <v>0.002893518518518518</v>
      </c>
      <c r="I3149" s="45" t="n">
        <v>78856</v>
      </c>
      <c r="J3149" s="45" t="n">
        <v>1869</v>
      </c>
      <c r="K3149" s="45" t="n">
        <v>352</v>
      </c>
      <c r="L3149" s="46" t="n"/>
      <c r="M3149" s="47" t="n"/>
      <c r="N3149" s="47" t="inlineStr">
        <is>
          <t>UCKZo4N0lVPccBkSiuyVh4yg</t>
        </is>
      </c>
      <c r="O3149" s="48" t="n">
        <v>41250.1875</v>
      </c>
      <c r="P3149" s="49" t="n">
        <v>41249</v>
      </c>
      <c r="Q3149" s="47" t="n">
        <v>119</v>
      </c>
      <c r="R3149" s="47" t="inlineStr">
        <is>
          <t>No Video ID yet</t>
        </is>
      </c>
      <c r="S3149" s="49" t="n"/>
      <c r="T3149" s="49" t="n"/>
      <c r="U3149" s="47" t="inlineStr">
        <is>
          <t>Jonathan tells how to ask someone out and tells how he asked out Beth. Have you ever had a bad experience asking someone out? Facebook: www.facebook.com/supercarlinbrothers Twitter: @jonkerlin and @SCB_Ben =D</t>
        </is>
      </c>
      <c r="V3149" s="47">
        <f>IF(AND(P3149&gt;=Calendar!$K$2,P3149&lt;EDATE(Calendar!$K$2,1),OR(Calendar!$K$4="*",N3149=Calendar!$K$4)),P3149*100+COUNTIFS($P$6:$P$3267,P3149,$Q$6:$Q$3267,"&lt;="&amp;Q3149,$N$6:$N$3267,Calendar!$K$4),"")</f>
        <v/>
      </c>
      <c r="W3149" s="47">
        <f>IF(AND(B3149=Queue!$C$4,OR(Queue!$K$4="*",N3149=Queue!$K$4)),Q3149,"")</f>
        <v/>
      </c>
    </row>
    <row r="3150">
      <c r="A3150" s="38">
        <f>IF(M3150="","",HYPERLINK("https://www.youtube.com/watch?v="&amp;M3150,"▶"))</f>
        <v/>
      </c>
      <c r="B3150" s="39">
        <f>IF(C3150&lt;&gt;"",C3150,IF(P3150&lt;=IFERROR(INDEX(tblChannels[Watched Through],MATCH(N3150,tblChannels[Channel ID],0)),0),"Watched","Unwatched"))</f>
        <v/>
      </c>
      <c r="C3150" s="40" t="n"/>
      <c r="D3150" s="41" t="n"/>
      <c r="E3150" s="42" t="n">
        <v>41248.98611111111</v>
      </c>
      <c r="F3150" s="50" t="inlineStr">
        <is>
          <t>Super Carlin Brothers</t>
        </is>
      </c>
      <c r="G3150" t="inlineStr">
        <is>
          <t>12-05 Day</t>
        </is>
      </c>
      <c r="H3150" s="44" t="n">
        <v>0.002118055555555556</v>
      </c>
      <c r="I3150" s="45" t="n">
        <v>12886</v>
      </c>
      <c r="J3150" s="45" t="n">
        <v>311</v>
      </c>
      <c r="K3150" s="45" t="n">
        <v>44</v>
      </c>
      <c r="L3150" s="46" t="n"/>
      <c r="M3150" s="47" t="n"/>
      <c r="N3150" s="47" t="inlineStr">
        <is>
          <t>UCKZo4N0lVPccBkSiuyVh4yg</t>
        </is>
      </c>
      <c r="O3150" s="48" t="n">
        <v>41249.19444444445</v>
      </c>
      <c r="P3150" s="49" t="n">
        <v>41248</v>
      </c>
      <c r="Q3150" s="47" t="n">
        <v>118</v>
      </c>
      <c r="R3150" s="47" t="inlineStr">
        <is>
          <t>No Video ID yet</t>
        </is>
      </c>
      <c r="S3150" s="49" t="n"/>
      <c r="T3150" s="49" t="n"/>
      <c r="U3150" s="47" t="inlineStr">
        <is>
          <t>What holiday calamities or funny stories do you have!? =D</t>
        </is>
      </c>
      <c r="V3150" s="47">
        <f>IF(AND(P3150&gt;=Calendar!$K$2,P3150&lt;EDATE(Calendar!$K$2,1),OR(Calendar!$K$4="*",N3150=Calendar!$K$4)),P3150*100+COUNTIFS($P$6:$P$3267,P3150,$Q$6:$Q$3267,"&lt;="&amp;Q3150,$N$6:$N$3267,Calendar!$K$4),"")</f>
        <v/>
      </c>
      <c r="W3150" s="47">
        <f>IF(AND(B3150=Queue!$C$4,OR(Queue!$K$4="*",N3150=Queue!$K$4)),Q3150,"")</f>
        <v/>
      </c>
    </row>
    <row r="3151">
      <c r="A3151" s="38">
        <f>IF(M3151="","",HYPERLINK("https://www.youtube.com/watch?v="&amp;M3151,"▶"))</f>
        <v/>
      </c>
      <c r="B3151" s="39">
        <f>IF(C3151&lt;&gt;"",C3151,IF(P3151&lt;=IFERROR(INDEX(tblChannels[Watched Through],MATCH(N3151,tblChannels[Channel ID],0)),0),"Watched","Unwatched"))</f>
        <v/>
      </c>
      <c r="C3151" s="40" t="n"/>
      <c r="D3151" s="41" t="n"/>
      <c r="E3151" s="42" t="n">
        <v>41247.97638888889</v>
      </c>
      <c r="F3151" s="50" t="inlineStr">
        <is>
          <t>Super Carlin Brothers</t>
        </is>
      </c>
      <c r="G3151" t="inlineStr">
        <is>
          <t>Top 10 Worst ways to wrap a gift</t>
        </is>
      </c>
      <c r="H3151" s="44" t="n">
        <v>0.00375</v>
      </c>
      <c r="I3151" s="45" t="n">
        <v>117335</v>
      </c>
      <c r="J3151" s="45" t="n">
        <v>2837</v>
      </c>
      <c r="K3151" s="45" t="n">
        <v>274</v>
      </c>
      <c r="L3151" s="46" t="n"/>
      <c r="M3151" s="47" t="n"/>
      <c r="N3151" s="47" t="inlineStr">
        <is>
          <t>UCKZo4N0lVPccBkSiuyVh4yg</t>
        </is>
      </c>
      <c r="O3151" s="48" t="n">
        <v>41248.18472222222</v>
      </c>
      <c r="P3151" s="49" t="n">
        <v>41247</v>
      </c>
      <c r="Q3151" s="47" t="n">
        <v>117</v>
      </c>
      <c r="R3151" s="47" t="inlineStr">
        <is>
          <t>No Video ID yet</t>
        </is>
      </c>
      <c r="S3151" s="49" t="n"/>
      <c r="T3151" s="49" t="n"/>
      <c r="U3151" s="47" t="inlineStr">
        <is>
          <t>Jonathan recollects a favorite Christmas tradition: The GMA Gift Exchange. What is a tradition you have with your friends? FACEBOOK: www.facebook.com/SuperCarlinBrothers TWITTER: @jonkerlin and @SCB_Ben =D</t>
        </is>
      </c>
      <c r="V3151" s="47">
        <f>IF(AND(P3151&gt;=Calendar!$K$2,P3151&lt;EDATE(Calendar!$K$2,1),OR(Calendar!$K$4="*",N3151=Calendar!$K$4)),P3151*100+COUNTIFS($P$6:$P$3267,P3151,$Q$6:$Q$3267,"&lt;="&amp;Q3151,$N$6:$N$3267,Calendar!$K$4),"")</f>
        <v/>
      </c>
      <c r="W3151" s="47">
        <f>IF(AND(B3151=Queue!$C$4,OR(Queue!$K$4="*",N3151=Queue!$K$4)),Q3151,"")</f>
        <v/>
      </c>
    </row>
    <row r="3152">
      <c r="A3152" s="38">
        <f>IF(M3152="","",HYPERLINK("https://www.youtube.com/watch?v="&amp;M3152,"▶"))</f>
        <v/>
      </c>
      <c r="B3152" s="39">
        <f>IF(C3152&lt;&gt;"",C3152,IF(P3152&lt;=IFERROR(INDEX(tblChannels[Watched Through],MATCH(N3152,tblChannels[Channel ID],0)),0),"Watched","Unwatched"))</f>
        <v/>
      </c>
      <c r="C3152" s="40" t="n"/>
      <c r="D3152" s="41" t="n"/>
      <c r="E3152" s="42" t="n">
        <v>41246.92638888889</v>
      </c>
      <c r="F3152" s="50" t="inlineStr">
        <is>
          <t>Super Carlin Brothers</t>
        </is>
      </c>
      <c r="G3152" t="inlineStr">
        <is>
          <t>Gifts for People Who Google Autofill</t>
        </is>
      </c>
      <c r="H3152" s="44" t="n">
        <v>0.002395833333333333</v>
      </c>
      <c r="I3152" s="45" t="n">
        <v>45607</v>
      </c>
      <c r="J3152" s="45" t="n">
        <v>671</v>
      </c>
      <c r="K3152" s="45" t="n">
        <v>88</v>
      </c>
      <c r="L3152" s="46" t="n"/>
      <c r="M3152" s="47" t="n"/>
      <c r="N3152" s="47" t="inlineStr">
        <is>
          <t>UCKZo4N0lVPccBkSiuyVh4yg</t>
        </is>
      </c>
      <c r="O3152" s="48" t="n">
        <v>41247.13472222222</v>
      </c>
      <c r="P3152" s="49" t="n">
        <v>41246</v>
      </c>
      <c r="Q3152" s="47" t="n">
        <v>116</v>
      </c>
      <c r="R3152" s="47" t="inlineStr">
        <is>
          <t>No Video ID yet</t>
        </is>
      </c>
      <c r="S3152" s="49" t="n"/>
      <c r="T3152" s="49" t="n"/>
      <c r="U3152" s="47" t="inlineStr">
        <is>
          <t>What unique gift are you getting for someone this year?!?! =D</t>
        </is>
      </c>
      <c r="V3152" s="47">
        <f>IF(AND(P3152&gt;=Calendar!$K$2,P3152&lt;EDATE(Calendar!$K$2,1),OR(Calendar!$K$4="*",N3152=Calendar!$K$4)),P3152*100+COUNTIFS($P$6:$P$3267,P3152,$Q$6:$Q$3267,"&lt;="&amp;Q3152,$N$6:$N$3267,Calendar!$K$4),"")</f>
        <v/>
      </c>
      <c r="W3152" s="47">
        <f>IF(AND(B3152=Queue!$C$4,OR(Queue!$K$4="*",N3152=Queue!$K$4)),Q3152,"")</f>
        <v/>
      </c>
    </row>
    <row r="3153">
      <c r="A3153" s="38">
        <f>IF(M3153="","",HYPERLINK("https://www.youtube.com/watch?v="&amp;M3153,"▶"))</f>
        <v/>
      </c>
      <c r="B3153" s="39">
        <f>IF(C3153&lt;&gt;"",C3153,IF(P3153&lt;=IFERROR(INDEX(tblChannels[Watched Through],MATCH(N3153,tblChannels[Channel ID],0)),0),"Watched","Unwatched"))</f>
        <v/>
      </c>
      <c r="C3153" s="40" t="n"/>
      <c r="D3153" s="41" t="n"/>
      <c r="E3153" s="42" t="n">
        <v>41243.82430555556</v>
      </c>
      <c r="F3153" s="50" t="inlineStr">
        <is>
          <t>Super Carlin Brothers</t>
        </is>
      </c>
      <c r="G3153" t="inlineStr">
        <is>
          <t>Profile Picture Cliches</t>
        </is>
      </c>
      <c r="H3153" s="44" t="n">
        <v>0.003159722222222222</v>
      </c>
      <c r="I3153" s="45" t="n">
        <v>82846</v>
      </c>
      <c r="J3153" s="45" t="n">
        <v>1560</v>
      </c>
      <c r="K3153" s="45" t="n">
        <v>402</v>
      </c>
      <c r="L3153" s="46" t="n"/>
      <c r="M3153" s="47" t="n"/>
      <c r="N3153" s="47" t="inlineStr">
        <is>
          <t>UCKZo4N0lVPccBkSiuyVh4yg</t>
        </is>
      </c>
      <c r="O3153" s="48" t="n">
        <v>41244.03263888889</v>
      </c>
      <c r="P3153" s="49" t="n">
        <v>41243</v>
      </c>
      <c r="Q3153" s="47" t="n">
        <v>115</v>
      </c>
      <c r="R3153" s="47" t="inlineStr">
        <is>
          <t>No Video ID yet</t>
        </is>
      </c>
      <c r="S3153" s="49" t="n"/>
      <c r="T3153" s="49" t="n"/>
      <c r="U3153" s="47" t="inlineStr">
        <is>
          <t>Jonathan discusses the most common profile pictures and what they say about you. Have you ever done any cliché Facebook Profile Pics? Show us here: www.facebook.com/supercarlinbrothers TWITTER: @Jonkerlin and @SCB_Ben =D</t>
        </is>
      </c>
      <c r="V3153" s="47">
        <f>IF(AND(P3153&gt;=Calendar!$K$2,P3153&lt;EDATE(Calendar!$K$2,1),OR(Calendar!$K$4="*",N3153=Calendar!$K$4)),P3153*100+COUNTIFS($P$6:$P$3267,P3153,$Q$6:$Q$3267,"&lt;="&amp;Q3153,$N$6:$N$3267,Calendar!$K$4),"")</f>
        <v/>
      </c>
      <c r="W3153" s="47">
        <f>IF(AND(B3153=Queue!$C$4,OR(Queue!$K$4="*",N3153=Queue!$K$4)),Q3153,"")</f>
        <v/>
      </c>
    </row>
    <row r="3154">
      <c r="A3154" s="38">
        <f>IF(M3154="","",HYPERLINK("https://www.youtube.com/watch?v="&amp;M3154,"▶"))</f>
        <v/>
      </c>
      <c r="B3154" s="39">
        <f>IF(C3154&lt;&gt;"",C3154,IF(P3154&lt;=IFERROR(INDEX(tblChannels[Watched Through],MATCH(N3154,tblChannels[Channel ID],0)),0),"Watched","Unwatched"))</f>
        <v/>
      </c>
      <c r="C3154" s="40" t="n"/>
      <c r="D3154" s="41" t="n"/>
      <c r="E3154" s="42" t="n">
        <v>41242.95138888889</v>
      </c>
      <c r="F3154" s="50" t="inlineStr">
        <is>
          <t>Super Carlin Brothers</t>
        </is>
      </c>
      <c r="G3154" t="inlineStr">
        <is>
          <t>The Mirror Pic</t>
        </is>
      </c>
      <c r="H3154" s="44" t="n">
        <v>0.001400462962962963</v>
      </c>
      <c r="I3154" s="45" t="n">
        <v>12091</v>
      </c>
      <c r="J3154" s="45" t="n">
        <v>247</v>
      </c>
      <c r="K3154" s="45" t="n">
        <v>42</v>
      </c>
      <c r="L3154" s="46" t="n"/>
      <c r="M3154" s="47" t="n"/>
      <c r="N3154" s="47" t="inlineStr">
        <is>
          <t>UCKZo4N0lVPccBkSiuyVh4yg</t>
        </is>
      </c>
      <c r="O3154" s="48" t="n">
        <v>41243.15972222222</v>
      </c>
      <c r="P3154" s="49" t="n">
        <v>41242</v>
      </c>
      <c r="Q3154" s="47" t="n">
        <v>114</v>
      </c>
      <c r="R3154" s="47" t="inlineStr">
        <is>
          <t>No Video ID yet</t>
        </is>
      </c>
      <c r="S3154" s="49" t="n"/>
      <c r="T3154" s="49" t="n"/>
      <c r="U3154" s="47" t="inlineStr">
        <is>
          <t>Would you censor yourself or edit what you say if you could? I need more outro's! Send them to me here: supercarlinbrothers@gmail.com OR post them as a video response! TWITTER: @jonkerlin and @SCB_Ben =D</t>
        </is>
      </c>
      <c r="V3154" s="47">
        <f>IF(AND(P3154&gt;=Calendar!$K$2,P3154&lt;EDATE(Calendar!$K$2,1),OR(Calendar!$K$4="*",N3154=Calendar!$K$4)),P3154*100+COUNTIFS($P$6:$P$3267,P3154,$Q$6:$Q$3267,"&lt;="&amp;Q3154,$N$6:$N$3267,Calendar!$K$4),"")</f>
        <v/>
      </c>
      <c r="W3154" s="47">
        <f>IF(AND(B3154=Queue!$C$4,OR(Queue!$K$4="*",N3154=Queue!$K$4)),Q3154,"")</f>
        <v/>
      </c>
    </row>
    <row r="3155">
      <c r="A3155" s="38">
        <f>IF(M3155="","",HYPERLINK("https://www.youtube.com/watch?v="&amp;M3155,"▶"))</f>
        <v/>
      </c>
      <c r="B3155" s="39">
        <f>IF(C3155&lt;&gt;"",C3155,IF(P3155&lt;=IFERROR(INDEX(tblChannels[Watched Through],MATCH(N3155,tblChannels[Channel ID],0)),0),"Watched","Unwatched"))</f>
        <v/>
      </c>
      <c r="C3155" s="40" t="n"/>
      <c r="D3155" s="41" t="n"/>
      <c r="E3155" s="42" t="n">
        <v>41241.83888888889</v>
      </c>
      <c r="F3155" s="50" t="inlineStr">
        <is>
          <t>Super Carlin Brothers</t>
        </is>
      </c>
      <c r="G3155" t="inlineStr">
        <is>
          <t>Santa and Coal</t>
        </is>
      </c>
      <c r="H3155" s="44" t="n">
        <v>0.002453703703703704</v>
      </c>
      <c r="I3155" s="45" t="n">
        <v>44311</v>
      </c>
      <c r="J3155" s="45" t="n">
        <v>812</v>
      </c>
      <c r="K3155" s="45" t="n">
        <v>247</v>
      </c>
      <c r="L3155" s="46" t="n"/>
      <c r="M3155" s="47" t="n"/>
      <c r="N3155" s="47" t="inlineStr">
        <is>
          <t>UCKZo4N0lVPccBkSiuyVh4yg</t>
        </is>
      </c>
      <c r="O3155" s="48" t="n">
        <v>41242.04722222222</v>
      </c>
      <c r="P3155" s="49" t="n">
        <v>41241</v>
      </c>
      <c r="Q3155" s="47" t="n">
        <v>113</v>
      </c>
      <c r="R3155" s="47" t="inlineStr">
        <is>
          <t>No Video ID yet</t>
        </is>
      </c>
      <c r="S3155" s="49" t="n"/>
      <c r="T3155" s="49" t="n"/>
      <c r="U3155" s="47" t="inlineStr">
        <is>
          <t>Jonathan discusses the unglamorous side of Santa Clause What are you asking for for Christmas? TWITTER: @jonkerlin and @SCB_ben =D</t>
        </is>
      </c>
      <c r="V3155" s="47">
        <f>IF(AND(P3155&gt;=Calendar!$K$2,P3155&lt;EDATE(Calendar!$K$2,1),OR(Calendar!$K$4="*",N3155=Calendar!$K$4)),P3155*100+COUNTIFS($P$6:$P$3267,P3155,$Q$6:$Q$3267,"&lt;="&amp;Q3155,$N$6:$N$3267,Calendar!$K$4),"")</f>
        <v/>
      </c>
      <c r="W3155" s="47">
        <f>IF(AND(B3155=Queue!$C$4,OR(Queue!$K$4="*",N3155=Queue!$K$4)),Q3155,"")</f>
        <v/>
      </c>
    </row>
    <row r="3156">
      <c r="A3156" s="38">
        <f>IF(M3156="","",HYPERLINK("https://www.youtube.com/watch?v="&amp;M3156,"▶"))</f>
        <v/>
      </c>
      <c r="B3156" s="39">
        <f>IF(C3156&lt;&gt;"",C3156,IF(P3156&lt;=IFERROR(INDEX(tblChannels[Watched Through],MATCH(N3156,tblChannels[Channel ID],0)),0),"Watched","Unwatched"))</f>
        <v/>
      </c>
      <c r="C3156" s="40" t="n"/>
      <c r="D3156" s="41" t="n"/>
      <c r="E3156" s="42" t="n">
        <v>41240.94305555556</v>
      </c>
      <c r="F3156" s="50" t="inlineStr">
        <is>
          <t>Super Carlin Brothers</t>
        </is>
      </c>
      <c r="G3156" t="inlineStr">
        <is>
          <t>Winning The Lottery</t>
        </is>
      </c>
      <c r="H3156" s="44" t="n">
        <v>0.001168981481481482</v>
      </c>
      <c r="I3156" s="45" t="n">
        <v>11663</v>
      </c>
      <c r="J3156" s="45" t="n">
        <v>235</v>
      </c>
      <c r="K3156" s="45" t="n">
        <v>171</v>
      </c>
      <c r="L3156" s="46" t="n"/>
      <c r="M3156" s="47" t="n"/>
      <c r="N3156" s="47" t="inlineStr">
        <is>
          <t>UCKZo4N0lVPccBkSiuyVh4yg</t>
        </is>
      </c>
      <c r="O3156" s="48" t="n">
        <v>41241.15138888889</v>
      </c>
      <c r="P3156" s="49" t="n">
        <v>41240</v>
      </c>
      <c r="Q3156" s="47" t="n">
        <v>112</v>
      </c>
      <c r="R3156" s="47" t="inlineStr">
        <is>
          <t>No Video ID yet</t>
        </is>
      </c>
      <c r="S3156" s="49" t="n"/>
      <c r="T3156" s="49" t="n"/>
      <c r="U3156" s="47" t="inlineStr">
        <is>
          <t>1. If you could have one item from Harry Potter what would it be? 2. If you could have one super power what would that be? 3. If you could have any imaginable creature as a miniature pet what would you choose? =D</t>
        </is>
      </c>
      <c r="V3156" s="47">
        <f>IF(AND(P3156&gt;=Calendar!$K$2,P3156&lt;EDATE(Calendar!$K$2,1),OR(Calendar!$K$4="*",N3156=Calendar!$K$4)),P3156*100+COUNTIFS($P$6:$P$3267,P3156,$Q$6:$Q$3267,"&lt;="&amp;Q3156,$N$6:$N$3267,Calendar!$K$4),"")</f>
        <v/>
      </c>
      <c r="W3156" s="47">
        <f>IF(AND(B3156=Queue!$C$4,OR(Queue!$K$4="*",N3156=Queue!$K$4)),Q3156,"")</f>
        <v/>
      </c>
    </row>
    <row r="3157">
      <c r="A3157" s="38">
        <f>IF(M3157="","",HYPERLINK("https://www.youtube.com/watch?v="&amp;M3157,"▶"))</f>
        <v/>
      </c>
      <c r="B3157" s="39">
        <f>IF(C3157&lt;&gt;"",C3157,IF(P3157&lt;=IFERROR(INDEX(tblChannels[Watched Through],MATCH(N3157,tblChannels[Channel ID],0)),0),"Watched","Unwatched"))</f>
        <v/>
      </c>
      <c r="C3157" s="40" t="n"/>
      <c r="D3157" s="41" t="n"/>
      <c r="E3157" s="42" t="n">
        <v>41239.85763888889</v>
      </c>
      <c r="F3157" s="50" t="inlineStr">
        <is>
          <t>Super Carlin Brothers</t>
        </is>
      </c>
      <c r="G3157" t="inlineStr">
        <is>
          <t>Holiday Decorations!</t>
        </is>
      </c>
      <c r="H3157" s="44" t="n">
        <v>0.002905092592592593</v>
      </c>
      <c r="I3157" s="45" t="n">
        <v>26212</v>
      </c>
      <c r="J3157" s="45" t="n">
        <v>510</v>
      </c>
      <c r="K3157" s="45" t="n">
        <v>139</v>
      </c>
      <c r="L3157" s="46" t="n"/>
      <c r="M3157" s="47" t="n"/>
      <c r="N3157" s="47" t="inlineStr">
        <is>
          <t>UCKZo4N0lVPccBkSiuyVh4yg</t>
        </is>
      </c>
      <c r="O3157" s="48" t="n">
        <v>41240.06597222222</v>
      </c>
      <c r="P3157" s="49" t="n">
        <v>41239</v>
      </c>
      <c r="Q3157" s="47" t="n">
        <v>111</v>
      </c>
      <c r="R3157" s="47" t="inlineStr">
        <is>
          <t>No Video ID yet</t>
        </is>
      </c>
      <c r="S3157" s="49" t="n"/>
      <c r="T3157" s="49" t="n"/>
      <c r="U3157" s="47" t="inlineStr">
        <is>
          <t>Jonathan talks about the holiday season and all the decorating that goes with it. Would you put a giant inflatable snowglobe in your yard?? TWITTER: @jonkerlin and @SCB_Beb =D</t>
        </is>
      </c>
      <c r="V3157" s="47">
        <f>IF(AND(P3157&gt;=Calendar!$K$2,P3157&lt;EDATE(Calendar!$K$2,1),OR(Calendar!$K$4="*",N3157=Calendar!$K$4)),P3157*100+COUNTIFS($P$6:$P$3267,P3157,$Q$6:$Q$3267,"&lt;="&amp;Q3157,$N$6:$N$3267,Calendar!$K$4),"")</f>
        <v/>
      </c>
      <c r="W3157" s="47">
        <f>IF(AND(B3157=Queue!$C$4,OR(Queue!$K$4="*",N3157=Queue!$K$4)),Q3157,"")</f>
        <v/>
      </c>
    </row>
    <row r="3158">
      <c r="A3158" s="38">
        <f>IF(M3158="","",HYPERLINK("https://www.youtube.com/watch?v="&amp;M3158,"▶"))</f>
        <v/>
      </c>
      <c r="B3158" s="39">
        <f>IF(C3158&lt;&gt;"",C3158,IF(P3158&lt;=IFERROR(INDEX(tblChannels[Watched Through],MATCH(N3158,tblChannels[Channel ID],0)),0),"Watched","Unwatched"))</f>
        <v/>
      </c>
      <c r="C3158" s="40" t="n"/>
      <c r="D3158" s="41" t="n"/>
      <c r="E3158" s="42" t="n">
        <v>41236.90625</v>
      </c>
      <c r="F3158" s="50" t="inlineStr">
        <is>
          <t>Super Carlin Brothers</t>
        </is>
      </c>
      <c r="G3158" t="inlineStr">
        <is>
          <t>Tomorrow Potential</t>
        </is>
      </c>
      <c r="H3158" s="44" t="n">
        <v>0.001180555555555556</v>
      </c>
      <c r="I3158" s="45" t="n">
        <v>11065</v>
      </c>
      <c r="J3158" s="45" t="n">
        <v>286</v>
      </c>
      <c r="K3158" s="45" t="n">
        <v>45</v>
      </c>
      <c r="L3158" s="46" t="n"/>
      <c r="M3158" s="47" t="n"/>
      <c r="N3158" s="47" t="inlineStr">
        <is>
          <t>UCKZo4N0lVPccBkSiuyVh4yg</t>
        </is>
      </c>
      <c r="O3158" s="48" t="n">
        <v>41237.11458333334</v>
      </c>
      <c r="P3158" s="49" t="n">
        <v>41236</v>
      </c>
      <c r="Q3158" s="47" t="n">
        <v>110</v>
      </c>
      <c r="R3158" s="47" t="inlineStr">
        <is>
          <t>No Video ID yet</t>
        </is>
      </c>
      <c r="S3158" s="49" t="n"/>
      <c r="T3158" s="49" t="n"/>
      <c r="U3158" s="47" t="inlineStr">
        <is>
          <t>What is your tomorrow potential!? Twitter: @SCB_Ben and @Jonkerlin =D</t>
        </is>
      </c>
      <c r="V3158" s="47">
        <f>IF(AND(P3158&gt;=Calendar!$K$2,P3158&lt;EDATE(Calendar!$K$2,1),OR(Calendar!$K$4="*",N3158=Calendar!$K$4)),P3158*100+COUNTIFS($P$6:$P$3267,P3158,$Q$6:$Q$3267,"&lt;="&amp;Q3158,$N$6:$N$3267,Calendar!$K$4),"")</f>
        <v/>
      </c>
      <c r="W3158" s="47">
        <f>IF(AND(B3158=Queue!$C$4,OR(Queue!$K$4="*",N3158=Queue!$K$4)),Q3158,"")</f>
        <v/>
      </c>
    </row>
    <row r="3159">
      <c r="A3159" s="38">
        <f>IF(M3159="","",HYPERLINK("https://www.youtube.com/watch?v="&amp;M3159,"▶"))</f>
        <v/>
      </c>
      <c r="B3159" s="39">
        <f>IF(C3159&lt;&gt;"",C3159,IF(P3159&lt;=IFERROR(INDEX(tblChannels[Watched Through],MATCH(N3159,tblChannels[Channel ID],0)),0),"Watched","Unwatched"))</f>
        <v/>
      </c>
      <c r="C3159" s="40" t="n"/>
      <c r="D3159" s="41" t="n"/>
      <c r="E3159" s="42" t="n">
        <v>41235.91805555556</v>
      </c>
      <c r="F3159" s="50" t="inlineStr">
        <is>
          <t>Super Carlin Brothers</t>
        </is>
      </c>
      <c r="G3159" t="inlineStr">
        <is>
          <t>JUXTABROS THANKSGIVING!</t>
        </is>
      </c>
      <c r="H3159" s="44" t="n">
        <v>0.003472222222222222</v>
      </c>
      <c r="I3159" s="45" t="n">
        <v>23936</v>
      </c>
      <c r="J3159" s="45" t="n">
        <v>650</v>
      </c>
      <c r="K3159" s="45" t="n">
        <v>87</v>
      </c>
      <c r="L3159" s="46" t="n"/>
      <c r="M3159" s="47" t="n"/>
      <c r="N3159" s="47" t="inlineStr">
        <is>
          <t>UCKZo4N0lVPccBkSiuyVh4yg</t>
        </is>
      </c>
      <c r="O3159" s="48" t="n">
        <v>41236.12638888889</v>
      </c>
      <c r="P3159" s="49" t="n">
        <v>41235</v>
      </c>
      <c r="Q3159" s="47" t="n">
        <v>109</v>
      </c>
      <c r="R3159" s="47" t="inlineStr">
        <is>
          <t>No Video ID yet</t>
        </is>
      </c>
      <c r="S3159" s="49" t="n"/>
      <c r="T3159" s="49" t="n"/>
      <c r="U3159" s="47" t="inlineStr">
        <is>
          <t>Jonathan, Ben AND Tyler talk about all of their thank yous and you're welcomes. HAPPY THANKSGIVING!!! Facebook: www.facebook.com/supercarlinbrothers Thanks to our cousin's Rachel and Justin who was the outro! =D</t>
        </is>
      </c>
      <c r="V3159" s="47">
        <f>IF(AND(P3159&gt;=Calendar!$K$2,P3159&lt;EDATE(Calendar!$K$2,1),OR(Calendar!$K$4="*",N3159=Calendar!$K$4)),P3159*100+COUNTIFS($P$6:$P$3267,P3159,$Q$6:$Q$3267,"&lt;="&amp;Q3159,$N$6:$N$3267,Calendar!$K$4),"")</f>
        <v/>
      </c>
      <c r="W3159" s="47">
        <f>IF(AND(B3159=Queue!$C$4,OR(Queue!$K$4="*",N3159=Queue!$K$4)),Q3159,"")</f>
        <v/>
      </c>
    </row>
    <row r="3160">
      <c r="A3160" s="38">
        <f>IF(M3160="","",HYPERLINK("https://www.youtube.com/watch?v="&amp;M3160,"▶"))</f>
        <v/>
      </c>
      <c r="B3160" s="39">
        <f>IF(C3160&lt;&gt;"",C3160,IF(P3160&lt;=IFERROR(INDEX(tblChannels[Watched Through],MATCH(N3160,tblChannels[Channel ID],0)),0),"Watched","Unwatched"))</f>
        <v/>
      </c>
      <c r="C3160" s="40" t="n"/>
      <c r="D3160" s="41" t="n"/>
      <c r="E3160" s="42" t="n">
        <v>41234.94861111111</v>
      </c>
      <c r="F3160" s="50" t="inlineStr">
        <is>
          <t>Super Carlin Brothers</t>
        </is>
      </c>
      <c r="G3160" t="inlineStr">
        <is>
          <t>Burden of a Burden</t>
        </is>
      </c>
      <c r="H3160" s="44" t="n">
        <v>0.001087962962962963</v>
      </c>
      <c r="I3160" s="45" t="n">
        <v>11125</v>
      </c>
      <c r="J3160" s="45" t="n">
        <v>248</v>
      </c>
      <c r="K3160" s="45" t="n">
        <v>29</v>
      </c>
      <c r="L3160" s="46" t="n"/>
      <c r="M3160" s="47" t="n"/>
      <c r="N3160" s="47" t="inlineStr">
        <is>
          <t>UCKZo4N0lVPccBkSiuyVh4yg</t>
        </is>
      </c>
      <c r="O3160" s="48" t="n">
        <v>41235.15694444445</v>
      </c>
      <c r="P3160" s="49" t="n">
        <v>41234</v>
      </c>
      <c r="Q3160" s="47" t="n">
        <v>108</v>
      </c>
      <c r="R3160" s="47" t="inlineStr">
        <is>
          <t>No Video ID yet</t>
        </is>
      </c>
      <c r="S3160" s="49" t="n"/>
      <c r="T3160" s="49" t="n"/>
      <c r="U3160" s="47" t="inlineStr">
        <is>
          <t>Are you unable to enjoy something if you know there is something you should have done? Twitter! @scb_Ben and @Jonkerlin =D</t>
        </is>
      </c>
      <c r="V3160" s="47">
        <f>IF(AND(P3160&gt;=Calendar!$K$2,P3160&lt;EDATE(Calendar!$K$2,1),OR(Calendar!$K$4="*",N3160=Calendar!$K$4)),P3160*100+COUNTIFS($P$6:$P$3267,P3160,$Q$6:$Q$3267,"&lt;="&amp;Q3160,$N$6:$N$3267,Calendar!$K$4),"")</f>
        <v/>
      </c>
      <c r="W3160" s="47">
        <f>IF(AND(B3160=Queue!$C$4,OR(Queue!$K$4="*",N3160=Queue!$K$4)),Q3160,"")</f>
        <v/>
      </c>
    </row>
    <row r="3161">
      <c r="A3161" s="38">
        <f>IF(M3161="","",HYPERLINK("https://www.youtube.com/watch?v="&amp;M3161,"▶"))</f>
        <v/>
      </c>
      <c r="B3161" s="39">
        <f>IF(C3161&lt;&gt;"",C3161,IF(P3161&lt;=IFERROR(INDEX(tblChannels[Watched Through],MATCH(N3161,tblChannels[Channel ID],0)),0),"Watched","Unwatched"))</f>
        <v/>
      </c>
      <c r="C3161" s="40" t="n"/>
      <c r="D3161" s="41" t="n"/>
      <c r="E3161" s="42" t="n">
        <v>41233.88055555556</v>
      </c>
      <c r="F3161" s="50" t="inlineStr">
        <is>
          <t>Super Carlin Brothers</t>
        </is>
      </c>
      <c r="G3161" t="inlineStr">
        <is>
          <t>Telling Time</t>
        </is>
      </c>
      <c r="H3161" s="44" t="n">
        <v>0.002731481481481481</v>
      </c>
      <c r="I3161" s="45" t="n">
        <v>26747</v>
      </c>
      <c r="J3161" s="45" t="n">
        <v>512</v>
      </c>
      <c r="K3161" s="45" t="n">
        <v>99</v>
      </c>
      <c r="L3161" s="46" t="n"/>
      <c r="M3161" s="47" t="n"/>
      <c r="N3161" s="47" t="inlineStr">
        <is>
          <t>UCKZo4N0lVPccBkSiuyVh4yg</t>
        </is>
      </c>
      <c r="O3161" s="48" t="n">
        <v>41234.08888888889</v>
      </c>
      <c r="P3161" s="49" t="n">
        <v>41233</v>
      </c>
      <c r="Q3161" s="47" t="n">
        <v>107</v>
      </c>
      <c r="R3161" s="47" t="inlineStr">
        <is>
          <t>No Video ID yet</t>
        </is>
      </c>
      <c r="S3161" s="49" t="n"/>
      <c r="T3161" s="49" t="n"/>
      <c r="U3161" s="47" t="inlineStr">
        <is>
          <t>Jonathan tells about the time he went cave camping and bad people are at judging the passage of time How many hours should we have in a day? Leave us a video response saying what you are thankful for!! TWITTER: @jonkerlin and @SCB_Ben =D</t>
        </is>
      </c>
      <c r="V3161" s="47">
        <f>IF(AND(P3161&gt;=Calendar!$K$2,P3161&lt;EDATE(Calendar!$K$2,1),OR(Calendar!$K$4="*",N3161=Calendar!$K$4)),P3161*100+COUNTIFS($P$6:$P$3267,P3161,$Q$6:$Q$3267,"&lt;="&amp;Q3161,$N$6:$N$3267,Calendar!$K$4),"")</f>
        <v/>
      </c>
      <c r="W3161" s="47">
        <f>IF(AND(B3161=Queue!$C$4,OR(Queue!$K$4="*",N3161=Queue!$K$4)),Q3161,"")</f>
        <v/>
      </c>
    </row>
    <row r="3162">
      <c r="A3162" s="38">
        <f>IF(M3162="","",HYPERLINK("https://www.youtube.com/watch?v="&amp;M3162,"▶"))</f>
        <v/>
      </c>
      <c r="B3162" s="39">
        <f>IF(C3162&lt;&gt;"",C3162,IF(P3162&lt;=IFERROR(INDEX(tblChannels[Watched Through],MATCH(N3162,tblChannels[Channel ID],0)),0),"Watched","Unwatched"))</f>
        <v/>
      </c>
      <c r="C3162" s="40" t="n"/>
      <c r="D3162" s="41" t="n"/>
      <c r="E3162" s="42" t="n">
        <v>41232.84027777778</v>
      </c>
      <c r="F3162" s="50" t="inlineStr">
        <is>
          <t>Super Carlin Brothers</t>
        </is>
      </c>
      <c r="G3162" t="inlineStr">
        <is>
          <t>Things That Blow Up</t>
        </is>
      </c>
      <c r="H3162" s="44" t="n">
        <v>0.001574074074074074</v>
      </c>
      <c r="I3162" s="45" t="n">
        <v>13302</v>
      </c>
      <c r="J3162" s="45" t="n">
        <v>314</v>
      </c>
      <c r="K3162" s="45" t="n">
        <v>37</v>
      </c>
      <c r="L3162" s="46" t="n"/>
      <c r="M3162" s="47" t="n"/>
      <c r="N3162" s="47" t="inlineStr">
        <is>
          <t>UCKZo4N0lVPccBkSiuyVh4yg</t>
        </is>
      </c>
      <c r="O3162" s="48" t="n">
        <v>41233.04861111111</v>
      </c>
      <c r="P3162" s="49" t="n">
        <v>41232</v>
      </c>
      <c r="Q3162" s="47" t="n">
        <v>106</v>
      </c>
      <c r="R3162" s="47" t="inlineStr">
        <is>
          <t>No Video ID yet</t>
        </is>
      </c>
      <c r="S3162" s="49" t="n"/>
      <c r="T3162" s="49" t="n"/>
      <c r="U3162" s="47" t="inlineStr">
        <is>
          <t>What was the most notable thing that happened to you today?!? What are you thankful for? Follow us on Twitter: @SCB_Ben and @jonkerlin =D</t>
        </is>
      </c>
      <c r="V3162" s="47">
        <f>IF(AND(P3162&gt;=Calendar!$K$2,P3162&lt;EDATE(Calendar!$K$2,1),OR(Calendar!$K$4="*",N3162=Calendar!$K$4)),P3162*100+COUNTIFS($P$6:$P$3267,P3162,$Q$6:$Q$3267,"&lt;="&amp;Q3162,$N$6:$N$3267,Calendar!$K$4),"")</f>
        <v/>
      </c>
      <c r="W3162" s="47">
        <f>IF(AND(B3162=Queue!$C$4,OR(Queue!$K$4="*",N3162=Queue!$K$4)),Q3162,"")</f>
        <v/>
      </c>
    </row>
    <row r="3163">
      <c r="A3163" s="38">
        <f>IF(M3163="","",HYPERLINK("https://www.youtube.com/watch?v="&amp;M3163,"▶"))</f>
        <v/>
      </c>
      <c r="B3163" s="39">
        <f>IF(C3163&lt;&gt;"",C3163,IF(P3163&lt;=IFERROR(INDEX(tblChannels[Watched Through],MATCH(N3163,tblChannels[Channel ID],0)),0),"Watched","Unwatched"))</f>
        <v/>
      </c>
      <c r="C3163" s="40" t="n"/>
      <c r="D3163" s="41" t="n"/>
      <c r="E3163" s="42" t="n">
        <v>41229.85</v>
      </c>
      <c r="F3163" s="50" t="inlineStr">
        <is>
          <t>Super Carlin Brothers</t>
        </is>
      </c>
      <c r="G3163" t="inlineStr">
        <is>
          <t>The ZeFrank Formula</t>
        </is>
      </c>
      <c r="H3163" s="44" t="n">
        <v>0.002777777777777778</v>
      </c>
      <c r="I3163" s="45" t="n">
        <v>27600</v>
      </c>
      <c r="J3163" s="45" t="n">
        <v>1054</v>
      </c>
      <c r="K3163" s="45" t="n">
        <v>175</v>
      </c>
      <c r="L3163" s="46" t="n"/>
      <c r="M3163" s="47" t="n"/>
      <c r="N3163" s="47" t="inlineStr">
        <is>
          <t>UCKZo4N0lVPccBkSiuyVh4yg</t>
        </is>
      </c>
      <c r="O3163" s="48" t="n">
        <v>41230.05833333333</v>
      </c>
      <c r="P3163" s="49" t="n">
        <v>41229</v>
      </c>
      <c r="Q3163" s="47" t="n">
        <v>105</v>
      </c>
      <c r="R3163" s="47" t="inlineStr">
        <is>
          <t>No Video ID yet</t>
        </is>
      </c>
      <c r="S3163" s="49" t="n"/>
      <c r="T3163" s="49" t="n"/>
      <c r="U3163" s="47" t="inlineStr">
        <is>
          <t>Jonathan breaks down the ZeFrank formula? What are the little things in your life? TWITTER: @jonkerlin and @SCB_Ben =D</t>
        </is>
      </c>
      <c r="V3163" s="47">
        <f>IF(AND(P3163&gt;=Calendar!$K$2,P3163&lt;EDATE(Calendar!$K$2,1),OR(Calendar!$K$4="*",N3163=Calendar!$K$4)),P3163*100+COUNTIFS($P$6:$P$3267,P3163,$Q$6:$Q$3267,"&lt;="&amp;Q3163,$N$6:$N$3267,Calendar!$K$4),"")</f>
        <v/>
      </c>
      <c r="W3163" s="47">
        <f>IF(AND(B3163=Queue!$C$4,OR(Queue!$K$4="*",N3163=Queue!$K$4)),Q3163,"")</f>
        <v/>
      </c>
    </row>
    <row r="3164">
      <c r="A3164" s="38">
        <f>IF(M3164="","",HYPERLINK("https://www.youtube.com/watch?v="&amp;M3164,"▶"))</f>
        <v/>
      </c>
      <c r="B3164" s="39">
        <f>IF(C3164&lt;&gt;"",C3164,IF(P3164&lt;=IFERROR(INDEX(tblChannels[Watched Through],MATCH(N3164,tblChannels[Channel ID],0)),0),"Watched","Unwatched"))</f>
        <v/>
      </c>
      <c r="C3164" s="40" t="n"/>
      <c r="D3164" s="41" t="n"/>
      <c r="E3164" s="42" t="n">
        <v>41228.94166666667</v>
      </c>
      <c r="F3164" s="50" t="inlineStr">
        <is>
          <t>Super Carlin Brothers</t>
        </is>
      </c>
      <c r="G3164" t="inlineStr">
        <is>
          <t>Story Telling Challenge! Joe is a.....</t>
        </is>
      </c>
      <c r="H3164" s="44" t="n">
        <v>0.002083333333333333</v>
      </c>
      <c r="I3164" s="45" t="n">
        <v>13009</v>
      </c>
      <c r="J3164" s="45" t="n">
        <v>279</v>
      </c>
      <c r="K3164" s="45" t="n">
        <v>152</v>
      </c>
      <c r="L3164" s="46" t="n"/>
      <c r="M3164" s="47" t="n"/>
      <c r="N3164" s="47" t="inlineStr">
        <is>
          <t>UCKZo4N0lVPccBkSiuyVh4yg</t>
        </is>
      </c>
      <c r="O3164" s="48" t="n">
        <v>41229.15</v>
      </c>
      <c r="P3164" s="49" t="n">
        <v>41228</v>
      </c>
      <c r="Q3164" s="47" t="n">
        <v>104</v>
      </c>
      <c r="R3164" s="47" t="inlineStr">
        <is>
          <t>No Video ID yet</t>
        </is>
      </c>
      <c r="S3164" s="49" t="n"/>
      <c r="T3164" s="49" t="n"/>
      <c r="U3164" s="47" t="inlineStr">
        <is>
          <t>Add your three words to the story! The story begins with "Joe is a..." BE SURE TO HIT REFRESH BEFORE YOU SUBMIT YOUR THREE WORDS TO MAKE SURE YOU A CONTRIBUTING TO THE MOST UP TO DATE PART OF THE STORY!! :) Also, Keep it clean. Twitter! @SCB_Ben and @jonkerlin =D</t>
        </is>
      </c>
      <c r="V3164" s="47">
        <f>IF(AND(P3164&gt;=Calendar!$K$2,P3164&lt;EDATE(Calendar!$K$2,1),OR(Calendar!$K$4="*",N3164=Calendar!$K$4)),P3164*100+COUNTIFS($P$6:$P$3267,P3164,$Q$6:$Q$3267,"&lt;="&amp;Q3164,$N$6:$N$3267,Calendar!$K$4),"")</f>
        <v/>
      </c>
      <c r="W3164" s="47">
        <f>IF(AND(B3164=Queue!$C$4,OR(Queue!$K$4="*",N3164=Queue!$K$4)),Q3164,"")</f>
        <v/>
      </c>
    </row>
    <row r="3165">
      <c r="A3165" s="38">
        <f>IF(M3165="","",HYPERLINK("https://www.youtube.com/watch?v="&amp;M3165,"▶"))</f>
        <v/>
      </c>
      <c r="B3165" s="39">
        <f>IF(C3165&lt;&gt;"",C3165,IF(P3165&lt;=IFERROR(INDEX(tblChannels[Watched Through],MATCH(N3165,tblChannels[Channel ID],0)),0),"Watched","Unwatched"))</f>
        <v/>
      </c>
      <c r="C3165" s="40" t="n"/>
      <c r="D3165" s="41" t="n"/>
      <c r="E3165" s="42" t="n">
        <v>41227.92847222222</v>
      </c>
      <c r="F3165" s="50" t="inlineStr">
        <is>
          <t>Super Carlin Brothers</t>
        </is>
      </c>
      <c r="G3165" t="inlineStr">
        <is>
          <t>What Would I Google Autofill</t>
        </is>
      </c>
      <c r="H3165" s="44" t="n">
        <v>0.002627314814814815</v>
      </c>
      <c r="I3165" s="45" t="n">
        <v>138977</v>
      </c>
      <c r="J3165" s="45" t="n">
        <v>2052</v>
      </c>
      <c r="K3165" s="45" t="n">
        <v>240</v>
      </c>
      <c r="L3165" s="46" t="n"/>
      <c r="M3165" s="47" t="n"/>
      <c r="N3165" s="47" t="inlineStr">
        <is>
          <t>UCKZo4N0lVPccBkSiuyVh4yg</t>
        </is>
      </c>
      <c r="O3165" s="48" t="n">
        <v>41228.13680555556</v>
      </c>
      <c r="P3165" s="49" t="n">
        <v>41227</v>
      </c>
      <c r="Q3165" s="47" t="n">
        <v>103</v>
      </c>
      <c r="R3165" s="47" t="inlineStr">
        <is>
          <t>No Video ID yet</t>
        </is>
      </c>
      <c r="S3165" s="49" t="n"/>
      <c r="T3165" s="49" t="n"/>
      <c r="U3165" s="47" t="inlineStr">
        <is>
          <t>Jonathan answers the top questions people have asked Google about what to do! What would you put in a Time Capsule? TWITTER: @jonkerlin and @SCB_Ben =D</t>
        </is>
      </c>
      <c r="V3165" s="47">
        <f>IF(AND(P3165&gt;=Calendar!$K$2,P3165&lt;EDATE(Calendar!$K$2,1),OR(Calendar!$K$4="*",N3165=Calendar!$K$4)),P3165*100+COUNTIFS($P$6:$P$3267,P3165,$Q$6:$Q$3267,"&lt;="&amp;Q3165,$N$6:$N$3267,Calendar!$K$4),"")</f>
        <v/>
      </c>
      <c r="W3165" s="47">
        <f>IF(AND(B3165=Queue!$C$4,OR(Queue!$K$4="*",N3165=Queue!$K$4)),Q3165,"")</f>
        <v/>
      </c>
    </row>
    <row r="3166">
      <c r="A3166" s="38">
        <f>IF(M3166="","",HYPERLINK("https://www.youtube.com/watch?v="&amp;M3166,"▶"))</f>
        <v/>
      </c>
      <c r="B3166" s="39">
        <f>IF(C3166&lt;&gt;"",C3166,IF(P3166&lt;=IFERROR(INDEX(tblChannels[Watched Through],MATCH(N3166,tblChannels[Channel ID],0)),0),"Watched","Unwatched"))</f>
        <v/>
      </c>
      <c r="C3166" s="40" t="n"/>
      <c r="D3166" s="41" t="n"/>
      <c r="E3166" s="42" t="n">
        <v>41226.90763888889</v>
      </c>
      <c r="F3166" s="50" t="inlineStr">
        <is>
          <t>Super Carlin Brothers</t>
        </is>
      </c>
      <c r="G3166" t="inlineStr">
        <is>
          <t>What is your Scarecrow?</t>
        </is>
      </c>
      <c r="H3166" s="44" t="n">
        <v>0.001875</v>
      </c>
      <c r="I3166" s="45" t="n">
        <v>12827</v>
      </c>
      <c r="J3166" s="45" t="n">
        <v>305</v>
      </c>
      <c r="K3166" s="45" t="n">
        <v>41</v>
      </c>
      <c r="L3166" s="46" t="n"/>
      <c r="M3166" s="47" t="n"/>
      <c r="N3166" s="47" t="inlineStr">
        <is>
          <t>UCKZo4N0lVPccBkSiuyVh4yg</t>
        </is>
      </c>
      <c r="O3166" s="48" t="n">
        <v>41227.11597222222</v>
      </c>
      <c r="P3166" s="49" t="n">
        <v>41226</v>
      </c>
      <c r="Q3166" s="47" t="n">
        <v>102</v>
      </c>
      <c r="R3166" s="47" t="inlineStr">
        <is>
          <t>No Video ID yet</t>
        </is>
      </c>
      <c r="S3166" s="49" t="n"/>
      <c r="T3166" s="49" t="n"/>
      <c r="U3166" s="47" t="inlineStr">
        <is>
          <t>What is something in your life, that without it would drastically change how you live? Follow us on Twitter! @SCB_Ben @Jonkerlin =D</t>
        </is>
      </c>
      <c r="V3166" s="47">
        <f>IF(AND(P3166&gt;=Calendar!$K$2,P3166&lt;EDATE(Calendar!$K$2,1),OR(Calendar!$K$4="*",N3166=Calendar!$K$4)),P3166*100+COUNTIFS($P$6:$P$3267,P3166,$Q$6:$Q$3267,"&lt;="&amp;Q3166,$N$6:$N$3267,Calendar!$K$4),"")</f>
        <v/>
      </c>
      <c r="W3166" s="47">
        <f>IF(AND(B3166=Queue!$C$4,OR(Queue!$K$4="*",N3166=Queue!$K$4)),Q3166,"")</f>
        <v/>
      </c>
    </row>
    <row r="3167">
      <c r="A3167" s="38">
        <f>IF(M3167="","",HYPERLINK("https://www.youtube.com/watch?v="&amp;M3167,"▶"))</f>
        <v/>
      </c>
      <c r="B3167" s="39">
        <f>IF(C3167&lt;&gt;"",C3167,IF(P3167&lt;=IFERROR(INDEX(tblChannels[Watched Through],MATCH(N3167,tblChannels[Channel ID],0)),0),"Watched","Unwatched"))</f>
        <v/>
      </c>
      <c r="C3167" s="40" t="n"/>
      <c r="D3167" s="41" t="n"/>
      <c r="E3167" s="42" t="n">
        <v>41225.88958333333</v>
      </c>
      <c r="F3167" s="50" t="inlineStr">
        <is>
          <t>Super Carlin Brothers</t>
        </is>
      </c>
      <c r="G3167" t="inlineStr">
        <is>
          <t>There's no manly way to eat yogurt</t>
        </is>
      </c>
      <c r="H3167" s="44" t="n">
        <v>0.001921296296296296</v>
      </c>
      <c r="I3167" s="45" t="n">
        <v>88437</v>
      </c>
      <c r="J3167" s="45" t="n">
        <v>1756</v>
      </c>
      <c r="K3167" s="45" t="n">
        <v>448</v>
      </c>
      <c r="L3167" s="46" t="n"/>
      <c r="M3167" s="47" t="n"/>
      <c r="N3167" s="47" t="inlineStr">
        <is>
          <t>UCKZo4N0lVPccBkSiuyVh4yg</t>
        </is>
      </c>
      <c r="O3167" s="48" t="n">
        <v>41226.09791666667</v>
      </c>
      <c r="P3167" s="49" t="n">
        <v>41225</v>
      </c>
      <c r="Q3167" s="47" t="n">
        <v>101</v>
      </c>
      <c r="R3167" s="47" t="inlineStr">
        <is>
          <t>No Video ID yet</t>
        </is>
      </c>
      <c r="S3167" s="49" t="n"/>
      <c r="T3167" s="49" t="n"/>
      <c r="U3167" s="47" t="inlineStr">
        <is>
          <t>Jonathan struggles with his masculinity when it comes to eating yogurt and stuff... What other foods do you think are targeted at one gender? Google Autofill suggestions? TWITTER: @jonkerlin and @SCB_ben =D</t>
        </is>
      </c>
      <c r="V3167" s="47">
        <f>IF(AND(P3167&gt;=Calendar!$K$2,P3167&lt;EDATE(Calendar!$K$2,1),OR(Calendar!$K$4="*",N3167=Calendar!$K$4)),P3167*100+COUNTIFS($P$6:$P$3267,P3167,$Q$6:$Q$3267,"&lt;="&amp;Q3167,$N$6:$N$3267,Calendar!$K$4),"")</f>
        <v/>
      </c>
      <c r="W3167" s="47">
        <f>IF(AND(B3167=Queue!$C$4,OR(Queue!$K$4="*",N3167=Queue!$K$4)),Q3167,"")</f>
        <v/>
      </c>
    </row>
    <row r="3168">
      <c r="A3168" s="38">
        <f>IF(M3168="","",HYPERLINK("https://www.youtube.com/watch?v="&amp;M3168,"▶"))</f>
        <v/>
      </c>
      <c r="B3168" s="39">
        <f>IF(C3168&lt;&gt;"",C3168,IF(P3168&lt;=IFERROR(INDEX(tblChannels[Watched Through],MATCH(N3168,tblChannels[Channel ID],0)),0),"Watched","Unwatched"))</f>
        <v/>
      </c>
      <c r="C3168" s="40" t="n"/>
      <c r="D3168" s="41" t="n"/>
      <c r="E3168" s="42" t="n">
        <v>41222.84027777778</v>
      </c>
      <c r="F3168" s="50" t="inlineStr">
        <is>
          <t>Super Carlin Brothers</t>
        </is>
      </c>
      <c r="G3168" t="inlineStr">
        <is>
          <t>JUXTABROS! VIDEO 100!!!</t>
        </is>
      </c>
      <c r="H3168" s="44" t="n">
        <v>0.004965277777777778</v>
      </c>
      <c r="I3168" s="45" t="n">
        <v>22538</v>
      </c>
      <c r="J3168" s="45" t="n">
        <v>682</v>
      </c>
      <c r="K3168" s="45" t="n">
        <v>129</v>
      </c>
      <c r="L3168" s="46" t="n"/>
      <c r="M3168" s="47" t="n"/>
      <c r="N3168" s="47" t="inlineStr">
        <is>
          <t>UCKZo4N0lVPccBkSiuyVh4yg</t>
        </is>
      </c>
      <c r="O3168" s="48" t="n">
        <v>41223.04861111111</v>
      </c>
      <c r="P3168" s="49" t="n">
        <v>41222</v>
      </c>
      <c r="Q3168" s="47" t="n">
        <v>100</v>
      </c>
      <c r="R3168" s="47" t="inlineStr">
        <is>
          <t>No Video ID yet</t>
        </is>
      </c>
      <c r="S3168" s="49" t="n"/>
      <c r="T3168" s="49" t="n"/>
      <c r="U3168" s="47" t="inlineStr">
        <is>
          <t>J and B are together in a video for the first time answering your questions! Thank you everyone for watching, subscribing and commenting on our first 100 video's you are what makes it all worth while! What is your favorite Super Carlin Brothers moment/video so far?? Post about us on Nerdfighteria.com here: Repost your favorite video so far on Facebook or Twitter! TWITTER: @jonkerlin and @SCB_Ben Thanks to Katie and Abby for the outro! =D</t>
        </is>
      </c>
      <c r="V3168" s="47">
        <f>IF(AND(P3168&gt;=Calendar!$K$2,P3168&lt;EDATE(Calendar!$K$2,1),OR(Calendar!$K$4="*",N3168=Calendar!$K$4)),P3168*100+COUNTIFS($P$6:$P$3267,P3168,$Q$6:$Q$3267,"&lt;="&amp;Q3168,$N$6:$N$3267,Calendar!$K$4),"")</f>
        <v/>
      </c>
      <c r="W3168" s="47">
        <f>IF(AND(B3168=Queue!$C$4,OR(Queue!$K$4="*",N3168=Queue!$K$4)),Q3168,"")</f>
        <v/>
      </c>
    </row>
    <row r="3169">
      <c r="A3169" s="38">
        <f>IF(M3169="","",HYPERLINK("https://www.youtube.com/watch?v="&amp;M3169,"▶"))</f>
        <v/>
      </c>
      <c r="B3169" s="39">
        <f>IF(C3169&lt;&gt;"",C3169,IF(P3169&lt;=IFERROR(INDEX(tblChannels[Watched Through],MATCH(N3169,tblChannels[Channel ID],0)),0),"Watched","Unwatched"))</f>
        <v/>
      </c>
      <c r="C3169" s="40" t="n"/>
      <c r="D3169" s="41" t="n"/>
      <c r="E3169" s="42" t="n">
        <v>41221.79444444444</v>
      </c>
      <c r="F3169" s="50" t="inlineStr">
        <is>
          <t>Super Carlin Brothers</t>
        </is>
      </c>
      <c r="G3169" t="inlineStr">
        <is>
          <t>The Truth About Popcorn</t>
        </is>
      </c>
      <c r="H3169" s="44" t="n">
        <v>0.002037037037037037</v>
      </c>
      <c r="I3169" s="45" t="n">
        <v>82762</v>
      </c>
      <c r="J3169" s="45" t="n">
        <v>1773</v>
      </c>
      <c r="K3169" s="45" t="n">
        <v>152</v>
      </c>
      <c r="L3169" s="46" t="n"/>
      <c r="M3169" s="47" t="n"/>
      <c r="N3169" s="47" t="inlineStr">
        <is>
          <t>UCKZo4N0lVPccBkSiuyVh4yg</t>
        </is>
      </c>
      <c r="O3169" s="48" t="n">
        <v>41222.00277777778</v>
      </c>
      <c r="P3169" s="49" t="n">
        <v>41221</v>
      </c>
      <c r="Q3169" s="47" t="n">
        <v>99</v>
      </c>
      <c r="R3169" s="47" t="inlineStr">
        <is>
          <t>No Video ID yet</t>
        </is>
      </c>
      <c r="S3169" s="49" t="n"/>
      <c r="T3169" s="49" t="n"/>
      <c r="U3169" s="47" t="inlineStr">
        <is>
          <t>Jonathan reveals the dark secret of popcorn at the movies. 100th Video tomorrow - Leave your questions in the towel section! TWITTER: @jonkerlin and @SCB_Ben =D</t>
        </is>
      </c>
      <c r="V3169" s="47">
        <f>IF(AND(P3169&gt;=Calendar!$K$2,P3169&lt;EDATE(Calendar!$K$2,1),OR(Calendar!$K$4="*",N3169=Calendar!$K$4)),P3169*100+COUNTIFS($P$6:$P$3267,P3169,$Q$6:$Q$3267,"&lt;="&amp;Q3169,$N$6:$N$3267,Calendar!$K$4),"")</f>
        <v/>
      </c>
      <c r="W3169" s="47">
        <f>IF(AND(B3169=Queue!$C$4,OR(Queue!$K$4="*",N3169=Queue!$K$4)),Q3169,"")</f>
        <v/>
      </c>
    </row>
    <row r="3170">
      <c r="A3170" s="38">
        <f>IF(M3170="","",HYPERLINK("https://www.youtube.com/watch?v="&amp;M3170,"▶"))</f>
        <v/>
      </c>
      <c r="B3170" s="39">
        <f>IF(C3170&lt;&gt;"",C3170,IF(P3170&lt;=IFERROR(INDEX(tblChannels[Watched Through],MATCH(N3170,tblChannels[Channel ID],0)),0),"Watched","Unwatched"))</f>
        <v/>
      </c>
      <c r="C3170" s="40" t="n"/>
      <c r="D3170" s="41" t="n"/>
      <c r="E3170" s="42" t="n">
        <v>41220.92222222222</v>
      </c>
      <c r="F3170" s="50" t="inlineStr">
        <is>
          <t>Super Carlin Brothers</t>
        </is>
      </c>
      <c r="G3170" t="inlineStr">
        <is>
          <t>Election Results!</t>
        </is>
      </c>
      <c r="H3170" s="44" t="n">
        <v>0.001851851851851852</v>
      </c>
      <c r="I3170" s="45" t="n">
        <v>15464</v>
      </c>
      <c r="J3170" s="45" t="n">
        <v>319</v>
      </c>
      <c r="K3170" s="45" t="n">
        <v>45</v>
      </c>
      <c r="L3170" s="46" t="n"/>
      <c r="M3170" s="47" t="n"/>
      <c r="N3170" s="47" t="inlineStr">
        <is>
          <t>UCKZo4N0lVPccBkSiuyVh4yg</t>
        </is>
      </c>
      <c r="O3170" s="48" t="n">
        <v>41221.13055555556</v>
      </c>
      <c r="P3170" s="49" t="n">
        <v>41220</v>
      </c>
      <c r="Q3170" s="47" t="n">
        <v>98</v>
      </c>
      <c r="R3170" s="47" t="inlineStr">
        <is>
          <t>No Video ID yet</t>
        </is>
      </c>
      <c r="S3170" s="49" t="n"/>
      <c r="T3170" s="49" t="n"/>
      <c r="U3170" s="47" t="inlineStr">
        <is>
          <t>Election results and how Ben Voted... on J's questions from yesterday!! WHAT QUESTIONS DO YOU HAVE FOR JUXTABROS ON FRIDAY?!?! =D</t>
        </is>
      </c>
      <c r="V3170" s="47">
        <f>IF(AND(P3170&gt;=Calendar!$K$2,P3170&lt;EDATE(Calendar!$K$2,1),OR(Calendar!$K$4="*",N3170=Calendar!$K$4)),P3170*100+COUNTIFS($P$6:$P$3267,P3170,$Q$6:$Q$3267,"&lt;="&amp;Q3170,$N$6:$N$3267,Calendar!$K$4),"")</f>
        <v/>
      </c>
      <c r="W3170" s="47">
        <f>IF(AND(B3170=Queue!$C$4,OR(Queue!$K$4="*",N3170=Queue!$K$4)),Q3170,"")</f>
        <v/>
      </c>
    </row>
    <row r="3171">
      <c r="A3171" s="38">
        <f>IF(M3171="","",HYPERLINK("https://www.youtube.com/watch?v="&amp;M3171,"▶"))</f>
        <v/>
      </c>
      <c r="B3171" s="39">
        <f>IF(C3171&lt;&gt;"",C3171,IF(P3171&lt;=IFERROR(INDEX(tblChannels[Watched Through],MATCH(N3171,tblChannels[Channel ID],0)),0),"Watched","Unwatched"))</f>
        <v/>
      </c>
      <c r="C3171" s="40" t="n"/>
      <c r="D3171" s="41" t="n"/>
      <c r="E3171" s="42" t="n">
        <v>41219.88680555556</v>
      </c>
      <c r="F3171" s="50" t="inlineStr">
        <is>
          <t>Super Carlin Brothers</t>
        </is>
      </c>
      <c r="G3171" t="inlineStr">
        <is>
          <t>Stuff to vote on!</t>
        </is>
      </c>
      <c r="H3171" s="44" t="n">
        <v>0.002835648148148148</v>
      </c>
      <c r="I3171" s="45" t="n">
        <v>15507</v>
      </c>
      <c r="J3171" s="45" t="n">
        <v>382</v>
      </c>
      <c r="K3171" s="45" t="n">
        <v>284</v>
      </c>
      <c r="L3171" s="46" t="n"/>
      <c r="M3171" s="47" t="n"/>
      <c r="N3171" s="47" t="inlineStr">
        <is>
          <t>UCKZo4N0lVPccBkSiuyVh4yg</t>
        </is>
      </c>
      <c r="O3171" s="48" t="n">
        <v>41220.09513888889</v>
      </c>
      <c r="P3171" s="49" t="n">
        <v>41219</v>
      </c>
      <c r="Q3171" s="47" t="n">
        <v>97</v>
      </c>
      <c r="R3171" s="47" t="inlineStr">
        <is>
          <t>No Video ID yet</t>
        </is>
      </c>
      <c r="S3171" s="49" t="n"/>
      <c r="T3171" s="49" t="n"/>
      <c r="U3171" s="47" t="inlineStr">
        <is>
          <t>Leave your votes below or make a video response! 1. Favorite Legendary bird: Articuno, Zapdos, or Moltres 2. Coffee vs Energy Drinks 3. Who wins in a fight Iron Man vs Batman? 4. Who would you rather defend you? Katniss Everdeen vs Hermione Granger 5. Who wins in a fight Darth Vader vs Yoda 6. If you were on an island with only one season of one show what would it be? 7. Team Grizzly Eagle Shark of Team Giraffelant 8. What do you want us to talk about or give our thoughts on? TWITTER: @jonkerlin or @SCB_Ben =D</t>
        </is>
      </c>
      <c r="V3171" s="47">
        <f>IF(AND(P3171&gt;=Calendar!$K$2,P3171&lt;EDATE(Calendar!$K$2,1),OR(Calendar!$K$4="*",N3171=Calendar!$K$4)),P3171*100+COUNTIFS($P$6:$P$3267,P3171,$Q$6:$Q$3267,"&lt;="&amp;Q3171,$N$6:$N$3267,Calendar!$K$4),"")</f>
        <v/>
      </c>
      <c r="W3171" s="47">
        <f>IF(AND(B3171=Queue!$C$4,OR(Queue!$K$4="*",N3171=Queue!$K$4)),Q3171,"")</f>
        <v/>
      </c>
    </row>
    <row r="3172">
      <c r="A3172" s="38">
        <f>IF(M3172="","",HYPERLINK("https://www.youtube.com/watch?v="&amp;M3172,"▶"))</f>
        <v/>
      </c>
      <c r="B3172" s="39">
        <f>IF(C3172&lt;&gt;"",C3172,IF(P3172&lt;=IFERROR(INDEX(tblChannels[Watched Through],MATCH(N3172,tblChannels[Channel ID],0)),0),"Watched","Unwatched"))</f>
        <v/>
      </c>
      <c r="C3172" s="40" t="n"/>
      <c r="D3172" s="41" t="n"/>
      <c r="E3172" s="42" t="n">
        <v>41218.81388888889</v>
      </c>
      <c r="F3172" s="50" t="inlineStr">
        <is>
          <t>Super Carlin Brothers</t>
        </is>
      </c>
      <c r="G3172" t="inlineStr">
        <is>
          <t>Hello</t>
        </is>
      </c>
      <c r="H3172" s="44" t="n">
        <v>0.001377314814814815</v>
      </c>
      <c r="I3172" s="45" t="n">
        <v>12466</v>
      </c>
      <c r="J3172" s="45" t="n">
        <v>296</v>
      </c>
      <c r="K3172" s="45" t="n">
        <v>64</v>
      </c>
      <c r="L3172" s="46" t="n"/>
      <c r="M3172" s="47" t="n"/>
      <c r="N3172" s="47" t="inlineStr">
        <is>
          <t>UCKZo4N0lVPccBkSiuyVh4yg</t>
        </is>
      </c>
      <c r="O3172" s="48" t="n">
        <v>41219.02222222222</v>
      </c>
      <c r="P3172" s="49" t="n">
        <v>41218</v>
      </c>
      <c r="Q3172" s="47" t="n">
        <v>96</v>
      </c>
      <c r="R3172" s="47" t="inlineStr">
        <is>
          <t>No Video ID yet</t>
        </is>
      </c>
      <c r="S3172" s="49" t="n"/>
      <c r="T3172" s="49" t="n"/>
      <c r="U3172" s="47" t="inlineStr">
        <is>
          <t>Tell someone Ben says hello. Tell me if they respond. Twitter: @SCB_Ben and @Jonkerlin =D</t>
        </is>
      </c>
      <c r="V3172" s="47">
        <f>IF(AND(P3172&gt;=Calendar!$K$2,P3172&lt;EDATE(Calendar!$K$2,1),OR(Calendar!$K$4="*",N3172=Calendar!$K$4)),P3172*100+COUNTIFS($P$6:$P$3267,P3172,$Q$6:$Q$3267,"&lt;="&amp;Q3172,$N$6:$N$3267,Calendar!$K$4),"")</f>
        <v/>
      </c>
      <c r="W3172" s="47">
        <f>IF(AND(B3172=Queue!$C$4,OR(Queue!$K$4="*",N3172=Queue!$K$4)),Q3172,"")</f>
        <v/>
      </c>
    </row>
    <row r="3173">
      <c r="A3173" s="38">
        <f>IF(M3173="","",HYPERLINK("https://www.youtube.com/watch?v="&amp;M3173,"▶"))</f>
        <v/>
      </c>
      <c r="B3173" s="39">
        <f>IF(C3173&lt;&gt;"",C3173,IF(P3173&lt;=IFERROR(INDEX(tblChannels[Watched Through],MATCH(N3173,tblChannels[Channel ID],0)),0),"Watched","Unwatched"))</f>
        <v/>
      </c>
      <c r="C3173" s="40" t="n"/>
      <c r="D3173" s="41" t="n"/>
      <c r="E3173" s="42" t="n">
        <v>41215.82083333333</v>
      </c>
      <c r="F3173" s="50" t="inlineStr">
        <is>
          <t>Super Carlin Brothers</t>
        </is>
      </c>
      <c r="G3173" t="inlineStr">
        <is>
          <t>How to Open Doors</t>
        </is>
      </c>
      <c r="H3173" s="44" t="n">
        <v>0.002048611111111111</v>
      </c>
      <c r="I3173" s="45" t="n">
        <v>68739</v>
      </c>
      <c r="J3173" s="45" t="n">
        <v>1457</v>
      </c>
      <c r="K3173" s="45" t="n">
        <v>450</v>
      </c>
      <c r="L3173" s="46" t="n"/>
      <c r="M3173" s="47" t="n"/>
      <c r="N3173" s="47" t="inlineStr">
        <is>
          <t>UCKZo4N0lVPccBkSiuyVh4yg</t>
        </is>
      </c>
      <c r="O3173" s="48" t="n">
        <v>41215.9875</v>
      </c>
      <c r="P3173" s="49" t="n">
        <v>41215</v>
      </c>
      <c r="Q3173" s="47" t="n">
        <v>95</v>
      </c>
      <c r="R3173" s="47" t="inlineStr">
        <is>
          <t>No Video ID yet</t>
        </is>
      </c>
      <c r="S3173" s="49" t="n"/>
      <c r="T3173" s="49" t="n"/>
      <c r="U3173" s="47" t="inlineStr">
        <is>
          <t>Jonathan talks about when to open doors for men and women. Should guys always open doors for girls? Twitter: @jonkerlin and @SCB_Ben =D</t>
        </is>
      </c>
      <c r="V3173" s="47">
        <f>IF(AND(P3173&gt;=Calendar!$K$2,P3173&lt;EDATE(Calendar!$K$2,1),OR(Calendar!$K$4="*",N3173=Calendar!$K$4)),P3173*100+COUNTIFS($P$6:$P$3267,P3173,$Q$6:$Q$3267,"&lt;="&amp;Q3173,$N$6:$N$3267,Calendar!$K$4),"")</f>
        <v/>
      </c>
      <c r="W3173" s="47">
        <f>IF(AND(B3173=Queue!$C$4,OR(Queue!$K$4="*",N3173=Queue!$K$4)),Q3173,"")</f>
        <v/>
      </c>
    </row>
    <row r="3174">
      <c r="A3174" s="38">
        <f>IF(M3174="","",HYPERLINK("https://www.youtube.com/watch?v="&amp;M3174,"▶"))</f>
        <v/>
      </c>
      <c r="B3174" s="39">
        <f>IF(C3174&lt;&gt;"",C3174,IF(P3174&lt;=IFERROR(INDEX(tblChannels[Watched Through],MATCH(N3174,tblChannels[Channel ID],0)),0),"Watched","Unwatched"))</f>
        <v/>
      </c>
      <c r="C3174" s="40" t="n"/>
      <c r="D3174" s="41" t="n"/>
      <c r="E3174" s="42" t="n">
        <v>41214.71527777778</v>
      </c>
      <c r="F3174" s="50" t="inlineStr">
        <is>
          <t>Super Carlin Brothers</t>
        </is>
      </c>
      <c r="G3174" t="inlineStr">
        <is>
          <t>The Door Holding Paradox</t>
        </is>
      </c>
      <c r="H3174" s="44" t="n">
        <v>0.002280092592592593</v>
      </c>
      <c r="I3174" s="45" t="n">
        <v>22709</v>
      </c>
      <c r="J3174" s="45" t="n">
        <v>499</v>
      </c>
      <c r="K3174" s="45" t="n">
        <v>89</v>
      </c>
      <c r="L3174" s="46" t="n"/>
      <c r="M3174" s="47" t="n"/>
      <c r="N3174" s="47" t="inlineStr">
        <is>
          <t>UCKZo4N0lVPccBkSiuyVh4yg</t>
        </is>
      </c>
      <c r="O3174" s="48" t="n">
        <v>41214.88194444445</v>
      </c>
      <c r="P3174" s="49" t="n">
        <v>41214</v>
      </c>
      <c r="Q3174" s="47" t="n">
        <v>94</v>
      </c>
      <c r="R3174" s="47" t="inlineStr">
        <is>
          <t>No Video ID yet</t>
        </is>
      </c>
      <c r="S3174" s="49" t="n"/>
      <c r="T3174" s="49" t="n"/>
      <c r="U3174" s="47" t="inlineStr">
        <is>
          <t>What is your favorite knock-knock joke! Twitter: @SCB_Ben and @Jonkerlin! =D</t>
        </is>
      </c>
      <c r="V3174" s="47">
        <f>IF(AND(P3174&gt;=Calendar!$K$2,P3174&lt;EDATE(Calendar!$K$2,1),OR(Calendar!$K$4="*",N3174=Calendar!$K$4)),P3174*100+COUNTIFS($P$6:$P$3267,P3174,$Q$6:$Q$3267,"&lt;="&amp;Q3174,$N$6:$N$3267,Calendar!$K$4),"")</f>
        <v/>
      </c>
      <c r="W3174" s="47">
        <f>IF(AND(B3174=Queue!$C$4,OR(Queue!$K$4="*",N3174=Queue!$K$4)),Q3174,"")</f>
        <v/>
      </c>
    </row>
    <row r="3175">
      <c r="A3175" s="38">
        <f>IF(M3175="","",HYPERLINK("https://www.youtube.com/watch?v="&amp;M3175,"▶"))</f>
        <v/>
      </c>
      <c r="B3175" s="39">
        <f>IF(C3175&lt;&gt;"",C3175,IF(P3175&lt;=IFERROR(INDEX(tblChannels[Watched Through],MATCH(N3175,tblChannels[Channel ID],0)),0),"Watched","Unwatched"))</f>
        <v/>
      </c>
      <c r="C3175" s="40" t="n"/>
      <c r="D3175" s="41" t="n"/>
      <c r="E3175" s="42" t="n">
        <v>41213.95069444444</v>
      </c>
      <c r="F3175" s="50" t="inlineStr">
        <is>
          <t>Super Carlin Brothers</t>
        </is>
      </c>
      <c r="G3175" t="inlineStr">
        <is>
          <t>State of the Shave</t>
        </is>
      </c>
      <c r="H3175" s="44" t="n">
        <v>0.001608796296296296</v>
      </c>
      <c r="I3175" s="45" t="n">
        <v>16931</v>
      </c>
      <c r="J3175" s="45" t="n">
        <v>470</v>
      </c>
      <c r="K3175" s="45" t="n">
        <v>86</v>
      </c>
      <c r="L3175" s="46" t="n"/>
      <c r="M3175" s="47" t="n"/>
      <c r="N3175" s="47" t="inlineStr">
        <is>
          <t>UCKZo4N0lVPccBkSiuyVh4yg</t>
        </is>
      </c>
      <c r="O3175" s="48" t="n">
        <v>41214.11736111111</v>
      </c>
      <c r="P3175" s="49" t="n">
        <v>41213</v>
      </c>
      <c r="Q3175" s="47" t="n">
        <v>93</v>
      </c>
      <c r="R3175" s="47" t="inlineStr">
        <is>
          <t>No Video ID yet</t>
        </is>
      </c>
      <c r="S3175" s="49" t="n"/>
      <c r="T3175" s="49" t="n"/>
      <c r="U3175" s="47" t="inlineStr">
        <is>
          <t>Jonathan defends all of the clean shaven folk of the world with clean cut and dry facts.. mostly.. What do you think of facial hair?? TWITTER: @jonkerlin and @SCB_Ben =D</t>
        </is>
      </c>
      <c r="V3175" s="47">
        <f>IF(AND(P3175&gt;=Calendar!$K$2,P3175&lt;EDATE(Calendar!$K$2,1),OR(Calendar!$K$4="*",N3175=Calendar!$K$4)),P3175*100+COUNTIFS($P$6:$P$3267,P3175,$Q$6:$Q$3267,"&lt;="&amp;Q3175,$N$6:$N$3267,Calendar!$K$4),"")</f>
        <v/>
      </c>
      <c r="W3175" s="47">
        <f>IF(AND(B3175=Queue!$C$4,OR(Queue!$K$4="*",N3175=Queue!$K$4)),Q3175,"")</f>
        <v/>
      </c>
    </row>
    <row r="3176">
      <c r="A3176" s="38">
        <f>IF(M3176="","",HYPERLINK("https://www.youtube.com/watch?v="&amp;M3176,"▶"))</f>
        <v/>
      </c>
      <c r="B3176" s="39">
        <f>IF(C3176&lt;&gt;"",C3176,IF(P3176&lt;=IFERROR(INDEX(tblChannels[Watched Through],MATCH(N3176,tblChannels[Channel ID],0)),0),"Watched","Unwatched"))</f>
        <v/>
      </c>
      <c r="C3176" s="40" t="n"/>
      <c r="D3176" s="41" t="n"/>
      <c r="E3176" s="42" t="n">
        <v>41212.91944444444</v>
      </c>
      <c r="F3176" s="50" t="inlineStr">
        <is>
          <t>Super Carlin Brothers</t>
        </is>
      </c>
      <c r="G3176" t="inlineStr">
        <is>
          <t>The Recipe for the Perfect Day</t>
        </is>
      </c>
      <c r="H3176" s="44" t="n">
        <v>0.002546296296296297</v>
      </c>
      <c r="I3176" s="45" t="n">
        <v>13578</v>
      </c>
      <c r="J3176" s="45" t="n">
        <v>323</v>
      </c>
      <c r="K3176" s="45" t="n">
        <v>25</v>
      </c>
      <c r="L3176" s="46" t="n"/>
      <c r="M3176" s="47" t="n"/>
      <c r="N3176" s="47" t="inlineStr">
        <is>
          <t>UCKZo4N0lVPccBkSiuyVh4yg</t>
        </is>
      </c>
      <c r="O3176" s="48" t="n">
        <v>41213.08611111111</v>
      </c>
      <c r="P3176" s="49" t="n">
        <v>41212</v>
      </c>
      <c r="Q3176" s="47" t="n">
        <v>92</v>
      </c>
      <c r="R3176" s="47" t="inlineStr">
        <is>
          <t>No Video ID yet</t>
        </is>
      </c>
      <c r="S3176" s="49" t="n"/>
      <c r="T3176" s="49" t="n"/>
      <c r="U3176" s="47" t="inlineStr">
        <is>
          <t>Can you rally and make the best of a bad day? Would you suffer through a bad day or two in order to achieve a perfect day? (i.e. work overtime for some extra cash to afford your lift ticket!) Twitter: @SCB_Ben and @Jonkerlin =D</t>
        </is>
      </c>
      <c r="V3176" s="47">
        <f>IF(AND(P3176&gt;=Calendar!$K$2,P3176&lt;EDATE(Calendar!$K$2,1),OR(Calendar!$K$4="*",N3176=Calendar!$K$4)),P3176*100+COUNTIFS($P$6:$P$3267,P3176,$Q$6:$Q$3267,"&lt;="&amp;Q3176,$N$6:$N$3267,Calendar!$K$4),"")</f>
        <v/>
      </c>
      <c r="W3176" s="47">
        <f>IF(AND(B3176=Queue!$C$4,OR(Queue!$K$4="*",N3176=Queue!$K$4)),Q3176,"")</f>
        <v/>
      </c>
    </row>
    <row r="3177">
      <c r="A3177" s="38">
        <f>IF(M3177="","",HYPERLINK("https://www.youtube.com/watch?v="&amp;M3177,"▶"))</f>
        <v/>
      </c>
      <c r="B3177" s="39">
        <f>IF(C3177&lt;&gt;"",C3177,IF(P3177&lt;=IFERROR(INDEX(tblChannels[Watched Through],MATCH(N3177,tblChannels[Channel ID],0)),0),"Watched","Unwatched"))</f>
        <v/>
      </c>
      <c r="C3177" s="40" t="n"/>
      <c r="D3177" s="41" t="n"/>
      <c r="E3177" s="42" t="n">
        <v>41211.86458333334</v>
      </c>
      <c r="F3177" s="50" t="inlineStr">
        <is>
          <t>Super Carlin Brothers</t>
        </is>
      </c>
      <c r="G3177" t="inlineStr">
        <is>
          <t>A Rad Day</t>
        </is>
      </c>
      <c r="H3177" s="44" t="n">
        <v>0.002835648148148148</v>
      </c>
      <c r="I3177" s="45" t="n">
        <v>14647</v>
      </c>
      <c r="J3177" s="45" t="n">
        <v>366</v>
      </c>
      <c r="K3177" s="45" t="n">
        <v>99</v>
      </c>
      <c r="L3177" s="46" t="n"/>
      <c r="M3177" s="47" t="n"/>
      <c r="N3177" s="47" t="inlineStr">
        <is>
          <t>UCKZo4N0lVPccBkSiuyVh4yg</t>
        </is>
      </c>
      <c r="O3177" s="48" t="n">
        <v>41212.03125</v>
      </c>
      <c r="P3177" s="49" t="n">
        <v>41211</v>
      </c>
      <c r="Q3177" s="47" t="n">
        <v>91</v>
      </c>
      <c r="R3177" s="47" t="inlineStr">
        <is>
          <t>No Video ID yet</t>
        </is>
      </c>
      <c r="S3177" s="49" t="n"/>
      <c r="T3177" s="49" t="n"/>
      <c r="U3177" s="47" t="inlineStr">
        <is>
          <t>Jonathan may have experienced his best day ever! What would your perfect day be like? What theme would you want to see? =D</t>
        </is>
      </c>
      <c r="V3177" s="47">
        <f>IF(AND(P3177&gt;=Calendar!$K$2,P3177&lt;EDATE(Calendar!$K$2,1),OR(Calendar!$K$4="*",N3177=Calendar!$K$4)),P3177*100+COUNTIFS($P$6:$P$3267,P3177,$Q$6:$Q$3267,"&lt;="&amp;Q3177,$N$6:$N$3267,Calendar!$K$4),"")</f>
        <v/>
      </c>
      <c r="W3177" s="47">
        <f>IF(AND(B3177=Queue!$C$4,OR(Queue!$K$4="*",N3177=Queue!$K$4)),Q3177,"")</f>
        <v/>
      </c>
    </row>
    <row r="3178">
      <c r="A3178" s="38">
        <f>IF(M3178="","",HYPERLINK("https://www.youtube.com/watch?v="&amp;M3178,"▶"))</f>
        <v/>
      </c>
      <c r="B3178" s="39">
        <f>IF(C3178&lt;&gt;"",C3178,IF(P3178&lt;=IFERROR(INDEX(tblChannels[Watched Through],MATCH(N3178,tblChannels[Channel ID],0)),0),"Watched","Unwatched"))</f>
        <v/>
      </c>
      <c r="C3178" s="40" t="n"/>
      <c r="D3178" s="41" t="n"/>
      <c r="E3178" s="42" t="n">
        <v>41208.81319444445</v>
      </c>
      <c r="F3178" s="50" t="inlineStr">
        <is>
          <t>Super Carlin Brothers</t>
        </is>
      </c>
      <c r="G3178" t="inlineStr">
        <is>
          <t>From Books to Films</t>
        </is>
      </c>
      <c r="H3178" s="44" t="n">
        <v>0.001678240740740741</v>
      </c>
      <c r="I3178" s="45" t="n">
        <v>18268</v>
      </c>
      <c r="J3178" s="45" t="n">
        <v>443</v>
      </c>
      <c r="K3178" s="45" t="n">
        <v>102</v>
      </c>
      <c r="L3178" s="46" t="n"/>
      <c r="M3178" s="47" t="n"/>
      <c r="N3178" s="47" t="inlineStr">
        <is>
          <t>UCKZo4N0lVPccBkSiuyVh4yg</t>
        </is>
      </c>
      <c r="O3178" s="48" t="n">
        <v>41208.97986111111</v>
      </c>
      <c r="P3178" s="49" t="n">
        <v>41208</v>
      </c>
      <c r="Q3178" s="47" t="n">
        <v>90</v>
      </c>
      <c r="R3178" s="47" t="inlineStr">
        <is>
          <t>No Video ID yet</t>
        </is>
      </c>
      <c r="S3178" s="49" t="n"/>
      <c r="T3178" s="49" t="n"/>
      <c r="U3178" s="47" t="inlineStr">
        <is>
          <t>Ben discusses the successes and failures of the conversion of the Harry Potter books to film. TWITTER: @SCB_Ben and @Jonkerlin =D</t>
        </is>
      </c>
      <c r="V3178" s="47">
        <f>IF(AND(P3178&gt;=Calendar!$K$2,P3178&lt;EDATE(Calendar!$K$2,1),OR(Calendar!$K$4="*",N3178=Calendar!$K$4)),P3178*100+COUNTIFS($P$6:$P$3267,P3178,$Q$6:$Q$3267,"&lt;="&amp;Q3178,$N$6:$N$3267,Calendar!$K$4),"")</f>
        <v/>
      </c>
      <c r="W3178" s="47">
        <f>IF(AND(B3178=Queue!$C$4,OR(Queue!$K$4="*",N3178=Queue!$K$4)),Q3178,"")</f>
        <v/>
      </c>
    </row>
    <row r="3179">
      <c r="A3179" s="38">
        <f>IF(M3179="","",HYPERLINK("https://www.youtube.com/watch?v="&amp;M3179,"▶"))</f>
        <v/>
      </c>
      <c r="B3179" s="39">
        <f>IF(C3179&lt;&gt;"",C3179,IF(P3179&lt;=IFERROR(INDEX(tblChannels[Watched Through],MATCH(N3179,tblChannels[Channel ID],0)),0),"Watched","Unwatched"))</f>
        <v/>
      </c>
      <c r="C3179" s="40" t="n"/>
      <c r="D3179" s="41" t="n"/>
      <c r="E3179" s="42" t="n">
        <v>41207.5</v>
      </c>
      <c r="F3179" s="50" t="inlineStr">
        <is>
          <t>Super Carlin Brothers</t>
        </is>
      </c>
      <c r="G3179" t="inlineStr">
        <is>
          <t>SIRIUSLY</t>
        </is>
      </c>
      <c r="H3179" s="44" t="n">
        <v>0.001701388888888889</v>
      </c>
      <c r="I3179" s="45" t="n">
        <v>499511</v>
      </c>
      <c r="J3179" s="45" t="n">
        <v>9673</v>
      </c>
      <c r="K3179" s="45" t="n">
        <v>2784</v>
      </c>
      <c r="L3179" s="46" t="n"/>
      <c r="M3179" s="47" t="n"/>
      <c r="N3179" s="47" t="inlineStr">
        <is>
          <t>UCKZo4N0lVPccBkSiuyVh4yg</t>
        </is>
      </c>
      <c r="O3179" s="48" t="n">
        <v>41207.66666666666</v>
      </c>
      <c r="P3179" s="49" t="n">
        <v>41207</v>
      </c>
      <c r="Q3179" s="47" t="n">
        <v>89</v>
      </c>
      <c r="R3179" s="47" t="inlineStr">
        <is>
          <t>No Video ID yet</t>
        </is>
      </c>
      <c r="S3179" s="49" t="n"/>
      <c r="T3179" s="49" t="n"/>
      <c r="U3179" s="47" t="inlineStr">
        <is>
          <t>Jonathan gets SIRIUS about Ben's lack of HP7 knowledge and totally spoils the whole book for him.. maybe.. I dunno WISH BEN A HAPPY BIRTHDAY! (also which is better flying or invisibility?) Facebook: www.facebook.com/supercarlinbrothers Twitter: @jonkerlin and @SCB_Ben =D</t>
        </is>
      </c>
      <c r="V3179" s="47">
        <f>IF(AND(P3179&gt;=Calendar!$K$2,P3179&lt;EDATE(Calendar!$K$2,1),OR(Calendar!$K$4="*",N3179=Calendar!$K$4)),P3179*100+COUNTIFS($P$6:$P$3267,P3179,$Q$6:$Q$3267,"&lt;="&amp;Q3179,$N$6:$N$3267,Calendar!$K$4),"")</f>
        <v/>
      </c>
      <c r="W3179" s="47">
        <f>IF(AND(B3179=Queue!$C$4,OR(Queue!$K$4="*",N3179=Queue!$K$4)),Q3179,"")</f>
        <v/>
      </c>
    </row>
    <row r="3180">
      <c r="A3180" s="38">
        <f>IF(M3180="","",HYPERLINK("https://www.youtube.com/watch?v="&amp;M3180,"▶"))</f>
        <v/>
      </c>
      <c r="B3180" s="39">
        <f>IF(C3180&lt;&gt;"",C3180,IF(P3180&lt;=IFERROR(INDEX(tblChannels[Watched Through],MATCH(N3180,tblChannels[Channel ID],0)),0),"Watched","Unwatched"))</f>
        <v/>
      </c>
      <c r="C3180" s="40" t="n"/>
      <c r="D3180" s="41" t="n"/>
      <c r="E3180" s="42" t="n">
        <v>41206.81458333333</v>
      </c>
      <c r="F3180" s="50" t="inlineStr">
        <is>
          <t>Super Carlin Brothers</t>
        </is>
      </c>
      <c r="G3180" t="inlineStr">
        <is>
          <t>Harry Potter Confessional</t>
        </is>
      </c>
      <c r="H3180" s="44" t="n">
        <v>0.001921296296296296</v>
      </c>
      <c r="I3180" s="45" t="n">
        <v>80857</v>
      </c>
      <c r="J3180" s="45" t="n">
        <v>1215</v>
      </c>
      <c r="K3180" s="45" t="n">
        <v>375</v>
      </c>
      <c r="L3180" s="46" t="n"/>
      <c r="M3180" s="47" t="n"/>
      <c r="N3180" s="47" t="inlineStr">
        <is>
          <t>UCKZo4N0lVPccBkSiuyVh4yg</t>
        </is>
      </c>
      <c r="O3180" s="48" t="n">
        <v>41206.98125</v>
      </c>
      <c r="P3180" s="49" t="n">
        <v>41206</v>
      </c>
      <c r="Q3180" s="47" t="n">
        <v>88</v>
      </c>
      <c r="R3180" s="47" t="inlineStr">
        <is>
          <t>No Video ID yet</t>
        </is>
      </c>
      <c r="S3180" s="49" t="n"/>
      <c r="T3180" s="49" t="n"/>
      <c r="U3180" s="47" t="inlineStr">
        <is>
          <t>Ben confesses his deep dark horcrux of a secret... Twitter: @SCB_Ben and @Jonkerlin =D</t>
        </is>
      </c>
      <c r="V3180" s="47">
        <f>IF(AND(P3180&gt;=Calendar!$K$2,P3180&lt;EDATE(Calendar!$K$2,1),OR(Calendar!$K$4="*",N3180=Calendar!$K$4)),P3180*100+COUNTIFS($P$6:$P$3267,P3180,$Q$6:$Q$3267,"&lt;="&amp;Q3180,$N$6:$N$3267,Calendar!$K$4),"")</f>
        <v/>
      </c>
      <c r="W3180" s="47">
        <f>IF(AND(B3180=Queue!$C$4,OR(Queue!$K$4="*",N3180=Queue!$K$4)),Q3180,"")</f>
        <v/>
      </c>
    </row>
    <row r="3181">
      <c r="A3181" s="38">
        <f>IF(M3181="","",HYPERLINK("https://www.youtube.com/watch?v="&amp;M3181,"▶"))</f>
        <v/>
      </c>
      <c r="B3181" s="39">
        <f>IF(C3181&lt;&gt;"",C3181,IF(P3181&lt;=IFERROR(INDEX(tblChannels[Watched Through],MATCH(N3181,tblChannels[Channel ID],0)),0),"Watched","Unwatched"))</f>
        <v/>
      </c>
      <c r="C3181" s="40" t="n"/>
      <c r="D3181" s="41" t="n"/>
      <c r="E3181" s="42" t="n">
        <v>41205.90069444444</v>
      </c>
      <c r="F3181" s="50" t="inlineStr">
        <is>
          <t>Super Carlin Brothers</t>
        </is>
      </c>
      <c r="G3181" t="inlineStr">
        <is>
          <t>QUIDDITCH MAKES NO SENSE!</t>
        </is>
      </c>
      <c r="H3181" s="44" t="n">
        <v>0.002962962962962963</v>
      </c>
      <c r="I3181" s="45" t="n">
        <v>658070</v>
      </c>
      <c r="J3181" s="45" t="n">
        <v>9971</v>
      </c>
      <c r="K3181" s="45" t="n">
        <v>3195</v>
      </c>
      <c r="L3181" s="46" t="n"/>
      <c r="M3181" s="47" t="n"/>
      <c r="N3181" s="47" t="inlineStr">
        <is>
          <t>UCKZo4N0lVPccBkSiuyVh4yg</t>
        </is>
      </c>
      <c r="O3181" s="48" t="n">
        <v>41206.06736111111</v>
      </c>
      <c r="P3181" s="49" t="n">
        <v>41205</v>
      </c>
      <c r="Q3181" s="47" t="n">
        <v>87</v>
      </c>
      <c r="R3181" s="47" t="inlineStr">
        <is>
          <t>No Video ID yet</t>
        </is>
      </c>
      <c r="S3181" s="49" t="n"/>
      <c r="T3181" s="49" t="n"/>
      <c r="U3181" s="47" t="inlineStr">
        <is>
          <t>Jonathan discusses the many flaws of the game of quidditch.. which he still loves.. a lot. What position would you play on the quidditch pitch? TWITTER: @jonkerlin and @SCB_Ben =D</t>
        </is>
      </c>
      <c r="V3181" s="47">
        <f>IF(AND(P3181&gt;=Calendar!$K$2,P3181&lt;EDATE(Calendar!$K$2,1),OR(Calendar!$K$4="*",N3181=Calendar!$K$4)),P3181*100+COUNTIFS($P$6:$P$3267,P3181,$Q$6:$Q$3267,"&lt;="&amp;Q3181,$N$6:$N$3267,Calendar!$K$4),"")</f>
        <v/>
      </c>
      <c r="W3181" s="47">
        <f>IF(AND(B3181=Queue!$C$4,OR(Queue!$K$4="*",N3181=Queue!$K$4)),Q3181,"")</f>
        <v/>
      </c>
    </row>
    <row r="3182">
      <c r="A3182" s="38">
        <f>IF(M3182="","",HYPERLINK("https://www.youtube.com/watch?v="&amp;M3182,"▶"))</f>
        <v/>
      </c>
      <c r="B3182" s="39">
        <f>IF(C3182&lt;&gt;"",C3182,IF(P3182&lt;=IFERROR(INDEX(tblChannels[Watched Through],MATCH(N3182,tblChannels[Channel ID],0)),0),"Watched","Unwatched"))</f>
        <v/>
      </c>
      <c r="C3182" s="40" t="n"/>
      <c r="D3182" s="41" t="n"/>
      <c r="E3182" s="42" t="n">
        <v>41204.94305555556</v>
      </c>
      <c r="F3182" s="50" t="inlineStr">
        <is>
          <t>Super Carlin Brothers</t>
        </is>
      </c>
      <c r="G3182" t="inlineStr">
        <is>
          <t>Hogwarts and Charts</t>
        </is>
      </c>
      <c r="H3182" s="44" t="n">
        <v>0.002476851851851852</v>
      </c>
      <c r="I3182" s="45" t="n">
        <v>87422</v>
      </c>
      <c r="J3182" s="45" t="n">
        <v>1466</v>
      </c>
      <c r="K3182" s="45" t="n">
        <v>810</v>
      </c>
      <c r="L3182" s="46" t="n"/>
      <c r="M3182" s="47" t="n"/>
      <c r="N3182" s="47" t="inlineStr">
        <is>
          <t>UCKZo4N0lVPccBkSiuyVh4yg</t>
        </is>
      </c>
      <c r="O3182" s="48" t="n">
        <v>41205.10972222222</v>
      </c>
      <c r="P3182" s="49" t="n">
        <v>41204</v>
      </c>
      <c r="Q3182" s="47" t="n">
        <v>86</v>
      </c>
      <c r="R3182" s="47" t="inlineStr">
        <is>
          <t>No Video ID yet</t>
        </is>
      </c>
      <c r="S3182" s="49" t="n"/>
      <c r="T3182" s="49" t="n"/>
      <c r="U3182" s="47" t="inlineStr">
        <is>
          <t>Ben goes chart crazy. And wonders about Hufflepuff. Twitter: @SCB_Ben and @Jonkerlin =D</t>
        </is>
      </c>
      <c r="V3182" s="47">
        <f>IF(AND(P3182&gt;=Calendar!$K$2,P3182&lt;EDATE(Calendar!$K$2,1),OR(Calendar!$K$4="*",N3182=Calendar!$K$4)),P3182*100+COUNTIFS($P$6:$P$3267,P3182,$Q$6:$Q$3267,"&lt;="&amp;Q3182,$N$6:$N$3267,Calendar!$K$4),"")</f>
        <v/>
      </c>
      <c r="W3182" s="47">
        <f>IF(AND(B3182=Queue!$C$4,OR(Queue!$K$4="*",N3182=Queue!$K$4)),Q3182,"")</f>
        <v/>
      </c>
    </row>
    <row r="3183">
      <c r="A3183" s="38">
        <f>IF(M3183="","",HYPERLINK("https://www.youtube.com/watch?v="&amp;M3183,"▶"))</f>
        <v/>
      </c>
      <c r="B3183" s="39">
        <f>IF(C3183&lt;&gt;"",C3183,IF(P3183&lt;=IFERROR(INDEX(tblChannels[Watched Through],MATCH(N3183,tblChannels[Channel ID],0)),0),"Watched","Unwatched"))</f>
        <v/>
      </c>
      <c r="C3183" s="40" t="n"/>
      <c r="D3183" s="41" t="n"/>
      <c r="E3183" s="42" t="n">
        <v>41201.83194444444</v>
      </c>
      <c r="F3183" s="50" t="inlineStr">
        <is>
          <t>Super Carlin Brothers</t>
        </is>
      </c>
      <c r="G3183" t="inlineStr">
        <is>
          <t>Ask J! #4</t>
        </is>
      </c>
      <c r="H3183" s="44" t="n">
        <v>0.002002314814814815</v>
      </c>
      <c r="I3183" s="45" t="n">
        <v>24431</v>
      </c>
      <c r="J3183" s="45" t="n">
        <v>477</v>
      </c>
      <c r="K3183" s="45" t="n">
        <v>333</v>
      </c>
      <c r="L3183" s="46" t="n"/>
      <c r="M3183" s="47" t="n"/>
      <c r="N3183" s="47" t="inlineStr">
        <is>
          <t>UCKZo4N0lVPccBkSiuyVh4yg</t>
        </is>
      </c>
      <c r="O3183" s="48" t="n">
        <v>41201.99861111111</v>
      </c>
      <c r="P3183" s="49" t="n">
        <v>41201</v>
      </c>
      <c r="Q3183" s="47" t="n">
        <v>85</v>
      </c>
      <c r="R3183" s="47" t="inlineStr">
        <is>
          <t>No Video ID yet</t>
        </is>
      </c>
      <c r="S3183" s="49" t="n"/>
      <c r="T3183" s="49" t="n"/>
      <c r="U3183" s="47" t="inlineStr">
        <is>
          <t>Jonathan answers your questions! What Hogwarts house are you in!? TWITTER: @jonkerlin and @SCB_Ben =D</t>
        </is>
      </c>
      <c r="V3183" s="47">
        <f>IF(AND(P3183&gt;=Calendar!$K$2,P3183&lt;EDATE(Calendar!$K$2,1),OR(Calendar!$K$4="*",N3183=Calendar!$K$4)),P3183*100+COUNTIFS($P$6:$P$3267,P3183,$Q$6:$Q$3267,"&lt;="&amp;Q3183,$N$6:$N$3267,Calendar!$K$4),"")</f>
        <v/>
      </c>
      <c r="W3183" s="47">
        <f>IF(AND(B3183=Queue!$C$4,OR(Queue!$K$4="*",N3183=Queue!$K$4)),Q3183,"")</f>
        <v/>
      </c>
    </row>
    <row r="3184">
      <c r="A3184" s="38">
        <f>IF(M3184="","",HYPERLINK("https://www.youtube.com/watch?v="&amp;M3184,"▶"))</f>
        <v/>
      </c>
      <c r="B3184" s="39">
        <f>IF(C3184&lt;&gt;"",C3184,IF(P3184&lt;=IFERROR(INDEX(tblChannels[Watched Through],MATCH(N3184,tblChannels[Channel ID],0)),0),"Watched","Unwatched"))</f>
        <v/>
      </c>
      <c r="C3184" s="40" t="n"/>
      <c r="D3184" s="41" t="n"/>
      <c r="E3184" s="42" t="n">
        <v>41200.92986111111</v>
      </c>
      <c r="F3184" s="50" t="inlineStr">
        <is>
          <t>Super Carlin Brothers</t>
        </is>
      </c>
      <c r="G3184" t="inlineStr">
        <is>
          <t>Has Apple Still Got it?</t>
        </is>
      </c>
      <c r="H3184" s="44" t="n">
        <v>0.002361111111111111</v>
      </c>
      <c r="I3184" s="45" t="n">
        <v>13414</v>
      </c>
      <c r="J3184" s="45" t="n">
        <v>289</v>
      </c>
      <c r="K3184" s="45" t="n">
        <v>49</v>
      </c>
      <c r="L3184" s="46" t="n"/>
      <c r="M3184" s="47" t="n"/>
      <c r="N3184" s="47" t="inlineStr">
        <is>
          <t>UCKZo4N0lVPccBkSiuyVh4yg</t>
        </is>
      </c>
      <c r="O3184" s="48" t="n">
        <v>41201.09652777778</v>
      </c>
      <c r="P3184" s="49" t="n">
        <v>41200</v>
      </c>
      <c r="Q3184" s="47" t="n">
        <v>84</v>
      </c>
      <c r="R3184" s="47" t="inlineStr">
        <is>
          <t>No Video ID yet</t>
        </is>
      </c>
      <c r="S3184" s="49" t="n"/>
      <c r="T3184" s="49" t="n"/>
      <c r="U3184" s="47" t="inlineStr">
        <is>
          <t>Ben questions Apple's ability to maintain it's position at the top of the tech world Also don't forget to ask a question for tomorrows Ask J! And we tweet, and stuff. @SCB_Ben and @Jonkerlin =D</t>
        </is>
      </c>
      <c r="V3184" s="47">
        <f>IF(AND(P3184&gt;=Calendar!$K$2,P3184&lt;EDATE(Calendar!$K$2,1),OR(Calendar!$K$4="*",N3184=Calendar!$K$4)),P3184*100+COUNTIFS($P$6:$P$3267,P3184,$Q$6:$Q$3267,"&lt;="&amp;Q3184,$N$6:$N$3267,Calendar!$K$4),"")</f>
        <v/>
      </c>
      <c r="W3184" s="47">
        <f>IF(AND(B3184=Queue!$C$4,OR(Queue!$K$4="*",N3184=Queue!$K$4)),Q3184,"")</f>
        <v/>
      </c>
    </row>
    <row r="3185">
      <c r="A3185" s="38">
        <f>IF(M3185="","",HYPERLINK("https://www.youtube.com/watch?v="&amp;M3185,"▶"))</f>
        <v/>
      </c>
      <c r="B3185" s="39">
        <f>IF(C3185&lt;&gt;"",C3185,IF(P3185&lt;=IFERROR(INDEX(tblChannels[Watched Through],MATCH(N3185,tblChannels[Channel ID],0)),0),"Watched","Unwatched"))</f>
        <v/>
      </c>
      <c r="C3185" s="40" t="n"/>
      <c r="D3185" s="41" t="n"/>
      <c r="E3185" s="42" t="n">
        <v>41200.00208333333</v>
      </c>
      <c r="F3185" s="50" t="inlineStr">
        <is>
          <t>Super Carlin Brothers</t>
        </is>
      </c>
      <c r="G3185" t="inlineStr">
        <is>
          <t>How To Carve Your Face on a Pumpkin!</t>
        </is>
      </c>
      <c r="H3185" s="44" t="n">
        <v>0.002858796296296296</v>
      </c>
      <c r="I3185" s="45" t="n">
        <v>52563</v>
      </c>
      <c r="J3185" s="45" t="n">
        <v>852</v>
      </c>
      <c r="K3185" s="45" t="n">
        <v>54</v>
      </c>
      <c r="L3185" s="46" t="n"/>
      <c r="M3185" s="47" t="n"/>
      <c r="N3185" s="47" t="inlineStr">
        <is>
          <t>UCKZo4N0lVPccBkSiuyVh4yg</t>
        </is>
      </c>
      <c r="O3185" s="48" t="n">
        <v>41200.16875</v>
      </c>
      <c r="P3185" s="49" t="n">
        <v>41200</v>
      </c>
      <c r="Q3185" s="47" t="n">
        <v>83</v>
      </c>
      <c r="R3185" s="47" t="inlineStr">
        <is>
          <t>No Video ID yet</t>
        </is>
      </c>
      <c r="S3185" s="49" t="n"/>
      <c r="T3185" s="49" t="n"/>
      <c r="U3185" s="47" t="inlineStr">
        <is>
          <t>Jonathan shows you how to carve your face on a pumpkin! Upload a pic of your pumpkin to our Facebook page! TWITTER: @Jonkerlin and @SCB_Ben =D</t>
        </is>
      </c>
      <c r="V3185" s="47">
        <f>IF(AND(P3185&gt;=Calendar!$K$2,P3185&lt;EDATE(Calendar!$K$2,1),OR(Calendar!$K$4="*",N3185=Calendar!$K$4)),P3185*100+COUNTIFS($P$6:$P$3267,P3185,$Q$6:$Q$3267,"&lt;="&amp;Q3185,$N$6:$N$3267,Calendar!$K$4),"")</f>
        <v/>
      </c>
      <c r="W3185" s="47">
        <f>IF(AND(B3185=Queue!$C$4,OR(Queue!$K$4="*",N3185=Queue!$K$4)),Q3185,"")</f>
        <v/>
      </c>
    </row>
    <row r="3186">
      <c r="A3186" s="38">
        <f>IF(M3186="","",HYPERLINK("https://www.youtube.com/watch?v="&amp;M3186,"▶"))</f>
        <v/>
      </c>
      <c r="B3186" s="39">
        <f>IF(C3186&lt;&gt;"",C3186,IF(P3186&lt;=IFERROR(INDEX(tblChannels[Watched Through],MATCH(N3186,tblChannels[Channel ID],0)),0),"Watched","Unwatched"))</f>
        <v/>
      </c>
      <c r="C3186" s="40" t="n"/>
      <c r="D3186" s="41" t="n"/>
      <c r="E3186" s="42" t="n">
        <v>41198.95555555556</v>
      </c>
      <c r="F3186" s="50" t="inlineStr">
        <is>
          <t>Super Carlin Brothers</t>
        </is>
      </c>
      <c r="G3186" t="inlineStr">
        <is>
          <t>How to Google Autofill</t>
        </is>
      </c>
      <c r="H3186" s="44" t="n">
        <v>0.003935185185185185</v>
      </c>
      <c r="I3186" s="45" t="n">
        <v>58135</v>
      </c>
      <c r="J3186" s="45" t="n">
        <v>979</v>
      </c>
      <c r="K3186" s="45" t="n">
        <v>154</v>
      </c>
      <c r="L3186" s="46" t="n"/>
      <c r="M3186" s="47" t="n"/>
      <c r="N3186" s="47" t="inlineStr">
        <is>
          <t>UCKZo4N0lVPccBkSiuyVh4yg</t>
        </is>
      </c>
      <c r="O3186" s="48" t="n">
        <v>41199.12222222222</v>
      </c>
      <c r="P3186" s="49" t="n">
        <v>41198</v>
      </c>
      <c r="Q3186" s="47" t="n">
        <v>82</v>
      </c>
      <c r="R3186" s="47" t="inlineStr">
        <is>
          <t>No Video ID yet</t>
        </is>
      </c>
      <c r="S3186" s="49" t="n"/>
      <c r="T3186" s="49" t="n"/>
      <c r="U3186" s="47" t="inlineStr">
        <is>
          <t>Ben's youtube passion stems from "How To" and instructional videos. In this video he talks about 26 frequently asked how to questions! Twitter: @SCB_Ben and @Jonkerlin =D</t>
        </is>
      </c>
      <c r="V3186" s="47">
        <f>IF(AND(P3186&gt;=Calendar!$K$2,P3186&lt;EDATE(Calendar!$K$2,1),OR(Calendar!$K$4="*",N3186=Calendar!$K$4)),P3186*100+COUNTIFS($P$6:$P$3267,P3186,$Q$6:$Q$3267,"&lt;="&amp;Q3186,$N$6:$N$3267,Calendar!$K$4),"")</f>
        <v/>
      </c>
      <c r="W3186" s="47">
        <f>IF(AND(B3186=Queue!$C$4,OR(Queue!$K$4="*",N3186=Queue!$K$4)),Q3186,"")</f>
        <v/>
      </c>
    </row>
    <row r="3187">
      <c r="A3187" s="38">
        <f>IF(M3187="","",HYPERLINK("https://www.youtube.com/watch?v="&amp;M3187,"▶"))</f>
        <v/>
      </c>
      <c r="B3187" s="39">
        <f>IF(C3187&lt;&gt;"",C3187,IF(P3187&lt;=IFERROR(INDEX(tblChannels[Watched Through],MATCH(N3187,tblChannels[Channel ID],0)),0),"Watched","Unwatched"))</f>
        <v/>
      </c>
      <c r="C3187" s="40" t="n"/>
      <c r="D3187" s="41" t="n"/>
      <c r="E3187" s="42" t="n">
        <v>41197.91944444444</v>
      </c>
      <c r="F3187" s="50" t="inlineStr">
        <is>
          <t>Super Carlin Brothers</t>
        </is>
      </c>
      <c r="G3187" t="inlineStr">
        <is>
          <t>I LOVE PUMPKINS!!!</t>
        </is>
      </c>
      <c r="H3187" s="44" t="n">
        <v>0.002430555555555556</v>
      </c>
      <c r="I3187" s="45" t="n">
        <v>23994</v>
      </c>
      <c r="J3187" s="45" t="n">
        <v>511</v>
      </c>
      <c r="K3187" s="45" t="n">
        <v>150</v>
      </c>
      <c r="L3187" s="46" t="n"/>
      <c r="M3187" s="47" t="n"/>
      <c r="N3187" s="47" t="inlineStr">
        <is>
          <t>UCKZo4N0lVPccBkSiuyVh4yg</t>
        </is>
      </c>
      <c r="O3187" s="48" t="n">
        <v>41198.08611111111</v>
      </c>
      <c r="P3187" s="49" t="n">
        <v>41197</v>
      </c>
      <c r="Q3187" s="47" t="n">
        <v>81</v>
      </c>
      <c r="R3187" s="47" t="inlineStr">
        <is>
          <t>No Video ID yet</t>
        </is>
      </c>
      <c r="S3187" s="49" t="n"/>
      <c r="T3187" s="49" t="n"/>
      <c r="U3187" s="47" t="inlineStr">
        <is>
          <t>Jonathan discusses his love of pumkins! What is your favorite pumpkin food??? FACEBOOK: www.Facebook.com/supercarlinbrothers TWITTER: @jonkerlin and @SCB_Ben =D</t>
        </is>
      </c>
      <c r="V3187" s="47">
        <f>IF(AND(P3187&gt;=Calendar!$K$2,P3187&lt;EDATE(Calendar!$K$2,1),OR(Calendar!$K$4="*",N3187=Calendar!$K$4)),P3187*100+COUNTIFS($P$6:$P$3267,P3187,$Q$6:$Q$3267,"&lt;="&amp;Q3187,$N$6:$N$3267,Calendar!$K$4),"")</f>
        <v/>
      </c>
      <c r="W3187" s="47">
        <f>IF(AND(B3187=Queue!$C$4,OR(Queue!$K$4="*",N3187=Queue!$K$4)),Q3187,"")</f>
        <v/>
      </c>
    </row>
    <row r="3188">
      <c r="A3188" s="38">
        <f>IF(M3188="","",HYPERLINK("https://www.youtube.com/watch?v="&amp;M3188,"▶"))</f>
        <v/>
      </c>
      <c r="B3188" s="39">
        <f>IF(C3188&lt;&gt;"",C3188,IF(P3188&lt;=IFERROR(INDEX(tblChannels[Watched Through],MATCH(N3188,tblChannels[Channel ID],0)),0),"Watched","Unwatched"))</f>
        <v/>
      </c>
      <c r="C3188" s="40" t="n"/>
      <c r="D3188" s="41" t="n"/>
      <c r="E3188" s="42" t="n">
        <v>41194.92152777778</v>
      </c>
      <c r="F3188" s="50" t="inlineStr">
        <is>
          <t>Super Carlin Brothers</t>
        </is>
      </c>
      <c r="G3188" t="inlineStr">
        <is>
          <t>Push the Envelope</t>
        </is>
      </c>
      <c r="H3188" s="44" t="n">
        <v>0.00212962962962963</v>
      </c>
      <c r="I3188" s="45" t="n">
        <v>13783</v>
      </c>
      <c r="J3188" s="45" t="n">
        <v>319</v>
      </c>
      <c r="K3188" s="45" t="n">
        <v>32</v>
      </c>
      <c r="L3188" s="46" t="n"/>
      <c r="M3188" s="47" t="n"/>
      <c r="N3188" s="47" t="inlineStr">
        <is>
          <t>UCKZo4N0lVPccBkSiuyVh4yg</t>
        </is>
      </c>
      <c r="O3188" s="48" t="n">
        <v>41195.08819444444</v>
      </c>
      <c r="P3188" s="49" t="n">
        <v>41194</v>
      </c>
      <c r="Q3188" s="47" t="n">
        <v>80</v>
      </c>
      <c r="R3188" s="47" t="inlineStr">
        <is>
          <t>No Video ID yet</t>
        </is>
      </c>
      <c r="S3188" s="49" t="n"/>
      <c r="T3188" s="49" t="n"/>
      <c r="U3188" s="47" t="inlineStr">
        <is>
          <t>Watch it live on Sunday! We tweet things: @SCB_Ben and @Jonkerlin =D</t>
        </is>
      </c>
      <c r="V3188" s="47">
        <f>IF(AND(P3188&gt;=Calendar!$K$2,P3188&lt;EDATE(Calendar!$K$2,1),OR(Calendar!$K$4="*",N3188=Calendar!$K$4)),P3188*100+COUNTIFS($P$6:$P$3267,P3188,$Q$6:$Q$3267,"&lt;="&amp;Q3188,$N$6:$N$3267,Calendar!$K$4),"")</f>
        <v/>
      </c>
      <c r="W3188" s="47">
        <f>IF(AND(B3188=Queue!$C$4,OR(Queue!$K$4="*",N3188=Queue!$K$4)),Q3188,"")</f>
        <v/>
      </c>
    </row>
    <row r="3189">
      <c r="A3189" s="38">
        <f>IF(M3189="","",HYPERLINK("https://www.youtube.com/watch?v="&amp;M3189,"▶"))</f>
        <v/>
      </c>
      <c r="B3189" s="39">
        <f>IF(C3189&lt;&gt;"",C3189,IF(P3189&lt;=IFERROR(INDEX(tblChannels[Watched Through],MATCH(N3189,tblChannels[Channel ID],0)),0),"Watched","Unwatched"))</f>
        <v/>
      </c>
      <c r="C3189" s="40" t="n"/>
      <c r="D3189" s="41" t="n"/>
      <c r="E3189" s="42" t="n">
        <v>41193.93680555555</v>
      </c>
      <c r="F3189" s="50" t="inlineStr">
        <is>
          <t>Super Carlin Brothers</t>
        </is>
      </c>
      <c r="G3189" t="inlineStr">
        <is>
          <t>The Boy Who Cried Wolf</t>
        </is>
      </c>
      <c r="H3189" s="44" t="n">
        <v>0.002268518518518519</v>
      </c>
      <c r="I3189" s="45" t="n">
        <v>52891</v>
      </c>
      <c r="J3189" s="45" t="n">
        <v>1051</v>
      </c>
      <c r="K3189" s="45" t="n">
        <v>183</v>
      </c>
      <c r="L3189" s="46" t="n"/>
      <c r="M3189" s="47" t="n"/>
      <c r="N3189" s="47" t="inlineStr">
        <is>
          <t>UCKZo4N0lVPccBkSiuyVh4yg</t>
        </is>
      </c>
      <c r="O3189" s="48" t="n">
        <v>41194.10347222222</v>
      </c>
      <c r="P3189" s="49" t="n">
        <v>41193</v>
      </c>
      <c r="Q3189" s="47" t="n">
        <v>79</v>
      </c>
      <c r="R3189" s="47" t="inlineStr">
        <is>
          <t>No Video ID yet</t>
        </is>
      </c>
      <c r="S3189" s="49" t="n"/>
      <c r="T3189" s="49" t="n"/>
      <c r="U3189" s="47" t="inlineStr">
        <is>
          <t>Who was in the wrong the boy or the town? Send Ben an outro here: supercarlinbrothers@gmail.com TWITTER: @jonkerlin and @SCB_Ben =D</t>
        </is>
      </c>
      <c r="V3189" s="47">
        <f>IF(AND(P3189&gt;=Calendar!$K$2,P3189&lt;EDATE(Calendar!$K$2,1),OR(Calendar!$K$4="*",N3189=Calendar!$K$4)),P3189*100+COUNTIFS($P$6:$P$3267,P3189,$Q$6:$Q$3267,"&lt;="&amp;Q3189,$N$6:$N$3267,Calendar!$K$4),"")</f>
        <v/>
      </c>
      <c r="W3189" s="47">
        <f>IF(AND(B3189=Queue!$C$4,OR(Queue!$K$4="*",N3189=Queue!$K$4)),Q3189,"")</f>
        <v/>
      </c>
    </row>
    <row r="3190">
      <c r="A3190" s="38">
        <f>IF(M3190="","",HYPERLINK("https://www.youtube.com/watch?v="&amp;M3190,"▶"))</f>
        <v/>
      </c>
      <c r="B3190" s="39">
        <f>IF(C3190&lt;&gt;"",C3190,IF(P3190&lt;=IFERROR(INDEX(tblChannels[Watched Through],MATCH(N3190,tblChannels[Channel ID],0)),0),"Watched","Unwatched"))</f>
        <v/>
      </c>
      <c r="C3190" s="40" t="n"/>
      <c r="D3190" s="41" t="n"/>
      <c r="E3190" s="42" t="n">
        <v>41192.77152777778</v>
      </c>
      <c r="F3190" s="50" t="inlineStr">
        <is>
          <t>Super Carlin Brothers</t>
        </is>
      </c>
      <c r="G3190" t="inlineStr">
        <is>
          <t>Emergency Room Stories</t>
        </is>
      </c>
      <c r="H3190" s="44" t="n">
        <v>0.001793981481481481</v>
      </c>
      <c r="I3190" s="45" t="n">
        <v>19572</v>
      </c>
      <c r="J3190" s="45" t="n">
        <v>411</v>
      </c>
      <c r="K3190" s="45" t="n">
        <v>193</v>
      </c>
      <c r="L3190" s="46" t="n"/>
      <c r="M3190" s="47" t="n"/>
      <c r="N3190" s="47" t="inlineStr">
        <is>
          <t>UCKZo4N0lVPccBkSiuyVh4yg</t>
        </is>
      </c>
      <c r="O3190" s="48" t="n">
        <v>41192.93819444445</v>
      </c>
      <c r="P3190" s="49" t="n">
        <v>41192</v>
      </c>
      <c r="Q3190" s="47" t="n">
        <v>78</v>
      </c>
      <c r="R3190" s="47" t="inlineStr">
        <is>
          <t>No Video ID yet</t>
        </is>
      </c>
      <c r="S3190" s="49" t="n"/>
      <c r="T3190" s="49" t="n"/>
      <c r="U3190" s="47" t="inlineStr">
        <is>
          <t>I NEED OUTROS! I enjoy video making so much I just can't bring myself to close one out on my own. If you'd like to be my next outro just submit yourself saying something like "You've just watched supercarlinbrothers!" and I will put it at the end of one of my videos! We Tweet and stuff... @SCB_Ben and @Jonkerlin =D</t>
        </is>
      </c>
      <c r="V3190" s="47">
        <f>IF(AND(P3190&gt;=Calendar!$K$2,P3190&lt;EDATE(Calendar!$K$2,1),OR(Calendar!$K$4="*",N3190=Calendar!$K$4)),P3190*100+COUNTIFS($P$6:$P$3267,P3190,$Q$6:$Q$3267,"&lt;="&amp;Q3190,$N$6:$N$3267,Calendar!$K$4),"")</f>
        <v/>
      </c>
      <c r="W3190" s="47">
        <f>IF(AND(B3190=Queue!$C$4,OR(Queue!$K$4="*",N3190=Queue!$K$4)),Q3190,"")</f>
        <v/>
      </c>
    </row>
    <row r="3191">
      <c r="A3191" s="38">
        <f>IF(M3191="","",HYPERLINK("https://www.youtube.com/watch?v="&amp;M3191,"▶"))</f>
        <v/>
      </c>
      <c r="B3191" s="39">
        <f>IF(C3191&lt;&gt;"",C3191,IF(P3191&lt;=IFERROR(INDEX(tblChannels[Watched Through],MATCH(N3191,tblChannels[Channel ID],0)),0),"Watched","Unwatched"))</f>
        <v/>
      </c>
      <c r="C3191" s="40" t="n"/>
      <c r="D3191" s="41" t="n"/>
      <c r="E3191" s="42" t="n">
        <v>41191.86805555555</v>
      </c>
      <c r="F3191" s="50" t="inlineStr">
        <is>
          <t>Super Carlin Brothers</t>
        </is>
      </c>
      <c r="G3191" t="inlineStr">
        <is>
          <t>Phone ADD</t>
        </is>
      </c>
      <c r="H3191" s="44" t="n">
        <v>0.0015625</v>
      </c>
      <c r="I3191" s="45" t="n">
        <v>21325</v>
      </c>
      <c r="J3191" s="45" t="n">
        <v>505</v>
      </c>
      <c r="K3191" s="45" t="n">
        <v>155</v>
      </c>
      <c r="L3191" s="46" t="n"/>
      <c r="M3191" s="47" t="n"/>
      <c r="N3191" s="47" t="inlineStr">
        <is>
          <t>UCKZo4N0lVPccBkSiuyVh4yg</t>
        </is>
      </c>
      <c r="O3191" s="48" t="n">
        <v>41192.03472222222</v>
      </c>
      <c r="P3191" s="49" t="n">
        <v>41191</v>
      </c>
      <c r="Q3191" s="47" t="n">
        <v>77</v>
      </c>
      <c r="R3191" s="47" t="inlineStr">
        <is>
          <t>No Video ID yet</t>
        </is>
      </c>
      <c r="S3191" s="49" t="n"/>
      <c r="T3191" s="49" t="n"/>
      <c r="U3191" s="47" t="inlineStr">
        <is>
          <t>Jonathan tries to tell you about how he gets distracted when using his phone but keeps gett.. What is your favorite app? CANT SAY Facebook, Twitter, or Instagram! TWITTER: @jonkerlin and @SCB_Ben =D</t>
        </is>
      </c>
      <c r="V3191" s="47">
        <f>IF(AND(P3191&gt;=Calendar!$K$2,P3191&lt;EDATE(Calendar!$K$2,1),OR(Calendar!$K$4="*",N3191=Calendar!$K$4)),P3191*100+COUNTIFS($P$6:$P$3267,P3191,$Q$6:$Q$3267,"&lt;="&amp;Q3191,$N$6:$N$3267,Calendar!$K$4),"")</f>
        <v/>
      </c>
      <c r="W3191" s="47">
        <f>IF(AND(B3191=Queue!$C$4,OR(Queue!$K$4="*",N3191=Queue!$K$4)),Q3191,"")</f>
        <v/>
      </c>
    </row>
    <row r="3192">
      <c r="A3192" s="38">
        <f>IF(M3192="","",HYPERLINK("https://www.youtube.com/watch?v="&amp;M3192,"▶"))</f>
        <v/>
      </c>
      <c r="B3192" s="39">
        <f>IF(C3192&lt;&gt;"",C3192,IF(P3192&lt;=IFERROR(INDEX(tblChannels[Watched Through],MATCH(N3192,tblChannels[Channel ID],0)),0),"Watched","Unwatched"))</f>
        <v/>
      </c>
      <c r="C3192" s="40" t="n"/>
      <c r="D3192" s="41" t="n"/>
      <c r="E3192" s="42" t="n">
        <v>41190.82638888889</v>
      </c>
      <c r="F3192" s="50" t="inlineStr">
        <is>
          <t>Super Carlin Brothers</t>
        </is>
      </c>
      <c r="G3192" t="inlineStr">
        <is>
          <t>Controversial Columbus Day</t>
        </is>
      </c>
      <c r="H3192" s="44" t="n">
        <v>0.001875</v>
      </c>
      <c r="I3192" s="45" t="n">
        <v>13766</v>
      </c>
      <c r="J3192" s="45" t="n">
        <v>277</v>
      </c>
      <c r="K3192" s="45" t="n">
        <v>72</v>
      </c>
      <c r="L3192" s="46" t="n"/>
      <c r="M3192" s="47" t="n"/>
      <c r="N3192" s="47" t="inlineStr">
        <is>
          <t>UCKZo4N0lVPccBkSiuyVh4yg</t>
        </is>
      </c>
      <c r="O3192" s="48" t="n">
        <v>41190.99305555555</v>
      </c>
      <c r="P3192" s="49" t="n">
        <v>41190</v>
      </c>
      <c r="Q3192" s="47" t="n">
        <v>76</v>
      </c>
      <c r="R3192" s="47" t="inlineStr">
        <is>
          <t>No Video ID yet</t>
        </is>
      </c>
      <c r="S3192" s="49" t="n"/>
      <c r="T3192" s="49" t="n"/>
      <c r="U3192" s="47" t="inlineStr">
        <is>
          <t>Ben talks about the controversy surrounding Columbus Day IF YOU WOULD LIKE TO BE MY NEXT OUTRO KINDLY EMAIL IT TO: SuperCarlinBrothers@gmail.com Follow us on Twitter: @SCB_Ben and @Jonkerlin =D</t>
        </is>
      </c>
      <c r="V3192" s="47">
        <f>IF(AND(P3192&gt;=Calendar!$K$2,P3192&lt;EDATE(Calendar!$K$2,1),OR(Calendar!$K$4="*",N3192=Calendar!$K$4)),P3192*100+COUNTIFS($P$6:$P$3267,P3192,$Q$6:$Q$3267,"&lt;="&amp;Q3192,$N$6:$N$3267,Calendar!$K$4),"")</f>
        <v/>
      </c>
      <c r="W3192" s="47">
        <f>IF(AND(B3192=Queue!$C$4,OR(Queue!$K$4="*",N3192=Queue!$K$4)),Q3192,"")</f>
        <v/>
      </c>
    </row>
    <row r="3193">
      <c r="A3193" s="38">
        <f>IF(M3193="","",HYPERLINK("https://www.youtube.com/watch?v="&amp;M3193,"▶"))</f>
        <v/>
      </c>
      <c r="B3193" s="39">
        <f>IF(C3193&lt;&gt;"",C3193,IF(P3193&lt;=IFERROR(INDEX(tblChannels[Watched Through],MATCH(N3193,tblChannels[Channel ID],0)),0),"Watched","Unwatched"))</f>
        <v/>
      </c>
      <c r="C3193" s="40" t="n"/>
      <c r="D3193" s="41" t="n"/>
      <c r="E3193" s="42" t="n">
        <v>41187.93125</v>
      </c>
      <c r="F3193" s="50" t="inlineStr">
        <is>
          <t>Super Carlin Brothers</t>
        </is>
      </c>
      <c r="G3193" t="inlineStr">
        <is>
          <t>Nerimon's YouTube Survey 2012!</t>
        </is>
      </c>
      <c r="H3193" s="44" t="n">
        <v>0.002685185185185185</v>
      </c>
      <c r="I3193" s="45" t="n">
        <v>15732</v>
      </c>
      <c r="J3193" s="45" t="n">
        <v>383</v>
      </c>
      <c r="K3193" s="45" t="n">
        <v>67</v>
      </c>
      <c r="L3193" s="46" t="n"/>
      <c r="M3193" s="47" t="n"/>
      <c r="N3193" s="47" t="inlineStr">
        <is>
          <t>UCKZo4N0lVPccBkSiuyVh4yg</t>
        </is>
      </c>
      <c r="O3193" s="48" t="n">
        <v>41188.09791666667</v>
      </c>
      <c r="P3193" s="49" t="n">
        <v>41187</v>
      </c>
      <c r="Q3193" s="47" t="n">
        <v>75</v>
      </c>
      <c r="R3193" s="47" t="inlineStr">
        <is>
          <t>No Video ID yet</t>
        </is>
      </c>
      <c r="S3193" s="49" t="n"/>
      <c r="T3193" s="49" t="n"/>
      <c r="U3193" s="47" t="inlineStr">
        <is>
          <t>J answers the Nerimon Survey questions! 1. Why are you called that? 2. Who is your favorite school teacher? 3. What is the strangest food you have ever eaten? 4. What was your first gig? 5. Where is your favorite place in the world 6. Who do you want to do the survey next? Facebook: www.facebook.com/supercarlinbrothers Twitter: @jonkerlin and @SCB_Ben =D</t>
        </is>
      </c>
      <c r="V3193" s="47">
        <f>IF(AND(P3193&gt;=Calendar!$K$2,P3193&lt;EDATE(Calendar!$K$2,1),OR(Calendar!$K$4="*",N3193=Calendar!$K$4)),P3193*100+COUNTIFS($P$6:$P$3267,P3193,$Q$6:$Q$3267,"&lt;="&amp;Q3193,$N$6:$N$3267,Calendar!$K$4),"")</f>
        <v/>
      </c>
      <c r="W3193" s="47">
        <f>IF(AND(B3193=Queue!$C$4,OR(Queue!$K$4="*",N3193=Queue!$K$4)),Q3193,"")</f>
        <v/>
      </c>
    </row>
    <row r="3194">
      <c r="A3194" s="38">
        <f>IF(M3194="","",HYPERLINK("https://www.youtube.com/watch?v="&amp;M3194,"▶"))</f>
        <v/>
      </c>
      <c r="B3194" s="39">
        <f>IF(C3194&lt;&gt;"",C3194,IF(P3194&lt;=IFERROR(INDEX(tblChannels[Watched Through],MATCH(N3194,tblChannels[Channel ID],0)),0),"Watched","Unwatched"))</f>
        <v/>
      </c>
      <c r="C3194" s="40" t="n"/>
      <c r="D3194" s="41" t="n"/>
      <c r="E3194" s="42" t="n">
        <v>41186.9375</v>
      </c>
      <c r="F3194" s="50" t="inlineStr">
        <is>
          <t>Super Carlin Brothers</t>
        </is>
      </c>
      <c r="G3194" t="inlineStr">
        <is>
          <t>Be a Hobbyist</t>
        </is>
      </c>
      <c r="H3194" s="44" t="n">
        <v>0.002638888888888889</v>
      </c>
      <c r="I3194" s="45" t="n">
        <v>14672</v>
      </c>
      <c r="J3194" s="45" t="n">
        <v>339</v>
      </c>
      <c r="K3194" s="45" t="n">
        <v>54</v>
      </c>
      <c r="L3194" s="46" t="n"/>
      <c r="M3194" s="47" t="n"/>
      <c r="N3194" s="47" t="inlineStr">
        <is>
          <t>UCKZo4N0lVPccBkSiuyVh4yg</t>
        </is>
      </c>
      <c r="O3194" s="48" t="n">
        <v>41187.10416666666</v>
      </c>
      <c r="P3194" s="49" t="n">
        <v>41186</v>
      </c>
      <c r="Q3194" s="47" t="n">
        <v>74</v>
      </c>
      <c r="R3194" s="47" t="inlineStr">
        <is>
          <t>No Video ID yet</t>
        </is>
      </c>
      <c r="S3194" s="49" t="n"/>
      <c r="T3194" s="49" t="n"/>
      <c r="U3194" s="47" t="inlineStr">
        <is>
          <t>Ben responds to J's rant about tipping and talks about the importance of having a hobby. Twitter: @SCB_Ben and @Jonkerlin =D</t>
        </is>
      </c>
      <c r="V3194" s="47">
        <f>IF(AND(P3194&gt;=Calendar!$K$2,P3194&lt;EDATE(Calendar!$K$2,1),OR(Calendar!$K$4="*",N3194=Calendar!$K$4)),P3194*100+COUNTIFS($P$6:$P$3267,P3194,$Q$6:$Q$3267,"&lt;="&amp;Q3194,$N$6:$N$3267,Calendar!$K$4),"")</f>
        <v/>
      </c>
      <c r="W3194" s="47">
        <f>IF(AND(B3194=Queue!$C$4,OR(Queue!$K$4="*",N3194=Queue!$K$4)),Q3194,"")</f>
        <v/>
      </c>
    </row>
    <row r="3195">
      <c r="A3195" s="38">
        <f>IF(M3195="","",HYPERLINK("https://www.youtube.com/watch?v="&amp;M3195,"▶"))</f>
        <v/>
      </c>
      <c r="B3195" s="39">
        <f>IF(C3195&lt;&gt;"",C3195,IF(P3195&lt;=IFERROR(INDEX(tblChannels[Watched Through],MATCH(N3195,tblChannels[Channel ID],0)),0),"Watched","Unwatched"))</f>
        <v/>
      </c>
      <c r="C3195" s="40" t="n"/>
      <c r="D3195" s="41" t="n"/>
      <c r="E3195" s="42" t="n">
        <v>41185.91041666667</v>
      </c>
      <c r="F3195" s="50" t="inlineStr">
        <is>
          <t>Super Carlin Brothers</t>
        </is>
      </c>
      <c r="G3195" t="inlineStr">
        <is>
          <t>Tipping Tips</t>
        </is>
      </c>
      <c r="H3195" s="44" t="n">
        <v>0.002743055555555555</v>
      </c>
      <c r="I3195" s="45" t="n">
        <v>28060</v>
      </c>
      <c r="J3195" s="45" t="n">
        <v>639</v>
      </c>
      <c r="K3195" s="45" t="n">
        <v>170</v>
      </c>
      <c r="L3195" s="46" t="n"/>
      <c r="M3195" s="47" t="n"/>
      <c r="N3195" s="47" t="inlineStr">
        <is>
          <t>UCKZo4N0lVPccBkSiuyVh4yg</t>
        </is>
      </c>
      <c r="O3195" s="48" t="n">
        <v>41186.07708333333</v>
      </c>
      <c r="P3195" s="49" t="n">
        <v>41185</v>
      </c>
      <c r="Q3195" s="47" t="n">
        <v>73</v>
      </c>
      <c r="R3195" s="47" t="inlineStr">
        <is>
          <t>No Video ID yet</t>
        </is>
      </c>
      <c r="S3195" s="49" t="n"/>
      <c r="T3195" s="49" t="n"/>
      <c r="U3195" s="47" t="inlineStr">
        <is>
          <t>Jonathan talks about his distaste for how tipping works and makes up 2 new days of the week! Happy Wednesdeuce! How do you determine tips and how do you think they should be determined? TWITTER:: @jonkerlin and @SCB_Ben =D</t>
        </is>
      </c>
      <c r="V3195" s="47">
        <f>IF(AND(P3195&gt;=Calendar!$K$2,P3195&lt;EDATE(Calendar!$K$2,1),OR(Calendar!$K$4="*",N3195=Calendar!$K$4)),P3195*100+COUNTIFS($P$6:$P$3267,P3195,$Q$6:$Q$3267,"&lt;="&amp;Q3195,$N$6:$N$3267,Calendar!$K$4),"")</f>
        <v/>
      </c>
      <c r="W3195" s="47">
        <f>IF(AND(B3195=Queue!$C$4,OR(Queue!$K$4="*",N3195=Queue!$K$4)),Q3195,"")</f>
        <v/>
      </c>
    </row>
    <row r="3196">
      <c r="A3196" s="38">
        <f>IF(M3196="","",HYPERLINK("https://www.youtube.com/watch?v="&amp;M3196,"▶"))</f>
        <v/>
      </c>
      <c r="B3196" s="39">
        <f>IF(C3196&lt;&gt;"",C3196,IF(P3196&lt;=IFERROR(INDEX(tblChannels[Watched Through],MATCH(N3196,tblChannels[Channel ID],0)),0),"Watched","Unwatched"))</f>
        <v/>
      </c>
      <c r="C3196" s="40" t="n"/>
      <c r="D3196" s="41" t="n"/>
      <c r="E3196" s="42" t="n">
        <v>41184.94097222222</v>
      </c>
      <c r="F3196" s="50" t="inlineStr">
        <is>
          <t>Super Carlin Brothers</t>
        </is>
      </c>
      <c r="G3196" t="inlineStr">
        <is>
          <t>Tuesdays Suck</t>
        </is>
      </c>
      <c r="H3196" s="44" t="n">
        <v>0.001759259259259259</v>
      </c>
      <c r="I3196" s="45" t="n">
        <v>15563</v>
      </c>
      <c r="J3196" s="45" t="n">
        <v>389</v>
      </c>
      <c r="K3196" s="45" t="n">
        <v>92</v>
      </c>
      <c r="L3196" s="46" t="n"/>
      <c r="M3196" s="47" t="n"/>
      <c r="N3196" s="47" t="inlineStr">
        <is>
          <t>UCKZo4N0lVPccBkSiuyVh4yg</t>
        </is>
      </c>
      <c r="O3196" s="48" t="n">
        <v>41185.10763888889</v>
      </c>
      <c r="P3196" s="49" t="n">
        <v>41184</v>
      </c>
      <c r="Q3196" s="47" t="n">
        <v>72</v>
      </c>
      <c r="R3196" s="47" t="inlineStr">
        <is>
          <t>No Video ID yet</t>
        </is>
      </c>
      <c r="S3196" s="49" t="n"/>
      <c r="T3196" s="49" t="n"/>
      <c r="U3196" s="47" t="inlineStr">
        <is>
          <t>I AM ALL OUT OF OUTROS!! If you want to submit yourself saying "You've just watched SuperCarlinBrothers!" or whatever you'd like to close out one of my videos please email them to SuperCarlinBrothers@gmail.com Facebook: www.facebook.com/SuperCarlinBrothers =D</t>
        </is>
      </c>
      <c r="V3196" s="47">
        <f>IF(AND(P3196&gt;=Calendar!$K$2,P3196&lt;EDATE(Calendar!$K$2,1),OR(Calendar!$K$4="*",N3196=Calendar!$K$4)),P3196*100+COUNTIFS($P$6:$P$3267,P3196,$Q$6:$Q$3267,"&lt;="&amp;Q3196,$N$6:$N$3267,Calendar!$K$4),"")</f>
        <v/>
      </c>
      <c r="W3196" s="47">
        <f>IF(AND(B3196=Queue!$C$4,OR(Queue!$K$4="*",N3196=Queue!$K$4)),Q3196,"")</f>
        <v/>
      </c>
    </row>
    <row r="3197">
      <c r="A3197" s="38">
        <f>IF(M3197="","",HYPERLINK("https://www.youtube.com/watch?v="&amp;M3197,"▶"))</f>
        <v/>
      </c>
      <c r="B3197" s="39">
        <f>IF(C3197&lt;&gt;"",C3197,IF(P3197&lt;=IFERROR(INDEX(tblChannels[Watched Through],MATCH(N3197,tblChannels[Channel ID],0)),0),"Watched","Unwatched"))</f>
        <v/>
      </c>
      <c r="C3197" s="40" t="n"/>
      <c r="D3197" s="41" t="n"/>
      <c r="E3197" s="42" t="n">
        <v>41183.93402777778</v>
      </c>
      <c r="F3197" s="50" t="inlineStr">
        <is>
          <t>Super Carlin Brothers</t>
        </is>
      </c>
      <c r="G3197" t="inlineStr">
        <is>
          <t>Why do we yawn?</t>
        </is>
      </c>
      <c r="H3197" s="44" t="n">
        <v>0.001793981481481481</v>
      </c>
      <c r="I3197" s="45" t="n">
        <v>45256</v>
      </c>
      <c r="J3197" s="45" t="n">
        <v>829</v>
      </c>
      <c r="K3197" s="45" t="n">
        <v>703</v>
      </c>
      <c r="L3197" s="46" t="n"/>
      <c r="M3197" s="47" t="n"/>
      <c r="N3197" s="47" t="inlineStr">
        <is>
          <t>UCKZo4N0lVPccBkSiuyVh4yg</t>
        </is>
      </c>
      <c r="O3197" s="48" t="n">
        <v>41184.10069444445</v>
      </c>
      <c r="P3197" s="49" t="n">
        <v>41183</v>
      </c>
      <c r="Q3197" s="47" t="n">
        <v>71</v>
      </c>
      <c r="R3197" s="47" t="inlineStr">
        <is>
          <t>No Video ID yet</t>
        </is>
      </c>
      <c r="S3197" s="49" t="n"/>
      <c r="T3197" s="49" t="n"/>
      <c r="U3197" s="47" t="inlineStr">
        <is>
          <t>Jonathan discusses why we yawn, which we as humans have yet to figure out. Is it rude to yawn in front of others and how many times did you YAWN during the vid YYYYYYAAAAAAWWWWWNNNNNNN TWITTER: @jonkerlin AND @SCB_Ben =D</t>
        </is>
      </c>
      <c r="V3197" s="47">
        <f>IF(AND(P3197&gt;=Calendar!$K$2,P3197&lt;EDATE(Calendar!$K$2,1),OR(Calendar!$K$4="*",N3197=Calendar!$K$4)),P3197*100+COUNTIFS($P$6:$P$3267,P3197,$Q$6:$Q$3267,"&lt;="&amp;Q3197,$N$6:$N$3267,Calendar!$K$4),"")</f>
        <v/>
      </c>
      <c r="W3197" s="47">
        <f>IF(AND(B3197=Queue!$C$4,OR(Queue!$K$4="*",N3197=Queue!$K$4)),Q3197,"")</f>
        <v/>
      </c>
    </row>
    <row r="3198">
      <c r="A3198" s="38">
        <f>IF(M3198="","",HYPERLINK("https://www.youtube.com/watch?v="&amp;M3198,"▶"))</f>
        <v/>
      </c>
      <c r="B3198" s="39">
        <f>IF(C3198&lt;&gt;"",C3198,IF(P3198&lt;=IFERROR(INDEX(tblChannels[Watched Through],MATCH(N3198,tblChannels[Channel ID],0)),0),"Watched","Unwatched"))</f>
        <v/>
      </c>
      <c r="C3198" s="40" t="n"/>
      <c r="D3198" s="41" t="n"/>
      <c r="E3198" s="42" t="n">
        <v>41180.84791666667</v>
      </c>
      <c r="F3198" s="50" t="inlineStr">
        <is>
          <t>Super Carlin Brothers</t>
        </is>
      </c>
      <c r="G3198" t="inlineStr">
        <is>
          <t>Sector Celebrities</t>
        </is>
      </c>
      <c r="H3198" s="44" t="n">
        <v>0.001388888888888889</v>
      </c>
      <c r="I3198" s="45" t="n">
        <v>12674</v>
      </c>
      <c r="J3198" s="45" t="n">
        <v>293</v>
      </c>
      <c r="K3198" s="45" t="n">
        <v>87</v>
      </c>
      <c r="L3198" s="46" t="n"/>
      <c r="M3198" s="47" t="n"/>
      <c r="N3198" s="47" t="inlineStr">
        <is>
          <t>UCKZo4N0lVPccBkSiuyVh4yg</t>
        </is>
      </c>
      <c r="O3198" s="48" t="n">
        <v>41181.01458333333</v>
      </c>
      <c r="P3198" s="49" t="n">
        <v>41180</v>
      </c>
      <c r="Q3198" s="47" t="n">
        <v>70</v>
      </c>
      <c r="R3198" s="47" t="inlineStr">
        <is>
          <t>No Video ID yet</t>
        </is>
      </c>
      <c r="S3198" s="49" t="n"/>
      <c r="T3198" s="49" t="n"/>
      <c r="U3198" s="47" t="inlineStr">
        <is>
          <t>A sector celebrity is a someone who is famous within a certain group or niche. Tell us about your favorite! =D</t>
        </is>
      </c>
      <c r="V3198" s="47">
        <f>IF(AND(P3198&gt;=Calendar!$K$2,P3198&lt;EDATE(Calendar!$K$2,1),OR(Calendar!$K$4="*",N3198=Calendar!$K$4)),P3198*100+COUNTIFS($P$6:$P$3267,P3198,$Q$6:$Q$3267,"&lt;="&amp;Q3198,$N$6:$N$3267,Calendar!$K$4),"")</f>
        <v/>
      </c>
      <c r="W3198" s="47">
        <f>IF(AND(B3198=Queue!$C$4,OR(Queue!$K$4="*",N3198=Queue!$K$4)),Q3198,"")</f>
        <v/>
      </c>
    </row>
    <row r="3199">
      <c r="A3199" s="38">
        <f>IF(M3199="","",HYPERLINK("https://www.youtube.com/watch?v="&amp;M3199,"▶"))</f>
        <v/>
      </c>
      <c r="B3199" s="39">
        <f>IF(C3199&lt;&gt;"",C3199,IF(P3199&lt;=IFERROR(INDEX(tblChannels[Watched Through],MATCH(N3199,tblChannels[Channel ID],0)),0),"Watched","Unwatched"))</f>
        <v/>
      </c>
      <c r="C3199" s="40" t="n"/>
      <c r="D3199" s="41" t="n"/>
      <c r="E3199" s="42" t="n">
        <v>41179.93819444445</v>
      </c>
      <c r="F3199" s="50" t="inlineStr">
        <is>
          <t>Super Carlin Brothers</t>
        </is>
      </c>
      <c r="G3199" t="inlineStr">
        <is>
          <t>Fear of Google Autofill</t>
        </is>
      </c>
      <c r="H3199" s="44" t="n">
        <v>0.002986111111111111</v>
      </c>
      <c r="I3199" s="45" t="n">
        <v>221585</v>
      </c>
      <c r="J3199" s="45" t="n">
        <v>3617</v>
      </c>
      <c r="K3199" s="45" t="n">
        <v>1304</v>
      </c>
      <c r="L3199" s="46" t="n"/>
      <c r="M3199" s="47" t="n"/>
      <c r="N3199" s="47" t="inlineStr">
        <is>
          <t>UCKZo4N0lVPccBkSiuyVh4yg</t>
        </is>
      </c>
      <c r="O3199" s="48" t="n">
        <v>41180.10486111111</v>
      </c>
      <c r="P3199" s="49" t="n">
        <v>41179</v>
      </c>
      <c r="Q3199" s="47" t="n">
        <v>69</v>
      </c>
      <c r="R3199" s="47" t="inlineStr">
        <is>
          <t>No Video ID yet</t>
        </is>
      </c>
      <c r="S3199" s="49" t="n"/>
      <c r="T3199" s="49" t="n"/>
      <c r="U3199" s="47" t="inlineStr">
        <is>
          <t>Jonathan discusses the top fear of results from A-Z on Google's Autofill function What are you afraid of? TWITTER: @jonkerlin AND @SCB_Ben =D</t>
        </is>
      </c>
      <c r="V3199" s="47">
        <f>IF(AND(P3199&gt;=Calendar!$K$2,P3199&lt;EDATE(Calendar!$K$2,1),OR(Calendar!$K$4="*",N3199=Calendar!$K$4)),P3199*100+COUNTIFS($P$6:$P$3267,P3199,$Q$6:$Q$3267,"&lt;="&amp;Q3199,$N$6:$N$3267,Calendar!$K$4),"")</f>
        <v/>
      </c>
      <c r="W3199" s="47">
        <f>IF(AND(B3199=Queue!$C$4,OR(Queue!$K$4="*",N3199=Queue!$K$4)),Q3199,"")</f>
        <v/>
      </c>
    </row>
    <row r="3200">
      <c r="A3200" s="38">
        <f>IF(M3200="","",HYPERLINK("https://www.youtube.com/watch?v="&amp;M3200,"▶"))</f>
        <v/>
      </c>
      <c r="B3200" s="39">
        <f>IF(C3200&lt;&gt;"",C3200,IF(P3200&lt;=IFERROR(INDEX(tblChannels[Watched Through],MATCH(N3200,tblChannels[Channel ID],0)),0),"Watched","Unwatched"))</f>
        <v/>
      </c>
      <c r="C3200" s="40" t="n"/>
      <c r="D3200" s="41" t="n"/>
      <c r="E3200" s="42" t="n">
        <v>41178.97777777778</v>
      </c>
      <c r="F3200" s="50" t="inlineStr">
        <is>
          <t>Super Carlin Brothers</t>
        </is>
      </c>
      <c r="G3200" t="inlineStr">
        <is>
          <t>Uncertainty Avoidance</t>
        </is>
      </c>
      <c r="H3200" s="44" t="n">
        <v>0.001909722222222222</v>
      </c>
      <c r="I3200" s="45" t="n">
        <v>14902</v>
      </c>
      <c r="J3200" s="45" t="n">
        <v>335</v>
      </c>
      <c r="K3200" s="45" t="n">
        <v>32</v>
      </c>
      <c r="L3200" s="46" t="n"/>
      <c r="M3200" s="47" t="n"/>
      <c r="N3200" s="47" t="inlineStr">
        <is>
          <t>UCKZo4N0lVPccBkSiuyVh4yg</t>
        </is>
      </c>
      <c r="O3200" s="48" t="n">
        <v>41179.14444444444</v>
      </c>
      <c r="P3200" s="49" t="n">
        <v>41178</v>
      </c>
      <c r="Q3200" s="47" t="n">
        <v>68</v>
      </c>
      <c r="R3200" s="47" t="inlineStr">
        <is>
          <t>No Video ID yet</t>
        </is>
      </c>
      <c r="S3200" s="49" t="n"/>
      <c r="T3200" s="49" t="n"/>
      <c r="U3200" s="47" t="inlineStr">
        <is>
          <t>Ben talks about day 1 at MACNA in one glorious take, and all of the uncertain-ness he feels especially when tasked with finding some wood. How do you handle ambiguous situations? TWITTER: @Jonkerlin AND @SCB_Ben =D</t>
        </is>
      </c>
      <c r="V3200" s="47">
        <f>IF(AND(P3200&gt;=Calendar!$K$2,P3200&lt;EDATE(Calendar!$K$2,1),OR(Calendar!$K$4="*",N3200=Calendar!$K$4)),P3200*100+COUNTIFS($P$6:$P$3267,P3200,$Q$6:$Q$3267,"&lt;="&amp;Q3200,$N$6:$N$3267,Calendar!$K$4),"")</f>
        <v/>
      </c>
      <c r="W3200" s="47">
        <f>IF(AND(B3200=Queue!$C$4,OR(Queue!$K$4="*",N3200=Queue!$K$4)),Q3200,"")</f>
        <v/>
      </c>
    </row>
    <row r="3201">
      <c r="A3201" s="38">
        <f>IF(M3201="","",HYPERLINK("https://www.youtube.com/watch?v="&amp;M3201,"▶"))</f>
        <v/>
      </c>
      <c r="B3201" s="39">
        <f>IF(C3201&lt;&gt;"",C3201,IF(P3201&lt;=IFERROR(INDEX(tblChannels[Watched Through],MATCH(N3201,tblChannels[Channel ID],0)),0),"Watched","Unwatched"))</f>
        <v/>
      </c>
      <c r="C3201" s="40" t="n"/>
      <c r="D3201" s="41" t="n"/>
      <c r="E3201" s="42" t="n">
        <v>41177.97222222222</v>
      </c>
      <c r="F3201" s="50" t="inlineStr">
        <is>
          <t>Super Carlin Brothers</t>
        </is>
      </c>
      <c r="G3201" t="inlineStr">
        <is>
          <t>42 Uses for a Towel</t>
        </is>
      </c>
      <c r="H3201" s="44" t="n">
        <v>0.001782407407407407</v>
      </c>
      <c r="I3201" s="45" t="n">
        <v>124496</v>
      </c>
      <c r="J3201" s="45" t="n">
        <v>3193</v>
      </c>
      <c r="K3201" s="45" t="n">
        <v>687</v>
      </c>
      <c r="L3201" s="46" t="n"/>
      <c r="M3201" s="47" t="n"/>
      <c r="N3201" s="47" t="inlineStr">
        <is>
          <t>UCKZo4N0lVPccBkSiuyVh4yg</t>
        </is>
      </c>
      <c r="O3201" s="48" t="n">
        <v>41178.13888888889</v>
      </c>
      <c r="P3201" s="49" t="n">
        <v>41177</v>
      </c>
      <c r="Q3201" s="47" t="n">
        <v>67</v>
      </c>
      <c r="R3201" s="47" t="inlineStr">
        <is>
          <t>No Video ID yet</t>
        </is>
      </c>
      <c r="S3201" s="49" t="n"/>
      <c r="T3201" s="49" t="n"/>
      <c r="U3201" s="47" t="inlineStr">
        <is>
          <t>Jonathan brings up 42 ways to use the most massively useful thing on Earth. What else can you do with a towel? TWITTER: @jonkerlin and @scb_ben =D</t>
        </is>
      </c>
      <c r="V3201" s="47">
        <f>IF(AND(P3201&gt;=Calendar!$K$2,P3201&lt;EDATE(Calendar!$K$2,1),OR(Calendar!$K$4="*",N3201=Calendar!$K$4)),P3201*100+COUNTIFS($P$6:$P$3267,P3201,$Q$6:$Q$3267,"&lt;="&amp;Q3201,$N$6:$N$3267,Calendar!$K$4),"")</f>
        <v/>
      </c>
      <c r="W3201" s="47">
        <f>IF(AND(B3201=Queue!$C$4,OR(Queue!$K$4="*",N3201=Queue!$K$4)),Q3201,"")</f>
        <v/>
      </c>
    </row>
    <row r="3202">
      <c r="A3202" s="38">
        <f>IF(M3202="","",HYPERLINK("https://www.youtube.com/watch?v="&amp;M3202,"▶"))</f>
        <v/>
      </c>
      <c r="B3202" s="39">
        <f>IF(C3202&lt;&gt;"",C3202,IF(P3202&lt;=IFERROR(INDEX(tblChannels[Watched Through],MATCH(N3202,tblChannels[Channel ID],0)),0),"Watched","Unwatched"))</f>
        <v/>
      </c>
      <c r="C3202" s="40" t="n"/>
      <c r="D3202" s="41" t="n"/>
      <c r="E3202" s="42" t="n">
        <v>41176.93263888889</v>
      </c>
      <c r="F3202" s="50" t="inlineStr">
        <is>
          <t>Super Carlin Brothers</t>
        </is>
      </c>
      <c r="G3202" t="inlineStr">
        <is>
          <t>Murphy's Law</t>
        </is>
      </c>
      <c r="H3202" s="44" t="n">
        <v>0.002430555555555556</v>
      </c>
      <c r="I3202" s="45" t="n">
        <v>17455</v>
      </c>
      <c r="J3202" s="45" t="n">
        <v>405</v>
      </c>
      <c r="K3202" s="45" t="n">
        <v>45</v>
      </c>
      <c r="L3202" s="46" t="n"/>
      <c r="M3202" s="47" t="n"/>
      <c r="N3202" s="47" t="inlineStr">
        <is>
          <t>UCKZo4N0lVPccBkSiuyVh4yg</t>
        </is>
      </c>
      <c r="O3202" s="48" t="n">
        <v>41177.09930555556</v>
      </c>
      <c r="P3202" s="49" t="n">
        <v>41176</v>
      </c>
      <c r="Q3202" s="47" t="n">
        <v>66</v>
      </c>
      <c r="R3202" s="47" t="inlineStr">
        <is>
          <t>No Video ID yet</t>
        </is>
      </c>
      <c r="S3202" s="49" t="n"/>
      <c r="T3202" s="49" t="n"/>
      <c r="U3202" s="47" t="inlineStr">
        <is>
          <t>Ben talks about the days when Murphy's Law shows no mercy. Also! if you would like to be the next outro I am fresh out and need MORE!! email them to me at SuperCarlinBrothers@gmail.com Twitter: @Jonkerlin @SCB_Ben =D</t>
        </is>
      </c>
      <c r="V3202" s="47">
        <f>IF(AND(P3202&gt;=Calendar!$K$2,P3202&lt;EDATE(Calendar!$K$2,1),OR(Calendar!$K$4="*",N3202=Calendar!$K$4)),P3202*100+COUNTIFS($P$6:$P$3267,P3202,$Q$6:$Q$3267,"&lt;="&amp;Q3202,$N$6:$N$3267,Calendar!$K$4),"")</f>
        <v/>
      </c>
      <c r="W3202" s="47">
        <f>IF(AND(B3202=Queue!$C$4,OR(Queue!$K$4="*",N3202=Queue!$K$4)),Q3202,"")</f>
        <v/>
      </c>
    </row>
    <row r="3203">
      <c r="A3203" s="38">
        <f>IF(M3203="","",HYPERLINK("https://www.youtube.com/watch?v="&amp;M3203,"▶"))</f>
        <v/>
      </c>
      <c r="B3203" s="39">
        <f>IF(C3203&lt;&gt;"",C3203,IF(P3203&lt;=IFERROR(INDEX(tblChannels[Watched Through],MATCH(N3203,tblChannels[Channel ID],0)),0),"Watched","Unwatched"))</f>
        <v/>
      </c>
      <c r="C3203" s="40" t="n"/>
      <c r="D3203" s="41" t="n"/>
      <c r="E3203" s="42" t="n">
        <v>41173.93263888889</v>
      </c>
      <c r="F3203" s="50" t="inlineStr">
        <is>
          <t>Super Carlin Brothers</t>
        </is>
      </c>
      <c r="G3203" t="inlineStr">
        <is>
          <t>How to do Light Graffiti!</t>
        </is>
      </c>
      <c r="H3203" s="44" t="n">
        <v>0.002141203703703704</v>
      </c>
      <c r="I3203" s="45" t="n">
        <v>35037</v>
      </c>
      <c r="J3203" s="45" t="n">
        <v>878</v>
      </c>
      <c r="K3203" s="45" t="n">
        <v>87</v>
      </c>
      <c r="L3203" s="46" t="n"/>
      <c r="M3203" s="47" t="n"/>
      <c r="N3203" s="47" t="inlineStr">
        <is>
          <t>UCKZo4N0lVPccBkSiuyVh4yg</t>
        </is>
      </c>
      <c r="O3203" s="48" t="n">
        <v>41174.09930555556</v>
      </c>
      <c r="P3203" s="49" t="n">
        <v>41173</v>
      </c>
      <c r="Q3203" s="47" t="n">
        <v>65</v>
      </c>
      <c r="R3203" s="47" t="inlineStr">
        <is>
          <t>No Video ID yet</t>
        </is>
      </c>
      <c r="S3203" s="49" t="n"/>
      <c r="T3203" s="49" t="n"/>
      <c r="U3203" s="47" t="inlineStr">
        <is>
          <t>Here are the settings on my camera: Shutter Speed: 25 Sec Aperture: F22 ISO: 1600 (You will probably need a digital SLR for best results) Have you ever picked up a hobby that you learned a lot from? Show us your light graffiti: www.facebook.com/supercarlinbrothers Special thanks to the lovely Beth McGee! =D TWITTER: @jonkerlin AND @scb_ben =D</t>
        </is>
      </c>
      <c r="V3203" s="47">
        <f>IF(AND(P3203&gt;=Calendar!$K$2,P3203&lt;EDATE(Calendar!$K$2,1),OR(Calendar!$K$4="*",N3203=Calendar!$K$4)),P3203*100+COUNTIFS($P$6:$P$3267,P3203,$Q$6:$Q$3267,"&lt;="&amp;Q3203,$N$6:$N$3267,Calendar!$K$4),"")</f>
        <v/>
      </c>
      <c r="W3203" s="47">
        <f>IF(AND(B3203=Queue!$C$4,OR(Queue!$K$4="*",N3203=Queue!$K$4)),Q3203,"")</f>
        <v/>
      </c>
    </row>
    <row r="3204">
      <c r="A3204" s="38">
        <f>IF(M3204="","",HYPERLINK("https://www.youtube.com/watch?v="&amp;M3204,"▶"))</f>
        <v/>
      </c>
      <c r="B3204" s="39">
        <f>IF(C3204&lt;&gt;"",C3204,IF(P3204&lt;=IFERROR(INDEX(tblChannels[Watched Through],MATCH(N3204,tblChannels[Channel ID],0)),0),"Watched","Unwatched"))</f>
        <v/>
      </c>
      <c r="C3204" s="40" t="n"/>
      <c r="D3204" s="41" t="n"/>
      <c r="E3204" s="42" t="n">
        <v>41172.78472222222</v>
      </c>
      <c r="F3204" s="50" t="inlineStr">
        <is>
          <t>Super Carlin Brothers</t>
        </is>
      </c>
      <c r="G3204" t="inlineStr">
        <is>
          <t>Ask Ben!</t>
        </is>
      </c>
      <c r="H3204" s="44" t="n">
        <v>0.002708333333333333</v>
      </c>
      <c r="I3204" s="45" t="n">
        <v>17062</v>
      </c>
      <c r="J3204" s="45" t="n">
        <v>404</v>
      </c>
      <c r="K3204" s="45" t="n">
        <v>43</v>
      </c>
      <c r="L3204" s="46" t="n"/>
      <c r="M3204" s="47" t="n"/>
      <c r="N3204" s="47" t="inlineStr">
        <is>
          <t>UCKZo4N0lVPccBkSiuyVh4yg</t>
        </is>
      </c>
      <c r="O3204" s="48" t="n">
        <v>41172.95138888889</v>
      </c>
      <c r="P3204" s="49" t="n">
        <v>41172</v>
      </c>
      <c r="Q3204" s="47" t="n">
        <v>64</v>
      </c>
      <c r="R3204" s="47" t="inlineStr">
        <is>
          <t>No Video ID yet</t>
        </is>
      </c>
      <c r="S3204" s="49" t="n"/>
      <c r="T3204" s="49" t="n"/>
      <c r="U3204" s="47" t="inlineStr">
        <is>
          <t>GROUP TWEET on Thursday, September 20 at 7:00pm Eastern: @realjohngreen @hankgreen Have you seen the Super Carlin Brothers? www.youtube.com/supercarlinbrothers #DFTBA Twitter: @Jonkerlin and @SCB_Ben =D</t>
        </is>
      </c>
      <c r="V3204" s="47">
        <f>IF(AND(P3204&gt;=Calendar!$K$2,P3204&lt;EDATE(Calendar!$K$2,1),OR(Calendar!$K$4="*",N3204=Calendar!$K$4)),P3204*100+COUNTIFS($P$6:$P$3267,P3204,$Q$6:$Q$3267,"&lt;="&amp;Q3204,$N$6:$N$3267,Calendar!$K$4),"")</f>
        <v/>
      </c>
      <c r="W3204" s="47">
        <f>IF(AND(B3204=Queue!$C$4,OR(Queue!$K$4="*",N3204=Queue!$K$4)),Q3204,"")</f>
        <v/>
      </c>
    </row>
    <row r="3205">
      <c r="A3205" s="38">
        <f>IF(M3205="","",HYPERLINK("https://www.youtube.com/watch?v="&amp;M3205,"▶"))</f>
        <v/>
      </c>
      <c r="B3205" s="39">
        <f>IF(C3205&lt;&gt;"",C3205,IF(P3205&lt;=IFERROR(INDEX(tblChannels[Watched Through],MATCH(N3205,tblChannels[Channel ID],0)),0),"Watched","Unwatched"))</f>
        <v/>
      </c>
      <c r="C3205" s="40" t="n"/>
      <c r="D3205" s="41" t="n"/>
      <c r="E3205" s="42" t="n">
        <v>41171.95069444444</v>
      </c>
      <c r="F3205" s="50" t="inlineStr">
        <is>
          <t>Super Carlin Brothers</t>
        </is>
      </c>
      <c r="G3205" t="inlineStr">
        <is>
          <t>Play with your toys!</t>
        </is>
      </c>
      <c r="H3205" s="44" t="n">
        <v>0.002650462962962963</v>
      </c>
      <c r="I3205" s="45" t="n">
        <v>51794</v>
      </c>
      <c r="J3205" s="45" t="n">
        <v>1043</v>
      </c>
      <c r="K3205" s="45" t="n">
        <v>148</v>
      </c>
      <c r="L3205" s="46" t="n"/>
      <c r="M3205" s="47" t="n"/>
      <c r="N3205" s="47" t="inlineStr">
        <is>
          <t>UCKZo4N0lVPccBkSiuyVh4yg</t>
        </is>
      </c>
      <c r="O3205" s="48" t="n">
        <v>41172.11736111111</v>
      </c>
      <c r="P3205" s="49" t="n">
        <v>41171</v>
      </c>
      <c r="Q3205" s="47" t="n">
        <v>63</v>
      </c>
      <c r="R3205" s="47" t="inlineStr">
        <is>
          <t>No Video ID yet</t>
        </is>
      </c>
      <c r="S3205" s="49" t="n"/>
      <c r="T3205" s="49" t="n"/>
      <c r="U3205" s="47" t="inlineStr">
        <is>
          <t>GROUP TWEET on Thursday, September 20 at 7:00pm Eastern: @realjohngreen @hankgreen Have you seen the Super Carlin Brothers? www.youtube.com/supercarlinbrothers #DFTBA Schedule your tweet at: www.hootsuite.com Have you ever bought something and then been to afraid of ruining it to use it? AND Leave Ben your Questions below! Twitter: @jonkerlin and @scb_ben Facebook: www.facebook.com/supercarlinbrothers =D</t>
        </is>
      </c>
      <c r="V3205" s="47">
        <f>IF(AND(P3205&gt;=Calendar!$K$2,P3205&lt;EDATE(Calendar!$K$2,1),OR(Calendar!$K$4="*",N3205=Calendar!$K$4)),P3205*100+COUNTIFS($P$6:$P$3267,P3205,$Q$6:$Q$3267,"&lt;="&amp;Q3205,$N$6:$N$3267,Calendar!$K$4),"")</f>
        <v/>
      </c>
      <c r="W3205" s="47">
        <f>IF(AND(B3205=Queue!$C$4,OR(Queue!$K$4="*",N3205=Queue!$K$4)),Q3205,"")</f>
        <v/>
      </c>
    </row>
    <row r="3206">
      <c r="A3206" s="38">
        <f>IF(M3206="","",HYPERLINK("https://www.youtube.com/watch?v="&amp;M3206,"▶"))</f>
        <v/>
      </c>
      <c r="B3206" s="39">
        <f>IF(C3206&lt;&gt;"",C3206,IF(P3206&lt;=IFERROR(INDEX(tblChannels[Watched Through],MATCH(N3206,tblChannels[Channel ID],0)),0),"Watched","Unwatched"))</f>
        <v/>
      </c>
      <c r="C3206" s="40" t="n"/>
      <c r="D3206" s="41" t="n"/>
      <c r="E3206" s="42" t="n">
        <v>41170.77986111111</v>
      </c>
      <c r="F3206" s="50" t="inlineStr">
        <is>
          <t>Super Carlin Brothers</t>
        </is>
      </c>
      <c r="G3206" t="inlineStr">
        <is>
          <t>A Continuation of a Condiment Conversation</t>
        </is>
      </c>
      <c r="H3206" s="44" t="n">
        <v>0.002974537037037037</v>
      </c>
      <c r="I3206" s="45" t="n">
        <v>14934</v>
      </c>
      <c r="J3206" s="45" t="n">
        <v>378</v>
      </c>
      <c r="K3206" s="45" t="n">
        <v>35</v>
      </c>
      <c r="L3206" s="46" t="n"/>
      <c r="M3206" s="47" t="n"/>
      <c r="N3206" s="47" t="inlineStr">
        <is>
          <t>UCKZo4N0lVPccBkSiuyVh4yg</t>
        </is>
      </c>
      <c r="O3206" s="48" t="n">
        <v>41170.94652777778</v>
      </c>
      <c r="P3206" s="49" t="n">
        <v>41170</v>
      </c>
      <c r="Q3206" s="47" t="n">
        <v>62</v>
      </c>
      <c r="R3206" s="47" t="inlineStr">
        <is>
          <t>No Video ID yet</t>
        </is>
      </c>
      <c r="S3206" s="49" t="n"/>
      <c r="T3206" s="49" t="n"/>
      <c r="U3206" s="47" t="inlineStr">
        <is>
          <t>GROUP TWEET: Thursday, Sept. 20 @ 7:00 PM Eastern Time: @realjohngreen @hankgreen Have you seen the Super Carlin Brothers? www.youtube.com/supercarlinbrothers #DFTBA Schedule your tweet here: www.hootsuite.com Twitter: @SCB_Ben and @Jonkerlin =D</t>
        </is>
      </c>
      <c r="V3206" s="47">
        <f>IF(AND(P3206&gt;=Calendar!$K$2,P3206&lt;EDATE(Calendar!$K$2,1),OR(Calendar!$K$4="*",N3206=Calendar!$K$4)),P3206*100+COUNTIFS($P$6:$P$3267,P3206,$Q$6:$Q$3267,"&lt;="&amp;Q3206,$N$6:$N$3267,Calendar!$K$4),"")</f>
        <v/>
      </c>
      <c r="W3206" s="47">
        <f>IF(AND(B3206=Queue!$C$4,OR(Queue!$K$4="*",N3206=Queue!$K$4)),Q3206,"")</f>
        <v/>
      </c>
    </row>
    <row r="3207">
      <c r="A3207" s="38">
        <f>IF(M3207="","",HYPERLINK("https://www.youtube.com/watch?v="&amp;M3207,"▶"))</f>
        <v/>
      </c>
      <c r="B3207" s="39">
        <f>IF(C3207&lt;&gt;"",C3207,IF(P3207&lt;=IFERROR(INDEX(tblChannels[Watched Through],MATCH(N3207,tblChannels[Channel ID],0)),0),"Watched","Unwatched"))</f>
        <v/>
      </c>
      <c r="C3207" s="40" t="n"/>
      <c r="D3207" s="41" t="n"/>
      <c r="E3207" s="42" t="n">
        <v>41169.94027777778</v>
      </c>
      <c r="F3207" s="50" t="inlineStr">
        <is>
          <t>Super Carlin Brothers</t>
        </is>
      </c>
      <c r="G3207" t="inlineStr">
        <is>
          <t>The Ketchup Catch Up</t>
        </is>
      </c>
      <c r="H3207" s="44" t="n">
        <v>0.003275462962962963</v>
      </c>
      <c r="I3207" s="45" t="n">
        <v>55696</v>
      </c>
      <c r="J3207" s="45" t="n">
        <v>1251</v>
      </c>
      <c r="K3207" s="45" t="n">
        <v>425</v>
      </c>
      <c r="L3207" s="46" t="n"/>
      <c r="M3207" s="47" t="n"/>
      <c r="N3207" s="47" t="inlineStr">
        <is>
          <t>UCKZo4N0lVPccBkSiuyVh4yg</t>
        </is>
      </c>
      <c r="O3207" s="48" t="n">
        <v>41170.10694444444</v>
      </c>
      <c r="P3207" s="49" t="n">
        <v>41169</v>
      </c>
      <c r="Q3207" s="47" t="n">
        <v>61</v>
      </c>
      <c r="R3207" s="47" t="inlineStr">
        <is>
          <t>No Video ID yet</t>
        </is>
      </c>
      <c r="S3207" s="49" t="n"/>
      <c r="T3207" s="49" t="n"/>
      <c r="U3207" s="47" t="inlineStr">
        <is>
          <t>GROUP TWEET: Thursday, Sept. 20 @ 7:00 PM Eastern Time: @realjohngreen @hankgreen Have you seen the Super Carlin Brothers? www.youtube.com/supercarlinbrothers #DFTBA Schedule your tweet here: www.hootsuite.com What is your favorite condiment AND dont forget to reply to someone else! Grizzly Eagle Sharks go here: www.facebook.com/supercarlinbrothers Twitter: @jonkerlin and @scb_ben =D</t>
        </is>
      </c>
      <c r="V3207" s="47">
        <f>IF(AND(P3207&gt;=Calendar!$K$2,P3207&lt;EDATE(Calendar!$K$2,1),OR(Calendar!$K$4="*",N3207=Calendar!$K$4)),P3207*100+COUNTIFS($P$6:$P$3267,P3207,$Q$6:$Q$3267,"&lt;="&amp;Q3207,$N$6:$N$3267,Calendar!$K$4),"")</f>
        <v/>
      </c>
      <c r="W3207" s="47">
        <f>IF(AND(B3207=Queue!$C$4,OR(Queue!$K$4="*",N3207=Queue!$K$4)),Q3207,"")</f>
        <v/>
      </c>
    </row>
    <row r="3208">
      <c r="A3208" s="38">
        <f>IF(M3208="","",HYPERLINK("https://www.youtube.com/watch?v="&amp;M3208,"▶"))</f>
        <v/>
      </c>
      <c r="B3208" s="39">
        <f>IF(C3208&lt;&gt;"",C3208,IF(P3208&lt;=IFERROR(INDEX(tblChannels[Watched Through],MATCH(N3208,tblChannels[Channel ID],0)),0),"Watched","Unwatched"))</f>
        <v/>
      </c>
      <c r="C3208" s="40" t="n"/>
      <c r="D3208" s="41" t="n"/>
      <c r="E3208" s="42" t="n">
        <v>41166.81597222222</v>
      </c>
      <c r="F3208" s="50" t="inlineStr">
        <is>
          <t>Super Carlin Brothers</t>
        </is>
      </c>
      <c r="G3208" t="inlineStr">
        <is>
          <t>Vloggers Block</t>
        </is>
      </c>
      <c r="H3208" s="44" t="n">
        <v>0.002418981481481482</v>
      </c>
      <c r="I3208" s="45" t="n">
        <v>14338</v>
      </c>
      <c r="J3208" s="45" t="n">
        <v>377</v>
      </c>
      <c r="K3208" s="45" t="n">
        <v>36</v>
      </c>
      <c r="L3208" s="46" t="n"/>
      <c r="M3208" s="47" t="n"/>
      <c r="N3208" s="47" t="inlineStr">
        <is>
          <t>UCKZo4N0lVPccBkSiuyVh4yg</t>
        </is>
      </c>
      <c r="O3208" s="48" t="n">
        <v>41166.98263888889</v>
      </c>
      <c r="P3208" s="49" t="n">
        <v>41166</v>
      </c>
      <c r="Q3208" s="47" t="n">
        <v>60</v>
      </c>
      <c r="R3208" s="47" t="inlineStr">
        <is>
          <t>No Video ID yet</t>
        </is>
      </c>
      <c r="S3208" s="49" t="n"/>
      <c r="T3208" s="49" t="n"/>
      <c r="U3208" s="47" t="inlineStr">
        <is>
          <t>When you make videos nearly everyday, the time will eventually come where you don't have anything to talk about. For Ben, that day is today. I love when people send in outros! If you would like to be the next outro please submit it as a video response or email it to SuperCarlinBrothers@gmail.com Follow me on Twitter! @SCB_Ben Find us on Facebook! www.facebook.com/SuperCarlinBrothers Thanks for watching! =D</t>
        </is>
      </c>
      <c r="V3208" s="47">
        <f>IF(AND(P3208&gt;=Calendar!$K$2,P3208&lt;EDATE(Calendar!$K$2,1),OR(Calendar!$K$4="*",N3208=Calendar!$K$4)),P3208*100+COUNTIFS($P$6:$P$3267,P3208,$Q$6:$Q$3267,"&lt;="&amp;Q3208,$N$6:$N$3267,Calendar!$K$4),"")</f>
        <v/>
      </c>
      <c r="W3208" s="47">
        <f>IF(AND(B3208=Queue!$C$4,OR(Queue!$K$4="*",N3208=Queue!$K$4)),Q3208,"")</f>
        <v/>
      </c>
    </row>
    <row r="3209">
      <c r="A3209" s="38">
        <f>IF(M3209="","",HYPERLINK("https://www.youtube.com/watch?v="&amp;M3209,"▶"))</f>
        <v/>
      </c>
      <c r="B3209" s="39">
        <f>IF(C3209&lt;&gt;"",C3209,IF(P3209&lt;=IFERROR(INDEX(tblChannels[Watched Through],MATCH(N3209,tblChannels[Channel ID],0)),0),"Watched","Unwatched"))</f>
        <v/>
      </c>
      <c r="C3209" s="40" t="n"/>
      <c r="D3209" s="41" t="n"/>
      <c r="E3209" s="42" t="n">
        <v>41166.00625</v>
      </c>
      <c r="F3209" s="50" t="inlineStr">
        <is>
          <t>Super Carlin Brothers</t>
        </is>
      </c>
      <c r="G3209" t="inlineStr">
        <is>
          <t>Should guys wear pink?</t>
        </is>
      </c>
      <c r="H3209" s="44" t="n">
        <v>0.00193287037037037</v>
      </c>
      <c r="I3209" s="45" t="n">
        <v>42982</v>
      </c>
      <c r="J3209" s="45" t="n">
        <v>942</v>
      </c>
      <c r="K3209" s="45" t="n">
        <v>320</v>
      </c>
      <c r="L3209" s="46" t="n"/>
      <c r="M3209" s="47" t="n"/>
      <c r="N3209" s="47" t="inlineStr">
        <is>
          <t>UCKZo4N0lVPccBkSiuyVh4yg</t>
        </is>
      </c>
      <c r="O3209" s="48" t="n">
        <v>41166.17291666667</v>
      </c>
      <c r="P3209" s="49" t="n">
        <v>41166</v>
      </c>
      <c r="Q3209" s="47" t="n">
        <v>59</v>
      </c>
      <c r="R3209" s="47" t="inlineStr">
        <is>
          <t>No Video ID yet</t>
        </is>
      </c>
      <c r="S3209" s="49" t="n"/>
      <c r="T3209" s="49" t="n"/>
      <c r="U3209" s="47" t="inlineStr">
        <is>
          <t>Jonathan talks about whether or not guys should wear pink shirts. Guys: What is the reaction you get? Girls: Are guys more or less attractive if they wear pink? TWITTER: @Jonkerlin OR @SCB_Ben =D</t>
        </is>
      </c>
      <c r="V3209" s="47">
        <f>IF(AND(P3209&gt;=Calendar!$K$2,P3209&lt;EDATE(Calendar!$K$2,1),OR(Calendar!$K$4="*",N3209=Calendar!$K$4)),P3209*100+COUNTIFS($P$6:$P$3267,P3209,$Q$6:$Q$3267,"&lt;="&amp;Q3209,$N$6:$N$3267,Calendar!$K$4),"")</f>
        <v/>
      </c>
      <c r="W3209" s="47">
        <f>IF(AND(B3209=Queue!$C$4,OR(Queue!$K$4="*",N3209=Queue!$K$4)),Q3209,"")</f>
        <v/>
      </c>
    </row>
    <row r="3210">
      <c r="A3210" s="38">
        <f>IF(M3210="","",HYPERLINK("https://www.youtube.com/watch?v="&amp;M3210,"▶"))</f>
        <v/>
      </c>
      <c r="B3210" s="39">
        <f>IF(C3210&lt;&gt;"",C3210,IF(P3210&lt;=IFERROR(INDEX(tblChannels[Watched Through],MATCH(N3210,tblChannels[Channel ID],0)),0),"Watched","Unwatched"))</f>
        <v/>
      </c>
      <c r="C3210" s="40" t="n"/>
      <c r="D3210" s="41" t="n"/>
      <c r="E3210" s="42" t="n">
        <v>41164.91736111111</v>
      </c>
      <c r="F3210" s="50" t="inlineStr">
        <is>
          <t>Super Carlin Brothers</t>
        </is>
      </c>
      <c r="G3210" t="inlineStr">
        <is>
          <t>How to Handle Criticism</t>
        </is>
      </c>
      <c r="H3210" s="44" t="n">
        <v>0.00337962962962963</v>
      </c>
      <c r="I3210" s="45" t="n">
        <v>17144</v>
      </c>
      <c r="J3210" s="45" t="n">
        <v>585</v>
      </c>
      <c r="K3210" s="45" t="n">
        <v>57</v>
      </c>
      <c r="L3210" s="46" t="n"/>
      <c r="M3210" s="47" t="n"/>
      <c r="N3210" s="47" t="inlineStr">
        <is>
          <t>UCKZo4N0lVPccBkSiuyVh4yg</t>
        </is>
      </c>
      <c r="O3210" s="48" t="n">
        <v>41165.08402777778</v>
      </c>
      <c r="P3210" s="49" t="n">
        <v>41164</v>
      </c>
      <c r="Q3210" s="47" t="n">
        <v>58</v>
      </c>
      <c r="R3210" s="47" t="inlineStr">
        <is>
          <t>No Video ID yet</t>
        </is>
      </c>
      <c r="S3210" s="49" t="n"/>
      <c r="T3210" s="49" t="n"/>
      <c r="U3210" s="47" t="inlineStr">
        <is>
          <t>Ben talks about how he handles criticism. Follow Ben on Twitter! @SCB_Ben Find us on Facebook www.facebook.com/supercarlinbrothers And if you would like to be Ben's next outro you can email it to SuperCarlinBrothers@gmail.com =D</t>
        </is>
      </c>
      <c r="V3210" s="47">
        <f>IF(AND(P3210&gt;=Calendar!$K$2,P3210&lt;EDATE(Calendar!$K$2,1),OR(Calendar!$K$4="*",N3210=Calendar!$K$4)),P3210*100+COUNTIFS($P$6:$P$3267,P3210,$Q$6:$Q$3267,"&lt;="&amp;Q3210,$N$6:$N$3267,Calendar!$K$4),"")</f>
        <v/>
      </c>
      <c r="W3210" s="47">
        <f>IF(AND(B3210=Queue!$C$4,OR(Queue!$K$4="*",N3210=Queue!$K$4)),Q3210,"")</f>
        <v/>
      </c>
    </row>
    <row r="3211">
      <c r="A3211" s="38">
        <f>IF(M3211="","",HYPERLINK("https://www.youtube.com/watch?v="&amp;M3211,"▶"))</f>
        <v/>
      </c>
      <c r="B3211" s="39">
        <f>IF(C3211&lt;&gt;"",C3211,IF(P3211&lt;=IFERROR(INDEX(tblChannels[Watched Through],MATCH(N3211,tblChannels[Channel ID],0)),0),"Watched","Unwatched"))</f>
        <v/>
      </c>
      <c r="C3211" s="40" t="n"/>
      <c r="D3211" s="41" t="n"/>
      <c r="E3211" s="42" t="n">
        <v>41163.95416666667</v>
      </c>
      <c r="F3211" s="50" t="inlineStr">
        <is>
          <t>Super Carlin Brothers</t>
        </is>
      </c>
      <c r="G3211" t="inlineStr">
        <is>
          <t>Why do bad things happen?</t>
        </is>
      </c>
      <c r="H3211" s="44" t="n">
        <v>0.002662037037037037</v>
      </c>
      <c r="I3211" s="45" t="n">
        <v>40976</v>
      </c>
      <c r="J3211" s="45" t="n">
        <v>791</v>
      </c>
      <c r="K3211" s="45" t="n">
        <v>137</v>
      </c>
      <c r="L3211" s="46" t="n"/>
      <c r="M3211" s="47" t="n"/>
      <c r="N3211" s="47" t="inlineStr">
        <is>
          <t>UCKZo4N0lVPccBkSiuyVh4yg</t>
        </is>
      </c>
      <c r="O3211" s="48" t="n">
        <v>41164.12083333333</v>
      </c>
      <c r="P3211" s="49" t="n">
        <v>41163</v>
      </c>
      <c r="Q3211" s="47" t="n">
        <v>57</v>
      </c>
      <c r="R3211" s="47" t="inlineStr">
        <is>
          <t>No Video ID yet</t>
        </is>
      </c>
      <c r="S3211" s="49" t="n"/>
      <c r="T3211" s="49" t="n"/>
      <c r="U3211" s="47" t="inlineStr">
        <is>
          <t>Jonathan talks about stuff that is almost certainly way over head his while possibly not wearing pants.. What is something bad that has ended up good for you? TWITTER: @jonkerlin and @SCB_Ben =D</t>
        </is>
      </c>
      <c r="V3211" s="47">
        <f>IF(AND(P3211&gt;=Calendar!$K$2,P3211&lt;EDATE(Calendar!$K$2,1),OR(Calendar!$K$4="*",N3211=Calendar!$K$4)),P3211*100+COUNTIFS($P$6:$P$3267,P3211,$Q$6:$Q$3267,"&lt;="&amp;Q3211,$N$6:$N$3267,Calendar!$K$4),"")</f>
        <v/>
      </c>
      <c r="W3211" s="47">
        <f>IF(AND(B3211=Queue!$C$4,OR(Queue!$K$4="*",N3211=Queue!$K$4)),Q3211,"")</f>
        <v/>
      </c>
    </row>
    <row r="3212">
      <c r="A3212" s="38">
        <f>IF(M3212="","",HYPERLINK("https://www.youtube.com/watch?v="&amp;M3212,"▶"))</f>
        <v/>
      </c>
      <c r="B3212" s="39">
        <f>IF(C3212&lt;&gt;"",C3212,IF(P3212&lt;=IFERROR(INDEX(tblChannels[Watched Through],MATCH(N3212,tblChannels[Channel ID],0)),0),"Watched","Unwatched"))</f>
        <v/>
      </c>
      <c r="C3212" s="40" t="n"/>
      <c r="D3212" s="41" t="n"/>
      <c r="E3212" s="42" t="n">
        <v>41162.91388888889</v>
      </c>
      <c r="F3212" s="50" t="inlineStr">
        <is>
          <t>Super Carlin Brothers</t>
        </is>
      </c>
      <c r="G3212" t="inlineStr">
        <is>
          <t>How to Spend Money</t>
        </is>
      </c>
      <c r="H3212" s="44" t="n">
        <v>0.002627314814814815</v>
      </c>
      <c r="I3212" s="45" t="n">
        <v>16524</v>
      </c>
      <c r="J3212" s="45" t="n">
        <v>364</v>
      </c>
      <c r="K3212" s="45" t="n">
        <v>39</v>
      </c>
      <c r="L3212" s="46" t="n"/>
      <c r="M3212" s="47" t="n"/>
      <c r="N3212" s="47" t="inlineStr">
        <is>
          <t>UCKZo4N0lVPccBkSiuyVh4yg</t>
        </is>
      </c>
      <c r="O3212" s="48" t="n">
        <v>41163.08055555556</v>
      </c>
      <c r="P3212" s="49" t="n">
        <v>41162</v>
      </c>
      <c r="Q3212" s="47" t="n">
        <v>56</v>
      </c>
      <c r="R3212" s="47" t="inlineStr">
        <is>
          <t>No Video ID yet</t>
        </is>
      </c>
      <c r="S3212" s="49" t="n"/>
      <c r="T3212" s="49" t="n"/>
      <c r="U3212" s="47" t="inlineStr">
        <is>
          <t>Ben gives his advice on how money should be spent. Finally got a twitter! Follow Ben @SCB_Ben If you want to submit an outro either leave it as a video response or email it to: SuperCarlinBrothers@gmail.com Find us on Facebook! www.facebook.com/SuperCarlinBrothers =D</t>
        </is>
      </c>
      <c r="V3212" s="47">
        <f>IF(AND(P3212&gt;=Calendar!$K$2,P3212&lt;EDATE(Calendar!$K$2,1),OR(Calendar!$K$4="*",N3212=Calendar!$K$4)),P3212*100+COUNTIFS($P$6:$P$3267,P3212,$Q$6:$Q$3267,"&lt;="&amp;Q3212,$N$6:$N$3267,Calendar!$K$4),"")</f>
        <v/>
      </c>
      <c r="W3212" s="47">
        <f>IF(AND(B3212=Queue!$C$4,OR(Queue!$K$4="*",N3212=Queue!$K$4)),Q3212,"")</f>
        <v/>
      </c>
    </row>
    <row r="3213">
      <c r="A3213" s="38">
        <f>IF(M3213="","",HYPERLINK("https://www.youtube.com/watch?v="&amp;M3213,"▶"))</f>
        <v/>
      </c>
      <c r="B3213" s="39">
        <f>IF(C3213&lt;&gt;"",C3213,IF(P3213&lt;=IFERROR(INDEX(tblChannels[Watched Through],MATCH(N3213,tblChannels[Channel ID],0)),0),"Watched","Unwatched"))</f>
        <v/>
      </c>
      <c r="C3213" s="40" t="n"/>
      <c r="D3213" s="41" t="n"/>
      <c r="E3213" s="42" t="n">
        <v>41159.80972222222</v>
      </c>
      <c r="F3213" s="50" t="inlineStr">
        <is>
          <t>Super Carlin Brothers</t>
        </is>
      </c>
      <c r="G3213" t="inlineStr">
        <is>
          <t>Ask J! #3</t>
        </is>
      </c>
      <c r="H3213" s="44" t="n">
        <v>0.003043981481481481</v>
      </c>
      <c r="I3213" s="45" t="n">
        <v>28576</v>
      </c>
      <c r="J3213" s="45" t="n">
        <v>594</v>
      </c>
      <c r="K3213" s="45" t="n">
        <v>131</v>
      </c>
      <c r="L3213" s="46" t="n"/>
      <c r="M3213" s="47" t="n"/>
      <c r="N3213" s="47" t="inlineStr">
        <is>
          <t>UCKZo4N0lVPccBkSiuyVh4yg</t>
        </is>
      </c>
      <c r="O3213" s="48" t="n">
        <v>41159.97638888889</v>
      </c>
      <c r="P3213" s="49" t="n">
        <v>41159</v>
      </c>
      <c r="Q3213" s="47" t="n">
        <v>55</v>
      </c>
      <c r="R3213" s="47" t="inlineStr">
        <is>
          <t>No Video ID yet</t>
        </is>
      </c>
      <c r="S3213" s="49" t="n"/>
      <c r="T3213" s="49" t="n"/>
      <c r="U3213" s="47" t="inlineStr">
        <is>
          <t>Jonathan answers your questions! What would you want to be on a billboard for? TWITTER: @jonkerlin =D</t>
        </is>
      </c>
      <c r="V3213" s="47">
        <f>IF(AND(P3213&gt;=Calendar!$K$2,P3213&lt;EDATE(Calendar!$K$2,1),OR(Calendar!$K$4="*",N3213=Calendar!$K$4)),P3213*100+COUNTIFS($P$6:$P$3267,P3213,$Q$6:$Q$3267,"&lt;="&amp;Q3213,$N$6:$N$3267,Calendar!$K$4),"")</f>
        <v/>
      </c>
      <c r="W3213" s="47">
        <f>IF(AND(B3213=Queue!$C$4,OR(Queue!$K$4="*",N3213=Queue!$K$4)),Q3213,"")</f>
        <v/>
      </c>
    </row>
    <row r="3214">
      <c r="A3214" s="38">
        <f>IF(M3214="","",HYPERLINK("https://www.youtube.com/watch?v="&amp;M3214,"▶"))</f>
        <v/>
      </c>
      <c r="B3214" s="39">
        <f>IF(C3214&lt;&gt;"",C3214,IF(P3214&lt;=IFERROR(INDEX(tblChannels[Watched Through],MATCH(N3214,tblChannels[Channel ID],0)),0),"Watched","Unwatched"))</f>
        <v/>
      </c>
      <c r="C3214" s="40" t="n"/>
      <c r="D3214" s="41" t="n"/>
      <c r="E3214" s="42" t="n">
        <v>41158.90763888889</v>
      </c>
      <c r="F3214" s="50" t="inlineStr">
        <is>
          <t>Super Carlin Brothers</t>
        </is>
      </c>
      <c r="G3214" t="inlineStr">
        <is>
          <t>Do What You Love, Love What You Do</t>
        </is>
      </c>
      <c r="H3214" s="44" t="n">
        <v>0.001678240740740741</v>
      </c>
      <c r="I3214" s="45" t="n">
        <v>15202</v>
      </c>
      <c r="J3214" s="45" t="n">
        <v>348</v>
      </c>
      <c r="K3214" s="45" t="n">
        <v>48</v>
      </c>
      <c r="L3214" s="46" t="n"/>
      <c r="M3214" s="47" t="n"/>
      <c r="N3214" s="47" t="inlineStr">
        <is>
          <t>UCKZo4N0lVPccBkSiuyVh4yg</t>
        </is>
      </c>
      <c r="O3214" s="48" t="n">
        <v>41159.07430555556</v>
      </c>
      <c r="P3214" s="49" t="n">
        <v>41158</v>
      </c>
      <c r="Q3214" s="47" t="n">
        <v>54</v>
      </c>
      <c r="R3214" s="47" t="inlineStr">
        <is>
          <t>No Video ID yet</t>
        </is>
      </c>
      <c r="S3214" s="49" t="n"/>
      <c r="T3214" s="49" t="n"/>
      <c r="U3214" s="47" t="inlineStr">
        <is>
          <t>My first upload of this cut me off for some reason so I have re- uploaded! Today Ben's career took a big step forward which is great, unlike todays video. Worn out from a big day it's a little thrown together... but don't forget to ask J and see your question answered in tomorrow video!! If you want to be my next outro please email it to SuperCarlinBrothers@gmail.com Or leave it as a video response!! =D</t>
        </is>
      </c>
      <c r="V3214" s="47">
        <f>IF(AND(P3214&gt;=Calendar!$K$2,P3214&lt;EDATE(Calendar!$K$2,1),OR(Calendar!$K$4="*",N3214=Calendar!$K$4)),P3214*100+COUNTIFS($P$6:$P$3267,P3214,$Q$6:$Q$3267,"&lt;="&amp;Q3214,$N$6:$N$3267,Calendar!$K$4),"")</f>
        <v/>
      </c>
      <c r="W3214" s="47">
        <f>IF(AND(B3214=Queue!$C$4,OR(Queue!$K$4="*",N3214=Queue!$K$4)),Q3214,"")</f>
        <v/>
      </c>
    </row>
    <row r="3215">
      <c r="A3215" s="38">
        <f>IF(M3215="","",HYPERLINK("https://www.youtube.com/watch?v="&amp;M3215,"▶"))</f>
        <v/>
      </c>
      <c r="B3215" s="39">
        <f>IF(C3215&lt;&gt;"",C3215,IF(P3215&lt;=IFERROR(INDEX(tblChannels[Watched Through],MATCH(N3215,tblChannels[Channel ID],0)),0),"Watched","Unwatched"))</f>
        <v/>
      </c>
      <c r="C3215" s="40" t="n"/>
      <c r="D3215" s="41" t="n"/>
      <c r="E3215" s="42" t="n">
        <v>41157.91944444444</v>
      </c>
      <c r="F3215" s="50" t="inlineStr">
        <is>
          <t>Super Carlin Brothers</t>
        </is>
      </c>
      <c r="G3215" t="inlineStr">
        <is>
          <t>Sleeping with Jonathan</t>
        </is>
      </c>
      <c r="H3215" s="44" t="n">
        <v>0.002696759259259259</v>
      </c>
      <c r="I3215" s="45" t="n">
        <v>53667</v>
      </c>
      <c r="J3215" s="45" t="n">
        <v>1320</v>
      </c>
      <c r="K3215" s="45" t="n">
        <v>318</v>
      </c>
      <c r="L3215" s="46" t="n"/>
      <c r="M3215" s="47" t="n"/>
      <c r="N3215" s="47" t="inlineStr">
        <is>
          <t>UCKZo4N0lVPccBkSiuyVh4yg</t>
        </is>
      </c>
      <c r="O3215" s="48" t="n">
        <v>41158.08611111111</v>
      </c>
      <c r="P3215" s="49" t="n">
        <v>41157</v>
      </c>
      <c r="Q3215" s="47" t="n">
        <v>53</v>
      </c>
      <c r="R3215" s="47" t="inlineStr">
        <is>
          <t>No Video ID yet</t>
        </is>
      </c>
      <c r="S3215" s="49" t="n"/>
      <c r="T3215" s="49" t="n"/>
      <c r="U3215" s="47" t="inlineStr">
        <is>
          <t>Sleeping, with Jonathan: not as easy as you might think.. What do you do to help go to sleep? TWITTER: @jonkerlin =D</t>
        </is>
      </c>
      <c r="V3215" s="47">
        <f>IF(AND(P3215&gt;=Calendar!$K$2,P3215&lt;EDATE(Calendar!$K$2,1),OR(Calendar!$K$4="*",N3215=Calendar!$K$4)),P3215*100+COUNTIFS($P$6:$P$3267,P3215,$Q$6:$Q$3267,"&lt;="&amp;Q3215,$N$6:$N$3267,Calendar!$K$4),"")</f>
        <v/>
      </c>
      <c r="W3215" s="47">
        <f>IF(AND(B3215=Queue!$C$4,OR(Queue!$K$4="*",N3215=Queue!$K$4)),Q3215,"")</f>
        <v/>
      </c>
    </row>
    <row r="3216">
      <c r="A3216" s="38">
        <f>IF(M3216="","",HYPERLINK("https://www.youtube.com/watch?v="&amp;M3216,"▶"))</f>
        <v/>
      </c>
      <c r="B3216" s="39">
        <f>IF(C3216&lt;&gt;"",C3216,IF(P3216&lt;=IFERROR(INDEX(tblChannels[Watched Through],MATCH(N3216,tblChannels[Channel ID],0)),0),"Watched","Unwatched"))</f>
        <v/>
      </c>
      <c r="C3216" s="40" t="n"/>
      <c r="D3216" s="41" t="n"/>
      <c r="E3216" s="42" t="n">
        <v>41156.8</v>
      </c>
      <c r="F3216" s="50" t="inlineStr">
        <is>
          <t>Super Carlin Brothers</t>
        </is>
      </c>
      <c r="G3216" t="inlineStr">
        <is>
          <t>The Day Your Parents Join Facebook</t>
        </is>
      </c>
      <c r="H3216" s="44" t="n">
        <v>0.002685185185185185</v>
      </c>
      <c r="I3216" s="45" t="n">
        <v>21495</v>
      </c>
      <c r="J3216" s="45" t="n">
        <v>512</v>
      </c>
      <c r="K3216" s="45" t="n">
        <v>99</v>
      </c>
      <c r="L3216" s="46" t="n"/>
      <c r="M3216" s="47" t="n"/>
      <c r="N3216" s="47" t="inlineStr">
        <is>
          <t>UCKZo4N0lVPccBkSiuyVh4yg</t>
        </is>
      </c>
      <c r="O3216" s="48" t="n">
        <v>41156.96666666667</v>
      </c>
      <c r="P3216" s="49" t="n">
        <v>41156</v>
      </c>
      <c r="Q3216" s="47" t="n">
        <v>52</v>
      </c>
      <c r="R3216" s="47" t="inlineStr">
        <is>
          <t>No Video ID yet</t>
        </is>
      </c>
      <c r="S3216" s="49" t="n"/>
      <c r="T3216" s="49" t="n"/>
      <c r="U3216" s="47" t="inlineStr">
        <is>
          <t>Ben talks about every kid's fear, the day their parents join facebook. If you'd like to submit an outro you can do so as a video response to any of our videos or email it to supercarlinbrothers@gmail.com Find us on facebook! www.facebook.com/SuperCarlinBrothers =D</t>
        </is>
      </c>
      <c r="V3216" s="47">
        <f>IF(AND(P3216&gt;=Calendar!$K$2,P3216&lt;EDATE(Calendar!$K$2,1),OR(Calendar!$K$4="*",N3216=Calendar!$K$4)),P3216*100+COUNTIFS($P$6:$P$3267,P3216,$Q$6:$Q$3267,"&lt;="&amp;Q3216,$N$6:$N$3267,Calendar!$K$4),"")</f>
        <v/>
      </c>
      <c r="W3216" s="47">
        <f>IF(AND(B3216=Queue!$C$4,OR(Queue!$K$4="*",N3216=Queue!$K$4)),Q3216,"")</f>
        <v/>
      </c>
    </row>
    <row r="3217">
      <c r="A3217" s="38">
        <f>IF(M3217="","",HYPERLINK("https://www.youtube.com/watch?v="&amp;M3217,"▶"))</f>
        <v/>
      </c>
      <c r="B3217" s="39">
        <f>IF(C3217&lt;&gt;"",C3217,IF(P3217&lt;=IFERROR(INDEX(tblChannels[Watched Through],MATCH(N3217,tblChannels[Channel ID],0)),0),"Watched","Unwatched"))</f>
        <v/>
      </c>
      <c r="C3217" s="40" t="n"/>
      <c r="D3217" s="41" t="n"/>
      <c r="E3217" s="42" t="n">
        <v>41155.70069444444</v>
      </c>
      <c r="F3217" s="50" t="inlineStr">
        <is>
          <t>Super Carlin Brothers</t>
        </is>
      </c>
      <c r="G3217" t="inlineStr">
        <is>
          <t>Football Season!</t>
        </is>
      </c>
      <c r="H3217" s="44" t="n">
        <v>0.002951388888888889</v>
      </c>
      <c r="I3217" s="45" t="n">
        <v>18157</v>
      </c>
      <c r="J3217" s="45" t="n">
        <v>430</v>
      </c>
      <c r="K3217" s="45" t="n">
        <v>143</v>
      </c>
      <c r="L3217" s="46" t="n"/>
      <c r="M3217" s="47" t="n"/>
      <c r="N3217" s="47" t="inlineStr">
        <is>
          <t>UCKZo4N0lVPccBkSiuyVh4yg</t>
        </is>
      </c>
      <c r="O3217" s="48" t="n">
        <v>41155.86736111111</v>
      </c>
      <c r="P3217" s="49" t="n">
        <v>41155</v>
      </c>
      <c r="Q3217" s="47" t="n">
        <v>51</v>
      </c>
      <c r="R3217" s="47" t="inlineStr">
        <is>
          <t>No Video ID yet</t>
        </is>
      </c>
      <c r="S3217" s="49" t="n"/>
      <c r="T3217" s="49" t="n"/>
      <c r="U3217" s="47" t="inlineStr">
        <is>
          <t>Jonathan talks about the joy of football season and the crazy things it makes us do. What is your favorite team? TWITTER: @jonkerlin Send Ben your outtro's here: supercarlinbrothers@gmail.com OR upload them as a video response GO HOKIES!! =D</t>
        </is>
      </c>
      <c r="V3217" s="47">
        <f>IF(AND(P3217&gt;=Calendar!$K$2,P3217&lt;EDATE(Calendar!$K$2,1),OR(Calendar!$K$4="*",N3217=Calendar!$K$4)),P3217*100+COUNTIFS($P$6:$P$3267,P3217,$Q$6:$Q$3267,"&lt;="&amp;Q3217,$N$6:$N$3267,Calendar!$K$4),"")</f>
        <v/>
      </c>
      <c r="W3217" s="47">
        <f>IF(AND(B3217=Queue!$C$4,OR(Queue!$K$4="*",N3217=Queue!$K$4)),Q3217,"")</f>
        <v/>
      </c>
    </row>
    <row r="3218">
      <c r="A3218" s="38">
        <f>IF(M3218="","",HYPERLINK("https://www.youtube.com/watch?v="&amp;M3218,"▶"))</f>
        <v/>
      </c>
      <c r="B3218" s="39">
        <f>IF(C3218&lt;&gt;"",C3218,IF(P3218&lt;=IFERROR(INDEX(tblChannels[Watched Through],MATCH(N3218,tblChannels[Channel ID],0)),0),"Watched","Unwatched"))</f>
        <v/>
      </c>
      <c r="C3218" s="40" t="n"/>
      <c r="D3218" s="41" t="n"/>
      <c r="E3218" s="42" t="n">
        <v>41152.79930555556</v>
      </c>
      <c r="F3218" s="50" t="inlineStr">
        <is>
          <t>Super Carlin Brothers</t>
        </is>
      </c>
      <c r="G3218" t="inlineStr">
        <is>
          <t>How Finding Nemo Ruined My Life</t>
        </is>
      </c>
      <c r="H3218" s="44" t="n">
        <v>0.001956018518518518</v>
      </c>
      <c r="I3218" s="45" t="n">
        <v>152626</v>
      </c>
      <c r="J3218" s="45" t="n">
        <v>3105</v>
      </c>
      <c r="K3218" s="45" t="n">
        <v>759</v>
      </c>
      <c r="L3218" s="46" t="n"/>
      <c r="M3218" s="47" t="n"/>
      <c r="N3218" s="47" t="inlineStr">
        <is>
          <t>UCKZo4N0lVPccBkSiuyVh4yg</t>
        </is>
      </c>
      <c r="O3218" s="48" t="n">
        <v>41152.96597222222</v>
      </c>
      <c r="P3218" s="49" t="n">
        <v>41152</v>
      </c>
      <c r="Q3218" s="47" t="n">
        <v>50</v>
      </c>
      <c r="R3218" s="47" t="inlineStr">
        <is>
          <t>No Video ID yet</t>
        </is>
      </c>
      <c r="S3218" s="49" t="n"/>
      <c r="T3218" s="49" t="n"/>
      <c r="U3218" s="47" t="inlineStr">
        <is>
          <t>Ben talks about how Finding Nemo caused problems in his day to day life... Also I NEED OUTROS! If you want to be my next outro please leave it as a video response or email us at: SuperCarlinBrothers@gmail.com Find us on Facebook! www.facebook.com/SuperCarlinBrothers =D</t>
        </is>
      </c>
      <c r="V3218" s="47">
        <f>IF(AND(P3218&gt;=Calendar!$K$2,P3218&lt;EDATE(Calendar!$K$2,1),OR(Calendar!$K$4="*",N3218=Calendar!$K$4)),P3218*100+COUNTIFS($P$6:$P$3267,P3218,$Q$6:$Q$3267,"&lt;="&amp;Q3218,$N$6:$N$3267,Calendar!$K$4),"")</f>
        <v/>
      </c>
      <c r="W3218" s="47">
        <f>IF(AND(B3218=Queue!$C$4,OR(Queue!$K$4="*",N3218=Queue!$K$4)),Q3218,"")</f>
        <v/>
      </c>
    </row>
    <row r="3219">
      <c r="A3219" s="38">
        <f>IF(M3219="","",HYPERLINK("https://www.youtube.com/watch?v="&amp;M3219,"▶"))</f>
        <v/>
      </c>
      <c r="B3219" s="39">
        <f>IF(C3219&lt;&gt;"",C3219,IF(P3219&lt;=IFERROR(INDEX(tblChannels[Watched Through],MATCH(N3219,tblChannels[Channel ID],0)),0),"Watched","Unwatched"))</f>
        <v/>
      </c>
      <c r="C3219" s="40" t="n"/>
      <c r="D3219" s="41" t="n"/>
      <c r="E3219" s="42" t="n">
        <v>41151.85555555556</v>
      </c>
      <c r="F3219" s="50" t="inlineStr">
        <is>
          <t>Super Carlin Brothers</t>
        </is>
      </c>
      <c r="G3219" t="inlineStr">
        <is>
          <t>First World Problems</t>
        </is>
      </c>
      <c r="H3219" s="44" t="n">
        <v>0.003043981481481481</v>
      </c>
      <c r="I3219" s="45" t="n">
        <v>96717</v>
      </c>
      <c r="J3219" s="45" t="n">
        <v>2093</v>
      </c>
      <c r="K3219" s="45" t="n">
        <v>360</v>
      </c>
      <c r="L3219" s="46" t="n"/>
      <c r="M3219" s="47" t="n"/>
      <c r="N3219" s="47" t="inlineStr">
        <is>
          <t>UCKZo4N0lVPccBkSiuyVh4yg</t>
        </is>
      </c>
      <c r="O3219" s="48" t="n">
        <v>41152.02222222222</v>
      </c>
      <c r="P3219" s="49" t="n">
        <v>41151</v>
      </c>
      <c r="Q3219" s="47" t="n">
        <v>49</v>
      </c>
      <c r="R3219" s="47" t="inlineStr">
        <is>
          <t>No Video ID yet</t>
        </is>
      </c>
      <c r="S3219" s="49" t="n"/>
      <c r="T3219" s="49" t="n"/>
      <c r="U3219" s="47" t="inlineStr">
        <is>
          <t>Jonathan talks about some first world issues he's been having and the history of the phrase "first world" What is a first world problem you have to deal with? TWITTER: www.twitter.com/jonkerlin Send Ben an outtro here: supercarlinbrothers@gmail.com OR upload a video response =D</t>
        </is>
      </c>
      <c r="V3219" s="47">
        <f>IF(AND(P3219&gt;=Calendar!$K$2,P3219&lt;EDATE(Calendar!$K$2,1),OR(Calendar!$K$4="*",N3219=Calendar!$K$4)),P3219*100+COUNTIFS($P$6:$P$3267,P3219,$Q$6:$Q$3267,"&lt;="&amp;Q3219,$N$6:$N$3267,Calendar!$K$4),"")</f>
        <v/>
      </c>
      <c r="W3219" s="47">
        <f>IF(AND(B3219=Queue!$C$4,OR(Queue!$K$4="*",N3219=Queue!$K$4)),Q3219,"")</f>
        <v/>
      </c>
    </row>
    <row r="3220">
      <c r="A3220" s="38">
        <f>IF(M3220="","",HYPERLINK("https://www.youtube.com/watch?v="&amp;M3220,"▶"))</f>
        <v/>
      </c>
      <c r="B3220" s="39">
        <f>IF(C3220&lt;&gt;"",C3220,IF(P3220&lt;=IFERROR(INDEX(tblChannels[Watched Through],MATCH(N3220,tblChannels[Channel ID],0)),0),"Watched","Unwatched"))</f>
        <v/>
      </c>
      <c r="C3220" s="40" t="n"/>
      <c r="D3220" s="41" t="n"/>
      <c r="E3220" s="42" t="n">
        <v>41150.75208333333</v>
      </c>
      <c r="F3220" s="50" t="inlineStr">
        <is>
          <t>Super Carlin Brothers</t>
        </is>
      </c>
      <c r="G3220" t="inlineStr">
        <is>
          <t>Operation Failure</t>
        </is>
      </c>
      <c r="H3220" s="44" t="n">
        <v>0.002199074074074074</v>
      </c>
      <c r="I3220" s="45" t="n">
        <v>17078</v>
      </c>
      <c r="J3220" s="45" t="n">
        <v>395</v>
      </c>
      <c r="K3220" s="45" t="n">
        <v>40</v>
      </c>
      <c r="L3220" s="46" t="n"/>
      <c r="M3220" s="47" t="n"/>
      <c r="N3220" s="47" t="inlineStr">
        <is>
          <t>UCKZo4N0lVPccBkSiuyVh4yg</t>
        </is>
      </c>
      <c r="O3220" s="48" t="n">
        <v>41150.91875</v>
      </c>
      <c r="P3220" s="49" t="n">
        <v>41150</v>
      </c>
      <c r="Q3220" s="47" t="n">
        <v>48</v>
      </c>
      <c r="R3220" s="47" t="inlineStr">
        <is>
          <t>No Video ID yet</t>
        </is>
      </c>
      <c r="S3220" s="49" t="n"/>
      <c r="T3220" s="49" t="n"/>
      <c r="U3220" s="47" t="inlineStr">
        <is>
          <t>Ben divulges into yet ANOTHER story of a failure in his life... what a wreck... If you would like to be Ben's outro for the Friday video he would really appreciate it if you posted one as a video response to any of his videos OR email it to: SuperCarlinBrothers@gmail.com Also! Find us on Facebook! www.facebook.com/SuperCarlinBrothers =D</t>
        </is>
      </c>
      <c r="V3220" s="47">
        <f>IF(AND(P3220&gt;=Calendar!$K$2,P3220&lt;EDATE(Calendar!$K$2,1),OR(Calendar!$K$4="*",N3220=Calendar!$K$4)),P3220*100+COUNTIFS($P$6:$P$3267,P3220,$Q$6:$Q$3267,"&lt;="&amp;Q3220,$N$6:$N$3267,Calendar!$K$4),"")</f>
        <v/>
      </c>
      <c r="W3220" s="47">
        <f>IF(AND(B3220=Queue!$C$4,OR(Queue!$K$4="*",N3220=Queue!$K$4)),Q3220,"")</f>
        <v/>
      </c>
    </row>
    <row r="3221">
      <c r="A3221" s="38">
        <f>IF(M3221="","",HYPERLINK("https://www.youtube.com/watch?v="&amp;M3221,"▶"))</f>
        <v/>
      </c>
      <c r="B3221" s="39">
        <f>IF(C3221&lt;&gt;"",C3221,IF(P3221&lt;=IFERROR(INDEX(tblChannels[Watched Through],MATCH(N3221,tblChannels[Channel ID],0)),0),"Watched","Unwatched"))</f>
        <v/>
      </c>
      <c r="C3221" s="40" t="n"/>
      <c r="D3221" s="41" t="n"/>
      <c r="E3221" s="42" t="n">
        <v>41149.86805555555</v>
      </c>
      <c r="F3221" s="50" t="inlineStr">
        <is>
          <t>Super Carlin Brothers</t>
        </is>
      </c>
      <c r="G3221" t="inlineStr">
        <is>
          <t>Fixty miles of fun!</t>
        </is>
      </c>
      <c r="H3221" s="44" t="n">
        <v>0.003159722222222222</v>
      </c>
      <c r="I3221" s="45" t="n">
        <v>27264</v>
      </c>
      <c r="J3221" s="45" t="n">
        <v>639</v>
      </c>
      <c r="K3221" s="45" t="n">
        <v>54</v>
      </c>
      <c r="L3221" s="46" t="n"/>
      <c r="M3221" s="47" t="n"/>
      <c r="N3221" s="47" t="inlineStr">
        <is>
          <t>UCKZo4N0lVPccBkSiuyVh4yg</t>
        </is>
      </c>
      <c r="O3221" s="48" t="n">
        <v>41150.03472222222</v>
      </c>
      <c r="P3221" s="49" t="n">
        <v>41149</v>
      </c>
      <c r="Q3221" s="47" t="n">
        <v>47</v>
      </c>
      <c r="R3221" s="47" t="inlineStr">
        <is>
          <t>No Video ID yet</t>
        </is>
      </c>
      <c r="S3221" s="49" t="n"/>
      <c r="T3221" s="49" t="n"/>
      <c r="U3221" s="47" t="inlineStr">
        <is>
          <t>Jonathan tells the story of the last time he went cycling, a nice easy fixty miles.... What is your biggest fail turned good? GRIZZLY EAGLE SHARKS: www.facebook.com/supercarlinbrothers TWITTER: @Jonkerlin Send Ben an outro here: supercarlinbrothers@gmail.com OR upload a video response. =D</t>
        </is>
      </c>
      <c r="V3221" s="47">
        <f>IF(AND(P3221&gt;=Calendar!$K$2,P3221&lt;EDATE(Calendar!$K$2,1),OR(Calendar!$K$4="*",N3221=Calendar!$K$4)),P3221*100+COUNTIFS($P$6:$P$3267,P3221,$Q$6:$Q$3267,"&lt;="&amp;Q3221,$N$6:$N$3267,Calendar!$K$4),"")</f>
        <v/>
      </c>
      <c r="W3221" s="47">
        <f>IF(AND(B3221=Queue!$C$4,OR(Queue!$K$4="*",N3221=Queue!$K$4)),Q3221,"")</f>
        <v/>
      </c>
    </row>
    <row r="3222">
      <c r="A3222" s="38">
        <f>IF(M3222="","",HYPERLINK("https://www.youtube.com/watch?v="&amp;M3222,"▶"))</f>
        <v/>
      </c>
      <c r="B3222" s="39">
        <f>IF(C3222&lt;&gt;"",C3222,IF(P3222&lt;=IFERROR(INDEX(tblChannels[Watched Through],MATCH(N3222,tblChannels[Channel ID],0)),0),"Watched","Unwatched"))</f>
        <v/>
      </c>
      <c r="C3222" s="40" t="n"/>
      <c r="D3222" s="41" t="n"/>
      <c r="E3222" s="42" t="n">
        <v>41148.93194444444</v>
      </c>
      <c r="F3222" s="50" t="inlineStr">
        <is>
          <t>Super Carlin Brothers</t>
        </is>
      </c>
      <c r="G3222" t="inlineStr">
        <is>
          <t>The Armstrongs</t>
        </is>
      </c>
      <c r="H3222" s="44" t="n">
        <v>0.002534722222222222</v>
      </c>
      <c r="I3222" s="45" t="n">
        <v>15980</v>
      </c>
      <c r="J3222" s="45" t="n">
        <v>358</v>
      </c>
      <c r="K3222" s="45" t="n">
        <v>49</v>
      </c>
      <c r="L3222" s="46" t="n"/>
      <c r="M3222" s="47" t="n"/>
      <c r="N3222" s="47" t="inlineStr">
        <is>
          <t>UCKZo4N0lVPccBkSiuyVh4yg</t>
        </is>
      </c>
      <c r="O3222" s="48" t="n">
        <v>41149.09861111111</v>
      </c>
      <c r="P3222" s="49" t="n">
        <v>41148</v>
      </c>
      <c r="Q3222" s="47" t="n">
        <v>46</v>
      </c>
      <c r="R3222" s="47" t="inlineStr">
        <is>
          <t>No Video ID yet</t>
        </is>
      </c>
      <c r="S3222" s="49" t="n"/>
      <c r="T3222" s="49" t="n"/>
      <c r="U3222" s="47" t="inlineStr">
        <is>
          <t>Ben talks about an American hero and his personal hero. Hanks Video about Neil Armstrong: If you would like to be our next outro please email it or submit it as a video response! supercarlinbrothers@gmail.com Find us on Facebook! www.facebook.com/SuperCarlinBrothers =D</t>
        </is>
      </c>
      <c r="V3222" s="47">
        <f>IF(AND(P3222&gt;=Calendar!$K$2,P3222&lt;EDATE(Calendar!$K$2,1),OR(Calendar!$K$4="*",N3222=Calendar!$K$4)),P3222*100+COUNTIFS($P$6:$P$3267,P3222,$Q$6:$Q$3267,"&lt;="&amp;Q3222,$N$6:$N$3267,Calendar!$K$4),"")</f>
        <v/>
      </c>
      <c r="W3222" s="47">
        <f>IF(AND(B3222=Queue!$C$4,OR(Queue!$K$4="*",N3222=Queue!$K$4)),Q3222,"")</f>
        <v/>
      </c>
    </row>
    <row r="3223">
      <c r="A3223" s="38">
        <f>IF(M3223="","",HYPERLINK("https://www.youtube.com/watch?v="&amp;M3223,"▶"))</f>
        <v/>
      </c>
      <c r="B3223" s="39">
        <f>IF(C3223&lt;&gt;"",C3223,IF(P3223&lt;=IFERROR(INDEX(tblChannels[Watched Through],MATCH(N3223,tblChannels[Channel ID],0)),0),"Watched","Unwatched"))</f>
        <v/>
      </c>
      <c r="C3223" s="40" t="n"/>
      <c r="D3223" s="41" t="n"/>
      <c r="E3223" s="42" t="n">
        <v>41145.94097222222</v>
      </c>
      <c r="F3223" s="50" t="inlineStr">
        <is>
          <t>Super Carlin Brothers</t>
        </is>
      </c>
      <c r="G3223" t="inlineStr">
        <is>
          <t>Waiting Rooms</t>
        </is>
      </c>
      <c r="H3223" s="44" t="n">
        <v>0.002662037037037037</v>
      </c>
      <c r="I3223" s="45" t="n">
        <v>78879</v>
      </c>
      <c r="J3223" s="45" t="n">
        <v>1597</v>
      </c>
      <c r="K3223" s="45" t="n">
        <v>337</v>
      </c>
      <c r="L3223" s="46" t="n"/>
      <c r="M3223" s="47" t="n"/>
      <c r="N3223" s="47" t="inlineStr">
        <is>
          <t>UCKZo4N0lVPccBkSiuyVh4yg</t>
        </is>
      </c>
      <c r="O3223" s="48" t="n">
        <v>41146.10763888889</v>
      </c>
      <c r="P3223" s="49" t="n">
        <v>41145</v>
      </c>
      <c r="Q3223" s="47" t="n">
        <v>45</v>
      </c>
      <c r="R3223" s="47" t="inlineStr">
        <is>
          <t>No Video ID yet</t>
        </is>
      </c>
      <c r="S3223" s="49" t="n"/>
      <c r="T3223" s="49" t="n"/>
      <c r="U3223" s="47" t="inlineStr">
        <is>
          <t>Jonathan talks about his hatred for waiting rooms and doctor visits - What is your worst waiting room experience? Grizzly Eagle Sharks go here: www.facebook.com/supercarlinbrothers Ben's Outtro's go here: supercarlinbrothers@gmail.com OR upload as a video response =D</t>
        </is>
      </c>
      <c r="V3223" s="47">
        <f>IF(AND(P3223&gt;=Calendar!$K$2,P3223&lt;EDATE(Calendar!$K$2,1),OR(Calendar!$K$4="*",N3223=Calendar!$K$4)),P3223*100+COUNTIFS($P$6:$P$3267,P3223,$Q$6:$Q$3267,"&lt;="&amp;Q3223,$N$6:$N$3267,Calendar!$K$4),"")</f>
        <v/>
      </c>
      <c r="W3223" s="47">
        <f>IF(AND(B3223=Queue!$C$4,OR(Queue!$K$4="*",N3223=Queue!$K$4)),Q3223,"")</f>
        <v/>
      </c>
    </row>
    <row r="3224">
      <c r="A3224" s="38">
        <f>IF(M3224="","",HYPERLINK("https://www.youtube.com/watch?v="&amp;M3224,"▶"))</f>
        <v/>
      </c>
      <c r="B3224" s="39">
        <f>IF(C3224&lt;&gt;"",C3224,IF(P3224&lt;=IFERROR(INDEX(tblChannels[Watched Through],MATCH(N3224,tblChannels[Channel ID],0)),0),"Watched","Unwatched"))</f>
        <v/>
      </c>
      <c r="C3224" s="40" t="n"/>
      <c r="D3224" s="41" t="n"/>
      <c r="E3224" s="42" t="n">
        <v>41144.80069444444</v>
      </c>
      <c r="F3224" s="50" t="inlineStr">
        <is>
          <t>Super Carlin Brothers</t>
        </is>
      </c>
      <c r="G3224" t="inlineStr">
        <is>
          <t>Awkward Stander</t>
        </is>
      </c>
      <c r="H3224" s="44" t="n">
        <v>0.002256944444444444</v>
      </c>
      <c r="I3224" s="45" t="n">
        <v>17088</v>
      </c>
      <c r="J3224" s="45" t="n">
        <v>448</v>
      </c>
      <c r="K3224" s="45" t="n">
        <v>60</v>
      </c>
      <c r="L3224" s="46" t="n"/>
      <c r="M3224" s="47" t="n"/>
      <c r="N3224" s="47" t="inlineStr">
        <is>
          <t>UCKZo4N0lVPccBkSiuyVh4yg</t>
        </is>
      </c>
      <c r="O3224" s="48" t="n">
        <v>41144.96736111111</v>
      </c>
      <c r="P3224" s="49" t="n">
        <v>41144</v>
      </c>
      <c r="Q3224" s="47" t="n">
        <v>44</v>
      </c>
      <c r="R3224" s="47" t="inlineStr">
        <is>
          <t>No Video ID yet</t>
        </is>
      </c>
      <c r="S3224" s="49" t="n"/>
      <c r="T3224" s="49" t="n"/>
      <c r="U3224" s="47" t="inlineStr">
        <is>
          <t>Ben talks about his secret curse... Awkward standing. If you'd like to do an outro either leave it as a video response or email it to SuperCarlinBrothers@gmail.com Find us on Facebook! www.facebook.com/supercarlinbrothers =D</t>
        </is>
      </c>
      <c r="V3224" s="47">
        <f>IF(AND(P3224&gt;=Calendar!$K$2,P3224&lt;EDATE(Calendar!$K$2,1),OR(Calendar!$K$4="*",N3224=Calendar!$K$4)),P3224*100+COUNTIFS($P$6:$P$3267,P3224,$Q$6:$Q$3267,"&lt;="&amp;Q3224,$N$6:$N$3267,Calendar!$K$4),"")</f>
        <v/>
      </c>
      <c r="W3224" s="47">
        <f>IF(AND(B3224=Queue!$C$4,OR(Queue!$K$4="*",N3224=Queue!$K$4)),Q3224,"")</f>
        <v/>
      </c>
    </row>
    <row r="3225">
      <c r="A3225" s="38">
        <f>IF(M3225="","",HYPERLINK("https://www.youtube.com/watch?v="&amp;M3225,"▶"))</f>
        <v/>
      </c>
      <c r="B3225" s="39">
        <f>IF(C3225&lt;&gt;"",C3225,IF(P3225&lt;=IFERROR(INDEX(tblChannels[Watched Through],MATCH(N3225,tblChannels[Channel ID],0)),0),"Watched","Unwatched"))</f>
        <v/>
      </c>
      <c r="C3225" s="40" t="n"/>
      <c r="D3225" s="41" t="n"/>
      <c r="E3225" s="42" t="n">
        <v>41143.87847222222</v>
      </c>
      <c r="F3225" s="50" t="inlineStr">
        <is>
          <t>Super Carlin Brothers</t>
        </is>
      </c>
      <c r="G3225" t="inlineStr">
        <is>
          <t>Food Thoughts</t>
        </is>
      </c>
      <c r="H3225" s="44" t="n">
        <v>0.002881944444444444</v>
      </c>
      <c r="I3225" s="45" t="n">
        <v>55636</v>
      </c>
      <c r="J3225" s="45" t="n">
        <v>991</v>
      </c>
      <c r="K3225" s="45" t="n">
        <v>208</v>
      </c>
      <c r="L3225" s="46" t="n"/>
      <c r="M3225" s="47" t="n"/>
      <c r="N3225" s="47" t="inlineStr">
        <is>
          <t>UCKZo4N0lVPccBkSiuyVh4yg</t>
        </is>
      </c>
      <c r="O3225" s="48" t="n">
        <v>41144.04513888889</v>
      </c>
      <c r="P3225" s="49" t="n">
        <v>41143</v>
      </c>
      <c r="Q3225" s="47" t="n">
        <v>43</v>
      </c>
      <c r="R3225" s="47" t="inlineStr">
        <is>
          <t>No Video ID yet</t>
        </is>
      </c>
      <c r="S3225" s="49" t="n"/>
      <c r="T3225" s="49" t="n"/>
      <c r="U3225" s="47" t="inlineStr">
        <is>
          <t>Jonathan talks about ordering at restaurants, hamburgers, and hilarious food. FACEBOOK: www.facebook.com/supercarlinbrothers Upload Grizzly Eagle Sharks! Send Ben an outro here: supercarlinbrothers@gmail.com OR upload them as a video response! =D</t>
        </is>
      </c>
      <c r="V3225" s="47">
        <f>IF(AND(P3225&gt;=Calendar!$K$2,P3225&lt;EDATE(Calendar!$K$2,1),OR(Calendar!$K$4="*",N3225=Calendar!$K$4)),P3225*100+COUNTIFS($P$6:$P$3267,P3225,$Q$6:$Q$3267,"&lt;="&amp;Q3225,$N$6:$N$3267,Calendar!$K$4),"")</f>
        <v/>
      </c>
      <c r="W3225" s="47">
        <f>IF(AND(B3225=Queue!$C$4,OR(Queue!$K$4="*",N3225=Queue!$K$4)),Q3225,"")</f>
        <v/>
      </c>
    </row>
    <row r="3226">
      <c r="A3226" s="38">
        <f>IF(M3226="","",HYPERLINK("https://www.youtube.com/watch?v="&amp;M3226,"▶"))</f>
        <v/>
      </c>
      <c r="B3226" s="39">
        <f>IF(C3226&lt;&gt;"",C3226,IF(P3226&lt;=IFERROR(INDEX(tblChannels[Watched Through],MATCH(N3226,tblChannels[Channel ID],0)),0),"Watched","Unwatched"))</f>
        <v/>
      </c>
      <c r="C3226" s="40" t="n"/>
      <c r="D3226" s="41" t="n"/>
      <c r="E3226" s="42" t="n">
        <v>41142.95902777778</v>
      </c>
      <c r="F3226" s="50" t="inlineStr">
        <is>
          <t>Super Carlin Brothers</t>
        </is>
      </c>
      <c r="G3226" t="inlineStr">
        <is>
          <t>Negative Political Ads</t>
        </is>
      </c>
      <c r="H3226" s="44" t="n">
        <v>0.002361111111111111</v>
      </c>
      <c r="I3226" s="45" t="n">
        <v>17981</v>
      </c>
      <c r="J3226" s="45" t="n">
        <v>434</v>
      </c>
      <c r="K3226" s="45" t="n">
        <v>41</v>
      </c>
      <c r="L3226" s="46" t="n"/>
      <c r="M3226" s="47" t="n"/>
      <c r="N3226" s="47" t="inlineStr">
        <is>
          <t>UCKZo4N0lVPccBkSiuyVh4yg</t>
        </is>
      </c>
      <c r="O3226" s="48" t="n">
        <v>41143.12569444445</v>
      </c>
      <c r="P3226" s="49" t="n">
        <v>41142</v>
      </c>
      <c r="Q3226" s="47" t="n">
        <v>42</v>
      </c>
      <c r="R3226" s="47" t="inlineStr">
        <is>
          <t>No Video ID yet</t>
        </is>
      </c>
      <c r="S3226" s="49" t="n"/>
      <c r="T3226" s="49" t="n"/>
      <c r="U3226" s="47" t="inlineStr">
        <is>
          <t>Ben talks about ever annoying political ads. If you would like to be my next outro please leave it as a video response or email it to: SuperCarlinBrothers@gmail.com Find us on Facebook! www.facebook.com/SuperCarlinBrothers =D</t>
        </is>
      </c>
      <c r="V3226" s="47">
        <f>IF(AND(P3226&gt;=Calendar!$K$2,P3226&lt;EDATE(Calendar!$K$2,1),OR(Calendar!$K$4="*",N3226=Calendar!$K$4)),P3226*100+COUNTIFS($P$6:$P$3267,P3226,$Q$6:$Q$3267,"&lt;="&amp;Q3226,$N$6:$N$3267,Calendar!$K$4),"")</f>
        <v/>
      </c>
      <c r="W3226" s="47">
        <f>IF(AND(B3226=Queue!$C$4,OR(Queue!$K$4="*",N3226=Queue!$K$4)),Q3226,"")</f>
        <v/>
      </c>
    </row>
    <row r="3227">
      <c r="A3227" s="38">
        <f>IF(M3227="","",HYPERLINK("https://www.youtube.com/watch?v="&amp;M3227,"▶"))</f>
        <v/>
      </c>
      <c r="B3227" s="39">
        <f>IF(C3227&lt;&gt;"",C3227,IF(P3227&lt;=IFERROR(INDEX(tblChannels[Watched Through],MATCH(N3227,tblChannels[Channel ID],0)),0),"Watched","Unwatched"))</f>
        <v/>
      </c>
      <c r="C3227" s="40" t="n"/>
      <c r="D3227" s="41" t="n"/>
      <c r="E3227" s="42" t="n">
        <v>41141.94791666666</v>
      </c>
      <c r="F3227" s="50" t="inlineStr">
        <is>
          <t>Super Carlin Brothers</t>
        </is>
      </c>
      <c r="G3227" t="inlineStr">
        <is>
          <t>The To-Do's</t>
        </is>
      </c>
      <c r="H3227" s="44" t="n">
        <v>0.002326388888888889</v>
      </c>
      <c r="I3227" s="45" t="n">
        <v>27533</v>
      </c>
      <c r="J3227" s="45" t="n">
        <v>678</v>
      </c>
      <c r="K3227" s="45" t="n">
        <v>151</v>
      </c>
      <c r="L3227" s="46" t="n"/>
      <c r="M3227" s="47" t="n"/>
      <c r="N3227" s="47" t="inlineStr">
        <is>
          <t>UCKZo4N0lVPccBkSiuyVh4yg</t>
        </is>
      </c>
      <c r="O3227" s="48" t="n">
        <v>41142.11458333334</v>
      </c>
      <c r="P3227" s="49" t="n">
        <v>41141</v>
      </c>
      <c r="Q3227" s="47" t="n">
        <v>41</v>
      </c>
      <c r="R3227" s="47" t="inlineStr">
        <is>
          <t>No Video ID yet</t>
        </is>
      </c>
      <c r="S3227" s="49" t="n"/>
      <c r="T3227" s="49" t="n"/>
      <c r="U3227" s="47" t="inlineStr">
        <is>
          <t>How do you procrastinate? Grizzly Eagle Sharks go here: www.facebook.com/SuperCarlinBrothers Twitter: www.twitter.com/jonkerlin =D</t>
        </is>
      </c>
      <c r="V3227" s="47">
        <f>IF(AND(P3227&gt;=Calendar!$K$2,P3227&lt;EDATE(Calendar!$K$2,1),OR(Calendar!$K$4="*",N3227=Calendar!$K$4)),P3227*100+COUNTIFS($P$6:$P$3267,P3227,$Q$6:$Q$3267,"&lt;="&amp;Q3227,$N$6:$N$3267,Calendar!$K$4),"")</f>
        <v/>
      </c>
      <c r="W3227" s="47">
        <f>IF(AND(B3227=Queue!$C$4,OR(Queue!$K$4="*",N3227=Queue!$K$4)),Q3227,"")</f>
        <v/>
      </c>
    </row>
    <row r="3228">
      <c r="A3228" s="38">
        <f>IF(M3228="","",HYPERLINK("https://www.youtube.com/watch?v="&amp;M3228,"▶"))</f>
        <v/>
      </c>
      <c r="B3228" s="39">
        <f>IF(C3228&lt;&gt;"",C3228,IF(P3228&lt;=IFERROR(INDEX(tblChannels[Watched Through],MATCH(N3228,tblChannels[Channel ID],0)),0),"Watched","Unwatched"))</f>
        <v/>
      </c>
      <c r="C3228" s="40" t="n"/>
      <c r="D3228" s="41" t="n"/>
      <c r="E3228" s="42" t="n">
        <v>41138.79861111111</v>
      </c>
      <c r="F3228" s="50" t="inlineStr">
        <is>
          <t>Super Carlin Brothers</t>
        </is>
      </c>
      <c r="G3228" t="inlineStr">
        <is>
          <t>Why I'm Not a Reporter</t>
        </is>
      </c>
      <c r="H3228" s="44" t="n">
        <v>0.002476851851851852</v>
      </c>
      <c r="I3228" s="45" t="n">
        <v>19230</v>
      </c>
      <c r="J3228" s="45" t="n">
        <v>532</v>
      </c>
      <c r="K3228" s="45" t="n">
        <v>67</v>
      </c>
      <c r="L3228" s="46" t="n"/>
      <c r="M3228" s="47" t="n"/>
      <c r="N3228" s="47" t="inlineStr">
        <is>
          <t>UCKZo4N0lVPccBkSiuyVh4yg</t>
        </is>
      </c>
      <c r="O3228" s="48" t="n">
        <v>41138.96527777778</v>
      </c>
      <c r="P3228" s="49" t="n">
        <v>41138</v>
      </c>
      <c r="Q3228" s="47" t="n">
        <v>40</v>
      </c>
      <c r="R3228" s="47" t="inlineStr">
        <is>
          <t>No Video ID yet</t>
        </is>
      </c>
      <c r="S3228" s="49" t="n"/>
      <c r="T3228" s="49" t="n"/>
      <c r="U3228" s="47" t="inlineStr">
        <is>
          <t>Ben tells the tale of a life changing childhood experience that altered the trajectory of his life and stuff. If you would like to send us an outro please email it to: SuperCarlinBrothers@gmail.com Also if you'd like to submit a Giraffalent or Grizzly Eagle Shark sketch! www.facebook.com/SuperCarlinBrothers Thanks For Watching!! =D</t>
        </is>
      </c>
      <c r="V3228" s="47">
        <f>IF(AND(P3228&gt;=Calendar!$K$2,P3228&lt;EDATE(Calendar!$K$2,1),OR(Calendar!$K$4="*",N3228=Calendar!$K$4)),P3228*100+COUNTIFS($P$6:$P$3267,P3228,$Q$6:$Q$3267,"&lt;="&amp;Q3228,$N$6:$N$3267,Calendar!$K$4),"")</f>
        <v/>
      </c>
      <c r="W3228" s="47">
        <f>IF(AND(B3228=Queue!$C$4,OR(Queue!$K$4="*",N3228=Queue!$K$4)),Q3228,"")</f>
        <v/>
      </c>
    </row>
    <row r="3229">
      <c r="A3229" s="38">
        <f>IF(M3229="","",HYPERLINK("https://www.youtube.com/watch?v="&amp;M3229,"▶"))</f>
        <v/>
      </c>
      <c r="B3229" s="39">
        <f>IF(C3229&lt;&gt;"",C3229,IF(P3229&lt;=IFERROR(INDEX(tblChannels[Watched Through],MATCH(N3229,tblChannels[Channel ID],0)),0),"Watched","Unwatched"))</f>
        <v/>
      </c>
      <c r="C3229" s="40" t="n"/>
      <c r="D3229" s="41" t="n"/>
      <c r="E3229" s="42" t="n">
        <v>41137.92152777778</v>
      </c>
      <c r="F3229" s="50" t="inlineStr">
        <is>
          <t>Super Carlin Brothers</t>
        </is>
      </c>
      <c r="G3229" t="inlineStr">
        <is>
          <t>My Worst Breakup</t>
        </is>
      </c>
      <c r="H3229" s="44" t="n">
        <v>0.003194444444444445</v>
      </c>
      <c r="I3229" s="45" t="n">
        <v>80004</v>
      </c>
      <c r="J3229" s="45" t="n">
        <v>1688</v>
      </c>
      <c r="K3229" s="45" t="n">
        <v>221</v>
      </c>
      <c r="L3229" s="46" t="n"/>
      <c r="M3229" s="47" t="n"/>
      <c r="N3229" s="47" t="inlineStr">
        <is>
          <t>UCKZo4N0lVPccBkSiuyVh4yg</t>
        </is>
      </c>
      <c r="O3229" s="48" t="n">
        <v>41138.08819444444</v>
      </c>
      <c r="P3229" s="49" t="n">
        <v>41137</v>
      </c>
      <c r="Q3229" s="47" t="n">
        <v>39</v>
      </c>
      <c r="R3229" s="47" t="inlineStr">
        <is>
          <t>No Video ID yet</t>
        </is>
      </c>
      <c r="S3229" s="49" t="n"/>
      <c r="T3229" s="49" t="n"/>
      <c r="U3229" s="47" t="inlineStr">
        <is>
          <t>Jonathan discusses about the worst way he was ever dumped. What is the worst breakup you have endured? Ben Outro's go here: SuperCarlinBrothers@gmail.com (or upload a video response) Grizzly Eagle Sharks go here: www.facebook.com/supercarlinbrothers =D</t>
        </is>
      </c>
      <c r="V3229" s="47">
        <f>IF(AND(P3229&gt;=Calendar!$K$2,P3229&lt;EDATE(Calendar!$K$2,1),OR(Calendar!$K$4="*",N3229=Calendar!$K$4)),P3229*100+COUNTIFS($P$6:$P$3267,P3229,$Q$6:$Q$3267,"&lt;="&amp;Q3229,$N$6:$N$3267,Calendar!$K$4),"")</f>
        <v/>
      </c>
      <c r="W3229" s="47">
        <f>IF(AND(B3229=Queue!$C$4,OR(Queue!$K$4="*",N3229=Queue!$K$4)),Q3229,"")</f>
        <v/>
      </c>
    </row>
    <row r="3230">
      <c r="A3230" s="38">
        <f>IF(M3230="","",HYPERLINK("https://www.youtube.com/watch?v="&amp;M3230,"▶"))</f>
        <v/>
      </c>
      <c r="B3230" s="39">
        <f>IF(C3230&lt;&gt;"",C3230,IF(P3230&lt;=IFERROR(INDEX(tblChannels[Watched Through],MATCH(N3230,tblChannels[Channel ID],0)),0),"Watched","Unwatched"))</f>
        <v/>
      </c>
      <c r="C3230" s="40" t="n"/>
      <c r="D3230" s="41" t="n"/>
      <c r="E3230" s="42" t="n">
        <v>41136.67083333333</v>
      </c>
      <c r="F3230" s="50" t="inlineStr">
        <is>
          <t>Super Carlin Brothers</t>
        </is>
      </c>
      <c r="G3230" t="inlineStr">
        <is>
          <t>Blobs and Breakups</t>
        </is>
      </c>
      <c r="H3230" s="44" t="n">
        <v>0.00212962962962963</v>
      </c>
      <c r="I3230" s="45" t="n">
        <v>20033</v>
      </c>
      <c r="J3230" s="45" t="n">
        <v>419</v>
      </c>
      <c r="K3230" s="45" t="n">
        <v>31</v>
      </c>
      <c r="L3230" s="46" t="n"/>
      <c r="M3230" s="47" t="n"/>
      <c r="N3230" s="47" t="inlineStr">
        <is>
          <t>UCKZo4N0lVPccBkSiuyVh4yg</t>
        </is>
      </c>
      <c r="O3230" s="48" t="n">
        <v>41136.8375</v>
      </c>
      <c r="P3230" s="49" t="n">
        <v>41136</v>
      </c>
      <c r="Q3230" s="47" t="n">
        <v>38</v>
      </c>
      <c r="R3230" s="47" t="inlineStr">
        <is>
          <t>No Video ID yet</t>
        </is>
      </c>
      <c r="S3230" s="49" t="n"/>
      <c r="T3230" s="49" t="n"/>
      <c r="U3230" s="47" t="inlineStr">
        <is>
          <t>Ben gives his advice on breakups and poses a question about an unusual breakup concept! Give your thoughts in the comments! If you wanna be as cool as Katie and send us an Outro: supercarlinbrothers@gmail.com Also Like us on Facebook! www.facebook.com/SuperCarlinBrothers Thanks for watching! =D</t>
        </is>
      </c>
      <c r="V3230" s="47">
        <f>IF(AND(P3230&gt;=Calendar!$K$2,P3230&lt;EDATE(Calendar!$K$2,1),OR(Calendar!$K$4="*",N3230=Calendar!$K$4)),P3230*100+COUNTIFS($P$6:$P$3267,P3230,$Q$6:$Q$3267,"&lt;="&amp;Q3230,$N$6:$N$3267,Calendar!$K$4),"")</f>
        <v/>
      </c>
      <c r="W3230" s="47">
        <f>IF(AND(B3230=Queue!$C$4,OR(Queue!$K$4="*",N3230=Queue!$K$4)),Q3230,"")</f>
        <v/>
      </c>
    </row>
    <row r="3231">
      <c r="A3231" s="38">
        <f>IF(M3231="","",HYPERLINK("https://www.youtube.com/watch?v="&amp;M3231,"▶"))</f>
        <v/>
      </c>
      <c r="B3231" s="39">
        <f>IF(C3231&lt;&gt;"",C3231,IF(P3231&lt;=IFERROR(INDEX(tblChannels[Watched Through],MATCH(N3231,tblChannels[Channel ID],0)),0),"Watched","Unwatched"))</f>
        <v/>
      </c>
      <c r="C3231" s="40" t="n"/>
      <c r="D3231" s="41" t="n"/>
      <c r="E3231" s="42" t="n">
        <v>41135.8625</v>
      </c>
      <c r="F3231" s="50" t="inlineStr">
        <is>
          <t>Super Carlin Brothers</t>
        </is>
      </c>
      <c r="G3231" t="inlineStr">
        <is>
          <t>Shark Gets Angry!</t>
        </is>
      </c>
      <c r="H3231" s="44" t="n">
        <v>0.002685185185185185</v>
      </c>
      <c r="I3231" s="45" t="n">
        <v>34906</v>
      </c>
      <c r="J3231" s="45" t="n">
        <v>764</v>
      </c>
      <c r="K3231" s="45" t="n">
        <v>157</v>
      </c>
      <c r="L3231" s="46" t="n"/>
      <c r="M3231" s="47" t="n"/>
      <c r="N3231" s="47" t="inlineStr">
        <is>
          <t>UCKZo4N0lVPccBkSiuyVh4yg</t>
        </is>
      </c>
      <c r="O3231" s="48" t="n">
        <v>41136.02916666667</v>
      </c>
      <c r="P3231" s="49" t="n">
        <v>41135</v>
      </c>
      <c r="Q3231" s="47" t="n">
        <v>37</v>
      </c>
      <c r="R3231" s="47" t="inlineStr">
        <is>
          <t>No Video ID yet</t>
        </is>
      </c>
      <c r="S3231" s="49" t="n"/>
      <c r="T3231" s="49" t="n"/>
      <c r="U3231" s="47" t="inlineStr">
        <is>
          <t>Jonathan empathizes with a shark and discusses some of the unusual advancements in shark observation technology. What animal would you like see a week about? Ben's Sign off's go here: SuperCarlinBrothers@gmail.com (or upload a video response) Grizzly Eagle Sharks go here: www.facebook.com/supercarlinbrothers =D</t>
        </is>
      </c>
      <c r="V3231" s="47">
        <f>IF(AND(P3231&gt;=Calendar!$K$2,P3231&lt;EDATE(Calendar!$K$2,1),OR(Calendar!$K$4="*",N3231=Calendar!$K$4)),P3231*100+COUNTIFS($P$6:$P$3267,P3231,$Q$6:$Q$3267,"&lt;="&amp;Q3231,$N$6:$N$3267,Calendar!$K$4),"")</f>
        <v/>
      </c>
      <c r="W3231" s="47">
        <f>IF(AND(B3231=Queue!$C$4,OR(Queue!$K$4="*",N3231=Queue!$K$4)),Q3231,"")</f>
        <v/>
      </c>
    </row>
    <row r="3232">
      <c r="A3232" s="38">
        <f>IF(M3232="","",HYPERLINK("https://www.youtube.com/watch?v="&amp;M3232,"▶"))</f>
        <v/>
      </c>
      <c r="B3232" s="39">
        <f>IF(C3232&lt;&gt;"",C3232,IF(P3232&lt;=IFERROR(INDEX(tblChannels[Watched Through],MATCH(N3232,tblChannels[Channel ID],0)),0),"Watched","Unwatched"))</f>
        <v/>
      </c>
      <c r="C3232" s="40" t="n"/>
      <c r="D3232" s="41" t="n"/>
      <c r="E3232" s="42" t="n">
        <v>41134.7</v>
      </c>
      <c r="F3232" s="50" t="inlineStr">
        <is>
          <t>Super Carlin Brothers</t>
        </is>
      </c>
      <c r="G3232" t="inlineStr">
        <is>
          <t>Single Topic Friends</t>
        </is>
      </c>
      <c r="H3232" s="44" t="n">
        <v>0.002106481481481481</v>
      </c>
      <c r="I3232" s="45" t="n">
        <v>18918</v>
      </c>
      <c r="J3232" s="45" t="n">
        <v>474</v>
      </c>
      <c r="K3232" s="45" t="n">
        <v>65</v>
      </c>
      <c r="L3232" s="46" t="n"/>
      <c r="M3232" s="47" t="n"/>
      <c r="N3232" s="47" t="inlineStr">
        <is>
          <t>UCKZo4N0lVPccBkSiuyVh4yg</t>
        </is>
      </c>
      <c r="O3232" s="48" t="n">
        <v>41134.86666666667</v>
      </c>
      <c r="P3232" s="49" t="n">
        <v>41134</v>
      </c>
      <c r="Q3232" s="47" t="n">
        <v>36</v>
      </c>
      <c r="R3232" s="47" t="inlineStr">
        <is>
          <t>No Video ID yet</t>
        </is>
      </c>
      <c r="S3232" s="49" t="n"/>
      <c r="T3232" s="49" t="n"/>
      <c r="U3232" s="47" t="inlineStr">
        <is>
          <t>Ben talks about a friend that you only ever have one thing to talk about, does this ever happen to you? If you want to email us a video of your sign off : supercarlinbrothers@gmail.com Find us on Facebook! www.facebook.com/supercarlinbrothers =D</t>
        </is>
      </c>
      <c r="V3232" s="47">
        <f>IF(AND(P3232&gt;=Calendar!$K$2,P3232&lt;EDATE(Calendar!$K$2,1),OR(Calendar!$K$4="*",N3232=Calendar!$K$4)),P3232*100+COUNTIFS($P$6:$P$3267,P3232,$Q$6:$Q$3267,"&lt;="&amp;Q3232,$N$6:$N$3267,Calendar!$K$4),"")</f>
        <v/>
      </c>
      <c r="W3232" s="47">
        <f>IF(AND(B3232=Queue!$C$4,OR(Queue!$K$4="*",N3232=Queue!$K$4)),Q3232,"")</f>
        <v/>
      </c>
    </row>
    <row r="3233">
      <c r="A3233" s="38">
        <f>IF(M3233="","",HYPERLINK("https://www.youtube.com/watch?v="&amp;M3233,"▶"))</f>
        <v/>
      </c>
      <c r="B3233" s="39">
        <f>IF(C3233&lt;&gt;"",C3233,IF(P3233&lt;=IFERROR(INDEX(tblChannels[Watched Through],MATCH(N3233,tblChannels[Channel ID],0)),0),"Watched","Unwatched"))</f>
        <v/>
      </c>
      <c r="C3233" s="40" t="n"/>
      <c r="D3233" s="41" t="n"/>
      <c r="E3233" s="42" t="n">
        <v>41131.81805555556</v>
      </c>
      <c r="F3233" s="50" t="inlineStr">
        <is>
          <t>Super Carlin Brothers</t>
        </is>
      </c>
      <c r="G3233" t="inlineStr">
        <is>
          <t>Ask J! #2</t>
        </is>
      </c>
      <c r="H3233" s="44" t="n">
        <v>0.002939814814814815</v>
      </c>
      <c r="I3233" s="45" t="n">
        <v>32417</v>
      </c>
      <c r="J3233" s="45" t="n">
        <v>704</v>
      </c>
      <c r="K3233" s="45" t="n">
        <v>102</v>
      </c>
      <c r="L3233" s="46" t="n"/>
      <c r="M3233" s="47" t="n"/>
      <c r="N3233" s="47" t="inlineStr">
        <is>
          <t>UCKZo4N0lVPccBkSiuyVh4yg</t>
        </is>
      </c>
      <c r="O3233" s="48" t="n">
        <v>41131.98472222222</v>
      </c>
      <c r="P3233" s="49" t="n">
        <v>41131</v>
      </c>
      <c r="Q3233" s="47" t="n">
        <v>35</v>
      </c>
      <c r="R3233" s="47" t="inlineStr">
        <is>
          <t>No Video ID yet</t>
        </is>
      </c>
      <c r="S3233" s="49" t="n"/>
      <c r="T3233" s="49" t="n"/>
      <c r="U3233" s="47" t="inlineStr">
        <is>
          <t>Jonathan answers you questions, from shoe preference to pokemon, to woodchucks. Marcel the Shell with Shoes On: Stuff White People Like: Upload your Grizzly Eagle Shark here: www.facebook.com/supercarlinbrothers =D</t>
        </is>
      </c>
      <c r="V3233" s="47">
        <f>IF(AND(P3233&gt;=Calendar!$K$2,P3233&lt;EDATE(Calendar!$K$2,1),OR(Calendar!$K$4="*",N3233=Calendar!$K$4)),P3233*100+COUNTIFS($P$6:$P$3267,P3233,$Q$6:$Q$3267,"&lt;="&amp;Q3233,$N$6:$N$3267,Calendar!$K$4),"")</f>
        <v/>
      </c>
      <c r="W3233" s="47">
        <f>IF(AND(B3233=Queue!$C$4,OR(Queue!$K$4="*",N3233=Queue!$K$4)),Q3233,"")</f>
        <v/>
      </c>
    </row>
    <row r="3234">
      <c r="A3234" s="38">
        <f>IF(M3234="","",HYPERLINK("https://www.youtube.com/watch?v="&amp;M3234,"▶"))</f>
        <v/>
      </c>
      <c r="B3234" s="39">
        <f>IF(C3234&lt;&gt;"",C3234,IF(P3234&lt;=IFERROR(INDEX(tblChannels[Watched Through],MATCH(N3234,tblChannels[Channel ID],0)),0),"Watched","Unwatched"))</f>
        <v/>
      </c>
      <c r="C3234" s="40" t="n"/>
      <c r="D3234" s="41" t="n"/>
      <c r="E3234" s="42" t="n">
        <v>41130.675</v>
      </c>
      <c r="F3234" s="50" t="inlineStr">
        <is>
          <t>Super Carlin Brothers</t>
        </is>
      </c>
      <c r="G3234" t="inlineStr">
        <is>
          <t>Do as I Say, Not as I Do.</t>
        </is>
      </c>
      <c r="H3234" s="44" t="n">
        <v>0.002256944444444444</v>
      </c>
      <c r="I3234" s="45" t="n">
        <v>22563</v>
      </c>
      <c r="J3234" s="45" t="n">
        <v>543</v>
      </c>
      <c r="K3234" s="45" t="n">
        <v>59</v>
      </c>
      <c r="L3234" s="46" t="n"/>
      <c r="M3234" s="47" t="n"/>
      <c r="N3234" s="47" t="inlineStr">
        <is>
          <t>UCKZo4N0lVPccBkSiuyVh4yg</t>
        </is>
      </c>
      <c r="O3234" s="48" t="n">
        <v>41130.84166666667</v>
      </c>
      <c r="P3234" s="49" t="n">
        <v>41130</v>
      </c>
      <c r="Q3234" s="47" t="n">
        <v>34</v>
      </c>
      <c r="R3234" s="47" t="inlineStr">
        <is>
          <t>No Video ID yet</t>
        </is>
      </c>
      <c r="S3234" s="49" t="n"/>
      <c r="T3234" s="49" t="n"/>
      <c r="U3234" s="47" t="inlineStr">
        <is>
          <t>Ben talks about the phenomenon associated with knowing the world won't come to an end if you step out of a given set of boundaries yet how great the end result can be if you operate within them. =D</t>
        </is>
      </c>
      <c r="V3234" s="47">
        <f>IF(AND(P3234&gt;=Calendar!$K$2,P3234&lt;EDATE(Calendar!$K$2,1),OR(Calendar!$K$4="*",N3234=Calendar!$K$4)),P3234*100+COUNTIFS($P$6:$P$3267,P3234,$Q$6:$Q$3267,"&lt;="&amp;Q3234,$N$6:$N$3267,Calendar!$K$4),"")</f>
        <v/>
      </c>
      <c r="W3234" s="47">
        <f>IF(AND(B3234=Queue!$C$4,OR(Queue!$K$4="*",N3234=Queue!$K$4)),Q3234,"")</f>
        <v/>
      </c>
    </row>
    <row r="3235">
      <c r="A3235" s="38">
        <f>IF(M3235="","",HYPERLINK("https://www.youtube.com/watch?v="&amp;M3235,"▶"))</f>
        <v/>
      </c>
      <c r="B3235" s="39">
        <f>IF(C3235&lt;&gt;"",C3235,IF(P3235&lt;=IFERROR(INDEX(tblChannels[Watched Through],MATCH(N3235,tblChannels[Channel ID],0)),0),"Watched","Unwatched"))</f>
        <v/>
      </c>
      <c r="C3235" s="40" t="n"/>
      <c r="D3235" s="41" t="n"/>
      <c r="E3235" s="42" t="n">
        <v>41129.89375</v>
      </c>
      <c r="F3235" s="50" t="inlineStr">
        <is>
          <t>Super Carlin Brothers</t>
        </is>
      </c>
      <c r="G3235" t="inlineStr">
        <is>
          <t>You can't count to a Billion</t>
        </is>
      </c>
      <c r="H3235" s="44" t="n">
        <v>0.002708333333333333</v>
      </c>
      <c r="I3235" s="45" t="n">
        <v>605399</v>
      </c>
      <c r="J3235" s="45" t="n">
        <v>11625</v>
      </c>
      <c r="K3235" s="45" t="n">
        <v>2060</v>
      </c>
      <c r="L3235" s="46" t="n"/>
      <c r="M3235" s="47" t="n"/>
      <c r="N3235" s="47" t="inlineStr">
        <is>
          <t>UCKZo4N0lVPccBkSiuyVh4yg</t>
        </is>
      </c>
      <c r="O3235" s="48" t="n">
        <v>41130.06041666667</v>
      </c>
      <c r="P3235" s="49" t="n">
        <v>41129</v>
      </c>
      <c r="Q3235" s="47" t="n">
        <v>33</v>
      </c>
      <c r="R3235" s="47" t="inlineStr">
        <is>
          <t>No Video ID yet</t>
        </is>
      </c>
      <c r="S3235" s="49" t="n"/>
      <c r="T3235" s="49" t="n"/>
      <c r="U3235" s="47" t="inlineStr">
        <is>
          <t>Jonathan talks about the impossible nature of counting out loud to 1,000,000,000 and fails to catch an Abra... again. What's one thing on your bucket list? Grizzly Eagle Shark army grows here: www.facebook.com/supercarlinbrothers =D</t>
        </is>
      </c>
      <c r="V3235" s="47">
        <f>IF(AND(P3235&gt;=Calendar!$K$2,P3235&lt;EDATE(Calendar!$K$2,1),OR(Calendar!$K$4="*",N3235=Calendar!$K$4)),P3235*100+COUNTIFS($P$6:$P$3267,P3235,$Q$6:$Q$3267,"&lt;="&amp;Q3235,$N$6:$N$3267,Calendar!$K$4),"")</f>
        <v/>
      </c>
      <c r="W3235" s="47">
        <f>IF(AND(B3235=Queue!$C$4,OR(Queue!$K$4="*",N3235=Queue!$K$4)),Q3235,"")</f>
        <v/>
      </c>
    </row>
    <row r="3236">
      <c r="A3236" s="38">
        <f>IF(M3236="","",HYPERLINK("https://www.youtube.com/watch?v="&amp;M3236,"▶"))</f>
        <v/>
      </c>
      <c r="B3236" s="39">
        <f>IF(C3236&lt;&gt;"",C3236,IF(P3236&lt;=IFERROR(INDEX(tblChannels[Watched Through],MATCH(N3236,tblChannels[Channel ID],0)),0),"Watched","Unwatched"))</f>
        <v/>
      </c>
      <c r="C3236" s="40" t="n"/>
      <c r="D3236" s="41" t="n"/>
      <c r="E3236" s="42" t="n">
        <v>41128.61597222222</v>
      </c>
      <c r="F3236" s="50" t="inlineStr">
        <is>
          <t>Super Carlin Brothers</t>
        </is>
      </c>
      <c r="G3236" t="inlineStr">
        <is>
          <t>Teleportation Anxiety</t>
        </is>
      </c>
      <c r="H3236" s="44" t="n">
        <v>0.002395833333333333</v>
      </c>
      <c r="I3236" s="45" t="n">
        <v>19916</v>
      </c>
      <c r="J3236" s="45" t="n">
        <v>510</v>
      </c>
      <c r="K3236" s="45" t="n">
        <v>77</v>
      </c>
      <c r="L3236" s="46" t="n"/>
      <c r="M3236" s="47" t="n"/>
      <c r="N3236" s="47" t="inlineStr">
        <is>
          <t>UCKZo4N0lVPccBkSiuyVh4yg</t>
        </is>
      </c>
      <c r="O3236" s="48" t="n">
        <v>41128.78263888889</v>
      </c>
      <c r="P3236" s="49" t="n">
        <v>41128</v>
      </c>
      <c r="Q3236" s="47" t="n">
        <v>32</v>
      </c>
      <c r="R3236" s="47" t="inlineStr">
        <is>
          <t>No Video ID yet</t>
        </is>
      </c>
      <c r="S3236" s="49" t="n"/>
      <c r="T3236" s="49" t="n"/>
      <c r="U3236" s="47" t="inlineStr">
        <is>
          <t>Ben's response to Jonathan's road-trip video has him terrified of the effects of teleportation... =D</t>
        </is>
      </c>
      <c r="V3236" s="47">
        <f>IF(AND(P3236&gt;=Calendar!$K$2,P3236&lt;EDATE(Calendar!$K$2,1),OR(Calendar!$K$4="*",N3236=Calendar!$K$4)),P3236*100+COUNTIFS($P$6:$P$3267,P3236,$Q$6:$Q$3267,"&lt;="&amp;Q3236,$N$6:$N$3267,Calendar!$K$4),"")</f>
        <v/>
      </c>
      <c r="W3236" s="47">
        <f>IF(AND(B3236=Queue!$C$4,OR(Queue!$K$4="*",N3236=Queue!$K$4)),Q3236,"")</f>
        <v/>
      </c>
    </row>
    <row r="3237">
      <c r="A3237" s="38">
        <f>IF(M3237="","",HYPERLINK("https://www.youtube.com/watch?v="&amp;M3237,"▶"))</f>
        <v/>
      </c>
      <c r="B3237" s="39">
        <f>IF(C3237&lt;&gt;"",C3237,IF(P3237&lt;=IFERROR(INDEX(tblChannels[Watched Through],MATCH(N3237,tblChannels[Channel ID],0)),0),"Watched","Unwatched"))</f>
        <v/>
      </c>
      <c r="C3237" s="40" t="n"/>
      <c r="D3237" s="41" t="n"/>
      <c r="E3237" s="42" t="n">
        <v>41127.83958333333</v>
      </c>
      <c r="F3237" s="50" t="inlineStr">
        <is>
          <t>Super Carlin Brothers</t>
        </is>
      </c>
      <c r="G3237" t="inlineStr">
        <is>
          <t>Road Trips and Backflips</t>
        </is>
      </c>
      <c r="H3237" s="44" t="n">
        <v>0.002430555555555556</v>
      </c>
      <c r="I3237" s="45" t="n">
        <v>21783</v>
      </c>
      <c r="J3237" s="45" t="n">
        <v>545</v>
      </c>
      <c r="K3237" s="45" t="n">
        <v>86</v>
      </c>
      <c r="L3237" s="46" t="n"/>
      <c r="M3237" s="47" t="n"/>
      <c r="N3237" s="47" t="inlineStr">
        <is>
          <t>UCKZo4N0lVPccBkSiuyVh4yg</t>
        </is>
      </c>
      <c r="O3237" s="48" t="n">
        <v>41128.00625</v>
      </c>
      <c r="P3237" s="49" t="n">
        <v>41127</v>
      </c>
      <c r="Q3237" s="47" t="n">
        <v>31</v>
      </c>
      <c r="R3237" s="47" t="inlineStr">
        <is>
          <t>No Video ID yet</t>
        </is>
      </c>
      <c r="S3237" s="49" t="n"/>
      <c r="T3237" s="49" t="n"/>
      <c r="U3237" s="47" t="inlineStr">
        <is>
          <t>Jonathan talks about the recent trip he and Ben took to Boone North Carolina and Ben's epic failure to land on his feet from 50ft up If you could road trip anywhere where would you go?? Got a Grizzly Eagle Shark creation? Show us here: www.facebook.com/supercarlinbrothers =D</t>
        </is>
      </c>
      <c r="V3237" s="47">
        <f>IF(AND(P3237&gt;=Calendar!$K$2,P3237&lt;EDATE(Calendar!$K$2,1),OR(Calendar!$K$4="*",N3237=Calendar!$K$4)),P3237*100+COUNTIFS($P$6:$P$3267,P3237,$Q$6:$Q$3267,"&lt;="&amp;Q3237,$N$6:$N$3267,Calendar!$K$4),"")</f>
        <v/>
      </c>
      <c r="W3237" s="47">
        <f>IF(AND(B3237=Queue!$C$4,OR(Queue!$K$4="*",N3237=Queue!$K$4)),Q3237,"")</f>
        <v/>
      </c>
    </row>
    <row r="3238">
      <c r="A3238" s="38">
        <f>IF(M3238="","",HYPERLINK("https://www.youtube.com/watch?v="&amp;M3238,"▶"))</f>
        <v/>
      </c>
      <c r="B3238" s="39">
        <f>IF(C3238&lt;&gt;"",C3238,IF(P3238&lt;=IFERROR(INDEX(tblChannels[Watched Through],MATCH(N3238,tblChannels[Channel ID],0)),0),"Watched","Unwatched"))</f>
        <v/>
      </c>
      <c r="C3238" s="40" t="n"/>
      <c r="D3238" s="41" t="n"/>
      <c r="E3238" s="42" t="n">
        <v>41124.69166666667</v>
      </c>
      <c r="F3238" s="50" t="inlineStr">
        <is>
          <t>Super Carlin Brothers</t>
        </is>
      </c>
      <c r="G3238" t="inlineStr">
        <is>
          <t>Comment Arguments</t>
        </is>
      </c>
      <c r="H3238" s="44" t="n">
        <v>0.001909722222222222</v>
      </c>
      <c r="I3238" s="45" t="n">
        <v>20368</v>
      </c>
      <c r="J3238" s="45" t="n">
        <v>485</v>
      </c>
      <c r="K3238" s="45" t="n">
        <v>68</v>
      </c>
      <c r="L3238" s="46" t="n"/>
      <c r="M3238" s="47" t="n"/>
      <c r="N3238" s="47" t="inlineStr">
        <is>
          <t>UCKZo4N0lVPccBkSiuyVh4yg</t>
        </is>
      </c>
      <c r="O3238" s="48" t="n">
        <v>41124.85833333333</v>
      </c>
      <c r="P3238" s="49" t="n">
        <v>41124</v>
      </c>
      <c r="Q3238" s="47" t="n">
        <v>30</v>
      </c>
      <c r="R3238" s="47" t="inlineStr">
        <is>
          <t>No Video ID yet</t>
        </is>
      </c>
      <c r="S3238" s="49" t="n"/>
      <c r="T3238" s="49" t="n"/>
      <c r="U3238" s="47" t="inlineStr">
        <is>
          <t>Ben talks about one of his favorite parts of social media, Comment Arguments. Comment, Like, and Subscribe! Submit your drawing of a Grizzly Eagle Shark or Giraffalent to our Facebook page! www.facebook.com/supercarlinbrothers =D</t>
        </is>
      </c>
      <c r="V3238" s="47">
        <f>IF(AND(P3238&gt;=Calendar!$K$2,P3238&lt;EDATE(Calendar!$K$2,1),OR(Calendar!$K$4="*",N3238=Calendar!$K$4)),P3238*100+COUNTIFS($P$6:$P$3267,P3238,$Q$6:$Q$3267,"&lt;="&amp;Q3238,$N$6:$N$3267,Calendar!$K$4),"")</f>
        <v/>
      </c>
      <c r="W3238" s="47">
        <f>IF(AND(B3238=Queue!$C$4,OR(Queue!$K$4="*",N3238=Queue!$K$4)),Q3238,"")</f>
        <v/>
      </c>
    </row>
    <row r="3239">
      <c r="A3239" s="38">
        <f>IF(M3239="","",HYPERLINK("https://www.youtube.com/watch?v="&amp;M3239,"▶"))</f>
        <v/>
      </c>
      <c r="B3239" s="39">
        <f>IF(C3239&lt;&gt;"",C3239,IF(P3239&lt;=IFERROR(INDEX(tblChannels[Watched Through],MATCH(N3239,tblChannels[Channel ID],0)),0),"Watched","Unwatched"))</f>
        <v/>
      </c>
      <c r="C3239" s="40" t="n"/>
      <c r="D3239" s="41" t="n"/>
      <c r="E3239" s="42" t="n">
        <v>41123.91458333333</v>
      </c>
      <c r="F3239" s="50" t="inlineStr">
        <is>
          <t>Super Carlin Brothers</t>
        </is>
      </c>
      <c r="G3239" t="inlineStr">
        <is>
          <t>Olympic Spoilers = LAME</t>
        </is>
      </c>
      <c r="H3239" s="44" t="n">
        <v>0.0025</v>
      </c>
      <c r="I3239" s="45" t="n">
        <v>21710</v>
      </c>
      <c r="J3239" s="45" t="n">
        <v>486</v>
      </c>
      <c r="K3239" s="45" t="n">
        <v>55</v>
      </c>
      <c r="L3239" s="46" t="n"/>
      <c r="M3239" s="47" t="n"/>
      <c r="N3239" s="47" t="inlineStr">
        <is>
          <t>UCKZo4N0lVPccBkSiuyVh4yg</t>
        </is>
      </c>
      <c r="O3239" s="48" t="n">
        <v>41124.08125</v>
      </c>
      <c r="P3239" s="49" t="n">
        <v>41123</v>
      </c>
      <c r="Q3239" s="47" t="n">
        <v>29</v>
      </c>
      <c r="R3239" s="47" t="inlineStr">
        <is>
          <t>No Video ID yet</t>
        </is>
      </c>
      <c r="S3239" s="49" t="n"/>
      <c r="T3239" s="49" t="n"/>
      <c r="U3239" s="47" t="inlineStr">
        <is>
          <t>Jonathan talks about the impossibility of being surprised by the results when they are finally on TV, and more Giraffalents appear!! Do you still watch things after they are spoiled for you? How come? Grizzly Eagle Shark uploads go here: www.facebook.com/supercarlinbrothers =D</t>
        </is>
      </c>
      <c r="V3239" s="47">
        <f>IF(AND(P3239&gt;=Calendar!$K$2,P3239&lt;EDATE(Calendar!$K$2,1),OR(Calendar!$K$4="*",N3239=Calendar!$K$4)),P3239*100+COUNTIFS($P$6:$P$3267,P3239,$Q$6:$Q$3267,"&lt;="&amp;Q3239,$N$6:$N$3267,Calendar!$K$4),"")</f>
        <v/>
      </c>
      <c r="W3239" s="47">
        <f>IF(AND(B3239=Queue!$C$4,OR(Queue!$K$4="*",N3239=Queue!$K$4)),Q3239,"")</f>
        <v/>
      </c>
    </row>
    <row r="3240">
      <c r="A3240" s="38">
        <f>IF(M3240="","",HYPERLINK("https://www.youtube.com/watch?v="&amp;M3240,"▶"))</f>
        <v/>
      </c>
      <c r="B3240" s="39">
        <f>IF(C3240&lt;&gt;"",C3240,IF(P3240&lt;=IFERROR(INDEX(tblChannels[Watched Through],MATCH(N3240,tblChannels[Channel ID],0)),0),"Watched","Unwatched"))</f>
        <v/>
      </c>
      <c r="C3240" s="40" t="n"/>
      <c r="D3240" s="41" t="n"/>
      <c r="E3240" s="42" t="n">
        <v>41122.59583333333</v>
      </c>
      <c r="F3240" s="50" t="inlineStr">
        <is>
          <t>Super Carlin Brothers</t>
        </is>
      </c>
      <c r="G3240" t="inlineStr">
        <is>
          <t>The Attack of the Giraffalents and What Would You Do Wednesday!</t>
        </is>
      </c>
      <c r="H3240" s="44" t="n">
        <v>0.001863425925925926</v>
      </c>
      <c r="I3240" s="45" t="n">
        <v>21514</v>
      </c>
      <c r="J3240" s="45" t="n">
        <v>525</v>
      </c>
      <c r="K3240" s="45" t="n">
        <v>67</v>
      </c>
      <c r="L3240" s="46" t="n"/>
      <c r="M3240" s="47" t="n"/>
      <c r="N3240" s="47" t="inlineStr">
        <is>
          <t>UCKZo4N0lVPccBkSiuyVh4yg</t>
        </is>
      </c>
      <c r="O3240" s="48" t="n">
        <v>41122.7625</v>
      </c>
      <c r="P3240" s="49" t="n">
        <v>41122</v>
      </c>
      <c r="Q3240" s="47" t="n">
        <v>28</v>
      </c>
      <c r="R3240" s="47" t="inlineStr">
        <is>
          <t>No Video ID yet</t>
        </is>
      </c>
      <c r="S3240" s="49" t="n"/>
      <c r="T3240" s="49" t="n"/>
      <c r="U3240" s="47" t="inlineStr">
        <is>
          <t>Ben is frightened by an unauthorized being from Jonathan's set! Also a new Segment! What Would You Do Wednesday?! Like us on Facebook! www.facebook.com/supercarlinbrothers Comment, Like, Subscribe! =D</t>
        </is>
      </c>
      <c r="V3240" s="47">
        <f>IF(AND(P3240&gt;=Calendar!$K$2,P3240&lt;EDATE(Calendar!$K$2,1),OR(Calendar!$K$4="*",N3240=Calendar!$K$4)),P3240*100+COUNTIFS($P$6:$P$3267,P3240,$Q$6:$Q$3267,"&lt;="&amp;Q3240,$N$6:$N$3267,Calendar!$K$4),"")</f>
        <v/>
      </c>
      <c r="W3240" s="47">
        <f>IF(AND(B3240=Queue!$C$4,OR(Queue!$K$4="*",N3240=Queue!$K$4)),Q3240,"")</f>
        <v/>
      </c>
    </row>
    <row r="3241">
      <c r="A3241" s="38">
        <f>IF(M3241="","",HYPERLINK("https://www.youtube.com/watch?v="&amp;M3241,"▶"))</f>
        <v/>
      </c>
      <c r="B3241" s="39">
        <f>IF(C3241&lt;&gt;"",C3241,IF(P3241&lt;=IFERROR(INDEX(tblChannels[Watched Through],MATCH(N3241,tblChannels[Channel ID],0)),0),"Watched","Unwatched"))</f>
        <v/>
      </c>
      <c r="C3241" s="40" t="n"/>
      <c r="D3241" s="41" t="n"/>
      <c r="E3241" s="42" t="n">
        <v>41121.92291666667</v>
      </c>
      <c r="F3241" s="50" t="inlineStr">
        <is>
          <t>Super Carlin Brothers</t>
        </is>
      </c>
      <c r="G3241" t="inlineStr">
        <is>
          <t>Offensive Movies</t>
        </is>
      </c>
      <c r="H3241" s="44" t="n">
        <v>0.002650462962962963</v>
      </c>
      <c r="I3241" s="45" t="n">
        <v>100937</v>
      </c>
      <c r="J3241" s="45" t="n">
        <v>2013</v>
      </c>
      <c r="K3241" s="45" t="n">
        <v>1015</v>
      </c>
      <c r="L3241" s="46" t="n"/>
      <c r="M3241" s="47" t="n"/>
      <c r="N3241" s="47" t="inlineStr">
        <is>
          <t>UCKZo4N0lVPccBkSiuyVh4yg</t>
        </is>
      </c>
      <c r="O3241" s="48" t="n">
        <v>41122.08958333333</v>
      </c>
      <c r="P3241" s="49" t="n">
        <v>41121</v>
      </c>
      <c r="Q3241" s="47" t="n">
        <v>27</v>
      </c>
      <c r="R3241" s="47" t="inlineStr">
        <is>
          <t>No Video ID yet</t>
        </is>
      </c>
      <c r="S3241" s="49" t="n"/>
      <c r="T3241" s="49" t="n"/>
      <c r="U3241" s="47" t="inlineStr">
        <is>
          <t>Jonathan discusses the unacceptableness of not seeing certain movies. Also the Grizzly Eagle Shark army grows! (upload yours at www.facebook.com/supercarlinbrothers) Name the movies: 1. 2. 3. 4. 5. 6. 7. =D</t>
        </is>
      </c>
      <c r="V3241" s="47">
        <f>IF(AND(P3241&gt;=Calendar!$K$2,P3241&lt;EDATE(Calendar!$K$2,1),OR(Calendar!$K$4="*",N3241=Calendar!$K$4)),P3241*100+COUNTIFS($P$6:$P$3267,P3241,$Q$6:$Q$3267,"&lt;="&amp;Q3241,$N$6:$N$3267,Calendar!$K$4),"")</f>
        <v/>
      </c>
      <c r="W3241" s="47">
        <f>IF(AND(B3241=Queue!$C$4,OR(Queue!$K$4="*",N3241=Queue!$K$4)),Q3241,"")</f>
        <v/>
      </c>
    </row>
    <row r="3242">
      <c r="A3242" s="38">
        <f>IF(M3242="","",HYPERLINK("https://www.youtube.com/watch?v="&amp;M3242,"▶"))</f>
        <v/>
      </c>
      <c r="B3242" s="39">
        <f>IF(C3242&lt;&gt;"",C3242,IF(P3242&lt;=IFERROR(INDEX(tblChannels[Watched Through],MATCH(N3242,tblChannels[Channel ID],0)),0),"Watched","Unwatched"))</f>
        <v/>
      </c>
      <c r="C3242" s="40" t="n"/>
      <c r="D3242" s="41" t="n"/>
      <c r="E3242" s="42" t="n">
        <v>41120.74722222222</v>
      </c>
      <c r="F3242" s="50" t="inlineStr">
        <is>
          <t>Super Carlin Brothers</t>
        </is>
      </c>
      <c r="G3242" t="inlineStr">
        <is>
          <t>3D, Not For Me</t>
        </is>
      </c>
      <c r="H3242" s="44" t="n">
        <v>0.002534722222222222</v>
      </c>
      <c r="I3242" s="45" t="n">
        <v>23971</v>
      </c>
      <c r="J3242" s="45" t="n">
        <v>518</v>
      </c>
      <c r="K3242" s="45" t="n">
        <v>89</v>
      </c>
      <c r="L3242" s="46" t="n"/>
      <c r="M3242" s="47" t="n"/>
      <c r="N3242" s="47" t="inlineStr">
        <is>
          <t>UCKZo4N0lVPccBkSiuyVh4yg</t>
        </is>
      </c>
      <c r="O3242" s="48" t="n">
        <v>41120.91388888889</v>
      </c>
      <c r="P3242" s="49" t="n">
        <v>41120</v>
      </c>
      <c r="Q3242" s="47" t="n">
        <v>26</v>
      </c>
      <c r="R3242" s="47" t="inlineStr">
        <is>
          <t>No Video ID yet</t>
        </is>
      </c>
      <c r="S3242" s="49" t="n"/>
      <c r="T3242" s="49" t="n"/>
      <c r="U3242" s="47" t="inlineStr">
        <is>
          <t>Ben talks about why he is not yet a fan of the 3D craze... What are your thoughts!? Link to Tyler's Video Like us on Facebook! www.facebook.com/SuperCarlinBrothers Comment, Like, and Subscribe!! =D</t>
        </is>
      </c>
      <c r="V3242" s="47">
        <f>IF(AND(P3242&gt;=Calendar!$K$2,P3242&lt;EDATE(Calendar!$K$2,1),OR(Calendar!$K$4="*",N3242=Calendar!$K$4)),P3242*100+COUNTIFS($P$6:$P$3267,P3242,$Q$6:$Q$3267,"&lt;="&amp;Q3242,$N$6:$N$3267,Calendar!$K$4),"")</f>
        <v/>
      </c>
      <c r="W3242" s="47">
        <f>IF(AND(B3242=Queue!$C$4,OR(Queue!$K$4="*",N3242=Queue!$K$4)),Q3242,"")</f>
        <v/>
      </c>
    </row>
    <row r="3243">
      <c r="A3243" s="38">
        <f>IF(M3243="","",HYPERLINK("https://www.youtube.com/watch?v="&amp;M3243,"▶"))</f>
        <v/>
      </c>
      <c r="B3243" s="39">
        <f>IF(C3243&lt;&gt;"",C3243,IF(P3243&lt;=IFERROR(INDEX(tblChannels[Watched Through],MATCH(N3243,tblChannels[Channel ID],0)),0),"Watched","Unwatched"))</f>
        <v/>
      </c>
      <c r="C3243" s="40" t="n"/>
      <c r="D3243" s="41" t="n"/>
      <c r="E3243" s="42" t="n">
        <v>41117.36527777778</v>
      </c>
      <c r="F3243" s="50" t="inlineStr">
        <is>
          <t>Super Carlin Brothers</t>
        </is>
      </c>
      <c r="G3243" t="inlineStr">
        <is>
          <t>Ask J!</t>
        </is>
      </c>
      <c r="H3243" s="44" t="n">
        <v>0.002476851851851852</v>
      </c>
      <c r="I3243" s="45" t="n">
        <v>36526</v>
      </c>
      <c r="J3243" s="45" t="n">
        <v>752</v>
      </c>
      <c r="K3243" s="45" t="n">
        <v>75</v>
      </c>
      <c r="L3243" s="46" t="n"/>
      <c r="M3243" s="47" t="n"/>
      <c r="N3243" s="47" t="inlineStr">
        <is>
          <t>UCKZo4N0lVPccBkSiuyVh4yg</t>
        </is>
      </c>
      <c r="O3243" s="48" t="n">
        <v>41117.53194444445</v>
      </c>
      <c r="P3243" s="49" t="n">
        <v>41117</v>
      </c>
      <c r="Q3243" s="47" t="n">
        <v>25</v>
      </c>
      <c r="R3243" s="47" t="inlineStr">
        <is>
          <t>No Video ID yet</t>
        </is>
      </c>
      <c r="S3243" s="49" t="n"/>
      <c r="T3243" s="49" t="n"/>
      <c r="U3243" s="47" t="inlineStr">
        <is>
          <t>Jonathan answers your questions and tells why he isnt fond of cats. Upload your drawing of a Grizzly Eagle Shark here: www.facebook.com/supercarlinbrothers Thanks everyone for subscribing and sending in your questions! =D</t>
        </is>
      </c>
      <c r="V3243" s="47">
        <f>IF(AND(P3243&gt;=Calendar!$K$2,P3243&lt;EDATE(Calendar!$K$2,1),OR(Calendar!$K$4="*",N3243=Calendar!$K$4)),P3243*100+COUNTIFS($P$6:$P$3267,P3243,$Q$6:$Q$3267,"&lt;="&amp;Q3243,$N$6:$N$3267,Calendar!$K$4),"")</f>
        <v/>
      </c>
      <c r="W3243" s="47">
        <f>IF(AND(B3243=Queue!$C$4,OR(Queue!$K$4="*",N3243=Queue!$K$4)),Q3243,"")</f>
        <v/>
      </c>
    </row>
    <row r="3244">
      <c r="A3244" s="38">
        <f>IF(M3244="","",HYPERLINK("https://www.youtube.com/watch?v="&amp;M3244,"▶"))</f>
        <v/>
      </c>
      <c r="B3244" s="39">
        <f>IF(C3244&lt;&gt;"",C3244,IF(P3244&lt;=IFERROR(INDEX(tblChannels[Watched Through],MATCH(N3244,tblChannels[Channel ID],0)),0),"Watched","Unwatched"))</f>
        <v/>
      </c>
      <c r="C3244" s="40" t="n"/>
      <c r="D3244" s="41" t="n"/>
      <c r="E3244" s="42" t="n">
        <v>41116.53402777778</v>
      </c>
      <c r="F3244" s="50" t="inlineStr">
        <is>
          <t>Super Carlin Brothers</t>
        </is>
      </c>
      <c r="G3244" t="inlineStr">
        <is>
          <t>What to Wear and Ask J!</t>
        </is>
      </c>
      <c r="H3244" s="44" t="n">
        <v>0.001828703703703704</v>
      </c>
      <c r="I3244" s="45" t="n">
        <v>23901</v>
      </c>
      <c r="J3244" s="45" t="n">
        <v>595</v>
      </c>
      <c r="K3244" s="45" t="n">
        <v>48</v>
      </c>
      <c r="L3244" s="46" t="n"/>
      <c r="M3244" s="47" t="n"/>
      <c r="N3244" s="47" t="inlineStr">
        <is>
          <t>UCKZo4N0lVPccBkSiuyVh4yg</t>
        </is>
      </c>
      <c r="O3244" s="48" t="n">
        <v>41116.70069444444</v>
      </c>
      <c r="P3244" s="49" t="n">
        <v>41116</v>
      </c>
      <c r="Q3244" s="47" t="n">
        <v>24</v>
      </c>
      <c r="R3244" s="47" t="inlineStr">
        <is>
          <t>No Video ID yet</t>
        </is>
      </c>
      <c r="S3244" s="49" t="n"/>
      <c r="T3244" s="49" t="n"/>
      <c r="U3244" s="47" t="inlineStr">
        <is>
          <t>Ben follows up on Jonathan's video from yesterday about things you've worn and regret! Also a huge thanks to those who have subscribed! We are so happy to have over 100 eavesdropping on our conversation! Check us out on Facebook! =D</t>
        </is>
      </c>
      <c r="V3244" s="47">
        <f>IF(AND(P3244&gt;=Calendar!$K$2,P3244&lt;EDATE(Calendar!$K$2,1),OR(Calendar!$K$4="*",N3244=Calendar!$K$4)),P3244*100+COUNTIFS($P$6:$P$3267,P3244,$Q$6:$Q$3267,"&lt;="&amp;Q3244,$N$6:$N$3267,Calendar!$K$4),"")</f>
        <v/>
      </c>
      <c r="W3244" s="47">
        <f>IF(AND(B3244=Queue!$C$4,OR(Queue!$K$4="*",N3244=Queue!$K$4)),Q3244,"")</f>
        <v/>
      </c>
    </row>
    <row r="3245">
      <c r="A3245" s="38">
        <f>IF(M3245="","",HYPERLINK("https://www.youtube.com/watch?v="&amp;M3245,"▶"))</f>
        <v/>
      </c>
      <c r="B3245" s="39">
        <f>IF(C3245&lt;&gt;"",C3245,IF(P3245&lt;=IFERROR(INDEX(tblChannels[Watched Through],MATCH(N3245,tblChannels[Channel ID],0)),0),"Watched","Unwatched"))</f>
        <v/>
      </c>
      <c r="C3245" s="40" t="n"/>
      <c r="D3245" s="41" t="n"/>
      <c r="E3245" s="42" t="n">
        <v>41115.85763888889</v>
      </c>
      <c r="F3245" s="50" t="inlineStr">
        <is>
          <t>Super Carlin Brothers</t>
        </is>
      </c>
      <c r="G3245" t="inlineStr">
        <is>
          <t>I look horrible in hats</t>
        </is>
      </c>
      <c r="H3245" s="44" t="n">
        <v>0.002754629629629629</v>
      </c>
      <c r="I3245" s="45" t="n">
        <v>64531</v>
      </c>
      <c r="J3245" s="45" t="n">
        <v>1289</v>
      </c>
      <c r="K3245" s="45" t="n">
        <v>172</v>
      </c>
      <c r="L3245" s="46" t="n"/>
      <c r="M3245" s="47" t="n"/>
      <c r="N3245" s="47" t="inlineStr">
        <is>
          <t>UCKZo4N0lVPccBkSiuyVh4yg</t>
        </is>
      </c>
      <c r="O3245" s="48" t="n">
        <v>41116.02430555555</v>
      </c>
      <c r="P3245" s="49" t="n">
        <v>41115</v>
      </c>
      <c r="Q3245" s="47" t="n">
        <v>23</v>
      </c>
      <c r="R3245" s="47" t="inlineStr">
        <is>
          <t>No Video ID yet</t>
        </is>
      </c>
      <c r="S3245" s="49" t="n"/>
      <c r="T3245" s="49" t="n"/>
      <c r="U3245" s="47" t="inlineStr">
        <is>
          <t>Jonathan talks about his horrible experiences wearing hats, and the importance of how you dress. Have you ever worn something really embarrassing? Check us out on Facebook: www.facebook.com/supercarlinbrothers =D</t>
        </is>
      </c>
      <c r="V3245" s="47">
        <f>IF(AND(P3245&gt;=Calendar!$K$2,P3245&lt;EDATE(Calendar!$K$2,1),OR(Calendar!$K$4="*",N3245=Calendar!$K$4)),P3245*100+COUNTIFS($P$6:$P$3267,P3245,$Q$6:$Q$3267,"&lt;="&amp;Q3245,$N$6:$N$3267,Calendar!$K$4),"")</f>
        <v/>
      </c>
      <c r="W3245" s="47">
        <f>IF(AND(B3245=Queue!$C$4,OR(Queue!$K$4="*",N3245=Queue!$K$4)),Q3245,"")</f>
        <v/>
      </c>
    </row>
    <row r="3246">
      <c r="A3246" s="38">
        <f>IF(M3246="","",HYPERLINK("https://www.youtube.com/watch?v="&amp;M3246,"▶"))</f>
        <v/>
      </c>
      <c r="B3246" s="39">
        <f>IF(C3246&lt;&gt;"",C3246,IF(P3246&lt;=IFERROR(INDEX(tblChannels[Watched Through],MATCH(N3246,tblChannels[Channel ID],0)),0),"Watched","Unwatched"))</f>
        <v/>
      </c>
      <c r="C3246" s="40" t="n"/>
      <c r="D3246" s="41" t="n"/>
      <c r="E3246" s="42" t="n">
        <v>41113.91527777778</v>
      </c>
      <c r="F3246" s="50" t="inlineStr">
        <is>
          <t>Super Carlin Brothers</t>
        </is>
      </c>
      <c r="G3246" t="inlineStr">
        <is>
          <t>Steve Prefontaine</t>
        </is>
      </c>
      <c r="H3246" s="44" t="n">
        <v>0.002430555555555556</v>
      </c>
      <c r="I3246" s="45" t="n">
        <v>26918</v>
      </c>
      <c r="J3246" s="45" t="n">
        <v>626</v>
      </c>
      <c r="K3246" s="45" t="n">
        <v>91</v>
      </c>
      <c r="L3246" s="46" t="n"/>
      <c r="M3246" s="47" t="n"/>
      <c r="N3246" s="47" t="inlineStr">
        <is>
          <t>UCKZo4N0lVPccBkSiuyVh4yg</t>
        </is>
      </c>
      <c r="O3246" s="48" t="n">
        <v>41114.08194444444</v>
      </c>
      <c r="P3246" s="49" t="n">
        <v>41113</v>
      </c>
      <c r="Q3246" s="47" t="n">
        <v>22</v>
      </c>
      <c r="R3246" s="47" t="inlineStr">
        <is>
          <t>No Video ID yet</t>
        </is>
      </c>
      <c r="S3246" s="49" t="n"/>
      <c r="T3246" s="49" t="n"/>
      <c r="U3246" s="47" t="inlineStr">
        <is>
          <t>Jonathan discusses his favorite Olympian of all time: Steve Prefontaine! What is your favorite Olympic Event?? "To give anything less than your best is to sacrifice the gift" Check us out on Facebook: www.facebook.com/supercarlinbrothers =D</t>
        </is>
      </c>
      <c r="V3246" s="47">
        <f>IF(AND(P3246&gt;=Calendar!$K$2,P3246&lt;EDATE(Calendar!$K$2,1),OR(Calendar!$K$4="*",N3246=Calendar!$K$4)),P3246*100+COUNTIFS($P$6:$P$3267,P3246,$Q$6:$Q$3267,"&lt;="&amp;Q3246,$N$6:$N$3267,Calendar!$K$4),"")</f>
        <v/>
      </c>
      <c r="W3246" s="47">
        <f>IF(AND(B3246=Queue!$C$4,OR(Queue!$K$4="*",N3246=Queue!$K$4)),Q3246,"")</f>
        <v/>
      </c>
    </row>
    <row r="3247">
      <c r="A3247" s="38">
        <f>IF(M3247="","",HYPERLINK("https://www.youtube.com/watch?v="&amp;M3247,"▶"))</f>
        <v/>
      </c>
      <c r="B3247" s="39">
        <f>IF(C3247&lt;&gt;"",C3247,IF(P3247&lt;=IFERROR(INDEX(tblChannels[Watched Through],MATCH(N3247,tblChannels[Channel ID],0)),0),"Watched","Unwatched"))</f>
        <v/>
      </c>
      <c r="C3247" s="40" t="n"/>
      <c r="D3247" s="41" t="n"/>
      <c r="E3247" s="42" t="n">
        <v>41110.83819444444</v>
      </c>
      <c r="F3247" s="50" t="inlineStr">
        <is>
          <t>Super Carlin Brothers</t>
        </is>
      </c>
      <c r="G3247" t="inlineStr">
        <is>
          <t>The Dark Knight on a Dark Night</t>
        </is>
      </c>
      <c r="H3247" s="44" t="n">
        <v>0.001898148148148148</v>
      </c>
      <c r="I3247" s="45" t="n">
        <v>22930</v>
      </c>
      <c r="J3247" s="45" t="n">
        <v>516</v>
      </c>
      <c r="K3247" s="45" t="n">
        <v>44</v>
      </c>
      <c r="L3247" s="46" t="n"/>
      <c r="M3247" s="47" t="n"/>
      <c r="N3247" s="47" t="inlineStr">
        <is>
          <t>UCKZo4N0lVPccBkSiuyVh4yg</t>
        </is>
      </c>
      <c r="O3247" s="48" t="n">
        <v>41111.00486111111</v>
      </c>
      <c r="P3247" s="49" t="n">
        <v>41110</v>
      </c>
      <c r="Q3247" s="47" t="n">
        <v>21</v>
      </c>
      <c r="R3247" s="47" t="inlineStr">
        <is>
          <t>No Video ID yet</t>
        </is>
      </c>
      <c r="S3247" s="49" t="n"/>
      <c r="T3247" s="49" t="n"/>
      <c r="U3247" s="47" t="inlineStr">
        <is>
          <t>Ben gives his thoughts on the new Batman flick The Dark Knight Rises and also touches on the horrifying events that transpired in Colorado very early this morning. =D</t>
        </is>
      </c>
      <c r="V3247" s="47">
        <f>IF(AND(P3247&gt;=Calendar!$K$2,P3247&lt;EDATE(Calendar!$K$2,1),OR(Calendar!$K$4="*",N3247=Calendar!$K$4)),P3247*100+COUNTIFS($P$6:$P$3267,P3247,$Q$6:$Q$3267,"&lt;="&amp;Q3247,$N$6:$N$3267,Calendar!$K$4),"")</f>
        <v/>
      </c>
      <c r="W3247" s="47">
        <f>IF(AND(B3247=Queue!$C$4,OR(Queue!$K$4="*",N3247=Queue!$K$4)),Q3247,"")</f>
        <v/>
      </c>
    </row>
    <row r="3248">
      <c r="A3248" s="38">
        <f>IF(M3248="","",HYPERLINK("https://www.youtube.com/watch?v="&amp;M3248,"▶"))</f>
        <v/>
      </c>
      <c r="B3248" s="39">
        <f>IF(C3248&lt;&gt;"",C3248,IF(P3248&lt;=IFERROR(INDEX(tblChannels[Watched Through],MATCH(N3248,tblChannels[Channel ID],0)),0),"Watched","Unwatched"))</f>
        <v/>
      </c>
      <c r="C3248" s="40" t="n"/>
      <c r="D3248" s="41" t="n"/>
      <c r="E3248" s="42" t="n">
        <v>41109.86944444444</v>
      </c>
      <c r="F3248" s="50" t="inlineStr">
        <is>
          <t>Super Carlin Brothers</t>
        </is>
      </c>
      <c r="G3248" t="inlineStr">
        <is>
          <t>Death by Google Autofill</t>
        </is>
      </c>
      <c r="H3248" s="44" t="n">
        <v>0.002974537037037037</v>
      </c>
      <c r="I3248" s="45" t="n">
        <v>295651</v>
      </c>
      <c r="J3248" s="45" t="n">
        <v>4748</v>
      </c>
      <c r="K3248" s="45" t="n">
        <v>1380</v>
      </c>
      <c r="L3248" s="46" t="n"/>
      <c r="M3248" s="47" t="n"/>
      <c r="N3248" s="47" t="inlineStr">
        <is>
          <t>UCKZo4N0lVPccBkSiuyVh4yg</t>
        </is>
      </c>
      <c r="O3248" s="48" t="n">
        <v>41110.03611111111</v>
      </c>
      <c r="P3248" s="49" t="n">
        <v>41109</v>
      </c>
      <c r="Q3248" s="47" t="n">
        <v>20</v>
      </c>
      <c r="R3248" s="47" t="inlineStr">
        <is>
          <t>No Video ID yet</t>
        </is>
      </c>
      <c r="S3248" s="49" t="n"/>
      <c r="T3248" s="49" t="n"/>
      <c r="U3248" s="47" t="inlineStr">
        <is>
          <t>Jonathan uncovers the deadliest things on the internet! Have you ever had a near death experience? Thanks for subscribing! Like us on Facebook at www.facebook.com/supercarlinbrothers =D</t>
        </is>
      </c>
      <c r="V3248" s="47">
        <f>IF(AND(P3248&gt;=Calendar!$K$2,P3248&lt;EDATE(Calendar!$K$2,1),OR(Calendar!$K$4="*",N3248=Calendar!$K$4)),P3248*100+COUNTIFS($P$6:$P$3267,P3248,$Q$6:$Q$3267,"&lt;="&amp;Q3248,$N$6:$N$3267,Calendar!$K$4),"")</f>
        <v/>
      </c>
      <c r="W3248" s="47">
        <f>IF(AND(B3248=Queue!$C$4,OR(Queue!$K$4="*",N3248=Queue!$K$4)),Q3248,"")</f>
        <v/>
      </c>
    </row>
    <row r="3249">
      <c r="A3249" s="38">
        <f>IF(M3249="","",HYPERLINK("https://www.youtube.com/watch?v="&amp;M3249,"▶"))</f>
        <v/>
      </c>
      <c r="B3249" s="39">
        <f>IF(C3249&lt;&gt;"",C3249,IF(P3249&lt;=IFERROR(INDEX(tblChannels[Watched Through],MATCH(N3249,tblChannels[Channel ID],0)),0),"Watched","Unwatched"))</f>
        <v/>
      </c>
      <c r="C3249" s="40" t="n"/>
      <c r="D3249" s="41" t="n"/>
      <c r="E3249" s="42" t="n">
        <v>41108.73611111111</v>
      </c>
      <c r="F3249" s="50" t="inlineStr">
        <is>
          <t>Super Carlin Brothers</t>
        </is>
      </c>
      <c r="G3249" t="inlineStr">
        <is>
          <t>Toasters are More Deadly Than Roller Coasters</t>
        </is>
      </c>
      <c r="H3249" s="44" t="n">
        <v>0.001875</v>
      </c>
      <c r="I3249" s="45" t="n">
        <v>27821</v>
      </c>
      <c r="J3249" s="45" t="n">
        <v>745</v>
      </c>
      <c r="K3249" s="45" t="n">
        <v>98</v>
      </c>
      <c r="L3249" s="46" t="n"/>
      <c r="M3249" s="47" t="n"/>
      <c r="N3249" s="47" t="inlineStr">
        <is>
          <t>UCKZo4N0lVPccBkSiuyVh4yg</t>
        </is>
      </c>
      <c r="O3249" s="48" t="n">
        <v>41108.90277777778</v>
      </c>
      <c r="P3249" s="49" t="n">
        <v>41108</v>
      </c>
      <c r="Q3249" s="47" t="n">
        <v>19</v>
      </c>
      <c r="R3249" s="47" t="inlineStr">
        <is>
          <t>No Video ID yet</t>
        </is>
      </c>
      <c r="S3249" s="49" t="n"/>
      <c r="T3249" s="49" t="n"/>
      <c r="U3249" s="47" t="inlineStr">
        <is>
          <t>Ben rants about those who find a sense of accomplishment after surviving a roller coaster. Comment, Like, Subscribe!! Thanks for Watching =D</t>
        </is>
      </c>
      <c r="V3249" s="47">
        <f>IF(AND(P3249&gt;=Calendar!$K$2,P3249&lt;EDATE(Calendar!$K$2,1),OR(Calendar!$K$4="*",N3249=Calendar!$K$4)),P3249*100+COUNTIFS($P$6:$P$3267,P3249,$Q$6:$Q$3267,"&lt;="&amp;Q3249,$N$6:$N$3267,Calendar!$K$4),"")</f>
        <v/>
      </c>
      <c r="W3249" s="47">
        <f>IF(AND(B3249=Queue!$C$4,OR(Queue!$K$4="*",N3249=Queue!$K$4)),Q3249,"")</f>
        <v/>
      </c>
    </row>
    <row r="3250">
      <c r="A3250" s="38">
        <f>IF(M3250="","",HYPERLINK("https://www.youtube.com/watch?v="&amp;M3250,"▶"))</f>
        <v/>
      </c>
      <c r="B3250" s="39">
        <f>IF(C3250&lt;&gt;"",C3250,IF(P3250&lt;=IFERROR(INDEX(tblChannels[Watched Through],MATCH(N3250,tblChannels[Channel ID],0)),0),"Watched","Unwatched"))</f>
        <v/>
      </c>
      <c r="C3250" s="40" t="n"/>
      <c r="D3250" s="41" t="n"/>
      <c r="E3250" s="42" t="n">
        <v>41107.53194444445</v>
      </c>
      <c r="F3250" s="50" t="inlineStr">
        <is>
          <t>Super Carlin Brothers</t>
        </is>
      </c>
      <c r="G3250" t="inlineStr">
        <is>
          <t>The Secret Agenda</t>
        </is>
      </c>
      <c r="H3250" s="44" t="n">
        <v>0.001435185185185185</v>
      </c>
      <c r="I3250" s="45" t="n">
        <v>23815</v>
      </c>
      <c r="J3250" s="45" t="n">
        <v>532</v>
      </c>
      <c r="K3250" s="45" t="n">
        <v>29</v>
      </c>
      <c r="L3250" s="46" t="n"/>
      <c r="M3250" s="47" t="n"/>
      <c r="N3250" s="47" t="inlineStr">
        <is>
          <t>UCKZo4N0lVPccBkSiuyVh4yg</t>
        </is>
      </c>
      <c r="O3250" s="48" t="n">
        <v>41107.69861111111</v>
      </c>
      <c r="P3250" s="49" t="n">
        <v>41107</v>
      </c>
      <c r="Q3250" s="47" t="n">
        <v>18</v>
      </c>
      <c r="R3250" s="47" t="inlineStr">
        <is>
          <t>No Video ID yet</t>
        </is>
      </c>
      <c r="S3250" s="49" t="n"/>
      <c r="T3250" s="49" t="n"/>
      <c r="U3250" s="47" t="inlineStr">
        <is>
          <t>Jonathan discusses the Fun and nerve racking nature of not knowing whats coming next at the 2012 global marketing conference in Philly! =D</t>
        </is>
      </c>
      <c r="V3250" s="47">
        <f>IF(AND(P3250&gt;=Calendar!$K$2,P3250&lt;EDATE(Calendar!$K$2,1),OR(Calendar!$K$4="*",N3250=Calendar!$K$4)),P3250*100+COUNTIFS($P$6:$P$3267,P3250,$Q$6:$Q$3267,"&lt;="&amp;Q3250,$N$6:$N$3267,Calendar!$K$4),"")</f>
        <v/>
      </c>
      <c r="W3250" s="47">
        <f>IF(AND(B3250=Queue!$C$4,OR(Queue!$K$4="*",N3250=Queue!$K$4)),Q3250,"")</f>
        <v/>
      </c>
    </row>
    <row r="3251">
      <c r="A3251" s="38">
        <f>IF(M3251="","",HYPERLINK("https://www.youtube.com/watch?v="&amp;M3251,"▶"))</f>
        <v/>
      </c>
      <c r="B3251" s="39">
        <f>IF(C3251&lt;&gt;"",C3251,IF(P3251&lt;=IFERROR(INDEX(tblChannels[Watched Through],MATCH(N3251,tblChannels[Channel ID],0)),0),"Watched","Unwatched"))</f>
        <v/>
      </c>
      <c r="C3251" s="40" t="n"/>
      <c r="D3251" s="41" t="n"/>
      <c r="E3251" s="42" t="n">
        <v>41106.71805555555</v>
      </c>
      <c r="F3251" s="50" t="inlineStr">
        <is>
          <t>Super Carlin Brothers</t>
        </is>
      </c>
      <c r="G3251" t="inlineStr">
        <is>
          <t>Will the New Batman Movie Stack Up?</t>
        </is>
      </c>
      <c r="H3251" s="44" t="n">
        <v>0.002094907407407407</v>
      </c>
      <c r="I3251" s="45" t="n">
        <v>25311</v>
      </c>
      <c r="J3251" s="45" t="n">
        <v>558</v>
      </c>
      <c r="K3251" s="45" t="n">
        <v>58</v>
      </c>
      <c r="L3251" s="46" t="n"/>
      <c r="M3251" s="47" t="n"/>
      <c r="N3251" s="47" t="inlineStr">
        <is>
          <t>UCKZo4N0lVPccBkSiuyVh4yg</t>
        </is>
      </c>
      <c r="O3251" s="48" t="n">
        <v>41106.88472222222</v>
      </c>
      <c r="P3251" s="49" t="n">
        <v>41106</v>
      </c>
      <c r="Q3251" s="47" t="n">
        <v>17</v>
      </c>
      <c r="R3251" s="47" t="inlineStr">
        <is>
          <t>No Video ID yet</t>
        </is>
      </c>
      <c r="S3251" s="49" t="n"/>
      <c r="T3251" s="49" t="n"/>
      <c r="U3251" s="47" t="inlineStr">
        <is>
          <t>The batman series is on its own level epicawesomeamazingness. Ben expresses his concerns about whether or not its possible to go 3 for 3! Also discusses rival comic book brand, Marvel, and their licensing tactics and how possible it will be for them to sustain their brand going forward. Comment, Like, Subscribe!! =D</t>
        </is>
      </c>
      <c r="V3251" s="47">
        <f>IF(AND(P3251&gt;=Calendar!$K$2,P3251&lt;EDATE(Calendar!$K$2,1),OR(Calendar!$K$4="*",N3251=Calendar!$K$4)),P3251*100+COUNTIFS($P$6:$P$3267,P3251,$Q$6:$Q$3267,"&lt;="&amp;Q3251,$N$6:$N$3267,Calendar!$K$4),"")</f>
        <v/>
      </c>
      <c r="W3251" s="47">
        <f>IF(AND(B3251=Queue!$C$4,OR(Queue!$K$4="*",N3251=Queue!$K$4)),Q3251,"")</f>
        <v/>
      </c>
    </row>
    <row r="3252">
      <c r="A3252" s="38">
        <f>IF(M3252="","",HYPERLINK("https://www.youtube.com/watch?v="&amp;M3252,"▶"))</f>
        <v/>
      </c>
      <c r="B3252" s="39">
        <f>IF(C3252&lt;&gt;"",C3252,IF(P3252&lt;=IFERROR(INDEX(tblChannels[Watched Through],MATCH(N3252,tblChannels[Channel ID],0)),0),"Watched","Unwatched"))</f>
        <v/>
      </c>
      <c r="C3252" s="40" t="n"/>
      <c r="D3252" s="41" t="n"/>
      <c r="E3252" s="42" t="n">
        <v>41103.77916666667</v>
      </c>
      <c r="F3252" s="50" t="inlineStr">
        <is>
          <t>Super Carlin Brothers</t>
        </is>
      </c>
      <c r="G3252" t="inlineStr">
        <is>
          <t>Times I've been pulled over</t>
        </is>
      </c>
      <c r="H3252" s="44" t="n">
        <v>0.003171296296296296</v>
      </c>
      <c r="I3252" s="45" t="n">
        <v>51369</v>
      </c>
      <c r="J3252" s="45" t="n">
        <v>1093</v>
      </c>
      <c r="K3252" s="45" t="n">
        <v>119</v>
      </c>
      <c r="L3252" s="46" t="n"/>
      <c r="M3252" s="47" t="n"/>
      <c r="N3252" s="47" t="inlineStr">
        <is>
          <t>UCKZo4N0lVPccBkSiuyVh4yg</t>
        </is>
      </c>
      <c r="O3252" s="48" t="n">
        <v>41103.94583333333</v>
      </c>
      <c r="P3252" s="49" t="n">
        <v>41103</v>
      </c>
      <c r="Q3252" s="47" t="n">
        <v>16</v>
      </c>
      <c r="R3252" s="47" t="inlineStr">
        <is>
          <t>No Video ID yet</t>
        </is>
      </c>
      <c r="S3252" s="49" t="n"/>
      <c r="T3252" s="49" t="n"/>
      <c r="U3252" s="47" t="inlineStr">
        <is>
          <t>Jonathan talks about the ridiculous number of times he's been pulled over.. why is he still allowed to drive? How do cops make you feel when you see them? Like us on Facebook at: www.facebook.com/supercarlinbrothers =D</t>
        </is>
      </c>
      <c r="V3252" s="47">
        <f>IF(AND(P3252&gt;=Calendar!$K$2,P3252&lt;EDATE(Calendar!$K$2,1),OR(Calendar!$K$4="*",N3252=Calendar!$K$4)),P3252*100+COUNTIFS($P$6:$P$3267,P3252,$Q$6:$Q$3267,"&lt;="&amp;Q3252,$N$6:$N$3267,Calendar!$K$4),"")</f>
        <v/>
      </c>
      <c r="W3252" s="47">
        <f>IF(AND(B3252=Queue!$C$4,OR(Queue!$K$4="*",N3252=Queue!$K$4)),Q3252,"")</f>
        <v/>
      </c>
    </row>
    <row r="3253">
      <c r="A3253" s="38">
        <f>IF(M3253="","",HYPERLINK("https://www.youtube.com/watch?v="&amp;M3253,"▶"))</f>
        <v/>
      </c>
      <c r="B3253" s="39">
        <f>IF(C3253&lt;&gt;"",C3253,IF(P3253&lt;=IFERROR(INDEX(tblChannels[Watched Through],MATCH(N3253,tblChannels[Channel ID],0)),0),"Watched","Unwatched"))</f>
        <v/>
      </c>
      <c r="C3253" s="40" t="n"/>
      <c r="D3253" s="41" t="n"/>
      <c r="E3253" s="42" t="n">
        <v>41102.84861111111</v>
      </c>
      <c r="F3253" s="50" t="inlineStr">
        <is>
          <t>Super Carlin Brothers</t>
        </is>
      </c>
      <c r="G3253" t="inlineStr">
        <is>
          <t>Cops Make Me Angry</t>
        </is>
      </c>
      <c r="H3253" s="44" t="n">
        <v>0.001724537037037037</v>
      </c>
      <c r="I3253" s="45" t="n">
        <v>31433</v>
      </c>
      <c r="J3253" s="45" t="n">
        <v>691</v>
      </c>
      <c r="K3253" s="45" t="n">
        <v>96</v>
      </c>
      <c r="L3253" s="46" t="n"/>
      <c r="M3253" s="47" t="n"/>
      <c r="N3253" s="47" t="inlineStr">
        <is>
          <t>UCKZo4N0lVPccBkSiuyVh4yg</t>
        </is>
      </c>
      <c r="O3253" s="48" t="n">
        <v>41103.01527777778</v>
      </c>
      <c r="P3253" s="49" t="n">
        <v>41102</v>
      </c>
      <c r="Q3253" s="47" t="n">
        <v>15</v>
      </c>
      <c r="R3253" s="47" t="inlineStr">
        <is>
          <t>No Video ID yet</t>
        </is>
      </c>
      <c r="S3253" s="49" t="n"/>
      <c r="T3253" s="49" t="n"/>
      <c r="U3253" s="47" t="inlineStr">
        <is>
          <t>Ben vents about cops after a speeding ticket. =D</t>
        </is>
      </c>
      <c r="V3253" s="47">
        <f>IF(AND(P3253&gt;=Calendar!$K$2,P3253&lt;EDATE(Calendar!$K$2,1),OR(Calendar!$K$4="*",N3253=Calendar!$K$4)),P3253*100+COUNTIFS($P$6:$P$3267,P3253,$Q$6:$Q$3267,"&lt;="&amp;Q3253,$N$6:$N$3267,Calendar!$K$4),"")</f>
        <v/>
      </c>
      <c r="W3253" s="47">
        <f>IF(AND(B3253=Queue!$C$4,OR(Queue!$K$4="*",N3253=Queue!$K$4)),Q3253,"")</f>
        <v/>
      </c>
    </row>
    <row r="3254">
      <c r="A3254" s="38">
        <f>IF(M3254="","",HYPERLINK("https://www.youtube.com/watch?v="&amp;M3254,"▶"))</f>
        <v/>
      </c>
      <c r="B3254" s="39">
        <f>IF(C3254&lt;&gt;"",C3254,IF(P3254&lt;=IFERROR(INDEX(tblChannels[Watched Through],MATCH(N3254,tblChannels[Channel ID],0)),0),"Watched","Unwatched"))</f>
        <v/>
      </c>
      <c r="C3254" s="40" t="n"/>
      <c r="D3254" s="41" t="n"/>
      <c r="E3254" s="42" t="n">
        <v>41101.93680555555</v>
      </c>
      <c r="F3254" s="50" t="inlineStr">
        <is>
          <t>Super Carlin Brothers</t>
        </is>
      </c>
      <c r="G3254" t="inlineStr">
        <is>
          <t>Turtle gets laid</t>
        </is>
      </c>
      <c r="H3254" s="44" t="n">
        <v>0.003252314814814815</v>
      </c>
      <c r="I3254" s="45" t="n">
        <v>41375</v>
      </c>
      <c r="J3254" s="45" t="n">
        <v>962</v>
      </c>
      <c r="K3254" s="45" t="n">
        <v>97</v>
      </c>
      <c r="L3254" s="46" t="n"/>
      <c r="M3254" s="47" t="n"/>
      <c r="N3254" s="47" t="inlineStr">
        <is>
          <t>UCKZo4N0lVPccBkSiuyVh4yg</t>
        </is>
      </c>
      <c r="O3254" s="48" t="n">
        <v>41102.10347222222</v>
      </c>
      <c r="P3254" s="49" t="n">
        <v>41101</v>
      </c>
      <c r="Q3254" s="47" t="n">
        <v>14</v>
      </c>
      <c r="R3254" s="47" t="inlineStr">
        <is>
          <t>No Video ID yet</t>
        </is>
      </c>
      <c r="S3254" s="49" t="n"/>
      <c r="T3254" s="49" t="n"/>
      <c r="U3254" s="47" t="inlineStr">
        <is>
          <t>Jonathan witnesses turtle birth and discusses the nature of luck. Are you lucky if you win the lottery or do you win the lottery because you are lucky? Discuss below! Show us your face on www.facebook.com/supercarlinbrothers =D</t>
        </is>
      </c>
      <c r="V3254" s="47">
        <f>IF(AND(P3254&gt;=Calendar!$K$2,P3254&lt;EDATE(Calendar!$K$2,1),OR(Calendar!$K$4="*",N3254=Calendar!$K$4)),P3254*100+COUNTIFS($P$6:$P$3267,P3254,$Q$6:$Q$3267,"&lt;="&amp;Q3254,$N$6:$N$3267,Calendar!$K$4),"")</f>
        <v/>
      </c>
      <c r="W3254" s="47">
        <f>IF(AND(B3254=Queue!$C$4,OR(Queue!$K$4="*",N3254=Queue!$K$4)),Q3254,"")</f>
        <v/>
      </c>
    </row>
    <row r="3255">
      <c r="A3255" s="38">
        <f>IF(M3255="","",HYPERLINK("https://www.youtube.com/watch?v="&amp;M3255,"▶"))</f>
        <v/>
      </c>
      <c r="B3255" s="39">
        <f>IF(C3255&lt;&gt;"",C3255,IF(P3255&lt;=IFERROR(INDEX(tblChannels[Watched Through],MATCH(N3255,tblChannels[Channel ID],0)),0),"Watched","Unwatched"))</f>
        <v/>
      </c>
      <c r="C3255" s="40" t="n"/>
      <c r="D3255" s="41" t="n"/>
      <c r="E3255" s="42" t="n">
        <v>41100.63541666666</v>
      </c>
      <c r="F3255" s="50" t="inlineStr">
        <is>
          <t>Super Carlin Brothers</t>
        </is>
      </c>
      <c r="G3255" t="inlineStr">
        <is>
          <t>How to Treat Vacation Guests</t>
        </is>
      </c>
      <c r="H3255" s="44" t="n">
        <v>0.001168981481481482</v>
      </c>
      <c r="I3255" s="45" t="n">
        <v>27816</v>
      </c>
      <c r="J3255" s="45" t="n">
        <v>603</v>
      </c>
      <c r="K3255" s="45" t="n">
        <v>39</v>
      </c>
      <c r="L3255" s="46" t="n"/>
      <c r="M3255" s="47" t="n"/>
      <c r="N3255" s="47" t="inlineStr">
        <is>
          <t>UCKZo4N0lVPccBkSiuyVh4yg</t>
        </is>
      </c>
      <c r="O3255" s="48" t="n">
        <v>41100.80208333334</v>
      </c>
      <c r="P3255" s="49" t="n">
        <v>41100</v>
      </c>
      <c r="Q3255" s="47" t="n">
        <v>13</v>
      </c>
      <c r="R3255" s="47" t="inlineStr">
        <is>
          <t>No Video ID yet</t>
        </is>
      </c>
      <c r="S3255" s="49" t="n"/>
      <c r="T3255" s="49" t="n"/>
      <c r="U3255" s="47" t="inlineStr">
        <is>
          <t>Ben wonders whether to honor guests ways or stick to long time traditions Thanks for subscribing! (We hit 60 today!!) Show us your face on www.facebook.com/supercarlinbrothers =D</t>
        </is>
      </c>
      <c r="V3255" s="47">
        <f>IF(AND(P3255&gt;=Calendar!$K$2,P3255&lt;EDATE(Calendar!$K$2,1),OR(Calendar!$K$4="*",N3255=Calendar!$K$4)),P3255*100+COUNTIFS($P$6:$P$3267,P3255,$Q$6:$Q$3267,"&lt;="&amp;Q3255,$N$6:$N$3267,Calendar!$K$4),"")</f>
        <v/>
      </c>
      <c r="W3255" s="47">
        <f>IF(AND(B3255=Queue!$C$4,OR(Queue!$K$4="*",N3255=Queue!$K$4)),Q3255,"")</f>
        <v/>
      </c>
    </row>
    <row r="3256">
      <c r="A3256" s="38">
        <f>IF(M3256="","",HYPERLINK("https://www.youtube.com/watch?v="&amp;M3256,"▶"))</f>
        <v/>
      </c>
      <c r="B3256" s="39">
        <f>IF(C3256&lt;&gt;"",C3256,IF(P3256&lt;=IFERROR(INDEX(tblChannels[Watched Through],MATCH(N3256,tblChannels[Channel ID],0)),0),"Watched","Unwatched"))</f>
        <v/>
      </c>
      <c r="C3256" s="40" t="n"/>
      <c r="D3256" s="41" t="n"/>
      <c r="E3256" s="42" t="n">
        <v>41099.575</v>
      </c>
      <c r="F3256" s="50" t="inlineStr">
        <is>
          <t>Super Carlin Brothers</t>
        </is>
      </c>
      <c r="G3256" t="inlineStr">
        <is>
          <t>The different things are different</t>
        </is>
      </c>
      <c r="H3256" s="44" t="n">
        <v>0.002384259259259259</v>
      </c>
      <c r="I3256" s="45" t="n">
        <v>31435</v>
      </c>
      <c r="J3256" s="45" t="n">
        <v>834</v>
      </c>
      <c r="K3256" s="45" t="n">
        <v>105</v>
      </c>
      <c r="L3256" s="46" t="n"/>
      <c r="M3256" s="47" t="n"/>
      <c r="N3256" s="47" t="inlineStr">
        <is>
          <t>UCKZo4N0lVPccBkSiuyVh4yg</t>
        </is>
      </c>
      <c r="O3256" s="48" t="n">
        <v>41099.74166666667</v>
      </c>
      <c r="P3256" s="49" t="n">
        <v>41099</v>
      </c>
      <c r="Q3256" s="47" t="n">
        <v>12</v>
      </c>
      <c r="R3256" s="47" t="inlineStr">
        <is>
          <t>No Video ID yet</t>
        </is>
      </c>
      <c r="S3256" s="49" t="n"/>
      <c r="T3256" s="49" t="n"/>
      <c r="U3256" s="47" t="inlineStr">
        <is>
          <t>Jonathan discusses the nature of vacations, and reveals the existence of a third Super Carlin Brother... What do you like to do on vacation? Upload a drawing of the Grizzly Eagle Shark on our Facebook page: www.facebook.com/SuperCarlinBrothers =D</t>
        </is>
      </c>
      <c r="V3256" s="47">
        <f>IF(AND(P3256&gt;=Calendar!$K$2,P3256&lt;EDATE(Calendar!$K$2,1),OR(Calendar!$K$4="*",N3256=Calendar!$K$4)),P3256*100+COUNTIFS($P$6:$P$3267,P3256,$Q$6:$Q$3267,"&lt;="&amp;Q3256,$N$6:$N$3267,Calendar!$K$4),"")</f>
        <v/>
      </c>
      <c r="W3256" s="47">
        <f>IF(AND(B3256=Queue!$C$4,OR(Queue!$K$4="*",N3256=Queue!$K$4)),Q3256,"")</f>
        <v/>
      </c>
    </row>
    <row r="3257">
      <c r="A3257" s="38">
        <f>IF(M3257="","",HYPERLINK("https://www.youtube.com/watch?v="&amp;M3257,"▶"))</f>
        <v/>
      </c>
      <c r="B3257" s="39">
        <f>IF(C3257&lt;&gt;"",C3257,IF(P3257&lt;=IFERROR(INDEX(tblChannels[Watched Through],MATCH(N3257,tblChannels[Channel ID],0)),0),"Watched","Unwatched"))</f>
        <v/>
      </c>
      <c r="C3257" s="40" t="n"/>
      <c r="D3257" s="41" t="n"/>
      <c r="E3257" s="42" t="n">
        <v>41096.63402777778</v>
      </c>
      <c r="F3257" s="50" t="inlineStr">
        <is>
          <t>Super Carlin Brothers</t>
        </is>
      </c>
      <c r="G3257" t="inlineStr">
        <is>
          <t>Girlfriend Help</t>
        </is>
      </c>
      <c r="H3257" s="44" t="n">
        <v>0.001412037037037037</v>
      </c>
      <c r="I3257" s="45" t="n">
        <v>35850</v>
      </c>
      <c r="J3257" s="45" t="n">
        <v>757</v>
      </c>
      <c r="K3257" s="45" t="n">
        <v>113</v>
      </c>
      <c r="L3257" s="46" t="n"/>
      <c r="M3257" s="47" t="n"/>
      <c r="N3257" s="47" t="inlineStr">
        <is>
          <t>UCKZo4N0lVPccBkSiuyVh4yg</t>
        </is>
      </c>
      <c r="O3257" s="48" t="n">
        <v>41096.80069444444</v>
      </c>
      <c r="P3257" s="49" t="n">
        <v>41096</v>
      </c>
      <c r="Q3257" s="47" t="n">
        <v>11</v>
      </c>
      <c r="R3257" s="47" t="inlineStr">
        <is>
          <t>No Video ID yet</t>
        </is>
      </c>
      <c r="S3257" s="49" t="n"/>
      <c r="T3257" s="49" t="n"/>
      <c r="U3257" s="47" t="inlineStr">
        <is>
          <t>Ben asks J's advice on how to get his girlfriend to jump off a cliff What do you think he should do? Upload your Grizzly Eagle Shark on our facebook page! www.facebook.com/supercarlinbrothers into water. =D</t>
        </is>
      </c>
      <c r="V3257" s="47">
        <f>IF(AND(P3257&gt;=Calendar!$K$2,P3257&lt;EDATE(Calendar!$K$2,1),OR(Calendar!$K$4="*",N3257=Calendar!$K$4)),P3257*100+COUNTIFS($P$6:$P$3267,P3257,$Q$6:$Q$3267,"&lt;="&amp;Q3257,$N$6:$N$3267,Calendar!$K$4),"")</f>
        <v/>
      </c>
      <c r="W3257" s="47">
        <f>IF(AND(B3257=Queue!$C$4,OR(Queue!$K$4="*",N3257=Queue!$K$4)),Q3257,"")</f>
        <v/>
      </c>
    </row>
    <row r="3258">
      <c r="A3258" s="38">
        <f>IF(M3258="","",HYPERLINK("https://www.youtube.com/watch?v="&amp;M3258,"▶"))</f>
        <v/>
      </c>
      <c r="B3258" s="39">
        <f>IF(C3258&lt;&gt;"",C3258,IF(P3258&lt;=IFERROR(INDEX(tblChannels[Watched Through],MATCH(N3258,tblChannels[Channel ID],0)),0),"Watched","Unwatched"))</f>
        <v/>
      </c>
      <c r="C3258" s="40" t="n"/>
      <c r="D3258" s="41" t="n"/>
      <c r="E3258" s="42" t="n">
        <v>41095.83611111111</v>
      </c>
      <c r="F3258" s="50" t="inlineStr">
        <is>
          <t>Super Carlin Brothers</t>
        </is>
      </c>
      <c r="G3258" t="inlineStr">
        <is>
          <t>Advice I've received</t>
        </is>
      </c>
      <c r="H3258" s="44" t="n">
        <v>0.002777777777777778</v>
      </c>
      <c r="I3258" s="45" t="n">
        <v>62013</v>
      </c>
      <c r="J3258" s="45" t="n">
        <v>1393</v>
      </c>
      <c r="K3258" s="45" t="n">
        <v>164</v>
      </c>
      <c r="L3258" s="46" t="n"/>
      <c r="M3258" s="47" t="n"/>
      <c r="N3258" s="47" t="inlineStr">
        <is>
          <t>UCKZo4N0lVPccBkSiuyVh4yg</t>
        </is>
      </c>
      <c r="O3258" s="48" t="n">
        <v>41096.00277777778</v>
      </c>
      <c r="P3258" s="49" t="n">
        <v>41095</v>
      </c>
      <c r="Q3258" s="47" t="n">
        <v>10</v>
      </c>
      <c r="R3258" s="47" t="inlineStr">
        <is>
          <t>No Video ID yet</t>
        </is>
      </c>
      <c r="S3258" s="49" t="n"/>
      <c r="T3258" s="49" t="n"/>
      <c r="U3258" s="47" t="inlineStr">
        <is>
          <t>Jonathan discusses some of the best advice he's ever received. What is the best advice anyone has ever given you? Upload your picture of the Grizzly Eagle Shark at: www.facebook.com/SuperCarlinBrothers =D</t>
        </is>
      </c>
      <c r="V3258" s="47">
        <f>IF(AND(P3258&gt;=Calendar!$K$2,P3258&lt;EDATE(Calendar!$K$2,1),OR(Calendar!$K$4="*",N3258=Calendar!$K$4)),P3258*100+COUNTIFS($P$6:$P$3267,P3258,$Q$6:$Q$3267,"&lt;="&amp;Q3258,$N$6:$N$3267,Calendar!$K$4),"")</f>
        <v/>
      </c>
      <c r="W3258" s="47">
        <f>IF(AND(B3258=Queue!$C$4,OR(Queue!$K$4="*",N3258=Queue!$K$4)),Q3258,"")</f>
        <v/>
      </c>
    </row>
    <row r="3259">
      <c r="A3259" s="38">
        <f>IF(M3259="","",HYPERLINK("https://www.youtube.com/watch?v="&amp;M3259,"▶"))</f>
        <v/>
      </c>
      <c r="B3259" s="39">
        <f>IF(C3259&lt;&gt;"",C3259,IF(P3259&lt;=IFERROR(INDEX(tblChannels[Watched Through],MATCH(N3259,tblChannels[Channel ID],0)),0),"Watched","Unwatched"))</f>
        <v/>
      </c>
      <c r="C3259" s="40" t="n"/>
      <c r="D3259" s="41" t="n"/>
      <c r="E3259" s="42" t="n">
        <v>41094.69583333333</v>
      </c>
      <c r="F3259" s="50" t="inlineStr">
        <is>
          <t>Super Carlin Brothers</t>
        </is>
      </c>
      <c r="G3259" t="inlineStr">
        <is>
          <t>Grizzly Eagle Shark!!</t>
        </is>
      </c>
      <c r="H3259" s="44" t="n">
        <v>0.00162037037037037</v>
      </c>
      <c r="I3259" s="45" t="n">
        <v>42602</v>
      </c>
      <c r="J3259" s="45" t="n">
        <v>1265</v>
      </c>
      <c r="K3259" s="45" t="n">
        <v>169</v>
      </c>
      <c r="L3259" s="46" t="n"/>
      <c r="M3259" s="47" t="n"/>
      <c r="N3259" s="47" t="inlineStr">
        <is>
          <t>UCKZo4N0lVPccBkSiuyVh4yg</t>
        </is>
      </c>
      <c r="O3259" s="48" t="n">
        <v>41094.8625</v>
      </c>
      <c r="P3259" s="49" t="n">
        <v>41094</v>
      </c>
      <c r="Q3259" s="47" t="n">
        <v>9</v>
      </c>
      <c r="R3259" s="47" t="inlineStr">
        <is>
          <t>No Video ID yet</t>
        </is>
      </c>
      <c r="S3259" s="49" t="n"/>
      <c r="T3259" s="49" t="n"/>
      <c r="U3259" s="47" t="inlineStr">
        <is>
          <t>Ben discusses his thoughts on The Amazing Spiderman, does a backflip, and talks about Grizzly Eagle Sharks!! 24 Hour Live Eagle Nest Link =D</t>
        </is>
      </c>
      <c r="V3259" s="47">
        <f>IF(AND(P3259&gt;=Calendar!$K$2,P3259&lt;EDATE(Calendar!$K$2,1),OR(Calendar!$K$4="*",N3259=Calendar!$K$4)),P3259*100+COUNTIFS($P$6:$P$3267,P3259,$Q$6:$Q$3267,"&lt;="&amp;Q3259,$N$6:$N$3267,Calendar!$K$4),"")</f>
        <v/>
      </c>
      <c r="W3259" s="47">
        <f>IF(AND(B3259=Queue!$C$4,OR(Queue!$K$4="*",N3259=Queue!$K$4)),Q3259,"")</f>
        <v/>
      </c>
    </row>
    <row r="3260">
      <c r="A3260" s="38">
        <f>IF(M3260="","",HYPERLINK("https://www.youtube.com/watch?v="&amp;M3260,"▶"))</f>
        <v/>
      </c>
      <c r="B3260" s="39">
        <f>IF(C3260&lt;&gt;"",C3260,IF(P3260&lt;=IFERROR(INDEX(tblChannels[Watched Through],MATCH(N3260,tblChannels[Channel ID],0)),0),"Watched","Unwatched"))</f>
        <v/>
      </c>
      <c r="C3260" s="40" t="n"/>
      <c r="D3260" s="41" t="n"/>
      <c r="E3260" s="42" t="n">
        <v>41093.83194444444</v>
      </c>
      <c r="F3260" s="50" t="inlineStr">
        <is>
          <t>Super Carlin Brothers</t>
        </is>
      </c>
      <c r="G3260" t="inlineStr">
        <is>
          <t>The Amazing Spider Man!</t>
        </is>
      </c>
      <c r="H3260" s="44" t="n">
        <v>0.002627314814814815</v>
      </c>
      <c r="I3260" s="45" t="n">
        <v>53495</v>
      </c>
      <c r="J3260" s="45" t="n">
        <v>1225</v>
      </c>
      <c r="K3260" s="45" t="n">
        <v>177</v>
      </c>
      <c r="L3260" s="46" t="n"/>
      <c r="M3260" s="47" t="n"/>
      <c r="N3260" s="47" t="inlineStr">
        <is>
          <t>UCKZo4N0lVPccBkSiuyVh4yg</t>
        </is>
      </c>
      <c r="O3260" s="48" t="n">
        <v>41093.99861111111</v>
      </c>
      <c r="P3260" s="49" t="n">
        <v>41093</v>
      </c>
      <c r="Q3260" s="47" t="n">
        <v>8</v>
      </c>
      <c r="R3260" s="47" t="inlineStr">
        <is>
          <t>No Video ID yet</t>
        </is>
      </c>
      <c r="S3260" s="49" t="n"/>
      <c r="T3260" s="49" t="n"/>
      <c r="U3260" s="47" t="inlineStr">
        <is>
          <t>Jonathan gives his thoughts on the new Spider Man movie... also Emma Stone is hot. What did you think of the movie? Show us your face on www.facebook.com/supercarlinbrothers =D</t>
        </is>
      </c>
      <c r="V3260" s="47">
        <f>IF(AND(P3260&gt;=Calendar!$K$2,P3260&lt;EDATE(Calendar!$K$2,1),OR(Calendar!$K$4="*",N3260=Calendar!$K$4)),P3260*100+COUNTIFS($P$6:$P$3267,P3260,$Q$6:$Q$3267,"&lt;="&amp;Q3260,$N$6:$N$3267,Calendar!$K$4),"")</f>
        <v/>
      </c>
      <c r="W3260" s="47">
        <f>IF(AND(B3260=Queue!$C$4,OR(Queue!$K$4="*",N3260=Queue!$K$4)),Q3260,"")</f>
        <v/>
      </c>
    </row>
    <row r="3261">
      <c r="A3261" s="38">
        <f>IF(M3261="","",HYPERLINK("https://www.youtube.com/watch?v="&amp;M3261,"▶"))</f>
        <v/>
      </c>
      <c r="B3261" s="39">
        <f>IF(C3261&lt;&gt;"",C3261,IF(P3261&lt;=IFERROR(INDEX(tblChannels[Watched Through],MATCH(N3261,tblChannels[Channel ID],0)),0),"Watched","Unwatched"))</f>
        <v/>
      </c>
      <c r="C3261" s="40" t="n"/>
      <c r="D3261" s="41" t="n"/>
      <c r="E3261" s="42" t="n">
        <v>41092.68819444445</v>
      </c>
      <c r="F3261" s="50" t="inlineStr">
        <is>
          <t>Super Carlin Brothers</t>
        </is>
      </c>
      <c r="G3261" t="inlineStr">
        <is>
          <t>Did You Read an Audiobook?</t>
        </is>
      </c>
      <c r="H3261" s="44" t="n">
        <v>0.001053240740740741</v>
      </c>
      <c r="I3261" s="45" t="n">
        <v>35721</v>
      </c>
      <c r="J3261" s="45" t="n">
        <v>836</v>
      </c>
      <c r="K3261" s="45" t="n">
        <v>126</v>
      </c>
      <c r="L3261" s="46" t="n"/>
      <c r="M3261" s="47" t="n"/>
      <c r="N3261" s="47" t="inlineStr">
        <is>
          <t>UCKZo4N0lVPccBkSiuyVh4yg</t>
        </is>
      </c>
      <c r="O3261" s="48" t="n">
        <v>41092.85486111111</v>
      </c>
      <c r="P3261" s="49" t="n">
        <v>41092</v>
      </c>
      <c r="Q3261" s="47" t="n">
        <v>7</v>
      </c>
      <c r="R3261" s="47" t="inlineStr">
        <is>
          <t>No Video ID yet</t>
        </is>
      </c>
      <c r="S3261" s="49" t="n"/>
      <c r="T3261" s="49" t="n"/>
      <c r="U3261" s="47" t="inlineStr">
        <is>
          <t>Week 2 begins! Ben discusses whether listening to a book is the same as reading it with your eye balls. What do you think?? Thanks for subscribing! Show us your face on www.facebook.com/supercarlinbrothers =D</t>
        </is>
      </c>
      <c r="V3261" s="47">
        <f>IF(AND(P3261&gt;=Calendar!$K$2,P3261&lt;EDATE(Calendar!$K$2,1),OR(Calendar!$K$4="*",N3261=Calendar!$K$4)),P3261*100+COUNTIFS($P$6:$P$3267,P3261,$Q$6:$Q$3267,"&lt;="&amp;Q3261,$N$6:$N$3267,Calendar!$K$4),"")</f>
        <v/>
      </c>
      <c r="W3261" s="47">
        <f>IF(AND(B3261=Queue!$C$4,OR(Queue!$K$4="*",N3261=Queue!$K$4)),Q3261,"")</f>
        <v/>
      </c>
    </row>
    <row r="3262">
      <c r="A3262" s="38">
        <f>IF(M3262="","",HYPERLINK("https://www.youtube.com/watch?v="&amp;M3262,"▶"))</f>
        <v/>
      </c>
      <c r="B3262" s="39">
        <f>IF(C3262&lt;&gt;"",C3262,IF(P3262&lt;=IFERROR(INDEX(tblChannels[Watched Through],MATCH(N3262,tblChannels[Channel ID],0)),0),"Watched","Unwatched"))</f>
        <v/>
      </c>
      <c r="C3262" s="40" t="n"/>
      <c r="D3262" s="41" t="n"/>
      <c r="E3262" s="42" t="n">
        <v>41089.91388888889</v>
      </c>
      <c r="F3262" s="50" t="inlineStr">
        <is>
          <t>Super Carlin Brothers</t>
        </is>
      </c>
      <c r="G3262" t="inlineStr">
        <is>
          <t>Golf karts are awesome!</t>
        </is>
      </c>
      <c r="H3262" s="44" t="n">
        <v>0.002627314814814815</v>
      </c>
      <c r="I3262" s="45" t="n">
        <v>41536</v>
      </c>
      <c r="J3262" s="45" t="n">
        <v>1119</v>
      </c>
      <c r="K3262" s="45" t="n">
        <v>133</v>
      </c>
      <c r="L3262" s="46" t="n"/>
      <c r="M3262" s="47" t="n"/>
      <c r="N3262" s="47" t="inlineStr">
        <is>
          <t>UCKZo4N0lVPccBkSiuyVh4yg</t>
        </is>
      </c>
      <c r="O3262" s="48" t="n">
        <v>41090.08055555556</v>
      </c>
      <c r="P3262" s="49" t="n">
        <v>41089</v>
      </c>
      <c r="Q3262" s="47" t="n">
        <v>6</v>
      </c>
      <c r="R3262" s="47" t="inlineStr">
        <is>
          <t>No Video ID yet</t>
        </is>
      </c>
      <c r="S3262" s="49" t="n"/>
      <c r="T3262" s="49" t="n"/>
      <c r="U3262" s="47" t="inlineStr">
        <is>
          <t>All the things I've ever noticed about golf karts and a thrilling tale where I almost cost a movie $80,000. Whats is your best mini/full-scale golf and or golf kart experience? Thanks for Subscribing! Show us your face on: www.facebook.com/supercarlinbrothers =D</t>
        </is>
      </c>
      <c r="V3262" s="47">
        <f>IF(AND(P3262&gt;=Calendar!$K$2,P3262&lt;EDATE(Calendar!$K$2,1),OR(Calendar!$K$4="*",N3262=Calendar!$K$4)),P3262*100+COUNTIFS($P$6:$P$3267,P3262,$Q$6:$Q$3267,"&lt;="&amp;Q3262,$N$6:$N$3267,Calendar!$K$4),"")</f>
        <v/>
      </c>
      <c r="W3262" s="47">
        <f>IF(AND(B3262=Queue!$C$4,OR(Queue!$K$4="*",N3262=Queue!$K$4)),Q3262,"")</f>
        <v/>
      </c>
    </row>
    <row r="3263">
      <c r="A3263" s="38">
        <f>IF(M3263="","",HYPERLINK("https://www.youtube.com/watch?v="&amp;M3263,"▶"))</f>
        <v/>
      </c>
      <c r="B3263" s="39">
        <f>IF(C3263&lt;&gt;"",C3263,IF(P3263&lt;=IFERROR(INDEX(tblChannels[Watched Through],MATCH(N3263,tblChannels[Channel ID],0)),0),"Watched","Unwatched"))</f>
        <v/>
      </c>
      <c r="C3263" s="40" t="n"/>
      <c r="D3263" s="41" t="n"/>
      <c r="E3263" s="42" t="n">
        <v>41088.65486111111</v>
      </c>
      <c r="F3263" s="50" t="inlineStr">
        <is>
          <t>Super Carlin Brothers</t>
        </is>
      </c>
      <c r="G3263" t="inlineStr">
        <is>
          <t>Get Rewarded for Watching TV!</t>
        </is>
      </c>
      <c r="H3263" s="44" t="n">
        <v>0.001712962962962963</v>
      </c>
      <c r="I3263" s="45" t="n">
        <v>43829</v>
      </c>
      <c r="J3263" s="45" t="n">
        <v>1128</v>
      </c>
      <c r="K3263" s="45" t="n">
        <v>140</v>
      </c>
      <c r="L3263" s="46" t="n"/>
      <c r="M3263" s="47" t="n"/>
      <c r="N3263" s="47" t="inlineStr">
        <is>
          <t>UCKZo4N0lVPccBkSiuyVh4yg</t>
        </is>
      </c>
      <c r="O3263" s="48" t="n">
        <v>41088.82152777778</v>
      </c>
      <c r="P3263" s="49" t="n">
        <v>41088</v>
      </c>
      <c r="Q3263" s="47" t="n">
        <v>5</v>
      </c>
      <c r="R3263" s="47" t="inlineStr">
        <is>
          <t>No Video ID yet</t>
        </is>
      </c>
      <c r="S3263" s="49" t="n"/>
      <c r="T3263" s="49" t="n"/>
      <c r="U3263" s="47" t="inlineStr">
        <is>
          <t>The Thursday show talks about a recent app that allows you to earn points for simply watching TV. =D</t>
        </is>
      </c>
      <c r="V3263" s="47">
        <f>IF(AND(P3263&gt;=Calendar!$K$2,P3263&lt;EDATE(Calendar!$K$2,1),OR(Calendar!$K$4="*",N3263=Calendar!$K$4)),P3263*100+COUNTIFS($P$6:$P$3267,P3263,$Q$6:$Q$3267,"&lt;="&amp;Q3263,$N$6:$N$3267,Calendar!$K$4),"")</f>
        <v/>
      </c>
      <c r="W3263" s="47">
        <f>IF(AND(B3263=Queue!$C$4,OR(Queue!$K$4="*",N3263=Queue!$K$4)),Q3263,"")</f>
        <v/>
      </c>
    </row>
    <row r="3264">
      <c r="A3264" s="38">
        <f>IF(M3264="","",HYPERLINK("https://www.youtube.com/watch?v="&amp;M3264,"▶"))</f>
        <v/>
      </c>
      <c r="B3264" s="39">
        <f>IF(C3264&lt;&gt;"",C3264,IF(P3264&lt;=IFERROR(INDEX(tblChannels[Watched Through],MATCH(N3264,tblChannels[Channel ID],0)),0),"Watched","Unwatched"))</f>
        <v/>
      </c>
      <c r="C3264" s="40" t="n"/>
      <c r="D3264" s="41" t="n"/>
      <c r="E3264" s="42" t="n">
        <v>41087.88541666666</v>
      </c>
      <c r="F3264" s="50" t="inlineStr">
        <is>
          <t>Super Carlin Brothers</t>
        </is>
      </c>
      <c r="G3264" t="inlineStr">
        <is>
          <t>I met an Elephant.. and other people</t>
        </is>
      </c>
      <c r="H3264" s="44" t="n">
        <v>0.001944444444444444</v>
      </c>
      <c r="I3264" s="45" t="n">
        <v>57728</v>
      </c>
      <c r="J3264" s="45" t="n">
        <v>1444</v>
      </c>
      <c r="K3264" s="45" t="n">
        <v>231</v>
      </c>
      <c r="L3264" s="46" t="n"/>
      <c r="M3264" s="47" t="n"/>
      <c r="N3264" s="47" t="inlineStr">
        <is>
          <t>UCKZo4N0lVPccBkSiuyVh4yg</t>
        </is>
      </c>
      <c r="O3264" s="48" t="n">
        <v>41088.05208333334</v>
      </c>
      <c r="P3264" s="49" t="n">
        <v>41087</v>
      </c>
      <c r="Q3264" s="47" t="n">
        <v>4</v>
      </c>
      <c r="R3264" s="47" t="inlineStr">
        <is>
          <t>No Video ID yet</t>
        </is>
      </c>
      <c r="S3264" s="49" t="n"/>
      <c r="T3264" s="49" t="n"/>
      <c r="U3264" s="47" t="inlineStr">
        <is>
          <t>Day #3: Jonathan talks about being an event marketer and the people he has met! What celebrities have you met? AND Do you think charging for multimedia applications will last? show us your face at www.facebook.com/supercarlinbrothers =D</t>
        </is>
      </c>
      <c r="V3264" s="47">
        <f>IF(AND(P3264&gt;=Calendar!$K$2,P3264&lt;EDATE(Calendar!$K$2,1),OR(Calendar!$K$4="*",N3264=Calendar!$K$4)),P3264*100+COUNTIFS($P$6:$P$3267,P3264,$Q$6:$Q$3267,"&lt;="&amp;Q3264,$N$6:$N$3267,Calendar!$K$4),"")</f>
        <v/>
      </c>
      <c r="W3264" s="47">
        <f>IF(AND(B3264=Queue!$C$4,OR(Queue!$K$4="*",N3264=Queue!$K$4)),Q3264,"")</f>
        <v/>
      </c>
    </row>
    <row r="3265">
      <c r="A3265" s="38">
        <f>IF(M3265="","",HYPERLINK("https://www.youtube.com/watch?v="&amp;M3265,"▶"))</f>
        <v/>
      </c>
      <c r="B3265" s="39">
        <f>IF(C3265&lt;&gt;"",C3265,IF(P3265&lt;=IFERROR(INDEX(tblChannels[Watched Through],MATCH(N3265,tblChannels[Channel ID],0)),0),"Watched","Unwatched"))</f>
        <v/>
      </c>
      <c r="C3265" s="40" t="n"/>
      <c r="D3265" s="41" t="n"/>
      <c r="E3265" s="42" t="n">
        <v>41086.72430555556</v>
      </c>
      <c r="F3265" s="50" t="inlineStr">
        <is>
          <t>Super Carlin Brothers</t>
        </is>
      </c>
      <c r="G3265" t="inlineStr">
        <is>
          <t>Hulu Plus is evil... kinda.</t>
        </is>
      </c>
      <c r="H3265" s="44" t="n">
        <v>0.001643518518518519</v>
      </c>
      <c r="I3265" s="45" t="n">
        <v>91091</v>
      </c>
      <c r="J3265" s="45" t="n">
        <v>2087</v>
      </c>
      <c r="K3265" s="45" t="n">
        <v>619</v>
      </c>
      <c r="L3265" s="46" t="n"/>
      <c r="M3265" s="47" t="n"/>
      <c r="N3265" s="47" t="inlineStr">
        <is>
          <t>UCKZo4N0lVPccBkSiuyVh4yg</t>
        </is>
      </c>
      <c r="O3265" s="48" t="n">
        <v>41086.89097222222</v>
      </c>
      <c r="P3265" s="49" t="n">
        <v>41086</v>
      </c>
      <c r="Q3265" s="47" t="n">
        <v>3</v>
      </c>
      <c r="R3265" s="47" t="inlineStr">
        <is>
          <t>No Video ID yet</t>
        </is>
      </c>
      <c r="S3265" s="49" t="n"/>
      <c r="T3265" s="49" t="n"/>
      <c r="U3265" s="47" t="inlineStr">
        <is>
          <t>In the very first video he's ever produced Ben is up on day two talking about the evils of Hulu Plus. What side are you on? Netflix of Hulu+ or something else?? Show us your face at: www.facebook.com/supercarlinbrothers =D</t>
        </is>
      </c>
      <c r="V3265" s="47">
        <f>IF(AND(P3265&gt;=Calendar!$K$2,P3265&lt;EDATE(Calendar!$K$2,1),OR(Calendar!$K$4="*",N3265=Calendar!$K$4)),P3265*100+COUNTIFS($P$6:$P$3267,P3265,$Q$6:$Q$3267,"&lt;="&amp;Q3265,$N$6:$N$3267,Calendar!$K$4),"")</f>
        <v/>
      </c>
      <c r="W3265" s="47">
        <f>IF(AND(B3265=Queue!$C$4,OR(Queue!$K$4="*",N3265=Queue!$K$4)),Q3265,"")</f>
        <v/>
      </c>
    </row>
    <row r="3266">
      <c r="A3266" s="38">
        <f>IF(M3266="","",HYPERLINK("https://www.youtube.com/watch?v="&amp;M3266,"▶"))</f>
        <v/>
      </c>
      <c r="B3266" s="39">
        <f>IF(C3266&lt;&gt;"",C3266,IF(P3266&lt;=IFERROR(INDEX(tblChannels[Watched Through],MATCH(N3266,tblChannels[Channel ID],0)),0),"Watched","Unwatched"))</f>
        <v/>
      </c>
      <c r="C3266" s="40" t="n"/>
      <c r="D3266" s="41" t="n"/>
      <c r="E3266" s="42" t="n">
        <v>41085.81944444445</v>
      </c>
      <c r="F3266" s="50" t="inlineStr">
        <is>
          <t>Super Carlin Brothers</t>
        </is>
      </c>
      <c r="G3266" t="inlineStr">
        <is>
          <t>So it Begins</t>
        </is>
      </c>
      <c r="H3266" s="44" t="n">
        <v>0.001631944444444445</v>
      </c>
      <c r="I3266" s="45" t="n">
        <v>146963</v>
      </c>
      <c r="J3266" s="45" t="n">
        <v>4564</v>
      </c>
      <c r="K3266" s="45" t="n">
        <v>1172</v>
      </c>
      <c r="L3266" s="46" t="n"/>
      <c r="M3266" s="47" t="n"/>
      <c r="N3266" s="47" t="inlineStr">
        <is>
          <t>UCKZo4N0lVPccBkSiuyVh4yg</t>
        </is>
      </c>
      <c r="O3266" s="48" t="n">
        <v>41085.98611111111</v>
      </c>
      <c r="P3266" s="49" t="n">
        <v>41085</v>
      </c>
      <c r="Q3266" s="47" t="n">
        <v>2</v>
      </c>
      <c r="R3266" s="47" t="inlineStr">
        <is>
          <t>No Video ID yet</t>
        </is>
      </c>
      <c r="S3266" s="49" t="n"/>
      <c r="T3266" s="49" t="n"/>
      <c r="U3266" s="47" t="inlineStr">
        <is>
          <t>Day 1 of the year long conversation begins! Introduce yourself in the comments below! or show us your face at www.facebook.com/supercarlinbrothers =D</t>
        </is>
      </c>
      <c r="V3266" s="47">
        <f>IF(AND(P3266&gt;=Calendar!$K$2,P3266&lt;EDATE(Calendar!$K$2,1),OR(Calendar!$K$4="*",N3266=Calendar!$K$4)),P3266*100+COUNTIFS($P$6:$P$3267,P3266,$Q$6:$Q$3267,"&lt;="&amp;Q3266,$N$6:$N$3267,Calendar!$K$4),"")</f>
        <v/>
      </c>
      <c r="W3266" s="47">
        <f>IF(AND(B3266=Queue!$C$4,OR(Queue!$K$4="*",N3266=Queue!$K$4)),Q3266,"")</f>
        <v/>
      </c>
    </row>
    <row r="3267">
      <c r="A3267" s="38">
        <f>IF(M3267="","",HYPERLINK("https://www.youtube.com/watch?v="&amp;M3267,"▶"))</f>
        <v/>
      </c>
      <c r="B3267" s="39">
        <f>IF(C3267&lt;&gt;"",C3267,IF(P3267&lt;=IFERROR(INDEX(tblChannels[Watched Through],MATCH(N3267,tblChannels[Channel ID],0)),0),"Watched","Unwatched"))</f>
        <v/>
      </c>
      <c r="C3267" s="40" t="n"/>
      <c r="D3267" s="41" t="n"/>
      <c r="E3267" s="42" t="n">
        <v>41058.98472222222</v>
      </c>
      <c r="F3267" s="50" t="inlineStr">
        <is>
          <t>Super Carlin Brothers</t>
        </is>
      </c>
      <c r="G3267" t="inlineStr">
        <is>
          <t>Super Carlin Brothers Teaser</t>
        </is>
      </c>
      <c r="H3267" s="44" t="n">
        <v>0.0002546296296296296</v>
      </c>
      <c r="I3267" s="45" t="n">
        <v>146050</v>
      </c>
      <c r="J3267" s="45" t="n">
        <v>2475</v>
      </c>
      <c r="K3267" s="45" t="n">
        <v>271</v>
      </c>
      <c r="L3267" s="46" t="n"/>
      <c r="M3267" s="47" t="n"/>
      <c r="N3267" s="47" t="inlineStr">
        <is>
          <t>UCKZo4N0lVPccBkSiuyVh4yg</t>
        </is>
      </c>
      <c r="O3267" s="48" t="n">
        <v>41059.15138888889</v>
      </c>
      <c r="P3267" s="49" t="n">
        <v>41058</v>
      </c>
      <c r="Q3267" s="47" t="n">
        <v>1</v>
      </c>
      <c r="R3267" s="47" t="inlineStr">
        <is>
          <t>No Video ID yet</t>
        </is>
      </c>
      <c r="S3267" s="49" t="n"/>
      <c r="T3267" s="49" t="n"/>
      <c r="U3267" s="47" t="inlineStr">
        <is>
          <t>Two brothers. One year long conversation. On the internet. Subscribe! www.facebook.com/SuperCarlinBrothers =D</t>
        </is>
      </c>
      <c r="V3267" s="47">
        <f>IF(AND(P3267&gt;=Calendar!$K$2,P3267&lt;EDATE(Calendar!$K$2,1),OR(Calendar!$K$4="*",N3267=Calendar!$K$4)),P3267*100+COUNTIFS($P$6:$P$3267,P3267,$Q$6:$Q$3267,"&lt;="&amp;Q3267,$N$6:$N$3267,Calendar!$K$4),"")</f>
        <v/>
      </c>
      <c r="W3267" s="47">
        <f>IF(AND(B3267=Queue!$C$4,OR(Queue!$K$4="*",N3267=Queue!$K$4)),Q3267,"")</f>
        <v/>
      </c>
    </row>
  </sheetData>
  <conditionalFormatting sqref="B6:B3267">
    <cfRule type="cellIs" priority="1" operator="equal" dxfId="2">
      <formula>"Watched"</formula>
    </cfRule>
    <cfRule type="cellIs" priority="2" operator="equal" dxfId="3">
      <formula>"Watch Later"</formula>
    </cfRule>
    <cfRule type="cellIs" priority="3" operator="equal" dxfId="4">
      <formula>"Skipped"</formula>
    </cfRule>
  </conditionalFormatting>
  <conditionalFormatting sqref="G6:G3267">
    <cfRule type="expression" priority="4" dxfId="5">
      <formula>$B6="Watched"</formula>
    </cfRule>
  </conditionalFormatting>
  <conditionalFormatting sqref="R6:R3267">
    <cfRule type="cellIs" priority="5" operator="equal" dxfId="6">
      <formula>"Not in last refresh"</formula>
    </cfRule>
  </conditionalFormatting>
  <dataValidations count="2">
    <dataValidation sqref="C6:C3267" showDropDown="0" showInputMessage="0" showErrorMessage="1" allowBlank="1" errorTitle="Pick from the list" error="Use: Watched, Unwatched, Watch Later, Skipped (or clear the cell)." type="list">
      <formula1>"Watched,Unwatched,Watch Later,Skipped"</formula1>
    </dataValidation>
    <dataValidation sqref="D6:D3267" showDropDown="0" showInputMessage="0" showErrorMessage="0" allowBlank="1" errorTitle="Date needed" error="Enter a date, e.g. 2026-10-02 (Ctrl+; inserts today)." type="date" operator="greaterThan">
      <formula1>36526</formula1>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0F7B8A"/>
    <outlinePr summaryBelow="1" summaryRight="1"/>
    <pageSetUpPr fitToPage="1"/>
  </sheetPr>
  <dimension ref="B2:K37"/>
  <sheetViews>
    <sheetView showGridLines="0" workbookViewId="0">
      <pane ySplit="7" topLeftCell="A8" activePane="bottomLeft" state="frozen"/>
      <selection pane="bottomLeft" activeCell="A1" sqref="A1"/>
    </sheetView>
  </sheetViews>
  <sheetFormatPr baseColWidth="8" defaultRowHeight="15"/>
  <cols>
    <col width="2" customWidth="1" min="1" max="1"/>
    <col width="5" customWidth="1" min="2" max="2"/>
    <col width="20" customWidth="1" min="3" max="3"/>
    <col width="26" customWidth="1" min="4" max="4"/>
    <col width="80" customWidth="1" min="5" max="5"/>
    <col width="11" customWidth="1" min="6" max="6"/>
    <col width="13" customWidth="1" min="7" max="7"/>
    <col width="3" customWidth="1" min="8" max="8"/>
    <col hidden="1" outlineLevel="1" width="3" customWidth="1" min="9" max="11"/>
  </cols>
  <sheetData>
    <row r="2" ht="30" customHeight="1">
      <c r="B2" s="55" t="inlineStr">
        <is>
          <t>Watch Queue</t>
        </is>
      </c>
    </row>
    <row r="3">
      <c r="C3" s="56" t="inlineStr">
        <is>
          <t>Show</t>
        </is>
      </c>
      <c r="D3" s="56" t="inlineStr">
        <is>
          <t>Channel</t>
        </is>
      </c>
      <c r="E3" s="56" t="inlineStr">
        <is>
          <t>Order</t>
        </is>
      </c>
    </row>
    <row r="4">
      <c r="B4" s="35">
        <f>HYPERLINK("#Dashboard!A1","◄ Dashboard")</f>
        <v/>
      </c>
      <c r="C4" s="57" t="inlineStr">
        <is>
          <t>Unwatched</t>
        </is>
      </c>
      <c r="D4" s="57" t="inlineStr">
        <is>
          <t>All channels</t>
        </is>
      </c>
      <c r="E4" s="57" t="inlineStr">
        <is>
          <t>Oldest first</t>
        </is>
      </c>
      <c r="K4">
        <f>IF($D$4="All channels","*",IFERROR(INDEX(tblChannels[Channel ID],MATCH($D$4,tblChannels[Display Name],0)),"none"))</f>
        <v/>
      </c>
    </row>
    <row r="5">
      <c r="B5" s="56">
        <f>COUNT(tblVideos[Queue Key])&amp;" videos match   ·   "&amp;IF(ROUND((SUMIFS(tblVideos[Length],tblVideos[Queue Key],"&gt;0"))*1440,0)&lt;60,ROUND((SUMIFS(tblVideos[Length],tblVideos[Queue Key],"&gt;0"))*1440,0)&amp;" m",IF(MOD(ROUND((SUMIFS(tblVideos[Length],tblVideos[Queue Key],"&gt;0"))*1440,0),60)=0,INT(ROUND((SUMIFS(tblVideos[Length],tblVideos[Queue Key],"&gt;0"))*1440,0)/60)&amp;" h",INT(ROUND((SUMIFS(tblVideos[Length],tblVideos[Queue Key],"&gt;0"))*1440,0)/60)&amp;" h "&amp;MOD(ROUND((SUMIFS(tblVideos[Length],tblVideos[Queue Key],"&gt;0"))*1440,0),60)&amp;" m"))&amp;" of runtime"</f>
        <v/>
      </c>
    </row>
    <row r="6">
      <c r="B6" s="2" t="inlineStr">
        <is>
          <t>Your next videos. Click a title to open it on YouTube; mark it watched in the Library.</t>
        </is>
      </c>
    </row>
    <row r="7" ht="22" customHeight="1">
      <c r="B7" s="12" t="inlineStr">
        <is>
          <t>#</t>
        </is>
      </c>
      <c r="C7" s="12" t="inlineStr">
        <is>
          <t>Published</t>
        </is>
      </c>
      <c r="D7" s="12" t="inlineStr">
        <is>
          <t>Channel</t>
        </is>
      </c>
      <c r="E7" s="12" t="inlineStr">
        <is>
          <t>Title</t>
        </is>
      </c>
      <c r="F7" s="12" t="inlineStr">
        <is>
          <t>Length</t>
        </is>
      </c>
      <c r="G7" s="12" t="inlineStr">
        <is>
          <t>Status</t>
        </is>
      </c>
    </row>
    <row r="8">
      <c r="B8" s="58">
        <f>IF($I8="","",1)</f>
        <v/>
      </c>
      <c r="C8" s="19">
        <f>IF($I8="","",INDEX(tblVideos[Day],$I8))</f>
        <v/>
      </c>
      <c r="D8" s="32">
        <f>IF($I8="","",INDEX(tblVideos[Channel],$I8))</f>
        <v/>
      </c>
      <c r="E8" s="29">
        <f>IF($I8="","",IF(INDEX(tblVideos[Video ID],$I8)="",INDEX(tblVideos[Title],$I8),HYPERLINK("https://www.youtube.com/watch?v="&amp;INDEX(tblVideos[Video ID],$I8),INDEX(tblVideos[Title],$I8))))</f>
        <v/>
      </c>
      <c r="F8" s="30">
        <f>IF($I8="","",INDEX(tblVideos[Length],$I8))</f>
        <v/>
      </c>
      <c r="G8" s="33">
        <f>IF($I8="","",INDEX(tblVideos[Status],$I8))</f>
        <v/>
      </c>
      <c r="I8">
        <f>IFERROR(MATCH(IF($E$4="Newest first",LARGE(tblVideos[Queue Key],1),SMALL(tblVideos[Queue Key],1)),tblVideos[Seq],0),"")</f>
        <v/>
      </c>
    </row>
    <row r="9">
      <c r="B9" s="58">
        <f>IF($I9="","",2)</f>
        <v/>
      </c>
      <c r="C9" s="19">
        <f>IF($I9="","",INDEX(tblVideos[Day],$I9))</f>
        <v/>
      </c>
      <c r="D9" s="32">
        <f>IF($I9="","",INDEX(tblVideos[Channel],$I9))</f>
        <v/>
      </c>
      <c r="E9" s="29">
        <f>IF($I9="","",IF(INDEX(tblVideos[Video ID],$I9)="",INDEX(tblVideos[Title],$I9),HYPERLINK("https://www.youtube.com/watch?v="&amp;INDEX(tblVideos[Video ID],$I9),INDEX(tblVideos[Title],$I9))))</f>
        <v/>
      </c>
      <c r="F9" s="30">
        <f>IF($I9="","",INDEX(tblVideos[Length],$I9))</f>
        <v/>
      </c>
      <c r="G9" s="33">
        <f>IF($I9="","",INDEX(tblVideos[Status],$I9))</f>
        <v/>
      </c>
      <c r="I9">
        <f>IFERROR(MATCH(IF($E$4="Newest first",LARGE(tblVideos[Queue Key],2),SMALL(tblVideos[Queue Key],2)),tblVideos[Seq],0),"")</f>
        <v/>
      </c>
    </row>
    <row r="10">
      <c r="B10" s="58">
        <f>IF($I10="","",3)</f>
        <v/>
      </c>
      <c r="C10" s="19">
        <f>IF($I10="","",INDEX(tblVideos[Day],$I10))</f>
        <v/>
      </c>
      <c r="D10" s="32">
        <f>IF($I10="","",INDEX(tblVideos[Channel],$I10))</f>
        <v/>
      </c>
      <c r="E10" s="29">
        <f>IF($I10="","",IF(INDEX(tblVideos[Video ID],$I10)="",INDEX(tblVideos[Title],$I10),HYPERLINK("https://www.youtube.com/watch?v="&amp;INDEX(tblVideos[Video ID],$I10),INDEX(tblVideos[Title],$I10))))</f>
        <v/>
      </c>
      <c r="F10" s="30">
        <f>IF($I10="","",INDEX(tblVideos[Length],$I10))</f>
        <v/>
      </c>
      <c r="G10" s="33">
        <f>IF($I10="","",INDEX(tblVideos[Status],$I10))</f>
        <v/>
      </c>
      <c r="I10">
        <f>IFERROR(MATCH(IF($E$4="Newest first",LARGE(tblVideos[Queue Key],3),SMALL(tblVideos[Queue Key],3)),tblVideos[Seq],0),"")</f>
        <v/>
      </c>
    </row>
    <row r="11">
      <c r="B11" s="58">
        <f>IF($I11="","",4)</f>
        <v/>
      </c>
      <c r="C11" s="19">
        <f>IF($I11="","",INDEX(tblVideos[Day],$I11))</f>
        <v/>
      </c>
      <c r="D11" s="32">
        <f>IF($I11="","",INDEX(tblVideos[Channel],$I11))</f>
        <v/>
      </c>
      <c r="E11" s="29">
        <f>IF($I11="","",IF(INDEX(tblVideos[Video ID],$I11)="",INDEX(tblVideos[Title],$I11),HYPERLINK("https://www.youtube.com/watch?v="&amp;INDEX(tblVideos[Video ID],$I11),INDEX(tblVideos[Title],$I11))))</f>
        <v/>
      </c>
      <c r="F11" s="30">
        <f>IF($I11="","",INDEX(tblVideos[Length],$I11))</f>
        <v/>
      </c>
      <c r="G11" s="33">
        <f>IF($I11="","",INDEX(tblVideos[Status],$I11))</f>
        <v/>
      </c>
      <c r="I11">
        <f>IFERROR(MATCH(IF($E$4="Newest first",LARGE(tblVideos[Queue Key],4),SMALL(tblVideos[Queue Key],4)),tblVideos[Seq],0),"")</f>
        <v/>
      </c>
    </row>
    <row r="12">
      <c r="B12" s="58">
        <f>IF($I12="","",5)</f>
        <v/>
      </c>
      <c r="C12" s="19">
        <f>IF($I12="","",INDEX(tblVideos[Day],$I12))</f>
        <v/>
      </c>
      <c r="D12" s="32">
        <f>IF($I12="","",INDEX(tblVideos[Channel],$I12))</f>
        <v/>
      </c>
      <c r="E12" s="29">
        <f>IF($I12="","",IF(INDEX(tblVideos[Video ID],$I12)="",INDEX(tblVideos[Title],$I12),HYPERLINK("https://www.youtube.com/watch?v="&amp;INDEX(tblVideos[Video ID],$I12),INDEX(tblVideos[Title],$I12))))</f>
        <v/>
      </c>
      <c r="F12" s="30">
        <f>IF($I12="","",INDEX(tblVideos[Length],$I12))</f>
        <v/>
      </c>
      <c r="G12" s="33">
        <f>IF($I12="","",INDEX(tblVideos[Status],$I12))</f>
        <v/>
      </c>
      <c r="I12">
        <f>IFERROR(MATCH(IF($E$4="Newest first",LARGE(tblVideos[Queue Key],5),SMALL(tblVideos[Queue Key],5)),tblVideos[Seq],0),"")</f>
        <v/>
      </c>
    </row>
    <row r="13">
      <c r="B13" s="58">
        <f>IF($I13="","",6)</f>
        <v/>
      </c>
      <c r="C13" s="19">
        <f>IF($I13="","",INDEX(tblVideos[Day],$I13))</f>
        <v/>
      </c>
      <c r="D13" s="32">
        <f>IF($I13="","",INDEX(tblVideos[Channel],$I13))</f>
        <v/>
      </c>
      <c r="E13" s="29">
        <f>IF($I13="","",IF(INDEX(tblVideos[Video ID],$I13)="",INDEX(tblVideos[Title],$I13),HYPERLINK("https://www.youtube.com/watch?v="&amp;INDEX(tblVideos[Video ID],$I13),INDEX(tblVideos[Title],$I13))))</f>
        <v/>
      </c>
      <c r="F13" s="30">
        <f>IF($I13="","",INDEX(tblVideos[Length],$I13))</f>
        <v/>
      </c>
      <c r="G13" s="33">
        <f>IF($I13="","",INDEX(tblVideos[Status],$I13))</f>
        <v/>
      </c>
      <c r="I13">
        <f>IFERROR(MATCH(IF($E$4="Newest first",LARGE(tblVideos[Queue Key],6),SMALL(tblVideos[Queue Key],6)),tblVideos[Seq],0),"")</f>
        <v/>
      </c>
    </row>
    <row r="14">
      <c r="B14" s="58">
        <f>IF($I14="","",7)</f>
        <v/>
      </c>
      <c r="C14" s="19">
        <f>IF($I14="","",INDEX(tblVideos[Day],$I14))</f>
        <v/>
      </c>
      <c r="D14" s="32">
        <f>IF($I14="","",INDEX(tblVideos[Channel],$I14))</f>
        <v/>
      </c>
      <c r="E14" s="29">
        <f>IF($I14="","",IF(INDEX(tblVideos[Video ID],$I14)="",INDEX(tblVideos[Title],$I14),HYPERLINK("https://www.youtube.com/watch?v="&amp;INDEX(tblVideos[Video ID],$I14),INDEX(tblVideos[Title],$I14))))</f>
        <v/>
      </c>
      <c r="F14" s="30">
        <f>IF($I14="","",INDEX(tblVideos[Length],$I14))</f>
        <v/>
      </c>
      <c r="G14" s="33">
        <f>IF($I14="","",INDEX(tblVideos[Status],$I14))</f>
        <v/>
      </c>
      <c r="I14">
        <f>IFERROR(MATCH(IF($E$4="Newest first",LARGE(tblVideos[Queue Key],7),SMALL(tblVideos[Queue Key],7)),tblVideos[Seq],0),"")</f>
        <v/>
      </c>
    </row>
    <row r="15">
      <c r="B15" s="58">
        <f>IF($I15="","",8)</f>
        <v/>
      </c>
      <c r="C15" s="19">
        <f>IF($I15="","",INDEX(tblVideos[Day],$I15))</f>
        <v/>
      </c>
      <c r="D15" s="32">
        <f>IF($I15="","",INDEX(tblVideos[Channel],$I15))</f>
        <v/>
      </c>
      <c r="E15" s="29">
        <f>IF($I15="","",IF(INDEX(tblVideos[Video ID],$I15)="",INDEX(tblVideos[Title],$I15),HYPERLINK("https://www.youtube.com/watch?v="&amp;INDEX(tblVideos[Video ID],$I15),INDEX(tblVideos[Title],$I15))))</f>
        <v/>
      </c>
      <c r="F15" s="30">
        <f>IF($I15="","",INDEX(tblVideos[Length],$I15))</f>
        <v/>
      </c>
      <c r="G15" s="33">
        <f>IF($I15="","",INDEX(tblVideos[Status],$I15))</f>
        <v/>
      </c>
      <c r="I15">
        <f>IFERROR(MATCH(IF($E$4="Newest first",LARGE(tblVideos[Queue Key],8),SMALL(tblVideos[Queue Key],8)),tblVideos[Seq],0),"")</f>
        <v/>
      </c>
    </row>
    <row r="16">
      <c r="B16" s="58">
        <f>IF($I16="","",9)</f>
        <v/>
      </c>
      <c r="C16" s="19">
        <f>IF($I16="","",INDEX(tblVideos[Day],$I16))</f>
        <v/>
      </c>
      <c r="D16" s="32">
        <f>IF($I16="","",INDEX(tblVideos[Channel],$I16))</f>
        <v/>
      </c>
      <c r="E16" s="29">
        <f>IF($I16="","",IF(INDEX(tblVideos[Video ID],$I16)="",INDEX(tblVideos[Title],$I16),HYPERLINK("https://www.youtube.com/watch?v="&amp;INDEX(tblVideos[Video ID],$I16),INDEX(tblVideos[Title],$I16))))</f>
        <v/>
      </c>
      <c r="F16" s="30">
        <f>IF($I16="","",INDEX(tblVideos[Length],$I16))</f>
        <v/>
      </c>
      <c r="G16" s="33">
        <f>IF($I16="","",INDEX(tblVideos[Status],$I16))</f>
        <v/>
      </c>
      <c r="I16">
        <f>IFERROR(MATCH(IF($E$4="Newest first",LARGE(tblVideos[Queue Key],9),SMALL(tblVideos[Queue Key],9)),tblVideos[Seq],0),"")</f>
        <v/>
      </c>
    </row>
    <row r="17">
      <c r="B17" s="58">
        <f>IF($I17="","",10)</f>
        <v/>
      </c>
      <c r="C17" s="19">
        <f>IF($I17="","",INDEX(tblVideos[Day],$I17))</f>
        <v/>
      </c>
      <c r="D17" s="32">
        <f>IF($I17="","",INDEX(tblVideos[Channel],$I17))</f>
        <v/>
      </c>
      <c r="E17" s="29">
        <f>IF($I17="","",IF(INDEX(tblVideos[Video ID],$I17)="",INDEX(tblVideos[Title],$I17),HYPERLINK("https://www.youtube.com/watch?v="&amp;INDEX(tblVideos[Video ID],$I17),INDEX(tblVideos[Title],$I17))))</f>
        <v/>
      </c>
      <c r="F17" s="30">
        <f>IF($I17="","",INDEX(tblVideos[Length],$I17))</f>
        <v/>
      </c>
      <c r="G17" s="33">
        <f>IF($I17="","",INDEX(tblVideos[Status],$I17))</f>
        <v/>
      </c>
      <c r="I17">
        <f>IFERROR(MATCH(IF($E$4="Newest first",LARGE(tblVideos[Queue Key],10),SMALL(tblVideos[Queue Key],10)),tblVideos[Seq],0),"")</f>
        <v/>
      </c>
    </row>
    <row r="18">
      <c r="B18" s="58">
        <f>IF($I18="","",11)</f>
        <v/>
      </c>
      <c r="C18" s="19">
        <f>IF($I18="","",INDEX(tblVideos[Day],$I18))</f>
        <v/>
      </c>
      <c r="D18" s="32">
        <f>IF($I18="","",INDEX(tblVideos[Channel],$I18))</f>
        <v/>
      </c>
      <c r="E18" s="29">
        <f>IF($I18="","",IF(INDEX(tblVideos[Video ID],$I18)="",INDEX(tblVideos[Title],$I18),HYPERLINK("https://www.youtube.com/watch?v="&amp;INDEX(tblVideos[Video ID],$I18),INDEX(tblVideos[Title],$I18))))</f>
        <v/>
      </c>
      <c r="F18" s="30">
        <f>IF($I18="","",INDEX(tblVideos[Length],$I18))</f>
        <v/>
      </c>
      <c r="G18" s="33">
        <f>IF($I18="","",INDEX(tblVideos[Status],$I18))</f>
        <v/>
      </c>
      <c r="I18">
        <f>IFERROR(MATCH(IF($E$4="Newest first",LARGE(tblVideos[Queue Key],11),SMALL(tblVideos[Queue Key],11)),tblVideos[Seq],0),"")</f>
        <v/>
      </c>
    </row>
    <row r="19">
      <c r="B19" s="58">
        <f>IF($I19="","",12)</f>
        <v/>
      </c>
      <c r="C19" s="19">
        <f>IF($I19="","",INDEX(tblVideos[Day],$I19))</f>
        <v/>
      </c>
      <c r="D19" s="32">
        <f>IF($I19="","",INDEX(tblVideos[Channel],$I19))</f>
        <v/>
      </c>
      <c r="E19" s="29">
        <f>IF($I19="","",IF(INDEX(tblVideos[Video ID],$I19)="",INDEX(tblVideos[Title],$I19),HYPERLINK("https://www.youtube.com/watch?v="&amp;INDEX(tblVideos[Video ID],$I19),INDEX(tblVideos[Title],$I19))))</f>
        <v/>
      </c>
      <c r="F19" s="30">
        <f>IF($I19="","",INDEX(tblVideos[Length],$I19))</f>
        <v/>
      </c>
      <c r="G19" s="33">
        <f>IF($I19="","",INDEX(tblVideos[Status],$I19))</f>
        <v/>
      </c>
      <c r="I19">
        <f>IFERROR(MATCH(IF($E$4="Newest first",LARGE(tblVideos[Queue Key],12),SMALL(tblVideos[Queue Key],12)),tblVideos[Seq],0),"")</f>
        <v/>
      </c>
    </row>
    <row r="20">
      <c r="B20" s="58">
        <f>IF($I20="","",13)</f>
        <v/>
      </c>
      <c r="C20" s="19">
        <f>IF($I20="","",INDEX(tblVideos[Day],$I20))</f>
        <v/>
      </c>
      <c r="D20" s="32">
        <f>IF($I20="","",INDEX(tblVideos[Channel],$I20))</f>
        <v/>
      </c>
      <c r="E20" s="29">
        <f>IF($I20="","",IF(INDEX(tblVideos[Video ID],$I20)="",INDEX(tblVideos[Title],$I20),HYPERLINK("https://www.youtube.com/watch?v="&amp;INDEX(tblVideos[Video ID],$I20),INDEX(tblVideos[Title],$I20))))</f>
        <v/>
      </c>
      <c r="F20" s="30">
        <f>IF($I20="","",INDEX(tblVideos[Length],$I20))</f>
        <v/>
      </c>
      <c r="G20" s="33">
        <f>IF($I20="","",INDEX(tblVideos[Status],$I20))</f>
        <v/>
      </c>
      <c r="I20">
        <f>IFERROR(MATCH(IF($E$4="Newest first",LARGE(tblVideos[Queue Key],13),SMALL(tblVideos[Queue Key],13)),tblVideos[Seq],0),"")</f>
        <v/>
      </c>
    </row>
    <row r="21">
      <c r="B21" s="58">
        <f>IF($I21="","",14)</f>
        <v/>
      </c>
      <c r="C21" s="19">
        <f>IF($I21="","",INDEX(tblVideos[Day],$I21))</f>
        <v/>
      </c>
      <c r="D21" s="32">
        <f>IF($I21="","",INDEX(tblVideos[Channel],$I21))</f>
        <v/>
      </c>
      <c r="E21" s="29">
        <f>IF($I21="","",IF(INDEX(tblVideos[Video ID],$I21)="",INDEX(tblVideos[Title],$I21),HYPERLINK("https://www.youtube.com/watch?v="&amp;INDEX(tblVideos[Video ID],$I21),INDEX(tblVideos[Title],$I21))))</f>
        <v/>
      </c>
      <c r="F21" s="30">
        <f>IF($I21="","",INDEX(tblVideos[Length],$I21))</f>
        <v/>
      </c>
      <c r="G21" s="33">
        <f>IF($I21="","",INDEX(tblVideos[Status],$I21))</f>
        <v/>
      </c>
      <c r="I21">
        <f>IFERROR(MATCH(IF($E$4="Newest first",LARGE(tblVideos[Queue Key],14),SMALL(tblVideos[Queue Key],14)),tblVideos[Seq],0),"")</f>
        <v/>
      </c>
    </row>
    <row r="22">
      <c r="B22" s="58">
        <f>IF($I22="","",15)</f>
        <v/>
      </c>
      <c r="C22" s="19">
        <f>IF($I22="","",INDEX(tblVideos[Day],$I22))</f>
        <v/>
      </c>
      <c r="D22" s="32">
        <f>IF($I22="","",INDEX(tblVideos[Channel],$I22))</f>
        <v/>
      </c>
      <c r="E22" s="29">
        <f>IF($I22="","",IF(INDEX(tblVideos[Video ID],$I22)="",INDEX(tblVideos[Title],$I22),HYPERLINK("https://www.youtube.com/watch?v="&amp;INDEX(tblVideos[Video ID],$I22),INDEX(tblVideos[Title],$I22))))</f>
        <v/>
      </c>
      <c r="F22" s="30">
        <f>IF($I22="","",INDEX(tblVideos[Length],$I22))</f>
        <v/>
      </c>
      <c r="G22" s="33">
        <f>IF($I22="","",INDEX(tblVideos[Status],$I22))</f>
        <v/>
      </c>
      <c r="I22">
        <f>IFERROR(MATCH(IF($E$4="Newest first",LARGE(tblVideos[Queue Key],15),SMALL(tblVideos[Queue Key],15)),tblVideos[Seq],0),"")</f>
        <v/>
      </c>
    </row>
    <row r="23">
      <c r="B23" s="58">
        <f>IF($I23="","",16)</f>
        <v/>
      </c>
      <c r="C23" s="19">
        <f>IF($I23="","",INDEX(tblVideos[Day],$I23))</f>
        <v/>
      </c>
      <c r="D23" s="32">
        <f>IF($I23="","",INDEX(tblVideos[Channel],$I23))</f>
        <v/>
      </c>
      <c r="E23" s="29">
        <f>IF($I23="","",IF(INDEX(tblVideos[Video ID],$I23)="",INDEX(tblVideos[Title],$I23),HYPERLINK("https://www.youtube.com/watch?v="&amp;INDEX(tblVideos[Video ID],$I23),INDEX(tblVideos[Title],$I23))))</f>
        <v/>
      </c>
      <c r="F23" s="30">
        <f>IF($I23="","",INDEX(tblVideos[Length],$I23))</f>
        <v/>
      </c>
      <c r="G23" s="33">
        <f>IF($I23="","",INDEX(tblVideos[Status],$I23))</f>
        <v/>
      </c>
      <c r="I23">
        <f>IFERROR(MATCH(IF($E$4="Newest first",LARGE(tblVideos[Queue Key],16),SMALL(tblVideos[Queue Key],16)),tblVideos[Seq],0),"")</f>
        <v/>
      </c>
    </row>
    <row r="24">
      <c r="B24" s="58">
        <f>IF($I24="","",17)</f>
        <v/>
      </c>
      <c r="C24" s="19">
        <f>IF($I24="","",INDEX(tblVideos[Day],$I24))</f>
        <v/>
      </c>
      <c r="D24" s="32">
        <f>IF($I24="","",INDEX(tblVideos[Channel],$I24))</f>
        <v/>
      </c>
      <c r="E24" s="29">
        <f>IF($I24="","",IF(INDEX(tblVideos[Video ID],$I24)="",INDEX(tblVideos[Title],$I24),HYPERLINK("https://www.youtube.com/watch?v="&amp;INDEX(tblVideos[Video ID],$I24),INDEX(tblVideos[Title],$I24))))</f>
        <v/>
      </c>
      <c r="F24" s="30">
        <f>IF($I24="","",INDEX(tblVideos[Length],$I24))</f>
        <v/>
      </c>
      <c r="G24" s="33">
        <f>IF($I24="","",INDEX(tblVideos[Status],$I24))</f>
        <v/>
      </c>
      <c r="I24">
        <f>IFERROR(MATCH(IF($E$4="Newest first",LARGE(tblVideos[Queue Key],17),SMALL(tblVideos[Queue Key],17)),tblVideos[Seq],0),"")</f>
        <v/>
      </c>
    </row>
    <row r="25">
      <c r="B25" s="58">
        <f>IF($I25="","",18)</f>
        <v/>
      </c>
      <c r="C25" s="19">
        <f>IF($I25="","",INDEX(tblVideos[Day],$I25))</f>
        <v/>
      </c>
      <c r="D25" s="32">
        <f>IF($I25="","",INDEX(tblVideos[Channel],$I25))</f>
        <v/>
      </c>
      <c r="E25" s="29">
        <f>IF($I25="","",IF(INDEX(tblVideos[Video ID],$I25)="",INDEX(tblVideos[Title],$I25),HYPERLINK("https://www.youtube.com/watch?v="&amp;INDEX(tblVideos[Video ID],$I25),INDEX(tblVideos[Title],$I25))))</f>
        <v/>
      </c>
      <c r="F25" s="30">
        <f>IF($I25="","",INDEX(tblVideos[Length],$I25))</f>
        <v/>
      </c>
      <c r="G25" s="33">
        <f>IF($I25="","",INDEX(tblVideos[Status],$I25))</f>
        <v/>
      </c>
      <c r="I25">
        <f>IFERROR(MATCH(IF($E$4="Newest first",LARGE(tblVideos[Queue Key],18),SMALL(tblVideos[Queue Key],18)),tblVideos[Seq],0),"")</f>
        <v/>
      </c>
    </row>
    <row r="26">
      <c r="B26" s="58">
        <f>IF($I26="","",19)</f>
        <v/>
      </c>
      <c r="C26" s="19">
        <f>IF($I26="","",INDEX(tblVideos[Day],$I26))</f>
        <v/>
      </c>
      <c r="D26" s="32">
        <f>IF($I26="","",INDEX(tblVideos[Channel],$I26))</f>
        <v/>
      </c>
      <c r="E26" s="29">
        <f>IF($I26="","",IF(INDEX(tblVideos[Video ID],$I26)="",INDEX(tblVideos[Title],$I26),HYPERLINK("https://www.youtube.com/watch?v="&amp;INDEX(tblVideos[Video ID],$I26),INDEX(tblVideos[Title],$I26))))</f>
        <v/>
      </c>
      <c r="F26" s="30">
        <f>IF($I26="","",INDEX(tblVideos[Length],$I26))</f>
        <v/>
      </c>
      <c r="G26" s="33">
        <f>IF($I26="","",INDEX(tblVideos[Status],$I26))</f>
        <v/>
      </c>
      <c r="I26">
        <f>IFERROR(MATCH(IF($E$4="Newest first",LARGE(tblVideos[Queue Key],19),SMALL(tblVideos[Queue Key],19)),tblVideos[Seq],0),"")</f>
        <v/>
      </c>
    </row>
    <row r="27">
      <c r="B27" s="58">
        <f>IF($I27="","",20)</f>
        <v/>
      </c>
      <c r="C27" s="19">
        <f>IF($I27="","",INDEX(tblVideos[Day],$I27))</f>
        <v/>
      </c>
      <c r="D27" s="32">
        <f>IF($I27="","",INDEX(tblVideos[Channel],$I27))</f>
        <v/>
      </c>
      <c r="E27" s="29">
        <f>IF($I27="","",IF(INDEX(tblVideos[Video ID],$I27)="",INDEX(tblVideos[Title],$I27),HYPERLINK("https://www.youtube.com/watch?v="&amp;INDEX(tblVideos[Video ID],$I27),INDEX(tblVideos[Title],$I27))))</f>
        <v/>
      </c>
      <c r="F27" s="30">
        <f>IF($I27="","",INDEX(tblVideos[Length],$I27))</f>
        <v/>
      </c>
      <c r="G27" s="33">
        <f>IF($I27="","",INDEX(tblVideos[Status],$I27))</f>
        <v/>
      </c>
      <c r="I27">
        <f>IFERROR(MATCH(IF($E$4="Newest first",LARGE(tblVideos[Queue Key],20),SMALL(tblVideos[Queue Key],20)),tblVideos[Seq],0),"")</f>
        <v/>
      </c>
    </row>
    <row r="28">
      <c r="B28" s="58">
        <f>IF($I28="","",21)</f>
        <v/>
      </c>
      <c r="C28" s="19">
        <f>IF($I28="","",INDEX(tblVideos[Day],$I28))</f>
        <v/>
      </c>
      <c r="D28" s="32">
        <f>IF($I28="","",INDEX(tblVideos[Channel],$I28))</f>
        <v/>
      </c>
      <c r="E28" s="29">
        <f>IF($I28="","",IF(INDEX(tblVideos[Video ID],$I28)="",INDEX(tblVideos[Title],$I28),HYPERLINK("https://www.youtube.com/watch?v="&amp;INDEX(tblVideos[Video ID],$I28),INDEX(tblVideos[Title],$I28))))</f>
        <v/>
      </c>
      <c r="F28" s="30">
        <f>IF($I28="","",INDEX(tblVideos[Length],$I28))</f>
        <v/>
      </c>
      <c r="G28" s="33">
        <f>IF($I28="","",INDEX(tblVideos[Status],$I28))</f>
        <v/>
      </c>
      <c r="I28">
        <f>IFERROR(MATCH(IF($E$4="Newest first",LARGE(tblVideos[Queue Key],21),SMALL(tblVideos[Queue Key],21)),tblVideos[Seq],0),"")</f>
        <v/>
      </c>
    </row>
    <row r="29">
      <c r="B29" s="58">
        <f>IF($I29="","",22)</f>
        <v/>
      </c>
      <c r="C29" s="19">
        <f>IF($I29="","",INDEX(tblVideos[Day],$I29))</f>
        <v/>
      </c>
      <c r="D29" s="32">
        <f>IF($I29="","",INDEX(tblVideos[Channel],$I29))</f>
        <v/>
      </c>
      <c r="E29" s="29">
        <f>IF($I29="","",IF(INDEX(tblVideos[Video ID],$I29)="",INDEX(tblVideos[Title],$I29),HYPERLINK("https://www.youtube.com/watch?v="&amp;INDEX(tblVideos[Video ID],$I29),INDEX(tblVideos[Title],$I29))))</f>
        <v/>
      </c>
      <c r="F29" s="30">
        <f>IF($I29="","",INDEX(tblVideos[Length],$I29))</f>
        <v/>
      </c>
      <c r="G29" s="33">
        <f>IF($I29="","",INDEX(tblVideos[Status],$I29))</f>
        <v/>
      </c>
      <c r="I29">
        <f>IFERROR(MATCH(IF($E$4="Newest first",LARGE(tblVideos[Queue Key],22),SMALL(tblVideos[Queue Key],22)),tblVideos[Seq],0),"")</f>
        <v/>
      </c>
    </row>
    <row r="30">
      <c r="B30" s="58">
        <f>IF($I30="","",23)</f>
        <v/>
      </c>
      <c r="C30" s="19">
        <f>IF($I30="","",INDEX(tblVideos[Day],$I30))</f>
        <v/>
      </c>
      <c r="D30" s="32">
        <f>IF($I30="","",INDEX(tblVideos[Channel],$I30))</f>
        <v/>
      </c>
      <c r="E30" s="29">
        <f>IF($I30="","",IF(INDEX(tblVideos[Video ID],$I30)="",INDEX(tblVideos[Title],$I30),HYPERLINK("https://www.youtube.com/watch?v="&amp;INDEX(tblVideos[Video ID],$I30),INDEX(tblVideos[Title],$I30))))</f>
        <v/>
      </c>
      <c r="F30" s="30">
        <f>IF($I30="","",INDEX(tblVideos[Length],$I30))</f>
        <v/>
      </c>
      <c r="G30" s="33">
        <f>IF($I30="","",INDEX(tblVideos[Status],$I30))</f>
        <v/>
      </c>
      <c r="I30">
        <f>IFERROR(MATCH(IF($E$4="Newest first",LARGE(tblVideos[Queue Key],23),SMALL(tblVideos[Queue Key],23)),tblVideos[Seq],0),"")</f>
        <v/>
      </c>
    </row>
    <row r="31">
      <c r="B31" s="58">
        <f>IF($I31="","",24)</f>
        <v/>
      </c>
      <c r="C31" s="19">
        <f>IF($I31="","",INDEX(tblVideos[Day],$I31))</f>
        <v/>
      </c>
      <c r="D31" s="32">
        <f>IF($I31="","",INDEX(tblVideos[Channel],$I31))</f>
        <v/>
      </c>
      <c r="E31" s="29">
        <f>IF($I31="","",IF(INDEX(tblVideos[Video ID],$I31)="",INDEX(tblVideos[Title],$I31),HYPERLINK("https://www.youtube.com/watch?v="&amp;INDEX(tblVideos[Video ID],$I31),INDEX(tblVideos[Title],$I31))))</f>
        <v/>
      </c>
      <c r="F31" s="30">
        <f>IF($I31="","",INDEX(tblVideos[Length],$I31))</f>
        <v/>
      </c>
      <c r="G31" s="33">
        <f>IF($I31="","",INDEX(tblVideos[Status],$I31))</f>
        <v/>
      </c>
      <c r="I31">
        <f>IFERROR(MATCH(IF($E$4="Newest first",LARGE(tblVideos[Queue Key],24),SMALL(tblVideos[Queue Key],24)),tblVideos[Seq],0),"")</f>
        <v/>
      </c>
    </row>
    <row r="32">
      <c r="B32" s="58">
        <f>IF($I32="","",25)</f>
        <v/>
      </c>
      <c r="C32" s="19">
        <f>IF($I32="","",INDEX(tblVideos[Day],$I32))</f>
        <v/>
      </c>
      <c r="D32" s="32">
        <f>IF($I32="","",INDEX(tblVideos[Channel],$I32))</f>
        <v/>
      </c>
      <c r="E32" s="29">
        <f>IF($I32="","",IF(INDEX(tblVideos[Video ID],$I32)="",INDEX(tblVideos[Title],$I32),HYPERLINK("https://www.youtube.com/watch?v="&amp;INDEX(tblVideos[Video ID],$I32),INDEX(tblVideos[Title],$I32))))</f>
        <v/>
      </c>
      <c r="F32" s="30">
        <f>IF($I32="","",INDEX(tblVideos[Length],$I32))</f>
        <v/>
      </c>
      <c r="G32" s="33">
        <f>IF($I32="","",INDEX(tblVideos[Status],$I32))</f>
        <v/>
      </c>
      <c r="I32">
        <f>IFERROR(MATCH(IF($E$4="Newest first",LARGE(tblVideos[Queue Key],25),SMALL(tblVideos[Queue Key],25)),tblVideos[Seq],0),"")</f>
        <v/>
      </c>
    </row>
    <row r="33">
      <c r="B33" s="58">
        <f>IF($I33="","",26)</f>
        <v/>
      </c>
      <c r="C33" s="19">
        <f>IF($I33="","",INDEX(tblVideos[Day],$I33))</f>
        <v/>
      </c>
      <c r="D33" s="32">
        <f>IF($I33="","",INDEX(tblVideos[Channel],$I33))</f>
        <v/>
      </c>
      <c r="E33" s="29">
        <f>IF($I33="","",IF(INDEX(tblVideos[Video ID],$I33)="",INDEX(tblVideos[Title],$I33),HYPERLINK("https://www.youtube.com/watch?v="&amp;INDEX(tblVideos[Video ID],$I33),INDEX(tblVideos[Title],$I33))))</f>
        <v/>
      </c>
      <c r="F33" s="30">
        <f>IF($I33="","",INDEX(tblVideos[Length],$I33))</f>
        <v/>
      </c>
      <c r="G33" s="33">
        <f>IF($I33="","",INDEX(tblVideos[Status],$I33))</f>
        <v/>
      </c>
      <c r="I33">
        <f>IFERROR(MATCH(IF($E$4="Newest first",LARGE(tblVideos[Queue Key],26),SMALL(tblVideos[Queue Key],26)),tblVideos[Seq],0),"")</f>
        <v/>
      </c>
    </row>
    <row r="34">
      <c r="B34" s="58">
        <f>IF($I34="","",27)</f>
        <v/>
      </c>
      <c r="C34" s="19">
        <f>IF($I34="","",INDEX(tblVideos[Day],$I34))</f>
        <v/>
      </c>
      <c r="D34" s="32">
        <f>IF($I34="","",INDEX(tblVideos[Channel],$I34))</f>
        <v/>
      </c>
      <c r="E34" s="29">
        <f>IF($I34="","",IF(INDEX(tblVideos[Video ID],$I34)="",INDEX(tblVideos[Title],$I34),HYPERLINK("https://www.youtube.com/watch?v="&amp;INDEX(tblVideos[Video ID],$I34),INDEX(tblVideos[Title],$I34))))</f>
        <v/>
      </c>
      <c r="F34" s="30">
        <f>IF($I34="","",INDEX(tblVideos[Length],$I34))</f>
        <v/>
      </c>
      <c r="G34" s="33">
        <f>IF($I34="","",INDEX(tblVideos[Status],$I34))</f>
        <v/>
      </c>
      <c r="I34">
        <f>IFERROR(MATCH(IF($E$4="Newest first",LARGE(tblVideos[Queue Key],27),SMALL(tblVideos[Queue Key],27)),tblVideos[Seq],0),"")</f>
        <v/>
      </c>
    </row>
    <row r="35">
      <c r="B35" s="58">
        <f>IF($I35="","",28)</f>
        <v/>
      </c>
      <c r="C35" s="19">
        <f>IF($I35="","",INDEX(tblVideos[Day],$I35))</f>
        <v/>
      </c>
      <c r="D35" s="32">
        <f>IF($I35="","",INDEX(tblVideos[Channel],$I35))</f>
        <v/>
      </c>
      <c r="E35" s="29">
        <f>IF($I35="","",IF(INDEX(tblVideos[Video ID],$I35)="",INDEX(tblVideos[Title],$I35),HYPERLINK("https://www.youtube.com/watch?v="&amp;INDEX(tblVideos[Video ID],$I35),INDEX(tblVideos[Title],$I35))))</f>
        <v/>
      </c>
      <c r="F35" s="30">
        <f>IF($I35="","",INDEX(tblVideos[Length],$I35))</f>
        <v/>
      </c>
      <c r="G35" s="33">
        <f>IF($I35="","",INDEX(tblVideos[Status],$I35))</f>
        <v/>
      </c>
      <c r="I35">
        <f>IFERROR(MATCH(IF($E$4="Newest first",LARGE(tblVideos[Queue Key],28),SMALL(tblVideos[Queue Key],28)),tblVideos[Seq],0),"")</f>
        <v/>
      </c>
    </row>
    <row r="36">
      <c r="B36" s="58">
        <f>IF($I36="","",29)</f>
        <v/>
      </c>
      <c r="C36" s="19">
        <f>IF($I36="","",INDEX(tblVideos[Day],$I36))</f>
        <v/>
      </c>
      <c r="D36" s="32">
        <f>IF($I36="","",INDEX(tblVideos[Channel],$I36))</f>
        <v/>
      </c>
      <c r="E36" s="29">
        <f>IF($I36="","",IF(INDEX(tblVideos[Video ID],$I36)="",INDEX(tblVideos[Title],$I36),HYPERLINK("https://www.youtube.com/watch?v="&amp;INDEX(tblVideos[Video ID],$I36),INDEX(tblVideos[Title],$I36))))</f>
        <v/>
      </c>
      <c r="F36" s="30">
        <f>IF($I36="","",INDEX(tblVideos[Length],$I36))</f>
        <v/>
      </c>
      <c r="G36" s="33">
        <f>IF($I36="","",INDEX(tblVideos[Status],$I36))</f>
        <v/>
      </c>
      <c r="I36">
        <f>IFERROR(MATCH(IF($E$4="Newest first",LARGE(tblVideos[Queue Key],29),SMALL(tblVideos[Queue Key],29)),tblVideos[Seq],0),"")</f>
        <v/>
      </c>
    </row>
    <row r="37">
      <c r="B37" s="58">
        <f>IF($I37="","",30)</f>
        <v/>
      </c>
      <c r="C37" s="19">
        <f>IF($I37="","",INDEX(tblVideos[Day],$I37))</f>
        <v/>
      </c>
      <c r="D37" s="32">
        <f>IF($I37="","",INDEX(tblVideos[Channel],$I37))</f>
        <v/>
      </c>
      <c r="E37" s="29">
        <f>IF($I37="","",IF(INDEX(tblVideos[Video ID],$I37)="",INDEX(tblVideos[Title],$I37),HYPERLINK("https://www.youtube.com/watch?v="&amp;INDEX(tblVideos[Video ID],$I37),INDEX(tblVideos[Title],$I37))))</f>
        <v/>
      </c>
      <c r="F37" s="30">
        <f>IF($I37="","",INDEX(tblVideos[Length],$I37))</f>
        <v/>
      </c>
      <c r="G37" s="33">
        <f>IF($I37="","",INDEX(tblVideos[Status],$I37))</f>
        <v/>
      </c>
      <c r="I37">
        <f>IFERROR(MATCH(IF($E$4="Newest first",LARGE(tblVideos[Queue Key],30),SMALL(tblVideos[Queue Key],30)),tblVideos[Seq],0),"")</f>
        <v/>
      </c>
    </row>
  </sheetData>
  <sheetProtection selectLockedCells="0" selectUnlockedCells="0" sheet="1" objects="0" insertRows="1" insertHyperlinks="1" autoFilter="1" scenarios="0" formatColumns="1" deleteColumns="1" insertColumns="1" pivotTables="1" deleteRows="1" formatCells="1" formatRows="1" sort="1"/>
  <conditionalFormatting sqref="D8:D37">
    <cfRule type="expression" priority="1" dxfId="7">
      <formula>$D8=Channels!$C$6</formula>
    </cfRule>
    <cfRule type="expression" priority="2" dxfId="8">
      <formula>$D8=Channels!$C$7</formula>
    </cfRule>
    <cfRule type="expression" priority="3" dxfId="9">
      <formula>$D8=Channels!$C$8</formula>
    </cfRule>
    <cfRule type="expression" priority="4" dxfId="10">
      <formula>$D8=Channels!$C$9</formula>
    </cfRule>
    <cfRule type="expression" priority="5" dxfId="11">
      <formula>$D8=Channels!$C$10</formula>
    </cfRule>
    <cfRule type="expression" priority="6" dxfId="12">
      <formula>$D8=Channels!$C$11</formula>
    </cfRule>
  </conditionalFormatting>
  <dataValidations count="3">
    <dataValidation sqref="C4" showDropDown="0" showInputMessage="0" showErrorMessage="1" allowBlank="0" type="list">
      <formula1>"Unwatched,Watch Later"</formula1>
    </dataValidation>
    <dataValidation sqref="D4" showDropDown="0" showInputMessage="0" showErrorMessage="1" allowBlank="0" type="list">
      <formula1>=ChannelList</formula1>
    </dataValidation>
    <dataValidation sqref="E4" showDropDown="0" showInputMessage="0" showErrorMessage="1" allowBlank="0" type="list">
      <formula1>"Oldest first,Newest first"</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2E9E6B"/>
    <outlinePr summaryBelow="1" summaryRight="1"/>
    <pageSetUpPr fitToPage="1"/>
  </sheetPr>
  <dimension ref="B2:AG45"/>
  <sheetViews>
    <sheetView showGridLines="0" zoomScale="90" workbookViewId="0">
      <selection activeCell="A1" sqref="A1"/>
    </sheetView>
  </sheetViews>
  <sheetFormatPr baseColWidth="8" defaultRowHeight="15"/>
  <cols>
    <col width="2" customWidth="1" min="1" max="1"/>
    <col width="27" customWidth="1" min="2" max="2"/>
    <col width="27" customWidth="1" min="3" max="3"/>
    <col width="27" customWidth="1" min="4" max="4"/>
    <col width="27" customWidth="1" min="5" max="5"/>
    <col width="27" customWidth="1" min="6" max="6"/>
    <col width="27" customWidth="1" min="7" max="7"/>
    <col width="27" customWidth="1" min="8" max="8"/>
    <col width="3" customWidth="1" min="9" max="9"/>
    <col hidden="1" outlineLevel="1" width="13" customWidth="1" min="10" max="33"/>
  </cols>
  <sheetData>
    <row r="2" ht="30" customHeight="1">
      <c r="B2" s="55" t="inlineStr">
        <is>
          <t>Upload Calendar</t>
        </is>
      </c>
      <c r="J2" t="inlineStr">
        <is>
          <t>month start</t>
        </is>
      </c>
      <c r="K2" s="59">
        <f>DATE($C$4,MATCH($E$4,MonthList,0),1)</f>
        <v/>
      </c>
    </row>
    <row r="3">
      <c r="C3" s="56" t="inlineStr">
        <is>
          <t>Year</t>
        </is>
      </c>
      <c r="E3" s="56" t="inlineStr">
        <is>
          <t>Month</t>
        </is>
      </c>
      <c r="G3" s="56" t="inlineStr">
        <is>
          <t>Channel</t>
        </is>
      </c>
      <c r="J3" t="inlineStr">
        <is>
          <t>grid start</t>
        </is>
      </c>
      <c r="K3" s="59">
        <f>K2-(WEEKDAY(K2,1)-1)</f>
        <v/>
      </c>
    </row>
    <row r="4">
      <c r="B4" s="60">
        <f>HYPERLINK("#Dashboard!A1","◄ Dashboard")</f>
        <v/>
      </c>
      <c r="C4" s="57" t="n">
        <v>2026</v>
      </c>
      <c r="E4" s="57" t="inlineStr">
        <is>
          <t>October</t>
        </is>
      </c>
      <c r="G4" s="57" t="inlineStr">
        <is>
          <t>All channels</t>
        </is>
      </c>
      <c r="J4" t="inlineStr">
        <is>
          <t>channel crit</t>
        </is>
      </c>
      <c r="K4">
        <f>IF($G$4="All channels","*",IFERROR(INDEX(tblChannels[Channel ID],MATCH($G$4,tblChannels[Display Name],0)),"none"))</f>
        <v/>
      </c>
    </row>
    <row r="5">
      <c r="B5" s="2" t="inlineStr">
        <is>
          <t>Pick a year, month and (optionally) a channel with the dropdowns. Click a title to open it on YouTube.  ✓ = watched, dimmed.</t>
        </is>
      </c>
    </row>
    <row r="6">
      <c r="B6" s="61">
        <f>"Videos: "&amp;COUNTIFS(tblVideos[Day],"&gt;="&amp;$K$2,tblVideos[Day],"&lt;"&amp;EDATE($K$2,1),tblVideos[Channel ID],$K$4)&amp;"      Runtime: "&amp;IF(ROUND((SUMIFS(tblVideos[Length],tblVideos[Day],"&gt;="&amp;$K$2,tblVideos[Day],"&lt;"&amp;EDATE($K$2,1),tblVideos[Channel ID],$K$4))*1440,0)&lt;60,ROUND((SUMIFS(tblVideos[Length],tblVideos[Day],"&gt;="&amp;$K$2,tblVideos[Day],"&lt;"&amp;EDATE($K$2,1),tblVideos[Channel ID],$K$4))*1440,0)&amp;" m",IF(MOD(ROUND((SUMIFS(tblVideos[Length],tblVideos[Day],"&gt;="&amp;$K$2,tblVideos[Day],"&lt;"&amp;EDATE($K$2,1),tblVideos[Channel ID],$K$4))*1440,0),60)=0,INT(ROUND((SUMIFS(tblVideos[Length],tblVideos[Day],"&gt;="&amp;$K$2,tblVideos[Day],"&lt;"&amp;EDATE($K$2,1),tblVideos[Channel ID],$K$4))*1440,0)/60)&amp;" h",INT(ROUND((SUMIFS(tblVideos[Length],tblVideos[Day],"&gt;="&amp;$K$2,tblVideos[Day],"&lt;"&amp;EDATE($K$2,1),tblVideos[Channel ID],$K$4))*1440,0)/60)&amp;" h "&amp;MOD(ROUND((SUMIFS(tblVideos[Length],tblVideos[Day],"&gt;="&amp;$K$2,tblVideos[Day],"&lt;"&amp;EDATE($K$2,1),tblVideos[Channel ID],$K$4))*1440,0),60)&amp;" m"))&amp;"      Watched: "&amp;COUNTIFS(tblVideos[Day],"&gt;="&amp;$K$2,tblVideos[Day],"&lt;"&amp;EDATE($K$2,1),tblVideos[Channel ID],$K$4,tblVideos[Status],"Watched")&amp;" of "&amp;COUNTIFS(tblVideos[Day],"&gt;="&amp;$K$2,tblVideos[Day],"&lt;"&amp;EDATE($K$2,1),tblVideos[Channel ID],$K$4)</f>
        <v/>
      </c>
    </row>
    <row r="7">
      <c r="B7" s="62">
        <f>Channels!$C$6&amp;"  ("&amp;COUNTIFS(tblVideos[Day],"&gt;="&amp;$K$2,tblVideos[Day],"&lt;"&amp;EDATE($K$2,1),tblVideos[Channel ID],Channels!$E$6)&amp;")"</f>
        <v/>
      </c>
      <c r="C7" s="63">
        <f>Channels!$C$7&amp;"  ("&amp;COUNTIFS(tblVideos[Day],"&gt;="&amp;$K$2,tblVideos[Day],"&lt;"&amp;EDATE($K$2,1),tblVideos[Channel ID],Channels!$E$7)&amp;")"</f>
        <v/>
      </c>
      <c r="D7" s="64">
        <f>Channels!$C$8&amp;"  ("&amp;COUNTIFS(tblVideos[Day],"&gt;="&amp;$K$2,tblVideos[Day],"&lt;"&amp;EDATE($K$2,1),tblVideos[Channel ID],Channels!$E$8)&amp;")"</f>
        <v/>
      </c>
      <c r="E7" s="65">
        <f>Channels!$C$9&amp;"  ("&amp;COUNTIFS(tblVideos[Day],"&gt;="&amp;$K$2,tblVideos[Day],"&lt;"&amp;EDATE($K$2,1),tblVideos[Channel ID],Channels!$E$9)&amp;")"</f>
        <v/>
      </c>
      <c r="F7" s="66">
        <f>Channels!$C$10&amp;"  ("&amp;COUNTIFS(tblVideos[Day],"&gt;="&amp;$K$2,tblVideos[Day],"&lt;"&amp;EDATE($K$2,1),tblVideos[Channel ID],Channels!$E$10)&amp;")"</f>
        <v/>
      </c>
      <c r="G7" s="67">
        <f>Channels!$C$11&amp;"  ("&amp;COUNTIFS(tblVideos[Day],"&gt;="&amp;$K$2,tblVideos[Day],"&lt;"&amp;EDATE($K$2,1),tblVideos[Channel ID],Channels!$E$11)&amp;")"</f>
        <v/>
      </c>
    </row>
    <row r="9">
      <c r="B9" s="68" t="inlineStr">
        <is>
          <t>Sunday</t>
        </is>
      </c>
      <c r="C9" s="68" t="inlineStr">
        <is>
          <t>Monday</t>
        </is>
      </c>
      <c r="D9" s="68" t="inlineStr">
        <is>
          <t>Tuesday</t>
        </is>
      </c>
      <c r="E9" s="68" t="inlineStr">
        <is>
          <t>Wednesday</t>
        </is>
      </c>
      <c r="F9" s="68" t="inlineStr">
        <is>
          <t>Thursday</t>
        </is>
      </c>
      <c r="G9" s="68" t="inlineStr">
        <is>
          <t>Friday</t>
        </is>
      </c>
      <c r="H9" s="68" t="inlineStr">
        <is>
          <t>Saturday</t>
        </is>
      </c>
    </row>
    <row r="10" ht="18" customHeight="1">
      <c r="B10" s="69">
        <f>IF(MONTH(K10)=MONTH($K$2),DAY(K10)&amp;IF(S10&gt;0,"   ·   "&amp;S10&amp;IF(S10=1," video"," videos")&amp;"   ·   "&amp;IF(ROUND((AA10)*1440,0)&lt;60,ROUND((AA10)*1440,0)&amp;" m",IF(MOD(ROUND((AA10)*1440,0),60)=0,INT(ROUND((AA10)*1440,0)/60)&amp;" h",INT(ROUND((AA10)*1440,0)/60)&amp;" h "&amp;MOD(ROUND((AA10)*1440,0),60)&amp;" m"))&amp;IF(S10&gt;5,"   (+"&amp;(S10-5)&amp;" more)",""),""),"")</f>
        <v/>
      </c>
      <c r="C10" s="69">
        <f>IF(MONTH(L10)=MONTH($K$2),DAY(L10)&amp;IF(T10&gt;0,"   ·   "&amp;T10&amp;IF(T10=1," video"," videos")&amp;"   ·   "&amp;IF(ROUND((AB10)*1440,0)&lt;60,ROUND((AB10)*1440,0)&amp;" m",IF(MOD(ROUND((AB10)*1440,0),60)=0,INT(ROUND((AB10)*1440,0)/60)&amp;" h",INT(ROUND((AB10)*1440,0)/60)&amp;" h "&amp;MOD(ROUND((AB10)*1440,0),60)&amp;" m"))&amp;IF(T10&gt;5,"   (+"&amp;(T10-5)&amp;" more)",""),""),"")</f>
        <v/>
      </c>
      <c r="D10" s="69">
        <f>IF(MONTH(M10)=MONTH($K$2),DAY(M10)&amp;IF(U10&gt;0,"   ·   "&amp;U10&amp;IF(U10=1," video"," videos")&amp;"   ·   "&amp;IF(ROUND((AC10)*1440,0)&lt;60,ROUND((AC10)*1440,0)&amp;" m",IF(MOD(ROUND((AC10)*1440,0),60)=0,INT(ROUND((AC10)*1440,0)/60)&amp;" h",INT(ROUND((AC10)*1440,0)/60)&amp;" h "&amp;MOD(ROUND((AC10)*1440,0),60)&amp;" m"))&amp;IF(U10&gt;5,"   (+"&amp;(U10-5)&amp;" more)",""),""),"")</f>
        <v/>
      </c>
      <c r="E10" s="69">
        <f>IF(MONTH(N10)=MONTH($K$2),DAY(N10)&amp;IF(V10&gt;0,"   ·   "&amp;V10&amp;IF(V10=1," video"," videos")&amp;"   ·   "&amp;IF(ROUND((AD10)*1440,0)&lt;60,ROUND((AD10)*1440,0)&amp;" m",IF(MOD(ROUND((AD10)*1440,0),60)=0,INT(ROUND((AD10)*1440,0)/60)&amp;" h",INT(ROUND((AD10)*1440,0)/60)&amp;" h "&amp;MOD(ROUND((AD10)*1440,0),60)&amp;" m"))&amp;IF(V10&gt;5,"   (+"&amp;(V10-5)&amp;" more)",""),""),"")</f>
        <v/>
      </c>
      <c r="F10" s="69">
        <f>IF(MONTH(O10)=MONTH($K$2),DAY(O10)&amp;IF(W10&gt;0,"   ·   "&amp;W10&amp;IF(W10=1," video"," videos")&amp;"   ·   "&amp;IF(ROUND((AE10)*1440,0)&lt;60,ROUND((AE10)*1440,0)&amp;" m",IF(MOD(ROUND((AE10)*1440,0),60)=0,INT(ROUND((AE10)*1440,0)/60)&amp;" h",INT(ROUND((AE10)*1440,0)/60)&amp;" h "&amp;MOD(ROUND((AE10)*1440,0),60)&amp;" m"))&amp;IF(W10&gt;5,"   (+"&amp;(W10-5)&amp;" more)",""),""),"")</f>
        <v/>
      </c>
      <c r="G10" s="69">
        <f>IF(MONTH(P10)=MONTH($K$2),DAY(P10)&amp;IF(X10&gt;0,"   ·   "&amp;X10&amp;IF(X10=1," video"," videos")&amp;"   ·   "&amp;IF(ROUND((AF10)*1440,0)&lt;60,ROUND((AF10)*1440,0)&amp;" m",IF(MOD(ROUND((AF10)*1440,0),60)=0,INT(ROUND((AF10)*1440,0)/60)&amp;" h",INT(ROUND((AF10)*1440,0)/60)&amp;" h "&amp;MOD(ROUND((AF10)*1440,0),60)&amp;" m"))&amp;IF(X10&gt;5,"   (+"&amp;(X10-5)&amp;" more)",""),""),"")</f>
        <v/>
      </c>
      <c r="H10" s="69">
        <f>IF(MONTH(Q10)=MONTH($K$2),DAY(Q10)&amp;IF(Y10&gt;0,"   ·   "&amp;Y10&amp;IF(Y10=1," video"," videos")&amp;"   ·   "&amp;IF(ROUND((AG10)*1440,0)&lt;60,ROUND((AG10)*1440,0)&amp;" m",IF(MOD(ROUND((AG10)*1440,0),60)=0,INT(ROUND((AG10)*1440,0)/60)&amp;" h",INT(ROUND((AG10)*1440,0)/60)&amp;" h "&amp;MOD(ROUND((AG10)*1440,0),60)&amp;" m"))&amp;IF(Y10&gt;5,"   (+"&amp;(Y10-5)&amp;" more)",""),""),"")</f>
        <v/>
      </c>
      <c r="K10" s="59">
        <f>$K$3+0</f>
        <v/>
      </c>
      <c r="L10" s="59">
        <f>$K$3+1</f>
        <v/>
      </c>
      <c r="M10" s="59">
        <f>$K$3+2</f>
        <v/>
      </c>
      <c r="N10" s="59">
        <f>$K$3+3</f>
        <v/>
      </c>
      <c r="O10" s="59">
        <f>$K$3+4</f>
        <v/>
      </c>
      <c r="P10" s="59">
        <f>$K$3+5</f>
        <v/>
      </c>
      <c r="Q10" s="59">
        <f>$K$3+6</f>
        <v/>
      </c>
      <c r="S10">
        <f>IF(MONTH(K10)=MONTH($K$2),COUNTIFS(tblVideos[Day],K10,tblVideos[Channel ID],$K$4),0)</f>
        <v/>
      </c>
      <c r="T10">
        <f>IF(MONTH(L10)=MONTH($K$2),COUNTIFS(tblVideos[Day],L10,tblVideos[Channel ID],$K$4),0)</f>
        <v/>
      </c>
      <c r="U10">
        <f>IF(MONTH(M10)=MONTH($K$2),COUNTIFS(tblVideos[Day],M10,tblVideos[Channel ID],$K$4),0)</f>
        <v/>
      </c>
      <c r="V10">
        <f>IF(MONTH(N10)=MONTH($K$2),COUNTIFS(tblVideos[Day],N10,tblVideos[Channel ID],$K$4),0)</f>
        <v/>
      </c>
      <c r="W10">
        <f>IF(MONTH(O10)=MONTH($K$2),COUNTIFS(tblVideos[Day],O10,tblVideos[Channel ID],$K$4),0)</f>
        <v/>
      </c>
      <c r="X10">
        <f>IF(MONTH(P10)=MONTH($K$2),COUNTIFS(tblVideos[Day],P10,tblVideos[Channel ID],$K$4),0)</f>
        <v/>
      </c>
      <c r="Y10">
        <f>IF(MONTH(Q10)=MONTH($K$2),COUNTIFS(tblVideos[Day],Q10,tblVideos[Channel ID],$K$4),0)</f>
        <v/>
      </c>
      <c r="AA10">
        <f>IF(S10&gt;0,SUMIFS(tblVideos[Length],tblVideos[Day],K10,tblVideos[Channel ID],$K$4),0)</f>
        <v/>
      </c>
      <c r="AB10">
        <f>IF(T10&gt;0,SUMIFS(tblVideos[Length],tblVideos[Day],L10,tblVideos[Channel ID],$K$4),0)</f>
        <v/>
      </c>
      <c r="AC10">
        <f>IF(U10&gt;0,SUMIFS(tblVideos[Length],tblVideos[Day],M10,tblVideos[Channel ID],$K$4),0)</f>
        <v/>
      </c>
      <c r="AD10">
        <f>IF(V10&gt;0,SUMIFS(tblVideos[Length],tblVideos[Day],N10,tblVideos[Channel ID],$K$4),0)</f>
        <v/>
      </c>
      <c r="AE10">
        <f>IF(W10&gt;0,SUMIFS(tblVideos[Length],tblVideos[Day],O10,tblVideos[Channel ID],$K$4),0)</f>
        <v/>
      </c>
      <c r="AF10">
        <f>IF(X10&gt;0,SUMIFS(tblVideos[Length],tblVideos[Day],P10,tblVideos[Channel ID],$K$4),0)</f>
        <v/>
      </c>
      <c r="AG10">
        <f>IF(Y10&gt;0,SUMIFS(tblVideos[Length],tblVideos[Day],Q10,tblVideos[Channel ID],$K$4),0)</f>
        <v/>
      </c>
    </row>
    <row r="11">
      <c r="B11" s="70">
        <f>IF(K11="","",IF(INDEX(tblVideos[Video ID],K11)="",IF(INDEX(tblVideos[Status],K11)="Watched","✓ ","▸ ")&amp;INDEX(tblVideos[Title],K11),HYPERLINK("https://www.youtube.com/watch?v="&amp;INDEX(tblVideos[Video ID],K11),IF(INDEX(tblVideos[Status],K11)="Watched","✓ ","▸ ")&amp;INDEX(tblVideos[Title],K11))))</f>
        <v/>
      </c>
      <c r="C11" s="70">
        <f>IF(L11="","",IF(INDEX(tblVideos[Video ID],L11)="",IF(INDEX(tblVideos[Status],L11)="Watched","✓ ","▸ ")&amp;INDEX(tblVideos[Title],L11),HYPERLINK("https://www.youtube.com/watch?v="&amp;INDEX(tblVideos[Video ID],L11),IF(INDEX(tblVideos[Status],L11)="Watched","✓ ","▸ ")&amp;INDEX(tblVideos[Title],L11))))</f>
        <v/>
      </c>
      <c r="D11" s="70">
        <f>IF(M11="","",IF(INDEX(tblVideos[Video ID],M11)="",IF(INDEX(tblVideos[Status],M11)="Watched","✓ ","▸ ")&amp;INDEX(tblVideos[Title],M11),HYPERLINK("https://www.youtube.com/watch?v="&amp;INDEX(tblVideos[Video ID],M11),IF(INDEX(tblVideos[Status],M11)="Watched","✓ ","▸ ")&amp;INDEX(tblVideos[Title],M11))))</f>
        <v/>
      </c>
      <c r="E11" s="70">
        <f>IF(N11="","",IF(INDEX(tblVideos[Video ID],N11)="",IF(INDEX(tblVideos[Status],N11)="Watched","✓ ","▸ ")&amp;INDEX(tblVideos[Title],N11),HYPERLINK("https://www.youtube.com/watch?v="&amp;INDEX(tblVideos[Video ID],N11),IF(INDEX(tblVideos[Status],N11)="Watched","✓ ","▸ ")&amp;INDEX(tblVideos[Title],N11))))</f>
        <v/>
      </c>
      <c r="F11" s="70">
        <f>IF(O11="","",IF(INDEX(tblVideos[Video ID],O11)="",IF(INDEX(tblVideos[Status],O11)="Watched","✓ ","▸ ")&amp;INDEX(tblVideos[Title],O11),HYPERLINK("https://www.youtube.com/watch?v="&amp;INDEX(tblVideos[Video ID],O11),IF(INDEX(tblVideos[Status],O11)="Watched","✓ ","▸ ")&amp;INDEX(tblVideos[Title],O11))))</f>
        <v/>
      </c>
      <c r="G11" s="70">
        <f>IF(P11="","",IF(INDEX(tblVideos[Video ID],P11)="",IF(INDEX(tblVideos[Status],P11)="Watched","✓ ","▸ ")&amp;INDEX(tblVideos[Title],P11),HYPERLINK("https://www.youtube.com/watch?v="&amp;INDEX(tblVideos[Video ID],P11),IF(INDEX(tblVideos[Status],P11)="Watched","✓ ","▸ ")&amp;INDEX(tblVideos[Title],P11))))</f>
        <v/>
      </c>
      <c r="H11" s="70">
        <f>IF(Q11="","",IF(INDEX(tblVideos[Video ID],Q11)="",IF(INDEX(tblVideos[Status],Q11)="Watched","✓ ","▸ ")&amp;INDEX(tblVideos[Title],Q11),HYPERLINK("https://www.youtube.com/watch?v="&amp;INDEX(tblVideos[Video ID],Q11),IF(INDEX(tblVideos[Status],Q11)="Watched","✓ ","▸ ")&amp;INDEX(tblVideos[Title],Q11))))</f>
        <v/>
      </c>
      <c r="K11">
        <f>IF(S10&gt;=1,MATCH(K10*100+1,tblVideos[Cal Key],0),"")</f>
        <v/>
      </c>
      <c r="L11">
        <f>IF(T10&gt;=1,MATCH(L10*100+1,tblVideos[Cal Key],0),"")</f>
        <v/>
      </c>
      <c r="M11">
        <f>IF(U10&gt;=1,MATCH(M10*100+1,tblVideos[Cal Key],0),"")</f>
        <v/>
      </c>
      <c r="N11">
        <f>IF(V10&gt;=1,MATCH(N10*100+1,tblVideos[Cal Key],0),"")</f>
        <v/>
      </c>
      <c r="O11">
        <f>IF(W10&gt;=1,MATCH(O10*100+1,tblVideos[Cal Key],0),"")</f>
        <v/>
      </c>
      <c r="P11">
        <f>IF(X10&gt;=1,MATCH(P10*100+1,tblVideos[Cal Key],0),"")</f>
        <v/>
      </c>
      <c r="Q11">
        <f>IF(Y10&gt;=1,MATCH(Q10*100+1,tblVideos[Cal Key],0),"")</f>
        <v/>
      </c>
      <c r="S11">
        <f>IF(K11="","",IFERROR(MATCH(INDEX(tblVideos[Channel ID],K11),tblChannels[Channel ID],0),""))</f>
        <v/>
      </c>
      <c r="T11">
        <f>IF(L11="","",IFERROR(MATCH(INDEX(tblVideos[Channel ID],L11),tblChannels[Channel ID],0),""))</f>
        <v/>
      </c>
      <c r="U11">
        <f>IF(M11="","",IFERROR(MATCH(INDEX(tblVideos[Channel ID],M11),tblChannels[Channel ID],0),""))</f>
        <v/>
      </c>
      <c r="V11">
        <f>IF(N11="","",IFERROR(MATCH(INDEX(tblVideos[Channel ID],N11),tblChannels[Channel ID],0),""))</f>
        <v/>
      </c>
      <c r="W11">
        <f>IF(O11="","",IFERROR(MATCH(INDEX(tblVideos[Channel ID],O11),tblChannels[Channel ID],0),""))</f>
        <v/>
      </c>
      <c r="X11">
        <f>IF(P11="","",IFERROR(MATCH(INDEX(tblVideos[Channel ID],P11),tblChannels[Channel ID],0),""))</f>
        <v/>
      </c>
      <c r="Y11">
        <f>IF(Q11="","",IFERROR(MATCH(INDEX(tblVideos[Channel ID],Q11),tblChannels[Channel ID],0),""))</f>
        <v/>
      </c>
    </row>
    <row r="12">
      <c r="B12" s="70">
        <f>IF(K12="","",IF(INDEX(tblVideos[Video ID],K12)="",IF(INDEX(tblVideos[Status],K12)="Watched","✓ ","▸ ")&amp;INDEX(tblVideos[Title],K12),HYPERLINK("https://www.youtube.com/watch?v="&amp;INDEX(tblVideos[Video ID],K12),IF(INDEX(tblVideos[Status],K12)="Watched","✓ ","▸ ")&amp;INDEX(tblVideos[Title],K12))))</f>
        <v/>
      </c>
      <c r="C12" s="70">
        <f>IF(L12="","",IF(INDEX(tblVideos[Video ID],L12)="",IF(INDEX(tblVideos[Status],L12)="Watched","✓ ","▸ ")&amp;INDEX(tblVideos[Title],L12),HYPERLINK("https://www.youtube.com/watch?v="&amp;INDEX(tblVideos[Video ID],L12),IF(INDEX(tblVideos[Status],L12)="Watched","✓ ","▸ ")&amp;INDEX(tblVideos[Title],L12))))</f>
        <v/>
      </c>
      <c r="D12" s="70">
        <f>IF(M12="","",IF(INDEX(tblVideos[Video ID],M12)="",IF(INDEX(tblVideos[Status],M12)="Watched","✓ ","▸ ")&amp;INDEX(tblVideos[Title],M12),HYPERLINK("https://www.youtube.com/watch?v="&amp;INDEX(tblVideos[Video ID],M12),IF(INDEX(tblVideos[Status],M12)="Watched","✓ ","▸ ")&amp;INDEX(tblVideos[Title],M12))))</f>
        <v/>
      </c>
      <c r="E12" s="70">
        <f>IF(N12="","",IF(INDEX(tblVideos[Video ID],N12)="",IF(INDEX(tblVideos[Status],N12)="Watched","✓ ","▸ ")&amp;INDEX(tblVideos[Title],N12),HYPERLINK("https://www.youtube.com/watch?v="&amp;INDEX(tblVideos[Video ID],N12),IF(INDEX(tblVideos[Status],N12)="Watched","✓ ","▸ ")&amp;INDEX(tblVideos[Title],N12))))</f>
        <v/>
      </c>
      <c r="F12" s="70">
        <f>IF(O12="","",IF(INDEX(tblVideos[Video ID],O12)="",IF(INDEX(tblVideos[Status],O12)="Watched","✓ ","▸ ")&amp;INDEX(tblVideos[Title],O12),HYPERLINK("https://www.youtube.com/watch?v="&amp;INDEX(tblVideos[Video ID],O12),IF(INDEX(tblVideos[Status],O12)="Watched","✓ ","▸ ")&amp;INDEX(tblVideos[Title],O12))))</f>
        <v/>
      </c>
      <c r="G12" s="70">
        <f>IF(P12="","",IF(INDEX(tblVideos[Video ID],P12)="",IF(INDEX(tblVideos[Status],P12)="Watched","✓ ","▸ ")&amp;INDEX(tblVideos[Title],P12),HYPERLINK("https://www.youtube.com/watch?v="&amp;INDEX(tblVideos[Video ID],P12),IF(INDEX(tblVideos[Status],P12)="Watched","✓ ","▸ ")&amp;INDEX(tblVideos[Title],P12))))</f>
        <v/>
      </c>
      <c r="H12" s="70">
        <f>IF(Q12="","",IF(INDEX(tblVideos[Video ID],Q12)="",IF(INDEX(tblVideos[Status],Q12)="Watched","✓ ","▸ ")&amp;INDEX(tblVideos[Title],Q12),HYPERLINK("https://www.youtube.com/watch?v="&amp;INDEX(tblVideos[Video ID],Q12),IF(INDEX(tblVideos[Status],Q12)="Watched","✓ ","▸ ")&amp;INDEX(tblVideos[Title],Q12))))</f>
        <v/>
      </c>
      <c r="K12">
        <f>IF(S10&gt;=2,MATCH(K10*100+2,tblVideos[Cal Key],0),"")</f>
        <v/>
      </c>
      <c r="L12">
        <f>IF(T10&gt;=2,MATCH(L10*100+2,tblVideos[Cal Key],0),"")</f>
        <v/>
      </c>
      <c r="M12">
        <f>IF(U10&gt;=2,MATCH(M10*100+2,tblVideos[Cal Key],0),"")</f>
        <v/>
      </c>
      <c r="N12">
        <f>IF(V10&gt;=2,MATCH(N10*100+2,tblVideos[Cal Key],0),"")</f>
        <v/>
      </c>
      <c r="O12">
        <f>IF(W10&gt;=2,MATCH(O10*100+2,tblVideos[Cal Key],0),"")</f>
        <v/>
      </c>
      <c r="P12">
        <f>IF(X10&gt;=2,MATCH(P10*100+2,tblVideos[Cal Key],0),"")</f>
        <v/>
      </c>
      <c r="Q12">
        <f>IF(Y10&gt;=2,MATCH(Q10*100+2,tblVideos[Cal Key],0),"")</f>
        <v/>
      </c>
      <c r="S12">
        <f>IF(K12="","",IFERROR(MATCH(INDEX(tblVideos[Channel ID],K12),tblChannels[Channel ID],0),""))</f>
        <v/>
      </c>
      <c r="T12">
        <f>IF(L12="","",IFERROR(MATCH(INDEX(tblVideos[Channel ID],L12),tblChannels[Channel ID],0),""))</f>
        <v/>
      </c>
      <c r="U12">
        <f>IF(M12="","",IFERROR(MATCH(INDEX(tblVideos[Channel ID],M12),tblChannels[Channel ID],0),""))</f>
        <v/>
      </c>
      <c r="V12">
        <f>IF(N12="","",IFERROR(MATCH(INDEX(tblVideos[Channel ID],N12),tblChannels[Channel ID],0),""))</f>
        <v/>
      </c>
      <c r="W12">
        <f>IF(O12="","",IFERROR(MATCH(INDEX(tblVideos[Channel ID],O12),tblChannels[Channel ID],0),""))</f>
        <v/>
      </c>
      <c r="X12">
        <f>IF(P12="","",IFERROR(MATCH(INDEX(tblVideos[Channel ID],P12),tblChannels[Channel ID],0),""))</f>
        <v/>
      </c>
      <c r="Y12">
        <f>IF(Q12="","",IFERROR(MATCH(INDEX(tblVideos[Channel ID],Q12),tblChannels[Channel ID],0),""))</f>
        <v/>
      </c>
    </row>
    <row r="13">
      <c r="B13" s="70">
        <f>IF(K13="","",IF(INDEX(tblVideos[Video ID],K13)="",IF(INDEX(tblVideos[Status],K13)="Watched","✓ ","▸ ")&amp;INDEX(tblVideos[Title],K13),HYPERLINK("https://www.youtube.com/watch?v="&amp;INDEX(tblVideos[Video ID],K13),IF(INDEX(tblVideos[Status],K13)="Watched","✓ ","▸ ")&amp;INDEX(tblVideos[Title],K13))))</f>
        <v/>
      </c>
      <c r="C13" s="70">
        <f>IF(L13="","",IF(INDEX(tblVideos[Video ID],L13)="",IF(INDEX(tblVideos[Status],L13)="Watched","✓ ","▸ ")&amp;INDEX(tblVideos[Title],L13),HYPERLINK("https://www.youtube.com/watch?v="&amp;INDEX(tblVideos[Video ID],L13),IF(INDEX(tblVideos[Status],L13)="Watched","✓ ","▸ ")&amp;INDEX(tblVideos[Title],L13))))</f>
        <v/>
      </c>
      <c r="D13" s="70">
        <f>IF(M13="","",IF(INDEX(tblVideos[Video ID],M13)="",IF(INDEX(tblVideos[Status],M13)="Watched","✓ ","▸ ")&amp;INDEX(tblVideos[Title],M13),HYPERLINK("https://www.youtube.com/watch?v="&amp;INDEX(tblVideos[Video ID],M13),IF(INDEX(tblVideos[Status],M13)="Watched","✓ ","▸ ")&amp;INDEX(tblVideos[Title],M13))))</f>
        <v/>
      </c>
      <c r="E13" s="70">
        <f>IF(N13="","",IF(INDEX(tblVideos[Video ID],N13)="",IF(INDEX(tblVideos[Status],N13)="Watched","✓ ","▸ ")&amp;INDEX(tblVideos[Title],N13),HYPERLINK("https://www.youtube.com/watch?v="&amp;INDEX(tblVideos[Video ID],N13),IF(INDEX(tblVideos[Status],N13)="Watched","✓ ","▸ ")&amp;INDEX(tblVideos[Title],N13))))</f>
        <v/>
      </c>
      <c r="F13" s="70">
        <f>IF(O13="","",IF(INDEX(tblVideos[Video ID],O13)="",IF(INDEX(tblVideos[Status],O13)="Watched","✓ ","▸ ")&amp;INDEX(tblVideos[Title],O13),HYPERLINK("https://www.youtube.com/watch?v="&amp;INDEX(tblVideos[Video ID],O13),IF(INDEX(tblVideos[Status],O13)="Watched","✓ ","▸ ")&amp;INDEX(tblVideos[Title],O13))))</f>
        <v/>
      </c>
      <c r="G13" s="70">
        <f>IF(P13="","",IF(INDEX(tblVideos[Video ID],P13)="",IF(INDEX(tblVideos[Status],P13)="Watched","✓ ","▸ ")&amp;INDEX(tblVideos[Title],P13),HYPERLINK("https://www.youtube.com/watch?v="&amp;INDEX(tblVideos[Video ID],P13),IF(INDEX(tblVideos[Status],P13)="Watched","✓ ","▸ ")&amp;INDEX(tblVideos[Title],P13))))</f>
        <v/>
      </c>
      <c r="H13" s="70">
        <f>IF(Q13="","",IF(INDEX(tblVideos[Video ID],Q13)="",IF(INDEX(tblVideos[Status],Q13)="Watched","✓ ","▸ ")&amp;INDEX(tblVideos[Title],Q13),HYPERLINK("https://www.youtube.com/watch?v="&amp;INDEX(tblVideos[Video ID],Q13),IF(INDEX(tblVideos[Status],Q13)="Watched","✓ ","▸ ")&amp;INDEX(tblVideos[Title],Q13))))</f>
        <v/>
      </c>
      <c r="K13">
        <f>IF(S10&gt;=3,MATCH(K10*100+3,tblVideos[Cal Key],0),"")</f>
        <v/>
      </c>
      <c r="L13">
        <f>IF(T10&gt;=3,MATCH(L10*100+3,tblVideos[Cal Key],0),"")</f>
        <v/>
      </c>
      <c r="M13">
        <f>IF(U10&gt;=3,MATCH(M10*100+3,tblVideos[Cal Key],0),"")</f>
        <v/>
      </c>
      <c r="N13">
        <f>IF(V10&gt;=3,MATCH(N10*100+3,tblVideos[Cal Key],0),"")</f>
        <v/>
      </c>
      <c r="O13">
        <f>IF(W10&gt;=3,MATCH(O10*100+3,tblVideos[Cal Key],0),"")</f>
        <v/>
      </c>
      <c r="P13">
        <f>IF(X10&gt;=3,MATCH(P10*100+3,tblVideos[Cal Key],0),"")</f>
        <v/>
      </c>
      <c r="Q13">
        <f>IF(Y10&gt;=3,MATCH(Q10*100+3,tblVideos[Cal Key],0),"")</f>
        <v/>
      </c>
      <c r="S13">
        <f>IF(K13="","",IFERROR(MATCH(INDEX(tblVideos[Channel ID],K13),tblChannels[Channel ID],0),""))</f>
        <v/>
      </c>
      <c r="T13">
        <f>IF(L13="","",IFERROR(MATCH(INDEX(tblVideos[Channel ID],L13),tblChannels[Channel ID],0),""))</f>
        <v/>
      </c>
      <c r="U13">
        <f>IF(M13="","",IFERROR(MATCH(INDEX(tblVideos[Channel ID],M13),tblChannels[Channel ID],0),""))</f>
        <v/>
      </c>
      <c r="V13">
        <f>IF(N13="","",IFERROR(MATCH(INDEX(tblVideos[Channel ID],N13),tblChannels[Channel ID],0),""))</f>
        <v/>
      </c>
      <c r="W13">
        <f>IF(O13="","",IFERROR(MATCH(INDEX(tblVideos[Channel ID],O13),tblChannels[Channel ID],0),""))</f>
        <v/>
      </c>
      <c r="X13">
        <f>IF(P13="","",IFERROR(MATCH(INDEX(tblVideos[Channel ID],P13),tblChannels[Channel ID],0),""))</f>
        <v/>
      </c>
      <c r="Y13">
        <f>IF(Q13="","",IFERROR(MATCH(INDEX(tblVideos[Channel ID],Q13),tblChannels[Channel ID],0),""))</f>
        <v/>
      </c>
    </row>
    <row r="14">
      <c r="B14" s="70">
        <f>IF(K14="","",IF(INDEX(tblVideos[Video ID],K14)="",IF(INDEX(tblVideos[Status],K14)="Watched","✓ ","▸ ")&amp;INDEX(tblVideos[Title],K14),HYPERLINK("https://www.youtube.com/watch?v="&amp;INDEX(tblVideos[Video ID],K14),IF(INDEX(tblVideos[Status],K14)="Watched","✓ ","▸ ")&amp;INDEX(tblVideos[Title],K14))))</f>
        <v/>
      </c>
      <c r="C14" s="70">
        <f>IF(L14="","",IF(INDEX(tblVideos[Video ID],L14)="",IF(INDEX(tblVideos[Status],L14)="Watched","✓ ","▸ ")&amp;INDEX(tblVideos[Title],L14),HYPERLINK("https://www.youtube.com/watch?v="&amp;INDEX(tblVideos[Video ID],L14),IF(INDEX(tblVideos[Status],L14)="Watched","✓ ","▸ ")&amp;INDEX(tblVideos[Title],L14))))</f>
        <v/>
      </c>
      <c r="D14" s="70">
        <f>IF(M14="","",IF(INDEX(tblVideos[Video ID],M14)="",IF(INDEX(tblVideos[Status],M14)="Watched","✓ ","▸ ")&amp;INDEX(tblVideos[Title],M14),HYPERLINK("https://www.youtube.com/watch?v="&amp;INDEX(tblVideos[Video ID],M14),IF(INDEX(tblVideos[Status],M14)="Watched","✓ ","▸ ")&amp;INDEX(tblVideos[Title],M14))))</f>
        <v/>
      </c>
      <c r="E14" s="70">
        <f>IF(N14="","",IF(INDEX(tblVideos[Video ID],N14)="",IF(INDEX(tblVideos[Status],N14)="Watched","✓ ","▸ ")&amp;INDEX(tblVideos[Title],N14),HYPERLINK("https://www.youtube.com/watch?v="&amp;INDEX(tblVideos[Video ID],N14),IF(INDEX(tblVideos[Status],N14)="Watched","✓ ","▸ ")&amp;INDEX(tblVideos[Title],N14))))</f>
        <v/>
      </c>
      <c r="F14" s="70">
        <f>IF(O14="","",IF(INDEX(tblVideos[Video ID],O14)="",IF(INDEX(tblVideos[Status],O14)="Watched","✓ ","▸ ")&amp;INDEX(tblVideos[Title],O14),HYPERLINK("https://www.youtube.com/watch?v="&amp;INDEX(tblVideos[Video ID],O14),IF(INDEX(tblVideos[Status],O14)="Watched","✓ ","▸ ")&amp;INDEX(tblVideos[Title],O14))))</f>
        <v/>
      </c>
      <c r="G14" s="70">
        <f>IF(P14="","",IF(INDEX(tblVideos[Video ID],P14)="",IF(INDEX(tblVideos[Status],P14)="Watched","✓ ","▸ ")&amp;INDEX(tblVideos[Title],P14),HYPERLINK("https://www.youtube.com/watch?v="&amp;INDEX(tblVideos[Video ID],P14),IF(INDEX(tblVideos[Status],P14)="Watched","✓ ","▸ ")&amp;INDEX(tblVideos[Title],P14))))</f>
        <v/>
      </c>
      <c r="H14" s="70">
        <f>IF(Q14="","",IF(INDEX(tblVideos[Video ID],Q14)="",IF(INDEX(tblVideos[Status],Q14)="Watched","✓ ","▸ ")&amp;INDEX(tblVideos[Title],Q14),HYPERLINK("https://www.youtube.com/watch?v="&amp;INDEX(tblVideos[Video ID],Q14),IF(INDEX(tblVideos[Status],Q14)="Watched","✓ ","▸ ")&amp;INDEX(tblVideos[Title],Q14))))</f>
        <v/>
      </c>
      <c r="K14">
        <f>IF(S10&gt;=4,MATCH(K10*100+4,tblVideos[Cal Key],0),"")</f>
        <v/>
      </c>
      <c r="L14">
        <f>IF(T10&gt;=4,MATCH(L10*100+4,tblVideos[Cal Key],0),"")</f>
        <v/>
      </c>
      <c r="M14">
        <f>IF(U10&gt;=4,MATCH(M10*100+4,tblVideos[Cal Key],0),"")</f>
        <v/>
      </c>
      <c r="N14">
        <f>IF(V10&gt;=4,MATCH(N10*100+4,tblVideos[Cal Key],0),"")</f>
        <v/>
      </c>
      <c r="O14">
        <f>IF(W10&gt;=4,MATCH(O10*100+4,tblVideos[Cal Key],0),"")</f>
        <v/>
      </c>
      <c r="P14">
        <f>IF(X10&gt;=4,MATCH(P10*100+4,tblVideos[Cal Key],0),"")</f>
        <v/>
      </c>
      <c r="Q14">
        <f>IF(Y10&gt;=4,MATCH(Q10*100+4,tblVideos[Cal Key],0),"")</f>
        <v/>
      </c>
      <c r="S14">
        <f>IF(K14="","",IFERROR(MATCH(INDEX(tblVideos[Channel ID],K14),tblChannels[Channel ID],0),""))</f>
        <v/>
      </c>
      <c r="T14">
        <f>IF(L14="","",IFERROR(MATCH(INDEX(tblVideos[Channel ID],L14),tblChannels[Channel ID],0),""))</f>
        <v/>
      </c>
      <c r="U14">
        <f>IF(M14="","",IFERROR(MATCH(INDEX(tblVideos[Channel ID],M14),tblChannels[Channel ID],0),""))</f>
        <v/>
      </c>
      <c r="V14">
        <f>IF(N14="","",IFERROR(MATCH(INDEX(tblVideos[Channel ID],N14),tblChannels[Channel ID],0),""))</f>
        <v/>
      </c>
      <c r="W14">
        <f>IF(O14="","",IFERROR(MATCH(INDEX(tblVideos[Channel ID],O14),tblChannels[Channel ID],0),""))</f>
        <v/>
      </c>
      <c r="X14">
        <f>IF(P14="","",IFERROR(MATCH(INDEX(tblVideos[Channel ID],P14),tblChannels[Channel ID],0),""))</f>
        <v/>
      </c>
      <c r="Y14">
        <f>IF(Q14="","",IFERROR(MATCH(INDEX(tblVideos[Channel ID],Q14),tblChannels[Channel ID],0),""))</f>
        <v/>
      </c>
    </row>
    <row r="15">
      <c r="B15" s="70">
        <f>IF(K15="","",IF(INDEX(tblVideos[Video ID],K15)="",IF(INDEX(tblVideos[Status],K15)="Watched","✓ ","▸ ")&amp;INDEX(tblVideos[Title],K15),HYPERLINK("https://www.youtube.com/watch?v="&amp;INDEX(tblVideos[Video ID],K15),IF(INDEX(tblVideos[Status],K15)="Watched","✓ ","▸ ")&amp;INDEX(tblVideos[Title],K15))))</f>
        <v/>
      </c>
      <c r="C15" s="70">
        <f>IF(L15="","",IF(INDEX(tblVideos[Video ID],L15)="",IF(INDEX(tblVideos[Status],L15)="Watched","✓ ","▸ ")&amp;INDEX(tblVideos[Title],L15),HYPERLINK("https://www.youtube.com/watch?v="&amp;INDEX(tblVideos[Video ID],L15),IF(INDEX(tblVideos[Status],L15)="Watched","✓ ","▸ ")&amp;INDEX(tblVideos[Title],L15))))</f>
        <v/>
      </c>
      <c r="D15" s="70">
        <f>IF(M15="","",IF(INDEX(tblVideos[Video ID],M15)="",IF(INDEX(tblVideos[Status],M15)="Watched","✓ ","▸ ")&amp;INDEX(tblVideos[Title],M15),HYPERLINK("https://www.youtube.com/watch?v="&amp;INDEX(tblVideos[Video ID],M15),IF(INDEX(tblVideos[Status],M15)="Watched","✓ ","▸ ")&amp;INDEX(tblVideos[Title],M15))))</f>
        <v/>
      </c>
      <c r="E15" s="70">
        <f>IF(N15="","",IF(INDEX(tblVideos[Video ID],N15)="",IF(INDEX(tblVideos[Status],N15)="Watched","✓ ","▸ ")&amp;INDEX(tblVideos[Title],N15),HYPERLINK("https://www.youtube.com/watch?v="&amp;INDEX(tblVideos[Video ID],N15),IF(INDEX(tblVideos[Status],N15)="Watched","✓ ","▸ ")&amp;INDEX(tblVideos[Title],N15))))</f>
        <v/>
      </c>
      <c r="F15" s="70">
        <f>IF(O15="","",IF(INDEX(tblVideos[Video ID],O15)="",IF(INDEX(tblVideos[Status],O15)="Watched","✓ ","▸ ")&amp;INDEX(tblVideos[Title],O15),HYPERLINK("https://www.youtube.com/watch?v="&amp;INDEX(tblVideos[Video ID],O15),IF(INDEX(tblVideos[Status],O15)="Watched","✓ ","▸ ")&amp;INDEX(tblVideos[Title],O15))))</f>
        <v/>
      </c>
      <c r="G15" s="70">
        <f>IF(P15="","",IF(INDEX(tblVideos[Video ID],P15)="",IF(INDEX(tblVideos[Status],P15)="Watched","✓ ","▸ ")&amp;INDEX(tblVideos[Title],P15),HYPERLINK("https://www.youtube.com/watch?v="&amp;INDEX(tblVideos[Video ID],P15),IF(INDEX(tblVideos[Status],P15)="Watched","✓ ","▸ ")&amp;INDEX(tblVideos[Title],P15))))</f>
        <v/>
      </c>
      <c r="H15" s="70">
        <f>IF(Q15="","",IF(INDEX(tblVideos[Video ID],Q15)="",IF(INDEX(tblVideos[Status],Q15)="Watched","✓ ","▸ ")&amp;INDEX(tblVideos[Title],Q15),HYPERLINK("https://www.youtube.com/watch?v="&amp;INDEX(tblVideos[Video ID],Q15),IF(INDEX(tblVideos[Status],Q15)="Watched","✓ ","▸ ")&amp;INDEX(tblVideos[Title],Q15))))</f>
        <v/>
      </c>
      <c r="K15">
        <f>IF(S10&gt;=5,MATCH(K10*100+5,tblVideos[Cal Key],0),"")</f>
        <v/>
      </c>
      <c r="L15">
        <f>IF(T10&gt;=5,MATCH(L10*100+5,tblVideos[Cal Key],0),"")</f>
        <v/>
      </c>
      <c r="M15">
        <f>IF(U10&gt;=5,MATCH(M10*100+5,tblVideos[Cal Key],0),"")</f>
        <v/>
      </c>
      <c r="N15">
        <f>IF(V10&gt;=5,MATCH(N10*100+5,tblVideos[Cal Key],0),"")</f>
        <v/>
      </c>
      <c r="O15">
        <f>IF(W10&gt;=5,MATCH(O10*100+5,tblVideos[Cal Key],0),"")</f>
        <v/>
      </c>
      <c r="P15">
        <f>IF(X10&gt;=5,MATCH(P10*100+5,tblVideos[Cal Key],0),"")</f>
        <v/>
      </c>
      <c r="Q15">
        <f>IF(Y10&gt;=5,MATCH(Q10*100+5,tblVideos[Cal Key],0),"")</f>
        <v/>
      </c>
      <c r="S15">
        <f>IF(K15="","",IFERROR(MATCH(INDEX(tblVideos[Channel ID],K15),tblChannels[Channel ID],0),""))</f>
        <v/>
      </c>
      <c r="T15">
        <f>IF(L15="","",IFERROR(MATCH(INDEX(tblVideos[Channel ID],L15),tblChannels[Channel ID],0),""))</f>
        <v/>
      </c>
      <c r="U15">
        <f>IF(M15="","",IFERROR(MATCH(INDEX(tblVideos[Channel ID],M15),tblChannels[Channel ID],0),""))</f>
        <v/>
      </c>
      <c r="V15">
        <f>IF(N15="","",IFERROR(MATCH(INDEX(tblVideos[Channel ID],N15),tblChannels[Channel ID],0),""))</f>
        <v/>
      </c>
      <c r="W15">
        <f>IF(O15="","",IFERROR(MATCH(INDEX(tblVideos[Channel ID],O15),tblChannels[Channel ID],0),""))</f>
        <v/>
      </c>
      <c r="X15">
        <f>IF(P15="","",IFERROR(MATCH(INDEX(tblVideos[Channel ID],P15),tblChannels[Channel ID],0),""))</f>
        <v/>
      </c>
      <c r="Y15">
        <f>IF(Q15="","",IFERROR(MATCH(INDEX(tblVideos[Channel ID],Q15),tblChannels[Channel ID],0),""))</f>
        <v/>
      </c>
    </row>
    <row r="16" ht="18" customHeight="1">
      <c r="B16" s="69">
        <f>IF(MONTH(K16)=MONTH($K$2),DAY(K16)&amp;IF(S16&gt;0,"   ·   "&amp;S16&amp;IF(S16=1," video"," videos")&amp;"   ·   "&amp;IF(ROUND((AA16)*1440,0)&lt;60,ROUND((AA16)*1440,0)&amp;" m",IF(MOD(ROUND((AA16)*1440,0),60)=0,INT(ROUND((AA16)*1440,0)/60)&amp;" h",INT(ROUND((AA16)*1440,0)/60)&amp;" h "&amp;MOD(ROUND((AA16)*1440,0),60)&amp;" m"))&amp;IF(S16&gt;5,"   (+"&amp;(S16-5)&amp;" more)",""),""),"")</f>
        <v/>
      </c>
      <c r="C16" s="69">
        <f>IF(MONTH(L16)=MONTH($K$2),DAY(L16)&amp;IF(T16&gt;0,"   ·   "&amp;T16&amp;IF(T16=1," video"," videos")&amp;"   ·   "&amp;IF(ROUND((AB16)*1440,0)&lt;60,ROUND((AB16)*1440,0)&amp;" m",IF(MOD(ROUND((AB16)*1440,0),60)=0,INT(ROUND((AB16)*1440,0)/60)&amp;" h",INT(ROUND((AB16)*1440,0)/60)&amp;" h "&amp;MOD(ROUND((AB16)*1440,0),60)&amp;" m"))&amp;IF(T16&gt;5,"   (+"&amp;(T16-5)&amp;" more)",""),""),"")</f>
        <v/>
      </c>
      <c r="D16" s="69">
        <f>IF(MONTH(M16)=MONTH($K$2),DAY(M16)&amp;IF(U16&gt;0,"   ·   "&amp;U16&amp;IF(U16=1," video"," videos")&amp;"   ·   "&amp;IF(ROUND((AC16)*1440,0)&lt;60,ROUND((AC16)*1440,0)&amp;" m",IF(MOD(ROUND((AC16)*1440,0),60)=0,INT(ROUND((AC16)*1440,0)/60)&amp;" h",INT(ROUND((AC16)*1440,0)/60)&amp;" h "&amp;MOD(ROUND((AC16)*1440,0),60)&amp;" m"))&amp;IF(U16&gt;5,"   (+"&amp;(U16-5)&amp;" more)",""),""),"")</f>
        <v/>
      </c>
      <c r="E16" s="69">
        <f>IF(MONTH(N16)=MONTH($K$2),DAY(N16)&amp;IF(V16&gt;0,"   ·   "&amp;V16&amp;IF(V16=1," video"," videos")&amp;"   ·   "&amp;IF(ROUND((AD16)*1440,0)&lt;60,ROUND((AD16)*1440,0)&amp;" m",IF(MOD(ROUND((AD16)*1440,0),60)=0,INT(ROUND((AD16)*1440,0)/60)&amp;" h",INT(ROUND((AD16)*1440,0)/60)&amp;" h "&amp;MOD(ROUND((AD16)*1440,0),60)&amp;" m"))&amp;IF(V16&gt;5,"   (+"&amp;(V16-5)&amp;" more)",""),""),"")</f>
        <v/>
      </c>
      <c r="F16" s="69">
        <f>IF(MONTH(O16)=MONTH($K$2),DAY(O16)&amp;IF(W16&gt;0,"   ·   "&amp;W16&amp;IF(W16=1," video"," videos")&amp;"   ·   "&amp;IF(ROUND((AE16)*1440,0)&lt;60,ROUND((AE16)*1440,0)&amp;" m",IF(MOD(ROUND((AE16)*1440,0),60)=0,INT(ROUND((AE16)*1440,0)/60)&amp;" h",INT(ROUND((AE16)*1440,0)/60)&amp;" h "&amp;MOD(ROUND((AE16)*1440,0),60)&amp;" m"))&amp;IF(W16&gt;5,"   (+"&amp;(W16-5)&amp;" more)",""),""),"")</f>
        <v/>
      </c>
      <c r="G16" s="69">
        <f>IF(MONTH(P16)=MONTH($K$2),DAY(P16)&amp;IF(X16&gt;0,"   ·   "&amp;X16&amp;IF(X16=1," video"," videos")&amp;"   ·   "&amp;IF(ROUND((AF16)*1440,0)&lt;60,ROUND((AF16)*1440,0)&amp;" m",IF(MOD(ROUND((AF16)*1440,0),60)=0,INT(ROUND((AF16)*1440,0)/60)&amp;" h",INT(ROUND((AF16)*1440,0)/60)&amp;" h "&amp;MOD(ROUND((AF16)*1440,0),60)&amp;" m"))&amp;IF(X16&gt;5,"   (+"&amp;(X16-5)&amp;" more)",""),""),"")</f>
        <v/>
      </c>
      <c r="H16" s="69">
        <f>IF(MONTH(Q16)=MONTH($K$2),DAY(Q16)&amp;IF(Y16&gt;0,"   ·   "&amp;Y16&amp;IF(Y16=1," video"," videos")&amp;"   ·   "&amp;IF(ROUND((AG16)*1440,0)&lt;60,ROUND((AG16)*1440,0)&amp;" m",IF(MOD(ROUND((AG16)*1440,0),60)=0,INT(ROUND((AG16)*1440,0)/60)&amp;" h",INT(ROUND((AG16)*1440,0)/60)&amp;" h "&amp;MOD(ROUND((AG16)*1440,0),60)&amp;" m"))&amp;IF(Y16&gt;5,"   (+"&amp;(Y16-5)&amp;" more)",""),""),"")</f>
        <v/>
      </c>
      <c r="K16" s="59">
        <f>$K$3+7</f>
        <v/>
      </c>
      <c r="L16" s="59">
        <f>$K$3+8</f>
        <v/>
      </c>
      <c r="M16" s="59">
        <f>$K$3+9</f>
        <v/>
      </c>
      <c r="N16" s="59">
        <f>$K$3+10</f>
        <v/>
      </c>
      <c r="O16" s="59">
        <f>$K$3+11</f>
        <v/>
      </c>
      <c r="P16" s="59">
        <f>$K$3+12</f>
        <v/>
      </c>
      <c r="Q16" s="59">
        <f>$K$3+13</f>
        <v/>
      </c>
      <c r="S16">
        <f>IF(MONTH(K16)=MONTH($K$2),COUNTIFS(tblVideos[Day],K16,tblVideos[Channel ID],$K$4),0)</f>
        <v/>
      </c>
      <c r="T16">
        <f>IF(MONTH(L16)=MONTH($K$2),COUNTIFS(tblVideos[Day],L16,tblVideos[Channel ID],$K$4),0)</f>
        <v/>
      </c>
      <c r="U16">
        <f>IF(MONTH(M16)=MONTH($K$2),COUNTIFS(tblVideos[Day],M16,tblVideos[Channel ID],$K$4),0)</f>
        <v/>
      </c>
      <c r="V16">
        <f>IF(MONTH(N16)=MONTH($K$2),COUNTIFS(tblVideos[Day],N16,tblVideos[Channel ID],$K$4),0)</f>
        <v/>
      </c>
      <c r="W16">
        <f>IF(MONTH(O16)=MONTH($K$2),COUNTIFS(tblVideos[Day],O16,tblVideos[Channel ID],$K$4),0)</f>
        <v/>
      </c>
      <c r="X16">
        <f>IF(MONTH(P16)=MONTH($K$2),COUNTIFS(tblVideos[Day],P16,tblVideos[Channel ID],$K$4),0)</f>
        <v/>
      </c>
      <c r="Y16">
        <f>IF(MONTH(Q16)=MONTH($K$2),COUNTIFS(tblVideos[Day],Q16,tblVideos[Channel ID],$K$4),0)</f>
        <v/>
      </c>
      <c r="AA16">
        <f>IF(S16&gt;0,SUMIFS(tblVideos[Length],tblVideos[Day],K16,tblVideos[Channel ID],$K$4),0)</f>
        <v/>
      </c>
      <c r="AB16">
        <f>IF(T16&gt;0,SUMIFS(tblVideos[Length],tblVideos[Day],L16,tblVideos[Channel ID],$K$4),0)</f>
        <v/>
      </c>
      <c r="AC16">
        <f>IF(U16&gt;0,SUMIFS(tblVideos[Length],tblVideos[Day],M16,tblVideos[Channel ID],$K$4),0)</f>
        <v/>
      </c>
      <c r="AD16">
        <f>IF(V16&gt;0,SUMIFS(tblVideos[Length],tblVideos[Day],N16,tblVideos[Channel ID],$K$4),0)</f>
        <v/>
      </c>
      <c r="AE16">
        <f>IF(W16&gt;0,SUMIFS(tblVideos[Length],tblVideos[Day],O16,tblVideos[Channel ID],$K$4),0)</f>
        <v/>
      </c>
      <c r="AF16">
        <f>IF(X16&gt;0,SUMIFS(tblVideos[Length],tblVideos[Day],P16,tblVideos[Channel ID],$K$4),0)</f>
        <v/>
      </c>
      <c r="AG16">
        <f>IF(Y16&gt;0,SUMIFS(tblVideos[Length],tblVideos[Day],Q16,tblVideos[Channel ID],$K$4),0)</f>
        <v/>
      </c>
    </row>
    <row r="17">
      <c r="B17" s="70">
        <f>IF(K17="","",IF(INDEX(tblVideos[Video ID],K17)="",IF(INDEX(tblVideos[Status],K17)="Watched","✓ ","▸ ")&amp;INDEX(tblVideos[Title],K17),HYPERLINK("https://www.youtube.com/watch?v="&amp;INDEX(tblVideos[Video ID],K17),IF(INDEX(tblVideos[Status],K17)="Watched","✓ ","▸ ")&amp;INDEX(tblVideos[Title],K17))))</f>
        <v/>
      </c>
      <c r="C17" s="70">
        <f>IF(L17="","",IF(INDEX(tblVideos[Video ID],L17)="",IF(INDEX(tblVideos[Status],L17)="Watched","✓ ","▸ ")&amp;INDEX(tblVideos[Title],L17),HYPERLINK("https://www.youtube.com/watch?v="&amp;INDEX(tblVideos[Video ID],L17),IF(INDEX(tblVideos[Status],L17)="Watched","✓ ","▸ ")&amp;INDEX(tblVideos[Title],L17))))</f>
        <v/>
      </c>
      <c r="D17" s="70">
        <f>IF(M17="","",IF(INDEX(tblVideos[Video ID],M17)="",IF(INDEX(tblVideos[Status],M17)="Watched","✓ ","▸ ")&amp;INDEX(tblVideos[Title],M17),HYPERLINK("https://www.youtube.com/watch?v="&amp;INDEX(tblVideos[Video ID],M17),IF(INDEX(tblVideos[Status],M17)="Watched","✓ ","▸ ")&amp;INDEX(tblVideos[Title],M17))))</f>
        <v/>
      </c>
      <c r="E17" s="70">
        <f>IF(N17="","",IF(INDEX(tblVideos[Video ID],N17)="",IF(INDEX(tblVideos[Status],N17)="Watched","✓ ","▸ ")&amp;INDEX(tblVideos[Title],N17),HYPERLINK("https://www.youtube.com/watch?v="&amp;INDEX(tblVideos[Video ID],N17),IF(INDEX(tblVideos[Status],N17)="Watched","✓ ","▸ ")&amp;INDEX(tblVideos[Title],N17))))</f>
        <v/>
      </c>
      <c r="F17" s="70">
        <f>IF(O17="","",IF(INDEX(tblVideos[Video ID],O17)="",IF(INDEX(tblVideos[Status],O17)="Watched","✓ ","▸ ")&amp;INDEX(tblVideos[Title],O17),HYPERLINK("https://www.youtube.com/watch?v="&amp;INDEX(tblVideos[Video ID],O17),IF(INDEX(tblVideos[Status],O17)="Watched","✓ ","▸ ")&amp;INDEX(tblVideos[Title],O17))))</f>
        <v/>
      </c>
      <c r="G17" s="70">
        <f>IF(P17="","",IF(INDEX(tblVideos[Video ID],P17)="",IF(INDEX(tblVideos[Status],P17)="Watched","✓ ","▸ ")&amp;INDEX(tblVideos[Title],P17),HYPERLINK("https://www.youtube.com/watch?v="&amp;INDEX(tblVideos[Video ID],P17),IF(INDEX(tblVideos[Status],P17)="Watched","✓ ","▸ ")&amp;INDEX(tblVideos[Title],P17))))</f>
        <v/>
      </c>
      <c r="H17" s="70">
        <f>IF(Q17="","",IF(INDEX(tblVideos[Video ID],Q17)="",IF(INDEX(tblVideos[Status],Q17)="Watched","✓ ","▸ ")&amp;INDEX(tblVideos[Title],Q17),HYPERLINK("https://www.youtube.com/watch?v="&amp;INDEX(tblVideos[Video ID],Q17),IF(INDEX(tblVideos[Status],Q17)="Watched","✓ ","▸ ")&amp;INDEX(tblVideos[Title],Q17))))</f>
        <v/>
      </c>
      <c r="K17">
        <f>IF(S16&gt;=1,MATCH(K16*100+1,tblVideos[Cal Key],0),"")</f>
        <v/>
      </c>
      <c r="L17">
        <f>IF(T16&gt;=1,MATCH(L16*100+1,tblVideos[Cal Key],0),"")</f>
        <v/>
      </c>
      <c r="M17">
        <f>IF(U16&gt;=1,MATCH(M16*100+1,tblVideos[Cal Key],0),"")</f>
        <v/>
      </c>
      <c r="N17">
        <f>IF(V16&gt;=1,MATCH(N16*100+1,tblVideos[Cal Key],0),"")</f>
        <v/>
      </c>
      <c r="O17">
        <f>IF(W16&gt;=1,MATCH(O16*100+1,tblVideos[Cal Key],0),"")</f>
        <v/>
      </c>
      <c r="P17">
        <f>IF(X16&gt;=1,MATCH(P16*100+1,tblVideos[Cal Key],0),"")</f>
        <v/>
      </c>
      <c r="Q17">
        <f>IF(Y16&gt;=1,MATCH(Q16*100+1,tblVideos[Cal Key],0),"")</f>
        <v/>
      </c>
      <c r="S17">
        <f>IF(K17="","",IFERROR(MATCH(INDEX(tblVideos[Channel ID],K17),tblChannels[Channel ID],0),""))</f>
        <v/>
      </c>
      <c r="T17">
        <f>IF(L17="","",IFERROR(MATCH(INDEX(tblVideos[Channel ID],L17),tblChannels[Channel ID],0),""))</f>
        <v/>
      </c>
      <c r="U17">
        <f>IF(M17="","",IFERROR(MATCH(INDEX(tblVideos[Channel ID],M17),tblChannels[Channel ID],0),""))</f>
        <v/>
      </c>
      <c r="V17">
        <f>IF(N17="","",IFERROR(MATCH(INDEX(tblVideos[Channel ID],N17),tblChannels[Channel ID],0),""))</f>
        <v/>
      </c>
      <c r="W17">
        <f>IF(O17="","",IFERROR(MATCH(INDEX(tblVideos[Channel ID],O17),tblChannels[Channel ID],0),""))</f>
        <v/>
      </c>
      <c r="X17">
        <f>IF(P17="","",IFERROR(MATCH(INDEX(tblVideos[Channel ID],P17),tblChannels[Channel ID],0),""))</f>
        <v/>
      </c>
      <c r="Y17">
        <f>IF(Q17="","",IFERROR(MATCH(INDEX(tblVideos[Channel ID],Q17),tblChannels[Channel ID],0),""))</f>
        <v/>
      </c>
    </row>
    <row r="18">
      <c r="B18" s="70">
        <f>IF(K18="","",IF(INDEX(tblVideos[Video ID],K18)="",IF(INDEX(tblVideos[Status],K18)="Watched","✓ ","▸ ")&amp;INDEX(tblVideos[Title],K18),HYPERLINK("https://www.youtube.com/watch?v="&amp;INDEX(tblVideos[Video ID],K18),IF(INDEX(tblVideos[Status],K18)="Watched","✓ ","▸ ")&amp;INDEX(tblVideos[Title],K18))))</f>
        <v/>
      </c>
      <c r="C18" s="70">
        <f>IF(L18="","",IF(INDEX(tblVideos[Video ID],L18)="",IF(INDEX(tblVideos[Status],L18)="Watched","✓ ","▸ ")&amp;INDEX(tblVideos[Title],L18),HYPERLINK("https://www.youtube.com/watch?v="&amp;INDEX(tblVideos[Video ID],L18),IF(INDEX(tblVideos[Status],L18)="Watched","✓ ","▸ ")&amp;INDEX(tblVideos[Title],L18))))</f>
        <v/>
      </c>
      <c r="D18" s="70">
        <f>IF(M18="","",IF(INDEX(tblVideos[Video ID],M18)="",IF(INDEX(tblVideos[Status],M18)="Watched","✓ ","▸ ")&amp;INDEX(tblVideos[Title],M18),HYPERLINK("https://www.youtube.com/watch?v="&amp;INDEX(tblVideos[Video ID],M18),IF(INDEX(tblVideos[Status],M18)="Watched","✓ ","▸ ")&amp;INDEX(tblVideos[Title],M18))))</f>
        <v/>
      </c>
      <c r="E18" s="70">
        <f>IF(N18="","",IF(INDEX(tblVideos[Video ID],N18)="",IF(INDEX(tblVideos[Status],N18)="Watched","✓ ","▸ ")&amp;INDEX(tblVideos[Title],N18),HYPERLINK("https://www.youtube.com/watch?v="&amp;INDEX(tblVideos[Video ID],N18),IF(INDEX(tblVideos[Status],N18)="Watched","✓ ","▸ ")&amp;INDEX(tblVideos[Title],N18))))</f>
        <v/>
      </c>
      <c r="F18" s="70">
        <f>IF(O18="","",IF(INDEX(tblVideos[Video ID],O18)="",IF(INDEX(tblVideos[Status],O18)="Watched","✓ ","▸ ")&amp;INDEX(tblVideos[Title],O18),HYPERLINK("https://www.youtube.com/watch?v="&amp;INDEX(tblVideos[Video ID],O18),IF(INDEX(tblVideos[Status],O18)="Watched","✓ ","▸ ")&amp;INDEX(tblVideos[Title],O18))))</f>
        <v/>
      </c>
      <c r="G18" s="70">
        <f>IF(P18="","",IF(INDEX(tblVideos[Video ID],P18)="",IF(INDEX(tblVideos[Status],P18)="Watched","✓ ","▸ ")&amp;INDEX(tblVideos[Title],P18),HYPERLINK("https://www.youtube.com/watch?v="&amp;INDEX(tblVideos[Video ID],P18),IF(INDEX(tblVideos[Status],P18)="Watched","✓ ","▸ ")&amp;INDEX(tblVideos[Title],P18))))</f>
        <v/>
      </c>
      <c r="H18" s="70">
        <f>IF(Q18="","",IF(INDEX(tblVideos[Video ID],Q18)="",IF(INDEX(tblVideos[Status],Q18)="Watched","✓ ","▸ ")&amp;INDEX(tblVideos[Title],Q18),HYPERLINK("https://www.youtube.com/watch?v="&amp;INDEX(tblVideos[Video ID],Q18),IF(INDEX(tblVideos[Status],Q18)="Watched","✓ ","▸ ")&amp;INDEX(tblVideos[Title],Q18))))</f>
        <v/>
      </c>
      <c r="K18">
        <f>IF(S16&gt;=2,MATCH(K16*100+2,tblVideos[Cal Key],0),"")</f>
        <v/>
      </c>
      <c r="L18">
        <f>IF(T16&gt;=2,MATCH(L16*100+2,tblVideos[Cal Key],0),"")</f>
        <v/>
      </c>
      <c r="M18">
        <f>IF(U16&gt;=2,MATCH(M16*100+2,tblVideos[Cal Key],0),"")</f>
        <v/>
      </c>
      <c r="N18">
        <f>IF(V16&gt;=2,MATCH(N16*100+2,tblVideos[Cal Key],0),"")</f>
        <v/>
      </c>
      <c r="O18">
        <f>IF(W16&gt;=2,MATCH(O16*100+2,tblVideos[Cal Key],0),"")</f>
        <v/>
      </c>
      <c r="P18">
        <f>IF(X16&gt;=2,MATCH(P16*100+2,tblVideos[Cal Key],0),"")</f>
        <v/>
      </c>
      <c r="Q18">
        <f>IF(Y16&gt;=2,MATCH(Q16*100+2,tblVideos[Cal Key],0),"")</f>
        <v/>
      </c>
      <c r="S18">
        <f>IF(K18="","",IFERROR(MATCH(INDEX(tblVideos[Channel ID],K18),tblChannels[Channel ID],0),""))</f>
        <v/>
      </c>
      <c r="T18">
        <f>IF(L18="","",IFERROR(MATCH(INDEX(tblVideos[Channel ID],L18),tblChannels[Channel ID],0),""))</f>
        <v/>
      </c>
      <c r="U18">
        <f>IF(M18="","",IFERROR(MATCH(INDEX(tblVideos[Channel ID],M18),tblChannels[Channel ID],0),""))</f>
        <v/>
      </c>
      <c r="V18">
        <f>IF(N18="","",IFERROR(MATCH(INDEX(tblVideos[Channel ID],N18),tblChannels[Channel ID],0),""))</f>
        <v/>
      </c>
      <c r="W18">
        <f>IF(O18="","",IFERROR(MATCH(INDEX(tblVideos[Channel ID],O18),tblChannels[Channel ID],0),""))</f>
        <v/>
      </c>
      <c r="X18">
        <f>IF(P18="","",IFERROR(MATCH(INDEX(tblVideos[Channel ID],P18),tblChannels[Channel ID],0),""))</f>
        <v/>
      </c>
      <c r="Y18">
        <f>IF(Q18="","",IFERROR(MATCH(INDEX(tblVideos[Channel ID],Q18),tblChannels[Channel ID],0),""))</f>
        <v/>
      </c>
    </row>
    <row r="19">
      <c r="B19" s="70">
        <f>IF(K19="","",IF(INDEX(tblVideos[Video ID],K19)="",IF(INDEX(tblVideos[Status],K19)="Watched","✓ ","▸ ")&amp;INDEX(tblVideos[Title],K19),HYPERLINK("https://www.youtube.com/watch?v="&amp;INDEX(tblVideos[Video ID],K19),IF(INDEX(tblVideos[Status],K19)="Watched","✓ ","▸ ")&amp;INDEX(tblVideos[Title],K19))))</f>
        <v/>
      </c>
      <c r="C19" s="70">
        <f>IF(L19="","",IF(INDEX(tblVideos[Video ID],L19)="",IF(INDEX(tblVideos[Status],L19)="Watched","✓ ","▸ ")&amp;INDEX(tblVideos[Title],L19),HYPERLINK("https://www.youtube.com/watch?v="&amp;INDEX(tblVideos[Video ID],L19),IF(INDEX(tblVideos[Status],L19)="Watched","✓ ","▸ ")&amp;INDEX(tblVideos[Title],L19))))</f>
        <v/>
      </c>
      <c r="D19" s="70">
        <f>IF(M19="","",IF(INDEX(tblVideos[Video ID],M19)="",IF(INDEX(tblVideos[Status],M19)="Watched","✓ ","▸ ")&amp;INDEX(tblVideos[Title],M19),HYPERLINK("https://www.youtube.com/watch?v="&amp;INDEX(tblVideos[Video ID],M19),IF(INDEX(tblVideos[Status],M19)="Watched","✓ ","▸ ")&amp;INDEX(tblVideos[Title],M19))))</f>
        <v/>
      </c>
      <c r="E19" s="70">
        <f>IF(N19="","",IF(INDEX(tblVideos[Video ID],N19)="",IF(INDEX(tblVideos[Status],N19)="Watched","✓ ","▸ ")&amp;INDEX(tblVideos[Title],N19),HYPERLINK("https://www.youtube.com/watch?v="&amp;INDEX(tblVideos[Video ID],N19),IF(INDEX(tblVideos[Status],N19)="Watched","✓ ","▸ ")&amp;INDEX(tblVideos[Title],N19))))</f>
        <v/>
      </c>
      <c r="F19" s="70">
        <f>IF(O19="","",IF(INDEX(tblVideos[Video ID],O19)="",IF(INDEX(tblVideos[Status],O19)="Watched","✓ ","▸ ")&amp;INDEX(tblVideos[Title],O19),HYPERLINK("https://www.youtube.com/watch?v="&amp;INDEX(tblVideos[Video ID],O19),IF(INDEX(tblVideos[Status],O19)="Watched","✓ ","▸ ")&amp;INDEX(tblVideos[Title],O19))))</f>
        <v/>
      </c>
      <c r="G19" s="70">
        <f>IF(P19="","",IF(INDEX(tblVideos[Video ID],P19)="",IF(INDEX(tblVideos[Status],P19)="Watched","✓ ","▸ ")&amp;INDEX(tblVideos[Title],P19),HYPERLINK("https://www.youtube.com/watch?v="&amp;INDEX(tblVideos[Video ID],P19),IF(INDEX(tblVideos[Status],P19)="Watched","✓ ","▸ ")&amp;INDEX(tblVideos[Title],P19))))</f>
        <v/>
      </c>
      <c r="H19" s="70">
        <f>IF(Q19="","",IF(INDEX(tblVideos[Video ID],Q19)="",IF(INDEX(tblVideos[Status],Q19)="Watched","✓ ","▸ ")&amp;INDEX(tblVideos[Title],Q19),HYPERLINK("https://www.youtube.com/watch?v="&amp;INDEX(tblVideos[Video ID],Q19),IF(INDEX(tblVideos[Status],Q19)="Watched","✓ ","▸ ")&amp;INDEX(tblVideos[Title],Q19))))</f>
        <v/>
      </c>
      <c r="K19">
        <f>IF(S16&gt;=3,MATCH(K16*100+3,tblVideos[Cal Key],0),"")</f>
        <v/>
      </c>
      <c r="L19">
        <f>IF(T16&gt;=3,MATCH(L16*100+3,tblVideos[Cal Key],0),"")</f>
        <v/>
      </c>
      <c r="M19">
        <f>IF(U16&gt;=3,MATCH(M16*100+3,tblVideos[Cal Key],0),"")</f>
        <v/>
      </c>
      <c r="N19">
        <f>IF(V16&gt;=3,MATCH(N16*100+3,tblVideos[Cal Key],0),"")</f>
        <v/>
      </c>
      <c r="O19">
        <f>IF(W16&gt;=3,MATCH(O16*100+3,tblVideos[Cal Key],0),"")</f>
        <v/>
      </c>
      <c r="P19">
        <f>IF(X16&gt;=3,MATCH(P16*100+3,tblVideos[Cal Key],0),"")</f>
        <v/>
      </c>
      <c r="Q19">
        <f>IF(Y16&gt;=3,MATCH(Q16*100+3,tblVideos[Cal Key],0),"")</f>
        <v/>
      </c>
      <c r="S19">
        <f>IF(K19="","",IFERROR(MATCH(INDEX(tblVideos[Channel ID],K19),tblChannels[Channel ID],0),""))</f>
        <v/>
      </c>
      <c r="T19">
        <f>IF(L19="","",IFERROR(MATCH(INDEX(tblVideos[Channel ID],L19),tblChannels[Channel ID],0),""))</f>
        <v/>
      </c>
      <c r="U19">
        <f>IF(M19="","",IFERROR(MATCH(INDEX(tblVideos[Channel ID],M19),tblChannels[Channel ID],0),""))</f>
        <v/>
      </c>
      <c r="V19">
        <f>IF(N19="","",IFERROR(MATCH(INDEX(tblVideos[Channel ID],N19),tblChannels[Channel ID],0),""))</f>
        <v/>
      </c>
      <c r="W19">
        <f>IF(O19="","",IFERROR(MATCH(INDEX(tblVideos[Channel ID],O19),tblChannels[Channel ID],0),""))</f>
        <v/>
      </c>
      <c r="X19">
        <f>IF(P19="","",IFERROR(MATCH(INDEX(tblVideos[Channel ID],P19),tblChannels[Channel ID],0),""))</f>
        <v/>
      </c>
      <c r="Y19">
        <f>IF(Q19="","",IFERROR(MATCH(INDEX(tblVideos[Channel ID],Q19),tblChannels[Channel ID],0),""))</f>
        <v/>
      </c>
    </row>
    <row r="20">
      <c r="B20" s="70">
        <f>IF(K20="","",IF(INDEX(tblVideos[Video ID],K20)="",IF(INDEX(tblVideos[Status],K20)="Watched","✓ ","▸ ")&amp;INDEX(tblVideos[Title],K20),HYPERLINK("https://www.youtube.com/watch?v="&amp;INDEX(tblVideos[Video ID],K20),IF(INDEX(tblVideos[Status],K20)="Watched","✓ ","▸ ")&amp;INDEX(tblVideos[Title],K20))))</f>
        <v/>
      </c>
      <c r="C20" s="70">
        <f>IF(L20="","",IF(INDEX(tblVideos[Video ID],L20)="",IF(INDEX(tblVideos[Status],L20)="Watched","✓ ","▸ ")&amp;INDEX(tblVideos[Title],L20),HYPERLINK("https://www.youtube.com/watch?v="&amp;INDEX(tblVideos[Video ID],L20),IF(INDEX(tblVideos[Status],L20)="Watched","✓ ","▸ ")&amp;INDEX(tblVideos[Title],L20))))</f>
        <v/>
      </c>
      <c r="D20" s="70">
        <f>IF(M20="","",IF(INDEX(tblVideos[Video ID],M20)="",IF(INDEX(tblVideos[Status],M20)="Watched","✓ ","▸ ")&amp;INDEX(tblVideos[Title],M20),HYPERLINK("https://www.youtube.com/watch?v="&amp;INDEX(tblVideos[Video ID],M20),IF(INDEX(tblVideos[Status],M20)="Watched","✓ ","▸ ")&amp;INDEX(tblVideos[Title],M20))))</f>
        <v/>
      </c>
      <c r="E20" s="70">
        <f>IF(N20="","",IF(INDEX(tblVideos[Video ID],N20)="",IF(INDEX(tblVideos[Status],N20)="Watched","✓ ","▸ ")&amp;INDEX(tblVideos[Title],N20),HYPERLINK("https://www.youtube.com/watch?v="&amp;INDEX(tblVideos[Video ID],N20),IF(INDEX(tblVideos[Status],N20)="Watched","✓ ","▸ ")&amp;INDEX(tblVideos[Title],N20))))</f>
        <v/>
      </c>
      <c r="F20" s="70">
        <f>IF(O20="","",IF(INDEX(tblVideos[Video ID],O20)="",IF(INDEX(tblVideos[Status],O20)="Watched","✓ ","▸ ")&amp;INDEX(tblVideos[Title],O20),HYPERLINK("https://www.youtube.com/watch?v="&amp;INDEX(tblVideos[Video ID],O20),IF(INDEX(tblVideos[Status],O20)="Watched","✓ ","▸ ")&amp;INDEX(tblVideos[Title],O20))))</f>
        <v/>
      </c>
      <c r="G20" s="70">
        <f>IF(P20="","",IF(INDEX(tblVideos[Video ID],P20)="",IF(INDEX(tblVideos[Status],P20)="Watched","✓ ","▸ ")&amp;INDEX(tblVideos[Title],P20),HYPERLINK("https://www.youtube.com/watch?v="&amp;INDEX(tblVideos[Video ID],P20),IF(INDEX(tblVideos[Status],P20)="Watched","✓ ","▸ ")&amp;INDEX(tblVideos[Title],P20))))</f>
        <v/>
      </c>
      <c r="H20" s="70">
        <f>IF(Q20="","",IF(INDEX(tblVideos[Video ID],Q20)="",IF(INDEX(tblVideos[Status],Q20)="Watched","✓ ","▸ ")&amp;INDEX(tblVideos[Title],Q20),HYPERLINK("https://www.youtube.com/watch?v="&amp;INDEX(tblVideos[Video ID],Q20),IF(INDEX(tblVideos[Status],Q20)="Watched","✓ ","▸ ")&amp;INDEX(tblVideos[Title],Q20))))</f>
        <v/>
      </c>
      <c r="K20">
        <f>IF(S16&gt;=4,MATCH(K16*100+4,tblVideos[Cal Key],0),"")</f>
        <v/>
      </c>
      <c r="L20">
        <f>IF(T16&gt;=4,MATCH(L16*100+4,tblVideos[Cal Key],0),"")</f>
        <v/>
      </c>
      <c r="M20">
        <f>IF(U16&gt;=4,MATCH(M16*100+4,tblVideos[Cal Key],0),"")</f>
        <v/>
      </c>
      <c r="N20">
        <f>IF(V16&gt;=4,MATCH(N16*100+4,tblVideos[Cal Key],0),"")</f>
        <v/>
      </c>
      <c r="O20">
        <f>IF(W16&gt;=4,MATCH(O16*100+4,tblVideos[Cal Key],0),"")</f>
        <v/>
      </c>
      <c r="P20">
        <f>IF(X16&gt;=4,MATCH(P16*100+4,tblVideos[Cal Key],0),"")</f>
        <v/>
      </c>
      <c r="Q20">
        <f>IF(Y16&gt;=4,MATCH(Q16*100+4,tblVideos[Cal Key],0),"")</f>
        <v/>
      </c>
      <c r="S20">
        <f>IF(K20="","",IFERROR(MATCH(INDEX(tblVideos[Channel ID],K20),tblChannels[Channel ID],0),""))</f>
        <v/>
      </c>
      <c r="T20">
        <f>IF(L20="","",IFERROR(MATCH(INDEX(tblVideos[Channel ID],L20),tblChannels[Channel ID],0),""))</f>
        <v/>
      </c>
      <c r="U20">
        <f>IF(M20="","",IFERROR(MATCH(INDEX(tblVideos[Channel ID],M20),tblChannels[Channel ID],0),""))</f>
        <v/>
      </c>
      <c r="V20">
        <f>IF(N20="","",IFERROR(MATCH(INDEX(tblVideos[Channel ID],N20),tblChannels[Channel ID],0),""))</f>
        <v/>
      </c>
      <c r="W20">
        <f>IF(O20="","",IFERROR(MATCH(INDEX(tblVideos[Channel ID],O20),tblChannels[Channel ID],0),""))</f>
        <v/>
      </c>
      <c r="X20">
        <f>IF(P20="","",IFERROR(MATCH(INDEX(tblVideos[Channel ID],P20),tblChannels[Channel ID],0),""))</f>
        <v/>
      </c>
      <c r="Y20">
        <f>IF(Q20="","",IFERROR(MATCH(INDEX(tblVideos[Channel ID],Q20),tblChannels[Channel ID],0),""))</f>
        <v/>
      </c>
    </row>
    <row r="21">
      <c r="B21" s="70">
        <f>IF(K21="","",IF(INDEX(tblVideos[Video ID],K21)="",IF(INDEX(tblVideos[Status],K21)="Watched","✓ ","▸ ")&amp;INDEX(tblVideos[Title],K21),HYPERLINK("https://www.youtube.com/watch?v="&amp;INDEX(tblVideos[Video ID],K21),IF(INDEX(tblVideos[Status],K21)="Watched","✓ ","▸ ")&amp;INDEX(tblVideos[Title],K21))))</f>
        <v/>
      </c>
      <c r="C21" s="70">
        <f>IF(L21="","",IF(INDEX(tblVideos[Video ID],L21)="",IF(INDEX(tblVideos[Status],L21)="Watched","✓ ","▸ ")&amp;INDEX(tblVideos[Title],L21),HYPERLINK("https://www.youtube.com/watch?v="&amp;INDEX(tblVideos[Video ID],L21),IF(INDEX(tblVideos[Status],L21)="Watched","✓ ","▸ ")&amp;INDEX(tblVideos[Title],L21))))</f>
        <v/>
      </c>
      <c r="D21" s="70">
        <f>IF(M21="","",IF(INDEX(tblVideos[Video ID],M21)="",IF(INDEX(tblVideos[Status],M21)="Watched","✓ ","▸ ")&amp;INDEX(tblVideos[Title],M21),HYPERLINK("https://www.youtube.com/watch?v="&amp;INDEX(tblVideos[Video ID],M21),IF(INDEX(tblVideos[Status],M21)="Watched","✓ ","▸ ")&amp;INDEX(tblVideos[Title],M21))))</f>
        <v/>
      </c>
      <c r="E21" s="70">
        <f>IF(N21="","",IF(INDEX(tblVideos[Video ID],N21)="",IF(INDEX(tblVideos[Status],N21)="Watched","✓ ","▸ ")&amp;INDEX(tblVideos[Title],N21),HYPERLINK("https://www.youtube.com/watch?v="&amp;INDEX(tblVideos[Video ID],N21),IF(INDEX(tblVideos[Status],N21)="Watched","✓ ","▸ ")&amp;INDEX(tblVideos[Title],N21))))</f>
        <v/>
      </c>
      <c r="F21" s="70">
        <f>IF(O21="","",IF(INDEX(tblVideos[Video ID],O21)="",IF(INDEX(tblVideos[Status],O21)="Watched","✓ ","▸ ")&amp;INDEX(tblVideos[Title],O21),HYPERLINK("https://www.youtube.com/watch?v="&amp;INDEX(tblVideos[Video ID],O21),IF(INDEX(tblVideos[Status],O21)="Watched","✓ ","▸ ")&amp;INDEX(tblVideos[Title],O21))))</f>
        <v/>
      </c>
      <c r="G21" s="70">
        <f>IF(P21="","",IF(INDEX(tblVideos[Video ID],P21)="",IF(INDEX(tblVideos[Status],P21)="Watched","✓ ","▸ ")&amp;INDEX(tblVideos[Title],P21),HYPERLINK("https://www.youtube.com/watch?v="&amp;INDEX(tblVideos[Video ID],P21),IF(INDEX(tblVideos[Status],P21)="Watched","✓ ","▸ ")&amp;INDEX(tblVideos[Title],P21))))</f>
        <v/>
      </c>
      <c r="H21" s="70">
        <f>IF(Q21="","",IF(INDEX(tblVideos[Video ID],Q21)="",IF(INDEX(tblVideos[Status],Q21)="Watched","✓ ","▸ ")&amp;INDEX(tblVideos[Title],Q21),HYPERLINK("https://www.youtube.com/watch?v="&amp;INDEX(tblVideos[Video ID],Q21),IF(INDEX(tblVideos[Status],Q21)="Watched","✓ ","▸ ")&amp;INDEX(tblVideos[Title],Q21))))</f>
        <v/>
      </c>
      <c r="K21">
        <f>IF(S16&gt;=5,MATCH(K16*100+5,tblVideos[Cal Key],0),"")</f>
        <v/>
      </c>
      <c r="L21">
        <f>IF(T16&gt;=5,MATCH(L16*100+5,tblVideos[Cal Key],0),"")</f>
        <v/>
      </c>
      <c r="M21">
        <f>IF(U16&gt;=5,MATCH(M16*100+5,tblVideos[Cal Key],0),"")</f>
        <v/>
      </c>
      <c r="N21">
        <f>IF(V16&gt;=5,MATCH(N16*100+5,tblVideos[Cal Key],0),"")</f>
        <v/>
      </c>
      <c r="O21">
        <f>IF(W16&gt;=5,MATCH(O16*100+5,tblVideos[Cal Key],0),"")</f>
        <v/>
      </c>
      <c r="P21">
        <f>IF(X16&gt;=5,MATCH(P16*100+5,tblVideos[Cal Key],0),"")</f>
        <v/>
      </c>
      <c r="Q21">
        <f>IF(Y16&gt;=5,MATCH(Q16*100+5,tblVideos[Cal Key],0),"")</f>
        <v/>
      </c>
      <c r="S21">
        <f>IF(K21="","",IFERROR(MATCH(INDEX(tblVideos[Channel ID],K21),tblChannels[Channel ID],0),""))</f>
        <v/>
      </c>
      <c r="T21">
        <f>IF(L21="","",IFERROR(MATCH(INDEX(tblVideos[Channel ID],L21),tblChannels[Channel ID],0),""))</f>
        <v/>
      </c>
      <c r="U21">
        <f>IF(M21="","",IFERROR(MATCH(INDEX(tblVideos[Channel ID],M21),tblChannels[Channel ID],0),""))</f>
        <v/>
      </c>
      <c r="V21">
        <f>IF(N21="","",IFERROR(MATCH(INDEX(tblVideos[Channel ID],N21),tblChannels[Channel ID],0),""))</f>
        <v/>
      </c>
      <c r="W21">
        <f>IF(O21="","",IFERROR(MATCH(INDEX(tblVideos[Channel ID],O21),tblChannels[Channel ID],0),""))</f>
        <v/>
      </c>
      <c r="X21">
        <f>IF(P21="","",IFERROR(MATCH(INDEX(tblVideos[Channel ID],P21),tblChannels[Channel ID],0),""))</f>
        <v/>
      </c>
      <c r="Y21">
        <f>IF(Q21="","",IFERROR(MATCH(INDEX(tblVideos[Channel ID],Q21),tblChannels[Channel ID],0),""))</f>
        <v/>
      </c>
    </row>
    <row r="22" ht="18" customHeight="1">
      <c r="B22" s="69">
        <f>IF(MONTH(K22)=MONTH($K$2),DAY(K22)&amp;IF(S22&gt;0,"   ·   "&amp;S22&amp;IF(S22=1," video"," videos")&amp;"   ·   "&amp;IF(ROUND((AA22)*1440,0)&lt;60,ROUND((AA22)*1440,0)&amp;" m",IF(MOD(ROUND((AA22)*1440,0),60)=0,INT(ROUND((AA22)*1440,0)/60)&amp;" h",INT(ROUND((AA22)*1440,0)/60)&amp;" h "&amp;MOD(ROUND((AA22)*1440,0),60)&amp;" m"))&amp;IF(S22&gt;5,"   (+"&amp;(S22-5)&amp;" more)",""),""),"")</f>
        <v/>
      </c>
      <c r="C22" s="69">
        <f>IF(MONTH(L22)=MONTH($K$2),DAY(L22)&amp;IF(T22&gt;0,"   ·   "&amp;T22&amp;IF(T22=1," video"," videos")&amp;"   ·   "&amp;IF(ROUND((AB22)*1440,0)&lt;60,ROUND((AB22)*1440,0)&amp;" m",IF(MOD(ROUND((AB22)*1440,0),60)=0,INT(ROUND((AB22)*1440,0)/60)&amp;" h",INT(ROUND((AB22)*1440,0)/60)&amp;" h "&amp;MOD(ROUND((AB22)*1440,0),60)&amp;" m"))&amp;IF(T22&gt;5,"   (+"&amp;(T22-5)&amp;" more)",""),""),"")</f>
        <v/>
      </c>
      <c r="D22" s="69">
        <f>IF(MONTH(M22)=MONTH($K$2),DAY(M22)&amp;IF(U22&gt;0,"   ·   "&amp;U22&amp;IF(U22=1," video"," videos")&amp;"   ·   "&amp;IF(ROUND((AC22)*1440,0)&lt;60,ROUND((AC22)*1440,0)&amp;" m",IF(MOD(ROUND((AC22)*1440,0),60)=0,INT(ROUND((AC22)*1440,0)/60)&amp;" h",INT(ROUND((AC22)*1440,0)/60)&amp;" h "&amp;MOD(ROUND((AC22)*1440,0),60)&amp;" m"))&amp;IF(U22&gt;5,"   (+"&amp;(U22-5)&amp;" more)",""),""),"")</f>
        <v/>
      </c>
      <c r="E22" s="69">
        <f>IF(MONTH(N22)=MONTH($K$2),DAY(N22)&amp;IF(V22&gt;0,"   ·   "&amp;V22&amp;IF(V22=1," video"," videos")&amp;"   ·   "&amp;IF(ROUND((AD22)*1440,0)&lt;60,ROUND((AD22)*1440,0)&amp;" m",IF(MOD(ROUND((AD22)*1440,0),60)=0,INT(ROUND((AD22)*1440,0)/60)&amp;" h",INT(ROUND((AD22)*1440,0)/60)&amp;" h "&amp;MOD(ROUND((AD22)*1440,0),60)&amp;" m"))&amp;IF(V22&gt;5,"   (+"&amp;(V22-5)&amp;" more)",""),""),"")</f>
        <v/>
      </c>
      <c r="F22" s="69">
        <f>IF(MONTH(O22)=MONTH($K$2),DAY(O22)&amp;IF(W22&gt;0,"   ·   "&amp;W22&amp;IF(W22=1," video"," videos")&amp;"   ·   "&amp;IF(ROUND((AE22)*1440,0)&lt;60,ROUND((AE22)*1440,0)&amp;" m",IF(MOD(ROUND((AE22)*1440,0),60)=0,INT(ROUND((AE22)*1440,0)/60)&amp;" h",INT(ROUND((AE22)*1440,0)/60)&amp;" h "&amp;MOD(ROUND((AE22)*1440,0),60)&amp;" m"))&amp;IF(W22&gt;5,"   (+"&amp;(W22-5)&amp;" more)",""),""),"")</f>
        <v/>
      </c>
      <c r="G22" s="69">
        <f>IF(MONTH(P22)=MONTH($K$2),DAY(P22)&amp;IF(X22&gt;0,"   ·   "&amp;X22&amp;IF(X22=1," video"," videos")&amp;"   ·   "&amp;IF(ROUND((AF22)*1440,0)&lt;60,ROUND((AF22)*1440,0)&amp;" m",IF(MOD(ROUND((AF22)*1440,0),60)=0,INT(ROUND((AF22)*1440,0)/60)&amp;" h",INT(ROUND((AF22)*1440,0)/60)&amp;" h "&amp;MOD(ROUND((AF22)*1440,0),60)&amp;" m"))&amp;IF(X22&gt;5,"   (+"&amp;(X22-5)&amp;" more)",""),""),"")</f>
        <v/>
      </c>
      <c r="H22" s="69">
        <f>IF(MONTH(Q22)=MONTH($K$2),DAY(Q22)&amp;IF(Y22&gt;0,"   ·   "&amp;Y22&amp;IF(Y22=1," video"," videos")&amp;"   ·   "&amp;IF(ROUND((AG22)*1440,0)&lt;60,ROUND((AG22)*1440,0)&amp;" m",IF(MOD(ROUND((AG22)*1440,0),60)=0,INT(ROUND((AG22)*1440,0)/60)&amp;" h",INT(ROUND((AG22)*1440,0)/60)&amp;" h "&amp;MOD(ROUND((AG22)*1440,0),60)&amp;" m"))&amp;IF(Y22&gt;5,"   (+"&amp;(Y22-5)&amp;" more)",""),""),"")</f>
        <v/>
      </c>
      <c r="K22" s="59">
        <f>$K$3+14</f>
        <v/>
      </c>
      <c r="L22" s="59">
        <f>$K$3+15</f>
        <v/>
      </c>
      <c r="M22" s="59">
        <f>$K$3+16</f>
        <v/>
      </c>
      <c r="N22" s="59">
        <f>$K$3+17</f>
        <v/>
      </c>
      <c r="O22" s="59">
        <f>$K$3+18</f>
        <v/>
      </c>
      <c r="P22" s="59">
        <f>$K$3+19</f>
        <v/>
      </c>
      <c r="Q22" s="59">
        <f>$K$3+20</f>
        <v/>
      </c>
      <c r="S22">
        <f>IF(MONTH(K22)=MONTH($K$2),COUNTIFS(tblVideos[Day],K22,tblVideos[Channel ID],$K$4),0)</f>
        <v/>
      </c>
      <c r="T22">
        <f>IF(MONTH(L22)=MONTH($K$2),COUNTIFS(tblVideos[Day],L22,tblVideos[Channel ID],$K$4),0)</f>
        <v/>
      </c>
      <c r="U22">
        <f>IF(MONTH(M22)=MONTH($K$2),COUNTIFS(tblVideos[Day],M22,tblVideos[Channel ID],$K$4),0)</f>
        <v/>
      </c>
      <c r="V22">
        <f>IF(MONTH(N22)=MONTH($K$2),COUNTIFS(tblVideos[Day],N22,tblVideos[Channel ID],$K$4),0)</f>
        <v/>
      </c>
      <c r="W22">
        <f>IF(MONTH(O22)=MONTH($K$2),COUNTIFS(tblVideos[Day],O22,tblVideos[Channel ID],$K$4),0)</f>
        <v/>
      </c>
      <c r="X22">
        <f>IF(MONTH(P22)=MONTH($K$2),COUNTIFS(tblVideos[Day],P22,tblVideos[Channel ID],$K$4),0)</f>
        <v/>
      </c>
      <c r="Y22">
        <f>IF(MONTH(Q22)=MONTH($K$2),COUNTIFS(tblVideos[Day],Q22,tblVideos[Channel ID],$K$4),0)</f>
        <v/>
      </c>
      <c r="AA22">
        <f>IF(S22&gt;0,SUMIFS(tblVideos[Length],tblVideos[Day],K22,tblVideos[Channel ID],$K$4),0)</f>
        <v/>
      </c>
      <c r="AB22">
        <f>IF(T22&gt;0,SUMIFS(tblVideos[Length],tblVideos[Day],L22,tblVideos[Channel ID],$K$4),0)</f>
        <v/>
      </c>
      <c r="AC22">
        <f>IF(U22&gt;0,SUMIFS(tblVideos[Length],tblVideos[Day],M22,tblVideos[Channel ID],$K$4),0)</f>
        <v/>
      </c>
      <c r="AD22">
        <f>IF(V22&gt;0,SUMIFS(tblVideos[Length],tblVideos[Day],N22,tblVideos[Channel ID],$K$4),0)</f>
        <v/>
      </c>
      <c r="AE22">
        <f>IF(W22&gt;0,SUMIFS(tblVideos[Length],tblVideos[Day],O22,tblVideos[Channel ID],$K$4),0)</f>
        <v/>
      </c>
      <c r="AF22">
        <f>IF(X22&gt;0,SUMIFS(tblVideos[Length],tblVideos[Day],P22,tblVideos[Channel ID],$K$4),0)</f>
        <v/>
      </c>
      <c r="AG22">
        <f>IF(Y22&gt;0,SUMIFS(tblVideos[Length],tblVideos[Day],Q22,tblVideos[Channel ID],$K$4),0)</f>
        <v/>
      </c>
    </row>
    <row r="23">
      <c r="B23" s="70">
        <f>IF(K23="","",IF(INDEX(tblVideos[Video ID],K23)="",IF(INDEX(tblVideos[Status],K23)="Watched","✓ ","▸ ")&amp;INDEX(tblVideos[Title],K23),HYPERLINK("https://www.youtube.com/watch?v="&amp;INDEX(tblVideos[Video ID],K23),IF(INDEX(tblVideos[Status],K23)="Watched","✓ ","▸ ")&amp;INDEX(tblVideos[Title],K23))))</f>
        <v/>
      </c>
      <c r="C23" s="70">
        <f>IF(L23="","",IF(INDEX(tblVideos[Video ID],L23)="",IF(INDEX(tblVideos[Status],L23)="Watched","✓ ","▸ ")&amp;INDEX(tblVideos[Title],L23),HYPERLINK("https://www.youtube.com/watch?v="&amp;INDEX(tblVideos[Video ID],L23),IF(INDEX(tblVideos[Status],L23)="Watched","✓ ","▸ ")&amp;INDEX(tblVideos[Title],L23))))</f>
        <v/>
      </c>
      <c r="D23" s="70">
        <f>IF(M23="","",IF(INDEX(tblVideos[Video ID],M23)="",IF(INDEX(tblVideos[Status],M23)="Watched","✓ ","▸ ")&amp;INDEX(tblVideos[Title],M23),HYPERLINK("https://www.youtube.com/watch?v="&amp;INDEX(tblVideos[Video ID],M23),IF(INDEX(tblVideos[Status],M23)="Watched","✓ ","▸ ")&amp;INDEX(tblVideos[Title],M23))))</f>
        <v/>
      </c>
      <c r="E23" s="70">
        <f>IF(N23="","",IF(INDEX(tblVideos[Video ID],N23)="",IF(INDEX(tblVideos[Status],N23)="Watched","✓ ","▸ ")&amp;INDEX(tblVideos[Title],N23),HYPERLINK("https://www.youtube.com/watch?v="&amp;INDEX(tblVideos[Video ID],N23),IF(INDEX(tblVideos[Status],N23)="Watched","✓ ","▸ ")&amp;INDEX(tblVideos[Title],N23))))</f>
        <v/>
      </c>
      <c r="F23" s="70">
        <f>IF(O23="","",IF(INDEX(tblVideos[Video ID],O23)="",IF(INDEX(tblVideos[Status],O23)="Watched","✓ ","▸ ")&amp;INDEX(tblVideos[Title],O23),HYPERLINK("https://www.youtube.com/watch?v="&amp;INDEX(tblVideos[Video ID],O23),IF(INDEX(tblVideos[Status],O23)="Watched","✓ ","▸ ")&amp;INDEX(tblVideos[Title],O23))))</f>
        <v/>
      </c>
      <c r="G23" s="70">
        <f>IF(P23="","",IF(INDEX(tblVideos[Video ID],P23)="",IF(INDEX(tblVideos[Status],P23)="Watched","✓ ","▸ ")&amp;INDEX(tblVideos[Title],P23),HYPERLINK("https://www.youtube.com/watch?v="&amp;INDEX(tblVideos[Video ID],P23),IF(INDEX(tblVideos[Status],P23)="Watched","✓ ","▸ ")&amp;INDEX(tblVideos[Title],P23))))</f>
        <v/>
      </c>
      <c r="H23" s="70">
        <f>IF(Q23="","",IF(INDEX(tblVideos[Video ID],Q23)="",IF(INDEX(tblVideos[Status],Q23)="Watched","✓ ","▸ ")&amp;INDEX(tblVideos[Title],Q23),HYPERLINK("https://www.youtube.com/watch?v="&amp;INDEX(tblVideos[Video ID],Q23),IF(INDEX(tblVideos[Status],Q23)="Watched","✓ ","▸ ")&amp;INDEX(tblVideos[Title],Q23))))</f>
        <v/>
      </c>
      <c r="K23">
        <f>IF(S22&gt;=1,MATCH(K22*100+1,tblVideos[Cal Key],0),"")</f>
        <v/>
      </c>
      <c r="L23">
        <f>IF(T22&gt;=1,MATCH(L22*100+1,tblVideos[Cal Key],0),"")</f>
        <v/>
      </c>
      <c r="M23">
        <f>IF(U22&gt;=1,MATCH(M22*100+1,tblVideos[Cal Key],0),"")</f>
        <v/>
      </c>
      <c r="N23">
        <f>IF(V22&gt;=1,MATCH(N22*100+1,tblVideos[Cal Key],0),"")</f>
        <v/>
      </c>
      <c r="O23">
        <f>IF(W22&gt;=1,MATCH(O22*100+1,tblVideos[Cal Key],0),"")</f>
        <v/>
      </c>
      <c r="P23">
        <f>IF(X22&gt;=1,MATCH(P22*100+1,tblVideos[Cal Key],0),"")</f>
        <v/>
      </c>
      <c r="Q23">
        <f>IF(Y22&gt;=1,MATCH(Q22*100+1,tblVideos[Cal Key],0),"")</f>
        <v/>
      </c>
      <c r="S23">
        <f>IF(K23="","",IFERROR(MATCH(INDEX(tblVideos[Channel ID],K23),tblChannels[Channel ID],0),""))</f>
        <v/>
      </c>
      <c r="T23">
        <f>IF(L23="","",IFERROR(MATCH(INDEX(tblVideos[Channel ID],L23),tblChannels[Channel ID],0),""))</f>
        <v/>
      </c>
      <c r="U23">
        <f>IF(M23="","",IFERROR(MATCH(INDEX(tblVideos[Channel ID],M23),tblChannels[Channel ID],0),""))</f>
        <v/>
      </c>
      <c r="V23">
        <f>IF(N23="","",IFERROR(MATCH(INDEX(tblVideos[Channel ID],N23),tblChannels[Channel ID],0),""))</f>
        <v/>
      </c>
      <c r="W23">
        <f>IF(O23="","",IFERROR(MATCH(INDEX(tblVideos[Channel ID],O23),tblChannels[Channel ID],0),""))</f>
        <v/>
      </c>
      <c r="X23">
        <f>IF(P23="","",IFERROR(MATCH(INDEX(tblVideos[Channel ID],P23),tblChannels[Channel ID],0),""))</f>
        <v/>
      </c>
      <c r="Y23">
        <f>IF(Q23="","",IFERROR(MATCH(INDEX(tblVideos[Channel ID],Q23),tblChannels[Channel ID],0),""))</f>
        <v/>
      </c>
    </row>
    <row r="24">
      <c r="B24" s="70">
        <f>IF(K24="","",IF(INDEX(tblVideos[Video ID],K24)="",IF(INDEX(tblVideos[Status],K24)="Watched","✓ ","▸ ")&amp;INDEX(tblVideos[Title],K24),HYPERLINK("https://www.youtube.com/watch?v="&amp;INDEX(tblVideos[Video ID],K24),IF(INDEX(tblVideos[Status],K24)="Watched","✓ ","▸ ")&amp;INDEX(tblVideos[Title],K24))))</f>
        <v/>
      </c>
      <c r="C24" s="70">
        <f>IF(L24="","",IF(INDEX(tblVideos[Video ID],L24)="",IF(INDEX(tblVideos[Status],L24)="Watched","✓ ","▸ ")&amp;INDEX(tblVideos[Title],L24),HYPERLINK("https://www.youtube.com/watch?v="&amp;INDEX(tblVideos[Video ID],L24),IF(INDEX(tblVideos[Status],L24)="Watched","✓ ","▸ ")&amp;INDEX(tblVideos[Title],L24))))</f>
        <v/>
      </c>
      <c r="D24" s="70">
        <f>IF(M24="","",IF(INDEX(tblVideos[Video ID],M24)="",IF(INDEX(tblVideos[Status],M24)="Watched","✓ ","▸ ")&amp;INDEX(tblVideos[Title],M24),HYPERLINK("https://www.youtube.com/watch?v="&amp;INDEX(tblVideos[Video ID],M24),IF(INDEX(tblVideos[Status],M24)="Watched","✓ ","▸ ")&amp;INDEX(tblVideos[Title],M24))))</f>
        <v/>
      </c>
      <c r="E24" s="70">
        <f>IF(N24="","",IF(INDEX(tblVideos[Video ID],N24)="",IF(INDEX(tblVideos[Status],N24)="Watched","✓ ","▸ ")&amp;INDEX(tblVideos[Title],N24),HYPERLINK("https://www.youtube.com/watch?v="&amp;INDEX(tblVideos[Video ID],N24),IF(INDEX(tblVideos[Status],N24)="Watched","✓ ","▸ ")&amp;INDEX(tblVideos[Title],N24))))</f>
        <v/>
      </c>
      <c r="F24" s="70">
        <f>IF(O24="","",IF(INDEX(tblVideos[Video ID],O24)="",IF(INDEX(tblVideos[Status],O24)="Watched","✓ ","▸ ")&amp;INDEX(tblVideos[Title],O24),HYPERLINK("https://www.youtube.com/watch?v="&amp;INDEX(tblVideos[Video ID],O24),IF(INDEX(tblVideos[Status],O24)="Watched","✓ ","▸ ")&amp;INDEX(tblVideos[Title],O24))))</f>
        <v/>
      </c>
      <c r="G24" s="70">
        <f>IF(P24="","",IF(INDEX(tblVideos[Video ID],P24)="",IF(INDEX(tblVideos[Status],P24)="Watched","✓ ","▸ ")&amp;INDEX(tblVideos[Title],P24),HYPERLINK("https://www.youtube.com/watch?v="&amp;INDEX(tblVideos[Video ID],P24),IF(INDEX(tblVideos[Status],P24)="Watched","✓ ","▸ ")&amp;INDEX(tblVideos[Title],P24))))</f>
        <v/>
      </c>
      <c r="H24" s="70">
        <f>IF(Q24="","",IF(INDEX(tblVideos[Video ID],Q24)="",IF(INDEX(tblVideos[Status],Q24)="Watched","✓ ","▸ ")&amp;INDEX(tblVideos[Title],Q24),HYPERLINK("https://www.youtube.com/watch?v="&amp;INDEX(tblVideos[Video ID],Q24),IF(INDEX(tblVideos[Status],Q24)="Watched","✓ ","▸ ")&amp;INDEX(tblVideos[Title],Q24))))</f>
        <v/>
      </c>
      <c r="K24">
        <f>IF(S22&gt;=2,MATCH(K22*100+2,tblVideos[Cal Key],0),"")</f>
        <v/>
      </c>
      <c r="L24">
        <f>IF(T22&gt;=2,MATCH(L22*100+2,tblVideos[Cal Key],0),"")</f>
        <v/>
      </c>
      <c r="M24">
        <f>IF(U22&gt;=2,MATCH(M22*100+2,tblVideos[Cal Key],0),"")</f>
        <v/>
      </c>
      <c r="N24">
        <f>IF(V22&gt;=2,MATCH(N22*100+2,tblVideos[Cal Key],0),"")</f>
        <v/>
      </c>
      <c r="O24">
        <f>IF(W22&gt;=2,MATCH(O22*100+2,tblVideos[Cal Key],0),"")</f>
        <v/>
      </c>
      <c r="P24">
        <f>IF(X22&gt;=2,MATCH(P22*100+2,tblVideos[Cal Key],0),"")</f>
        <v/>
      </c>
      <c r="Q24">
        <f>IF(Y22&gt;=2,MATCH(Q22*100+2,tblVideos[Cal Key],0),"")</f>
        <v/>
      </c>
      <c r="S24">
        <f>IF(K24="","",IFERROR(MATCH(INDEX(tblVideos[Channel ID],K24),tblChannels[Channel ID],0),""))</f>
        <v/>
      </c>
      <c r="T24">
        <f>IF(L24="","",IFERROR(MATCH(INDEX(tblVideos[Channel ID],L24),tblChannels[Channel ID],0),""))</f>
        <v/>
      </c>
      <c r="U24">
        <f>IF(M24="","",IFERROR(MATCH(INDEX(tblVideos[Channel ID],M24),tblChannels[Channel ID],0),""))</f>
        <v/>
      </c>
      <c r="V24">
        <f>IF(N24="","",IFERROR(MATCH(INDEX(tblVideos[Channel ID],N24),tblChannels[Channel ID],0),""))</f>
        <v/>
      </c>
      <c r="W24">
        <f>IF(O24="","",IFERROR(MATCH(INDEX(tblVideos[Channel ID],O24),tblChannels[Channel ID],0),""))</f>
        <v/>
      </c>
      <c r="X24">
        <f>IF(P24="","",IFERROR(MATCH(INDEX(tblVideos[Channel ID],P24),tblChannels[Channel ID],0),""))</f>
        <v/>
      </c>
      <c r="Y24">
        <f>IF(Q24="","",IFERROR(MATCH(INDEX(tblVideos[Channel ID],Q24),tblChannels[Channel ID],0),""))</f>
        <v/>
      </c>
    </row>
    <row r="25">
      <c r="B25" s="70">
        <f>IF(K25="","",IF(INDEX(tblVideos[Video ID],K25)="",IF(INDEX(tblVideos[Status],K25)="Watched","✓ ","▸ ")&amp;INDEX(tblVideos[Title],K25),HYPERLINK("https://www.youtube.com/watch?v="&amp;INDEX(tblVideos[Video ID],K25),IF(INDEX(tblVideos[Status],K25)="Watched","✓ ","▸ ")&amp;INDEX(tblVideos[Title],K25))))</f>
        <v/>
      </c>
      <c r="C25" s="70">
        <f>IF(L25="","",IF(INDEX(tblVideos[Video ID],L25)="",IF(INDEX(tblVideos[Status],L25)="Watched","✓ ","▸ ")&amp;INDEX(tblVideos[Title],L25),HYPERLINK("https://www.youtube.com/watch?v="&amp;INDEX(tblVideos[Video ID],L25),IF(INDEX(tblVideos[Status],L25)="Watched","✓ ","▸ ")&amp;INDEX(tblVideos[Title],L25))))</f>
        <v/>
      </c>
      <c r="D25" s="70">
        <f>IF(M25="","",IF(INDEX(tblVideos[Video ID],M25)="",IF(INDEX(tblVideos[Status],M25)="Watched","✓ ","▸ ")&amp;INDEX(tblVideos[Title],M25),HYPERLINK("https://www.youtube.com/watch?v="&amp;INDEX(tblVideos[Video ID],M25),IF(INDEX(tblVideos[Status],M25)="Watched","✓ ","▸ ")&amp;INDEX(tblVideos[Title],M25))))</f>
        <v/>
      </c>
      <c r="E25" s="70">
        <f>IF(N25="","",IF(INDEX(tblVideos[Video ID],N25)="",IF(INDEX(tblVideos[Status],N25)="Watched","✓ ","▸ ")&amp;INDEX(tblVideos[Title],N25),HYPERLINK("https://www.youtube.com/watch?v="&amp;INDEX(tblVideos[Video ID],N25),IF(INDEX(tblVideos[Status],N25)="Watched","✓ ","▸ ")&amp;INDEX(tblVideos[Title],N25))))</f>
        <v/>
      </c>
      <c r="F25" s="70">
        <f>IF(O25="","",IF(INDEX(tblVideos[Video ID],O25)="",IF(INDEX(tblVideos[Status],O25)="Watched","✓ ","▸ ")&amp;INDEX(tblVideos[Title],O25),HYPERLINK("https://www.youtube.com/watch?v="&amp;INDEX(tblVideos[Video ID],O25),IF(INDEX(tblVideos[Status],O25)="Watched","✓ ","▸ ")&amp;INDEX(tblVideos[Title],O25))))</f>
        <v/>
      </c>
      <c r="G25" s="70">
        <f>IF(P25="","",IF(INDEX(tblVideos[Video ID],P25)="",IF(INDEX(tblVideos[Status],P25)="Watched","✓ ","▸ ")&amp;INDEX(tblVideos[Title],P25),HYPERLINK("https://www.youtube.com/watch?v="&amp;INDEX(tblVideos[Video ID],P25),IF(INDEX(tblVideos[Status],P25)="Watched","✓ ","▸ ")&amp;INDEX(tblVideos[Title],P25))))</f>
        <v/>
      </c>
      <c r="H25" s="70">
        <f>IF(Q25="","",IF(INDEX(tblVideos[Video ID],Q25)="",IF(INDEX(tblVideos[Status],Q25)="Watched","✓ ","▸ ")&amp;INDEX(tblVideos[Title],Q25),HYPERLINK("https://www.youtube.com/watch?v="&amp;INDEX(tblVideos[Video ID],Q25),IF(INDEX(tblVideos[Status],Q25)="Watched","✓ ","▸ ")&amp;INDEX(tblVideos[Title],Q25))))</f>
        <v/>
      </c>
      <c r="K25">
        <f>IF(S22&gt;=3,MATCH(K22*100+3,tblVideos[Cal Key],0),"")</f>
        <v/>
      </c>
      <c r="L25">
        <f>IF(T22&gt;=3,MATCH(L22*100+3,tblVideos[Cal Key],0),"")</f>
        <v/>
      </c>
      <c r="M25">
        <f>IF(U22&gt;=3,MATCH(M22*100+3,tblVideos[Cal Key],0),"")</f>
        <v/>
      </c>
      <c r="N25">
        <f>IF(V22&gt;=3,MATCH(N22*100+3,tblVideos[Cal Key],0),"")</f>
        <v/>
      </c>
      <c r="O25">
        <f>IF(W22&gt;=3,MATCH(O22*100+3,tblVideos[Cal Key],0),"")</f>
        <v/>
      </c>
      <c r="P25">
        <f>IF(X22&gt;=3,MATCH(P22*100+3,tblVideos[Cal Key],0),"")</f>
        <v/>
      </c>
      <c r="Q25">
        <f>IF(Y22&gt;=3,MATCH(Q22*100+3,tblVideos[Cal Key],0),"")</f>
        <v/>
      </c>
      <c r="S25">
        <f>IF(K25="","",IFERROR(MATCH(INDEX(tblVideos[Channel ID],K25),tblChannels[Channel ID],0),""))</f>
        <v/>
      </c>
      <c r="T25">
        <f>IF(L25="","",IFERROR(MATCH(INDEX(tblVideos[Channel ID],L25),tblChannels[Channel ID],0),""))</f>
        <v/>
      </c>
      <c r="U25">
        <f>IF(M25="","",IFERROR(MATCH(INDEX(tblVideos[Channel ID],M25),tblChannels[Channel ID],0),""))</f>
        <v/>
      </c>
      <c r="V25">
        <f>IF(N25="","",IFERROR(MATCH(INDEX(tblVideos[Channel ID],N25),tblChannels[Channel ID],0),""))</f>
        <v/>
      </c>
      <c r="W25">
        <f>IF(O25="","",IFERROR(MATCH(INDEX(tblVideos[Channel ID],O25),tblChannels[Channel ID],0),""))</f>
        <v/>
      </c>
      <c r="X25">
        <f>IF(P25="","",IFERROR(MATCH(INDEX(tblVideos[Channel ID],P25),tblChannels[Channel ID],0),""))</f>
        <v/>
      </c>
      <c r="Y25">
        <f>IF(Q25="","",IFERROR(MATCH(INDEX(tblVideos[Channel ID],Q25),tblChannels[Channel ID],0),""))</f>
        <v/>
      </c>
    </row>
    <row r="26">
      <c r="B26" s="70">
        <f>IF(K26="","",IF(INDEX(tblVideos[Video ID],K26)="",IF(INDEX(tblVideos[Status],K26)="Watched","✓ ","▸ ")&amp;INDEX(tblVideos[Title],K26),HYPERLINK("https://www.youtube.com/watch?v="&amp;INDEX(tblVideos[Video ID],K26),IF(INDEX(tblVideos[Status],K26)="Watched","✓ ","▸ ")&amp;INDEX(tblVideos[Title],K26))))</f>
        <v/>
      </c>
      <c r="C26" s="70">
        <f>IF(L26="","",IF(INDEX(tblVideos[Video ID],L26)="",IF(INDEX(tblVideos[Status],L26)="Watched","✓ ","▸ ")&amp;INDEX(tblVideos[Title],L26),HYPERLINK("https://www.youtube.com/watch?v="&amp;INDEX(tblVideos[Video ID],L26),IF(INDEX(tblVideos[Status],L26)="Watched","✓ ","▸ ")&amp;INDEX(tblVideos[Title],L26))))</f>
        <v/>
      </c>
      <c r="D26" s="70">
        <f>IF(M26="","",IF(INDEX(tblVideos[Video ID],M26)="",IF(INDEX(tblVideos[Status],M26)="Watched","✓ ","▸ ")&amp;INDEX(tblVideos[Title],M26),HYPERLINK("https://www.youtube.com/watch?v="&amp;INDEX(tblVideos[Video ID],M26),IF(INDEX(tblVideos[Status],M26)="Watched","✓ ","▸ ")&amp;INDEX(tblVideos[Title],M26))))</f>
        <v/>
      </c>
      <c r="E26" s="70">
        <f>IF(N26="","",IF(INDEX(tblVideos[Video ID],N26)="",IF(INDEX(tblVideos[Status],N26)="Watched","✓ ","▸ ")&amp;INDEX(tblVideos[Title],N26),HYPERLINK("https://www.youtube.com/watch?v="&amp;INDEX(tblVideos[Video ID],N26),IF(INDEX(tblVideos[Status],N26)="Watched","✓ ","▸ ")&amp;INDEX(tblVideos[Title],N26))))</f>
        <v/>
      </c>
      <c r="F26" s="70">
        <f>IF(O26="","",IF(INDEX(tblVideos[Video ID],O26)="",IF(INDEX(tblVideos[Status],O26)="Watched","✓ ","▸ ")&amp;INDEX(tblVideos[Title],O26),HYPERLINK("https://www.youtube.com/watch?v="&amp;INDEX(tblVideos[Video ID],O26),IF(INDEX(tblVideos[Status],O26)="Watched","✓ ","▸ ")&amp;INDEX(tblVideos[Title],O26))))</f>
        <v/>
      </c>
      <c r="G26" s="70">
        <f>IF(P26="","",IF(INDEX(tblVideos[Video ID],P26)="",IF(INDEX(tblVideos[Status],P26)="Watched","✓ ","▸ ")&amp;INDEX(tblVideos[Title],P26),HYPERLINK("https://www.youtube.com/watch?v="&amp;INDEX(tblVideos[Video ID],P26),IF(INDEX(tblVideos[Status],P26)="Watched","✓ ","▸ ")&amp;INDEX(tblVideos[Title],P26))))</f>
        <v/>
      </c>
      <c r="H26" s="70">
        <f>IF(Q26="","",IF(INDEX(tblVideos[Video ID],Q26)="",IF(INDEX(tblVideos[Status],Q26)="Watched","✓ ","▸ ")&amp;INDEX(tblVideos[Title],Q26),HYPERLINK("https://www.youtube.com/watch?v="&amp;INDEX(tblVideos[Video ID],Q26),IF(INDEX(tblVideos[Status],Q26)="Watched","✓ ","▸ ")&amp;INDEX(tblVideos[Title],Q26))))</f>
        <v/>
      </c>
      <c r="K26">
        <f>IF(S22&gt;=4,MATCH(K22*100+4,tblVideos[Cal Key],0),"")</f>
        <v/>
      </c>
      <c r="L26">
        <f>IF(T22&gt;=4,MATCH(L22*100+4,tblVideos[Cal Key],0),"")</f>
        <v/>
      </c>
      <c r="M26">
        <f>IF(U22&gt;=4,MATCH(M22*100+4,tblVideos[Cal Key],0),"")</f>
        <v/>
      </c>
      <c r="N26">
        <f>IF(V22&gt;=4,MATCH(N22*100+4,tblVideos[Cal Key],0),"")</f>
        <v/>
      </c>
      <c r="O26">
        <f>IF(W22&gt;=4,MATCH(O22*100+4,tblVideos[Cal Key],0),"")</f>
        <v/>
      </c>
      <c r="P26">
        <f>IF(X22&gt;=4,MATCH(P22*100+4,tblVideos[Cal Key],0),"")</f>
        <v/>
      </c>
      <c r="Q26">
        <f>IF(Y22&gt;=4,MATCH(Q22*100+4,tblVideos[Cal Key],0),"")</f>
        <v/>
      </c>
      <c r="S26">
        <f>IF(K26="","",IFERROR(MATCH(INDEX(tblVideos[Channel ID],K26),tblChannels[Channel ID],0),""))</f>
        <v/>
      </c>
      <c r="T26">
        <f>IF(L26="","",IFERROR(MATCH(INDEX(tblVideos[Channel ID],L26),tblChannels[Channel ID],0),""))</f>
        <v/>
      </c>
      <c r="U26">
        <f>IF(M26="","",IFERROR(MATCH(INDEX(tblVideos[Channel ID],M26),tblChannels[Channel ID],0),""))</f>
        <v/>
      </c>
      <c r="V26">
        <f>IF(N26="","",IFERROR(MATCH(INDEX(tblVideos[Channel ID],N26),tblChannels[Channel ID],0),""))</f>
        <v/>
      </c>
      <c r="W26">
        <f>IF(O26="","",IFERROR(MATCH(INDEX(tblVideos[Channel ID],O26),tblChannels[Channel ID],0),""))</f>
        <v/>
      </c>
      <c r="X26">
        <f>IF(P26="","",IFERROR(MATCH(INDEX(tblVideos[Channel ID],P26),tblChannels[Channel ID],0),""))</f>
        <v/>
      </c>
      <c r="Y26">
        <f>IF(Q26="","",IFERROR(MATCH(INDEX(tblVideos[Channel ID],Q26),tblChannels[Channel ID],0),""))</f>
        <v/>
      </c>
    </row>
    <row r="27">
      <c r="B27" s="70">
        <f>IF(K27="","",IF(INDEX(tblVideos[Video ID],K27)="",IF(INDEX(tblVideos[Status],K27)="Watched","✓ ","▸ ")&amp;INDEX(tblVideos[Title],K27),HYPERLINK("https://www.youtube.com/watch?v="&amp;INDEX(tblVideos[Video ID],K27),IF(INDEX(tblVideos[Status],K27)="Watched","✓ ","▸ ")&amp;INDEX(tblVideos[Title],K27))))</f>
        <v/>
      </c>
      <c r="C27" s="70">
        <f>IF(L27="","",IF(INDEX(tblVideos[Video ID],L27)="",IF(INDEX(tblVideos[Status],L27)="Watched","✓ ","▸ ")&amp;INDEX(tblVideos[Title],L27),HYPERLINK("https://www.youtube.com/watch?v="&amp;INDEX(tblVideos[Video ID],L27),IF(INDEX(tblVideos[Status],L27)="Watched","✓ ","▸ ")&amp;INDEX(tblVideos[Title],L27))))</f>
        <v/>
      </c>
      <c r="D27" s="70">
        <f>IF(M27="","",IF(INDEX(tblVideos[Video ID],M27)="",IF(INDEX(tblVideos[Status],M27)="Watched","✓ ","▸ ")&amp;INDEX(tblVideos[Title],M27),HYPERLINK("https://www.youtube.com/watch?v="&amp;INDEX(tblVideos[Video ID],M27),IF(INDEX(tblVideos[Status],M27)="Watched","✓ ","▸ ")&amp;INDEX(tblVideos[Title],M27))))</f>
        <v/>
      </c>
      <c r="E27" s="70">
        <f>IF(N27="","",IF(INDEX(tblVideos[Video ID],N27)="",IF(INDEX(tblVideos[Status],N27)="Watched","✓ ","▸ ")&amp;INDEX(tblVideos[Title],N27),HYPERLINK("https://www.youtube.com/watch?v="&amp;INDEX(tblVideos[Video ID],N27),IF(INDEX(tblVideos[Status],N27)="Watched","✓ ","▸ ")&amp;INDEX(tblVideos[Title],N27))))</f>
        <v/>
      </c>
      <c r="F27" s="70">
        <f>IF(O27="","",IF(INDEX(tblVideos[Video ID],O27)="",IF(INDEX(tblVideos[Status],O27)="Watched","✓ ","▸ ")&amp;INDEX(tblVideos[Title],O27),HYPERLINK("https://www.youtube.com/watch?v="&amp;INDEX(tblVideos[Video ID],O27),IF(INDEX(tblVideos[Status],O27)="Watched","✓ ","▸ ")&amp;INDEX(tblVideos[Title],O27))))</f>
        <v/>
      </c>
      <c r="G27" s="70">
        <f>IF(P27="","",IF(INDEX(tblVideos[Video ID],P27)="",IF(INDEX(tblVideos[Status],P27)="Watched","✓ ","▸ ")&amp;INDEX(tblVideos[Title],P27),HYPERLINK("https://www.youtube.com/watch?v="&amp;INDEX(tblVideos[Video ID],P27),IF(INDEX(tblVideos[Status],P27)="Watched","✓ ","▸ ")&amp;INDEX(tblVideos[Title],P27))))</f>
        <v/>
      </c>
      <c r="H27" s="70">
        <f>IF(Q27="","",IF(INDEX(tblVideos[Video ID],Q27)="",IF(INDEX(tblVideos[Status],Q27)="Watched","✓ ","▸ ")&amp;INDEX(tblVideos[Title],Q27),HYPERLINK("https://www.youtube.com/watch?v="&amp;INDEX(tblVideos[Video ID],Q27),IF(INDEX(tblVideos[Status],Q27)="Watched","✓ ","▸ ")&amp;INDEX(tblVideos[Title],Q27))))</f>
        <v/>
      </c>
      <c r="K27">
        <f>IF(S22&gt;=5,MATCH(K22*100+5,tblVideos[Cal Key],0),"")</f>
        <v/>
      </c>
      <c r="L27">
        <f>IF(T22&gt;=5,MATCH(L22*100+5,tblVideos[Cal Key],0),"")</f>
        <v/>
      </c>
      <c r="M27">
        <f>IF(U22&gt;=5,MATCH(M22*100+5,tblVideos[Cal Key],0),"")</f>
        <v/>
      </c>
      <c r="N27">
        <f>IF(V22&gt;=5,MATCH(N22*100+5,tblVideos[Cal Key],0),"")</f>
        <v/>
      </c>
      <c r="O27">
        <f>IF(W22&gt;=5,MATCH(O22*100+5,tblVideos[Cal Key],0),"")</f>
        <v/>
      </c>
      <c r="P27">
        <f>IF(X22&gt;=5,MATCH(P22*100+5,tblVideos[Cal Key],0),"")</f>
        <v/>
      </c>
      <c r="Q27">
        <f>IF(Y22&gt;=5,MATCH(Q22*100+5,tblVideos[Cal Key],0),"")</f>
        <v/>
      </c>
      <c r="S27">
        <f>IF(K27="","",IFERROR(MATCH(INDEX(tblVideos[Channel ID],K27),tblChannels[Channel ID],0),""))</f>
        <v/>
      </c>
      <c r="T27">
        <f>IF(L27="","",IFERROR(MATCH(INDEX(tblVideos[Channel ID],L27),tblChannels[Channel ID],0),""))</f>
        <v/>
      </c>
      <c r="U27">
        <f>IF(M27="","",IFERROR(MATCH(INDEX(tblVideos[Channel ID],M27),tblChannels[Channel ID],0),""))</f>
        <v/>
      </c>
      <c r="V27">
        <f>IF(N27="","",IFERROR(MATCH(INDEX(tblVideos[Channel ID],N27),tblChannels[Channel ID],0),""))</f>
        <v/>
      </c>
      <c r="W27">
        <f>IF(O27="","",IFERROR(MATCH(INDEX(tblVideos[Channel ID],O27),tblChannels[Channel ID],0),""))</f>
        <v/>
      </c>
      <c r="X27">
        <f>IF(P27="","",IFERROR(MATCH(INDEX(tblVideos[Channel ID],P27),tblChannels[Channel ID],0),""))</f>
        <v/>
      </c>
      <c r="Y27">
        <f>IF(Q27="","",IFERROR(MATCH(INDEX(tblVideos[Channel ID],Q27),tblChannels[Channel ID],0),""))</f>
        <v/>
      </c>
    </row>
    <row r="28" ht="18" customHeight="1">
      <c r="B28" s="69">
        <f>IF(MONTH(K28)=MONTH($K$2),DAY(K28)&amp;IF(S28&gt;0,"   ·   "&amp;S28&amp;IF(S28=1," video"," videos")&amp;"   ·   "&amp;IF(ROUND((AA28)*1440,0)&lt;60,ROUND((AA28)*1440,0)&amp;" m",IF(MOD(ROUND((AA28)*1440,0),60)=0,INT(ROUND((AA28)*1440,0)/60)&amp;" h",INT(ROUND((AA28)*1440,0)/60)&amp;" h "&amp;MOD(ROUND((AA28)*1440,0),60)&amp;" m"))&amp;IF(S28&gt;5,"   (+"&amp;(S28-5)&amp;" more)",""),""),"")</f>
        <v/>
      </c>
      <c r="C28" s="69">
        <f>IF(MONTH(L28)=MONTH($K$2),DAY(L28)&amp;IF(T28&gt;0,"   ·   "&amp;T28&amp;IF(T28=1," video"," videos")&amp;"   ·   "&amp;IF(ROUND((AB28)*1440,0)&lt;60,ROUND((AB28)*1440,0)&amp;" m",IF(MOD(ROUND((AB28)*1440,0),60)=0,INT(ROUND((AB28)*1440,0)/60)&amp;" h",INT(ROUND((AB28)*1440,0)/60)&amp;" h "&amp;MOD(ROUND((AB28)*1440,0),60)&amp;" m"))&amp;IF(T28&gt;5,"   (+"&amp;(T28-5)&amp;" more)",""),""),"")</f>
        <v/>
      </c>
      <c r="D28" s="69">
        <f>IF(MONTH(M28)=MONTH($K$2),DAY(M28)&amp;IF(U28&gt;0,"   ·   "&amp;U28&amp;IF(U28=1," video"," videos")&amp;"   ·   "&amp;IF(ROUND((AC28)*1440,0)&lt;60,ROUND((AC28)*1440,0)&amp;" m",IF(MOD(ROUND((AC28)*1440,0),60)=0,INT(ROUND((AC28)*1440,0)/60)&amp;" h",INT(ROUND((AC28)*1440,0)/60)&amp;" h "&amp;MOD(ROUND((AC28)*1440,0),60)&amp;" m"))&amp;IF(U28&gt;5,"   (+"&amp;(U28-5)&amp;" more)",""),""),"")</f>
        <v/>
      </c>
      <c r="E28" s="69">
        <f>IF(MONTH(N28)=MONTH($K$2),DAY(N28)&amp;IF(V28&gt;0,"   ·   "&amp;V28&amp;IF(V28=1," video"," videos")&amp;"   ·   "&amp;IF(ROUND((AD28)*1440,0)&lt;60,ROUND((AD28)*1440,0)&amp;" m",IF(MOD(ROUND((AD28)*1440,0),60)=0,INT(ROUND((AD28)*1440,0)/60)&amp;" h",INT(ROUND((AD28)*1440,0)/60)&amp;" h "&amp;MOD(ROUND((AD28)*1440,0),60)&amp;" m"))&amp;IF(V28&gt;5,"   (+"&amp;(V28-5)&amp;" more)",""),""),"")</f>
        <v/>
      </c>
      <c r="F28" s="69">
        <f>IF(MONTH(O28)=MONTH($K$2),DAY(O28)&amp;IF(W28&gt;0,"   ·   "&amp;W28&amp;IF(W28=1," video"," videos")&amp;"   ·   "&amp;IF(ROUND((AE28)*1440,0)&lt;60,ROUND((AE28)*1440,0)&amp;" m",IF(MOD(ROUND((AE28)*1440,0),60)=0,INT(ROUND((AE28)*1440,0)/60)&amp;" h",INT(ROUND((AE28)*1440,0)/60)&amp;" h "&amp;MOD(ROUND((AE28)*1440,0),60)&amp;" m"))&amp;IF(W28&gt;5,"   (+"&amp;(W28-5)&amp;" more)",""),""),"")</f>
        <v/>
      </c>
      <c r="G28" s="69">
        <f>IF(MONTH(P28)=MONTH($K$2),DAY(P28)&amp;IF(X28&gt;0,"   ·   "&amp;X28&amp;IF(X28=1," video"," videos")&amp;"   ·   "&amp;IF(ROUND((AF28)*1440,0)&lt;60,ROUND((AF28)*1440,0)&amp;" m",IF(MOD(ROUND((AF28)*1440,0),60)=0,INT(ROUND((AF28)*1440,0)/60)&amp;" h",INT(ROUND((AF28)*1440,0)/60)&amp;" h "&amp;MOD(ROUND((AF28)*1440,0),60)&amp;" m"))&amp;IF(X28&gt;5,"   (+"&amp;(X28-5)&amp;" more)",""),""),"")</f>
        <v/>
      </c>
      <c r="H28" s="69">
        <f>IF(MONTH(Q28)=MONTH($K$2),DAY(Q28)&amp;IF(Y28&gt;0,"   ·   "&amp;Y28&amp;IF(Y28=1," video"," videos")&amp;"   ·   "&amp;IF(ROUND((AG28)*1440,0)&lt;60,ROUND((AG28)*1440,0)&amp;" m",IF(MOD(ROUND((AG28)*1440,0),60)=0,INT(ROUND((AG28)*1440,0)/60)&amp;" h",INT(ROUND((AG28)*1440,0)/60)&amp;" h "&amp;MOD(ROUND((AG28)*1440,0),60)&amp;" m"))&amp;IF(Y28&gt;5,"   (+"&amp;(Y28-5)&amp;" more)",""),""),"")</f>
        <v/>
      </c>
      <c r="K28" s="59">
        <f>$K$3+21</f>
        <v/>
      </c>
      <c r="L28" s="59">
        <f>$K$3+22</f>
        <v/>
      </c>
      <c r="M28" s="59">
        <f>$K$3+23</f>
        <v/>
      </c>
      <c r="N28" s="59">
        <f>$K$3+24</f>
        <v/>
      </c>
      <c r="O28" s="59">
        <f>$K$3+25</f>
        <v/>
      </c>
      <c r="P28" s="59">
        <f>$K$3+26</f>
        <v/>
      </c>
      <c r="Q28" s="59">
        <f>$K$3+27</f>
        <v/>
      </c>
      <c r="S28">
        <f>IF(MONTH(K28)=MONTH($K$2),COUNTIFS(tblVideos[Day],K28,tblVideos[Channel ID],$K$4),0)</f>
        <v/>
      </c>
      <c r="T28">
        <f>IF(MONTH(L28)=MONTH($K$2),COUNTIFS(tblVideos[Day],L28,tblVideos[Channel ID],$K$4),0)</f>
        <v/>
      </c>
      <c r="U28">
        <f>IF(MONTH(M28)=MONTH($K$2),COUNTIFS(tblVideos[Day],M28,tblVideos[Channel ID],$K$4),0)</f>
        <v/>
      </c>
      <c r="V28">
        <f>IF(MONTH(N28)=MONTH($K$2),COUNTIFS(tblVideos[Day],N28,tblVideos[Channel ID],$K$4),0)</f>
        <v/>
      </c>
      <c r="W28">
        <f>IF(MONTH(O28)=MONTH($K$2),COUNTIFS(tblVideos[Day],O28,tblVideos[Channel ID],$K$4),0)</f>
        <v/>
      </c>
      <c r="X28">
        <f>IF(MONTH(P28)=MONTH($K$2),COUNTIFS(tblVideos[Day],P28,tblVideos[Channel ID],$K$4),0)</f>
        <v/>
      </c>
      <c r="Y28">
        <f>IF(MONTH(Q28)=MONTH($K$2),COUNTIFS(tblVideos[Day],Q28,tblVideos[Channel ID],$K$4),0)</f>
        <v/>
      </c>
      <c r="AA28">
        <f>IF(S28&gt;0,SUMIFS(tblVideos[Length],tblVideos[Day],K28,tblVideos[Channel ID],$K$4),0)</f>
        <v/>
      </c>
      <c r="AB28">
        <f>IF(T28&gt;0,SUMIFS(tblVideos[Length],tblVideos[Day],L28,tblVideos[Channel ID],$K$4),0)</f>
        <v/>
      </c>
      <c r="AC28">
        <f>IF(U28&gt;0,SUMIFS(tblVideos[Length],tblVideos[Day],M28,tblVideos[Channel ID],$K$4),0)</f>
        <v/>
      </c>
      <c r="AD28">
        <f>IF(V28&gt;0,SUMIFS(tblVideos[Length],tblVideos[Day],N28,tblVideos[Channel ID],$K$4),0)</f>
        <v/>
      </c>
      <c r="AE28">
        <f>IF(W28&gt;0,SUMIFS(tblVideos[Length],tblVideos[Day],O28,tblVideos[Channel ID],$K$4),0)</f>
        <v/>
      </c>
      <c r="AF28">
        <f>IF(X28&gt;0,SUMIFS(tblVideos[Length],tblVideos[Day],P28,tblVideos[Channel ID],$K$4),0)</f>
        <v/>
      </c>
      <c r="AG28">
        <f>IF(Y28&gt;0,SUMIFS(tblVideos[Length],tblVideos[Day],Q28,tblVideos[Channel ID],$K$4),0)</f>
        <v/>
      </c>
    </row>
    <row r="29">
      <c r="B29" s="70">
        <f>IF(K29="","",IF(INDEX(tblVideos[Video ID],K29)="",IF(INDEX(tblVideos[Status],K29)="Watched","✓ ","▸ ")&amp;INDEX(tblVideos[Title],K29),HYPERLINK("https://www.youtube.com/watch?v="&amp;INDEX(tblVideos[Video ID],K29),IF(INDEX(tblVideos[Status],K29)="Watched","✓ ","▸ ")&amp;INDEX(tblVideos[Title],K29))))</f>
        <v/>
      </c>
      <c r="C29" s="70">
        <f>IF(L29="","",IF(INDEX(tblVideos[Video ID],L29)="",IF(INDEX(tblVideos[Status],L29)="Watched","✓ ","▸ ")&amp;INDEX(tblVideos[Title],L29),HYPERLINK("https://www.youtube.com/watch?v="&amp;INDEX(tblVideos[Video ID],L29),IF(INDEX(tblVideos[Status],L29)="Watched","✓ ","▸ ")&amp;INDEX(tblVideos[Title],L29))))</f>
        <v/>
      </c>
      <c r="D29" s="70">
        <f>IF(M29="","",IF(INDEX(tblVideos[Video ID],M29)="",IF(INDEX(tblVideos[Status],M29)="Watched","✓ ","▸ ")&amp;INDEX(tblVideos[Title],M29),HYPERLINK("https://www.youtube.com/watch?v="&amp;INDEX(tblVideos[Video ID],M29),IF(INDEX(tblVideos[Status],M29)="Watched","✓ ","▸ ")&amp;INDEX(tblVideos[Title],M29))))</f>
        <v/>
      </c>
      <c r="E29" s="70">
        <f>IF(N29="","",IF(INDEX(tblVideos[Video ID],N29)="",IF(INDEX(tblVideos[Status],N29)="Watched","✓ ","▸ ")&amp;INDEX(tblVideos[Title],N29),HYPERLINK("https://www.youtube.com/watch?v="&amp;INDEX(tblVideos[Video ID],N29),IF(INDEX(tblVideos[Status],N29)="Watched","✓ ","▸ ")&amp;INDEX(tblVideos[Title],N29))))</f>
        <v/>
      </c>
      <c r="F29" s="70">
        <f>IF(O29="","",IF(INDEX(tblVideos[Video ID],O29)="",IF(INDEX(tblVideos[Status],O29)="Watched","✓ ","▸ ")&amp;INDEX(tblVideos[Title],O29),HYPERLINK("https://www.youtube.com/watch?v="&amp;INDEX(tblVideos[Video ID],O29),IF(INDEX(tblVideos[Status],O29)="Watched","✓ ","▸ ")&amp;INDEX(tblVideos[Title],O29))))</f>
        <v/>
      </c>
      <c r="G29" s="70">
        <f>IF(P29="","",IF(INDEX(tblVideos[Video ID],P29)="",IF(INDEX(tblVideos[Status],P29)="Watched","✓ ","▸ ")&amp;INDEX(tblVideos[Title],P29),HYPERLINK("https://www.youtube.com/watch?v="&amp;INDEX(tblVideos[Video ID],P29),IF(INDEX(tblVideos[Status],P29)="Watched","✓ ","▸ ")&amp;INDEX(tblVideos[Title],P29))))</f>
        <v/>
      </c>
      <c r="H29" s="70">
        <f>IF(Q29="","",IF(INDEX(tblVideos[Video ID],Q29)="",IF(INDEX(tblVideos[Status],Q29)="Watched","✓ ","▸ ")&amp;INDEX(tblVideos[Title],Q29),HYPERLINK("https://www.youtube.com/watch?v="&amp;INDEX(tblVideos[Video ID],Q29),IF(INDEX(tblVideos[Status],Q29)="Watched","✓ ","▸ ")&amp;INDEX(tblVideos[Title],Q29))))</f>
        <v/>
      </c>
      <c r="K29">
        <f>IF(S28&gt;=1,MATCH(K28*100+1,tblVideos[Cal Key],0),"")</f>
        <v/>
      </c>
      <c r="L29">
        <f>IF(T28&gt;=1,MATCH(L28*100+1,tblVideos[Cal Key],0),"")</f>
        <v/>
      </c>
      <c r="M29">
        <f>IF(U28&gt;=1,MATCH(M28*100+1,tblVideos[Cal Key],0),"")</f>
        <v/>
      </c>
      <c r="N29">
        <f>IF(V28&gt;=1,MATCH(N28*100+1,tblVideos[Cal Key],0),"")</f>
        <v/>
      </c>
      <c r="O29">
        <f>IF(W28&gt;=1,MATCH(O28*100+1,tblVideos[Cal Key],0),"")</f>
        <v/>
      </c>
      <c r="P29">
        <f>IF(X28&gt;=1,MATCH(P28*100+1,tblVideos[Cal Key],0),"")</f>
        <v/>
      </c>
      <c r="Q29">
        <f>IF(Y28&gt;=1,MATCH(Q28*100+1,tblVideos[Cal Key],0),"")</f>
        <v/>
      </c>
      <c r="S29">
        <f>IF(K29="","",IFERROR(MATCH(INDEX(tblVideos[Channel ID],K29),tblChannels[Channel ID],0),""))</f>
        <v/>
      </c>
      <c r="T29">
        <f>IF(L29="","",IFERROR(MATCH(INDEX(tblVideos[Channel ID],L29),tblChannels[Channel ID],0),""))</f>
        <v/>
      </c>
      <c r="U29">
        <f>IF(M29="","",IFERROR(MATCH(INDEX(tblVideos[Channel ID],M29),tblChannels[Channel ID],0),""))</f>
        <v/>
      </c>
      <c r="V29">
        <f>IF(N29="","",IFERROR(MATCH(INDEX(tblVideos[Channel ID],N29),tblChannels[Channel ID],0),""))</f>
        <v/>
      </c>
      <c r="W29">
        <f>IF(O29="","",IFERROR(MATCH(INDEX(tblVideos[Channel ID],O29),tblChannels[Channel ID],0),""))</f>
        <v/>
      </c>
      <c r="X29">
        <f>IF(P29="","",IFERROR(MATCH(INDEX(tblVideos[Channel ID],P29),tblChannels[Channel ID],0),""))</f>
        <v/>
      </c>
      <c r="Y29">
        <f>IF(Q29="","",IFERROR(MATCH(INDEX(tblVideos[Channel ID],Q29),tblChannels[Channel ID],0),""))</f>
        <v/>
      </c>
    </row>
    <row r="30">
      <c r="B30" s="70">
        <f>IF(K30="","",IF(INDEX(tblVideos[Video ID],K30)="",IF(INDEX(tblVideos[Status],K30)="Watched","✓ ","▸ ")&amp;INDEX(tblVideos[Title],K30),HYPERLINK("https://www.youtube.com/watch?v="&amp;INDEX(tblVideos[Video ID],K30),IF(INDEX(tblVideos[Status],K30)="Watched","✓ ","▸ ")&amp;INDEX(tblVideos[Title],K30))))</f>
        <v/>
      </c>
      <c r="C30" s="70">
        <f>IF(L30="","",IF(INDEX(tblVideos[Video ID],L30)="",IF(INDEX(tblVideos[Status],L30)="Watched","✓ ","▸ ")&amp;INDEX(tblVideos[Title],L30),HYPERLINK("https://www.youtube.com/watch?v="&amp;INDEX(tblVideos[Video ID],L30),IF(INDEX(tblVideos[Status],L30)="Watched","✓ ","▸ ")&amp;INDEX(tblVideos[Title],L30))))</f>
        <v/>
      </c>
      <c r="D30" s="70">
        <f>IF(M30="","",IF(INDEX(tblVideos[Video ID],M30)="",IF(INDEX(tblVideos[Status],M30)="Watched","✓ ","▸ ")&amp;INDEX(tblVideos[Title],M30),HYPERLINK("https://www.youtube.com/watch?v="&amp;INDEX(tblVideos[Video ID],M30),IF(INDEX(tblVideos[Status],M30)="Watched","✓ ","▸ ")&amp;INDEX(tblVideos[Title],M30))))</f>
        <v/>
      </c>
      <c r="E30" s="70">
        <f>IF(N30="","",IF(INDEX(tblVideos[Video ID],N30)="",IF(INDEX(tblVideos[Status],N30)="Watched","✓ ","▸ ")&amp;INDEX(tblVideos[Title],N30),HYPERLINK("https://www.youtube.com/watch?v="&amp;INDEX(tblVideos[Video ID],N30),IF(INDEX(tblVideos[Status],N30)="Watched","✓ ","▸ ")&amp;INDEX(tblVideos[Title],N30))))</f>
        <v/>
      </c>
      <c r="F30" s="70">
        <f>IF(O30="","",IF(INDEX(tblVideos[Video ID],O30)="",IF(INDEX(tblVideos[Status],O30)="Watched","✓ ","▸ ")&amp;INDEX(tblVideos[Title],O30),HYPERLINK("https://www.youtube.com/watch?v="&amp;INDEX(tblVideos[Video ID],O30),IF(INDEX(tblVideos[Status],O30)="Watched","✓ ","▸ ")&amp;INDEX(tblVideos[Title],O30))))</f>
        <v/>
      </c>
      <c r="G30" s="70">
        <f>IF(P30="","",IF(INDEX(tblVideos[Video ID],P30)="",IF(INDEX(tblVideos[Status],P30)="Watched","✓ ","▸ ")&amp;INDEX(tblVideos[Title],P30),HYPERLINK("https://www.youtube.com/watch?v="&amp;INDEX(tblVideos[Video ID],P30),IF(INDEX(tblVideos[Status],P30)="Watched","✓ ","▸ ")&amp;INDEX(tblVideos[Title],P30))))</f>
        <v/>
      </c>
      <c r="H30" s="70">
        <f>IF(Q30="","",IF(INDEX(tblVideos[Video ID],Q30)="",IF(INDEX(tblVideos[Status],Q30)="Watched","✓ ","▸ ")&amp;INDEX(tblVideos[Title],Q30),HYPERLINK("https://www.youtube.com/watch?v="&amp;INDEX(tblVideos[Video ID],Q30),IF(INDEX(tblVideos[Status],Q30)="Watched","✓ ","▸ ")&amp;INDEX(tblVideos[Title],Q30))))</f>
        <v/>
      </c>
      <c r="K30">
        <f>IF(S28&gt;=2,MATCH(K28*100+2,tblVideos[Cal Key],0),"")</f>
        <v/>
      </c>
      <c r="L30">
        <f>IF(T28&gt;=2,MATCH(L28*100+2,tblVideos[Cal Key],0),"")</f>
        <v/>
      </c>
      <c r="M30">
        <f>IF(U28&gt;=2,MATCH(M28*100+2,tblVideos[Cal Key],0),"")</f>
        <v/>
      </c>
      <c r="N30">
        <f>IF(V28&gt;=2,MATCH(N28*100+2,tblVideos[Cal Key],0),"")</f>
        <v/>
      </c>
      <c r="O30">
        <f>IF(W28&gt;=2,MATCH(O28*100+2,tblVideos[Cal Key],0),"")</f>
        <v/>
      </c>
      <c r="P30">
        <f>IF(X28&gt;=2,MATCH(P28*100+2,tblVideos[Cal Key],0),"")</f>
        <v/>
      </c>
      <c r="Q30">
        <f>IF(Y28&gt;=2,MATCH(Q28*100+2,tblVideos[Cal Key],0),"")</f>
        <v/>
      </c>
      <c r="S30">
        <f>IF(K30="","",IFERROR(MATCH(INDEX(tblVideos[Channel ID],K30),tblChannels[Channel ID],0),""))</f>
        <v/>
      </c>
      <c r="T30">
        <f>IF(L30="","",IFERROR(MATCH(INDEX(tblVideos[Channel ID],L30),tblChannels[Channel ID],0),""))</f>
        <v/>
      </c>
      <c r="U30">
        <f>IF(M30="","",IFERROR(MATCH(INDEX(tblVideos[Channel ID],M30),tblChannels[Channel ID],0),""))</f>
        <v/>
      </c>
      <c r="V30">
        <f>IF(N30="","",IFERROR(MATCH(INDEX(tblVideos[Channel ID],N30),tblChannels[Channel ID],0),""))</f>
        <v/>
      </c>
      <c r="W30">
        <f>IF(O30="","",IFERROR(MATCH(INDEX(tblVideos[Channel ID],O30),tblChannels[Channel ID],0),""))</f>
        <v/>
      </c>
      <c r="X30">
        <f>IF(P30="","",IFERROR(MATCH(INDEX(tblVideos[Channel ID],P30),tblChannels[Channel ID],0),""))</f>
        <v/>
      </c>
      <c r="Y30">
        <f>IF(Q30="","",IFERROR(MATCH(INDEX(tblVideos[Channel ID],Q30),tblChannels[Channel ID],0),""))</f>
        <v/>
      </c>
    </row>
    <row r="31">
      <c r="B31" s="70">
        <f>IF(K31="","",IF(INDEX(tblVideos[Video ID],K31)="",IF(INDEX(tblVideos[Status],K31)="Watched","✓ ","▸ ")&amp;INDEX(tblVideos[Title],K31),HYPERLINK("https://www.youtube.com/watch?v="&amp;INDEX(tblVideos[Video ID],K31),IF(INDEX(tblVideos[Status],K31)="Watched","✓ ","▸ ")&amp;INDEX(tblVideos[Title],K31))))</f>
        <v/>
      </c>
      <c r="C31" s="70">
        <f>IF(L31="","",IF(INDEX(tblVideos[Video ID],L31)="",IF(INDEX(tblVideos[Status],L31)="Watched","✓ ","▸ ")&amp;INDEX(tblVideos[Title],L31),HYPERLINK("https://www.youtube.com/watch?v="&amp;INDEX(tblVideos[Video ID],L31),IF(INDEX(tblVideos[Status],L31)="Watched","✓ ","▸ ")&amp;INDEX(tblVideos[Title],L31))))</f>
        <v/>
      </c>
      <c r="D31" s="70">
        <f>IF(M31="","",IF(INDEX(tblVideos[Video ID],M31)="",IF(INDEX(tblVideos[Status],M31)="Watched","✓ ","▸ ")&amp;INDEX(tblVideos[Title],M31),HYPERLINK("https://www.youtube.com/watch?v="&amp;INDEX(tblVideos[Video ID],M31),IF(INDEX(tblVideos[Status],M31)="Watched","✓ ","▸ ")&amp;INDEX(tblVideos[Title],M31))))</f>
        <v/>
      </c>
      <c r="E31" s="70">
        <f>IF(N31="","",IF(INDEX(tblVideos[Video ID],N31)="",IF(INDEX(tblVideos[Status],N31)="Watched","✓ ","▸ ")&amp;INDEX(tblVideos[Title],N31),HYPERLINK("https://www.youtube.com/watch?v="&amp;INDEX(tblVideos[Video ID],N31),IF(INDEX(tblVideos[Status],N31)="Watched","✓ ","▸ ")&amp;INDEX(tblVideos[Title],N31))))</f>
        <v/>
      </c>
      <c r="F31" s="70">
        <f>IF(O31="","",IF(INDEX(tblVideos[Video ID],O31)="",IF(INDEX(tblVideos[Status],O31)="Watched","✓ ","▸ ")&amp;INDEX(tblVideos[Title],O31),HYPERLINK("https://www.youtube.com/watch?v="&amp;INDEX(tblVideos[Video ID],O31),IF(INDEX(tblVideos[Status],O31)="Watched","✓ ","▸ ")&amp;INDEX(tblVideos[Title],O31))))</f>
        <v/>
      </c>
      <c r="G31" s="70">
        <f>IF(P31="","",IF(INDEX(tblVideos[Video ID],P31)="",IF(INDEX(tblVideos[Status],P31)="Watched","✓ ","▸ ")&amp;INDEX(tblVideos[Title],P31),HYPERLINK("https://www.youtube.com/watch?v="&amp;INDEX(tblVideos[Video ID],P31),IF(INDEX(tblVideos[Status],P31)="Watched","✓ ","▸ ")&amp;INDEX(tblVideos[Title],P31))))</f>
        <v/>
      </c>
      <c r="H31" s="70">
        <f>IF(Q31="","",IF(INDEX(tblVideos[Video ID],Q31)="",IF(INDEX(tblVideos[Status],Q31)="Watched","✓ ","▸ ")&amp;INDEX(tblVideos[Title],Q31),HYPERLINK("https://www.youtube.com/watch?v="&amp;INDEX(tblVideos[Video ID],Q31),IF(INDEX(tblVideos[Status],Q31)="Watched","✓ ","▸ ")&amp;INDEX(tblVideos[Title],Q31))))</f>
        <v/>
      </c>
      <c r="K31">
        <f>IF(S28&gt;=3,MATCH(K28*100+3,tblVideos[Cal Key],0),"")</f>
        <v/>
      </c>
      <c r="L31">
        <f>IF(T28&gt;=3,MATCH(L28*100+3,tblVideos[Cal Key],0),"")</f>
        <v/>
      </c>
      <c r="M31">
        <f>IF(U28&gt;=3,MATCH(M28*100+3,tblVideos[Cal Key],0),"")</f>
        <v/>
      </c>
      <c r="N31">
        <f>IF(V28&gt;=3,MATCH(N28*100+3,tblVideos[Cal Key],0),"")</f>
        <v/>
      </c>
      <c r="O31">
        <f>IF(W28&gt;=3,MATCH(O28*100+3,tblVideos[Cal Key],0),"")</f>
        <v/>
      </c>
      <c r="P31">
        <f>IF(X28&gt;=3,MATCH(P28*100+3,tblVideos[Cal Key],0),"")</f>
        <v/>
      </c>
      <c r="Q31">
        <f>IF(Y28&gt;=3,MATCH(Q28*100+3,tblVideos[Cal Key],0),"")</f>
        <v/>
      </c>
      <c r="S31">
        <f>IF(K31="","",IFERROR(MATCH(INDEX(tblVideos[Channel ID],K31),tblChannels[Channel ID],0),""))</f>
        <v/>
      </c>
      <c r="T31">
        <f>IF(L31="","",IFERROR(MATCH(INDEX(tblVideos[Channel ID],L31),tblChannels[Channel ID],0),""))</f>
        <v/>
      </c>
      <c r="U31">
        <f>IF(M31="","",IFERROR(MATCH(INDEX(tblVideos[Channel ID],M31),tblChannels[Channel ID],0),""))</f>
        <v/>
      </c>
      <c r="V31">
        <f>IF(N31="","",IFERROR(MATCH(INDEX(tblVideos[Channel ID],N31),tblChannels[Channel ID],0),""))</f>
        <v/>
      </c>
      <c r="W31">
        <f>IF(O31="","",IFERROR(MATCH(INDEX(tblVideos[Channel ID],O31),tblChannels[Channel ID],0),""))</f>
        <v/>
      </c>
      <c r="X31">
        <f>IF(P31="","",IFERROR(MATCH(INDEX(tblVideos[Channel ID],P31),tblChannels[Channel ID],0),""))</f>
        <v/>
      </c>
      <c r="Y31">
        <f>IF(Q31="","",IFERROR(MATCH(INDEX(tblVideos[Channel ID],Q31),tblChannels[Channel ID],0),""))</f>
        <v/>
      </c>
    </row>
    <row r="32">
      <c r="B32" s="70">
        <f>IF(K32="","",IF(INDEX(tblVideos[Video ID],K32)="",IF(INDEX(tblVideos[Status],K32)="Watched","✓ ","▸ ")&amp;INDEX(tblVideos[Title],K32),HYPERLINK("https://www.youtube.com/watch?v="&amp;INDEX(tblVideos[Video ID],K32),IF(INDEX(tblVideos[Status],K32)="Watched","✓ ","▸ ")&amp;INDEX(tblVideos[Title],K32))))</f>
        <v/>
      </c>
      <c r="C32" s="70">
        <f>IF(L32="","",IF(INDEX(tblVideos[Video ID],L32)="",IF(INDEX(tblVideos[Status],L32)="Watched","✓ ","▸ ")&amp;INDEX(tblVideos[Title],L32),HYPERLINK("https://www.youtube.com/watch?v="&amp;INDEX(tblVideos[Video ID],L32),IF(INDEX(tblVideos[Status],L32)="Watched","✓ ","▸ ")&amp;INDEX(tblVideos[Title],L32))))</f>
        <v/>
      </c>
      <c r="D32" s="70">
        <f>IF(M32="","",IF(INDEX(tblVideos[Video ID],M32)="",IF(INDEX(tblVideos[Status],M32)="Watched","✓ ","▸ ")&amp;INDEX(tblVideos[Title],M32),HYPERLINK("https://www.youtube.com/watch?v="&amp;INDEX(tblVideos[Video ID],M32),IF(INDEX(tblVideos[Status],M32)="Watched","✓ ","▸ ")&amp;INDEX(tblVideos[Title],M32))))</f>
        <v/>
      </c>
      <c r="E32" s="70">
        <f>IF(N32="","",IF(INDEX(tblVideos[Video ID],N32)="",IF(INDEX(tblVideos[Status],N32)="Watched","✓ ","▸ ")&amp;INDEX(tblVideos[Title],N32),HYPERLINK("https://www.youtube.com/watch?v="&amp;INDEX(tblVideos[Video ID],N32),IF(INDEX(tblVideos[Status],N32)="Watched","✓ ","▸ ")&amp;INDEX(tblVideos[Title],N32))))</f>
        <v/>
      </c>
      <c r="F32" s="70">
        <f>IF(O32="","",IF(INDEX(tblVideos[Video ID],O32)="",IF(INDEX(tblVideos[Status],O32)="Watched","✓ ","▸ ")&amp;INDEX(tblVideos[Title],O32),HYPERLINK("https://www.youtube.com/watch?v="&amp;INDEX(tblVideos[Video ID],O32),IF(INDEX(tblVideos[Status],O32)="Watched","✓ ","▸ ")&amp;INDEX(tblVideos[Title],O32))))</f>
        <v/>
      </c>
      <c r="G32" s="70">
        <f>IF(P32="","",IF(INDEX(tblVideos[Video ID],P32)="",IF(INDEX(tblVideos[Status],P32)="Watched","✓ ","▸ ")&amp;INDEX(tblVideos[Title],P32),HYPERLINK("https://www.youtube.com/watch?v="&amp;INDEX(tblVideos[Video ID],P32),IF(INDEX(tblVideos[Status],P32)="Watched","✓ ","▸ ")&amp;INDEX(tblVideos[Title],P32))))</f>
        <v/>
      </c>
      <c r="H32" s="70">
        <f>IF(Q32="","",IF(INDEX(tblVideos[Video ID],Q32)="",IF(INDEX(tblVideos[Status],Q32)="Watched","✓ ","▸ ")&amp;INDEX(tblVideos[Title],Q32),HYPERLINK("https://www.youtube.com/watch?v="&amp;INDEX(tblVideos[Video ID],Q32),IF(INDEX(tblVideos[Status],Q32)="Watched","✓ ","▸ ")&amp;INDEX(tblVideos[Title],Q32))))</f>
        <v/>
      </c>
      <c r="K32">
        <f>IF(S28&gt;=4,MATCH(K28*100+4,tblVideos[Cal Key],0),"")</f>
        <v/>
      </c>
      <c r="L32">
        <f>IF(T28&gt;=4,MATCH(L28*100+4,tblVideos[Cal Key],0),"")</f>
        <v/>
      </c>
      <c r="M32">
        <f>IF(U28&gt;=4,MATCH(M28*100+4,tblVideos[Cal Key],0),"")</f>
        <v/>
      </c>
      <c r="N32">
        <f>IF(V28&gt;=4,MATCH(N28*100+4,tblVideos[Cal Key],0),"")</f>
        <v/>
      </c>
      <c r="O32">
        <f>IF(W28&gt;=4,MATCH(O28*100+4,tblVideos[Cal Key],0),"")</f>
        <v/>
      </c>
      <c r="P32">
        <f>IF(X28&gt;=4,MATCH(P28*100+4,tblVideos[Cal Key],0),"")</f>
        <v/>
      </c>
      <c r="Q32">
        <f>IF(Y28&gt;=4,MATCH(Q28*100+4,tblVideos[Cal Key],0),"")</f>
        <v/>
      </c>
      <c r="S32">
        <f>IF(K32="","",IFERROR(MATCH(INDEX(tblVideos[Channel ID],K32),tblChannels[Channel ID],0),""))</f>
        <v/>
      </c>
      <c r="T32">
        <f>IF(L32="","",IFERROR(MATCH(INDEX(tblVideos[Channel ID],L32),tblChannels[Channel ID],0),""))</f>
        <v/>
      </c>
      <c r="U32">
        <f>IF(M32="","",IFERROR(MATCH(INDEX(tblVideos[Channel ID],M32),tblChannels[Channel ID],0),""))</f>
        <v/>
      </c>
      <c r="V32">
        <f>IF(N32="","",IFERROR(MATCH(INDEX(tblVideos[Channel ID],N32),tblChannels[Channel ID],0),""))</f>
        <v/>
      </c>
      <c r="W32">
        <f>IF(O32="","",IFERROR(MATCH(INDEX(tblVideos[Channel ID],O32),tblChannels[Channel ID],0),""))</f>
        <v/>
      </c>
      <c r="X32">
        <f>IF(P32="","",IFERROR(MATCH(INDEX(tblVideos[Channel ID],P32),tblChannels[Channel ID],0),""))</f>
        <v/>
      </c>
      <c r="Y32">
        <f>IF(Q32="","",IFERROR(MATCH(INDEX(tblVideos[Channel ID],Q32),tblChannels[Channel ID],0),""))</f>
        <v/>
      </c>
    </row>
    <row r="33">
      <c r="B33" s="70">
        <f>IF(K33="","",IF(INDEX(tblVideos[Video ID],K33)="",IF(INDEX(tblVideos[Status],K33)="Watched","✓ ","▸ ")&amp;INDEX(tblVideos[Title],K33),HYPERLINK("https://www.youtube.com/watch?v="&amp;INDEX(tblVideos[Video ID],K33),IF(INDEX(tblVideos[Status],K33)="Watched","✓ ","▸ ")&amp;INDEX(tblVideos[Title],K33))))</f>
        <v/>
      </c>
      <c r="C33" s="70">
        <f>IF(L33="","",IF(INDEX(tblVideos[Video ID],L33)="",IF(INDEX(tblVideos[Status],L33)="Watched","✓ ","▸ ")&amp;INDEX(tblVideos[Title],L33),HYPERLINK("https://www.youtube.com/watch?v="&amp;INDEX(tblVideos[Video ID],L33),IF(INDEX(tblVideos[Status],L33)="Watched","✓ ","▸ ")&amp;INDEX(tblVideos[Title],L33))))</f>
        <v/>
      </c>
      <c r="D33" s="70">
        <f>IF(M33="","",IF(INDEX(tblVideos[Video ID],M33)="",IF(INDEX(tblVideos[Status],M33)="Watched","✓ ","▸ ")&amp;INDEX(tblVideos[Title],M33),HYPERLINK("https://www.youtube.com/watch?v="&amp;INDEX(tblVideos[Video ID],M33),IF(INDEX(tblVideos[Status],M33)="Watched","✓ ","▸ ")&amp;INDEX(tblVideos[Title],M33))))</f>
        <v/>
      </c>
      <c r="E33" s="70">
        <f>IF(N33="","",IF(INDEX(tblVideos[Video ID],N33)="",IF(INDEX(tblVideos[Status],N33)="Watched","✓ ","▸ ")&amp;INDEX(tblVideos[Title],N33),HYPERLINK("https://www.youtube.com/watch?v="&amp;INDEX(tblVideos[Video ID],N33),IF(INDEX(tblVideos[Status],N33)="Watched","✓ ","▸ ")&amp;INDEX(tblVideos[Title],N33))))</f>
        <v/>
      </c>
      <c r="F33" s="70">
        <f>IF(O33="","",IF(INDEX(tblVideos[Video ID],O33)="",IF(INDEX(tblVideos[Status],O33)="Watched","✓ ","▸ ")&amp;INDEX(tblVideos[Title],O33),HYPERLINK("https://www.youtube.com/watch?v="&amp;INDEX(tblVideos[Video ID],O33),IF(INDEX(tblVideos[Status],O33)="Watched","✓ ","▸ ")&amp;INDEX(tblVideos[Title],O33))))</f>
        <v/>
      </c>
      <c r="G33" s="70">
        <f>IF(P33="","",IF(INDEX(tblVideos[Video ID],P33)="",IF(INDEX(tblVideos[Status],P33)="Watched","✓ ","▸ ")&amp;INDEX(tblVideos[Title],P33),HYPERLINK("https://www.youtube.com/watch?v="&amp;INDEX(tblVideos[Video ID],P33),IF(INDEX(tblVideos[Status],P33)="Watched","✓ ","▸ ")&amp;INDEX(tblVideos[Title],P33))))</f>
        <v/>
      </c>
      <c r="H33" s="70">
        <f>IF(Q33="","",IF(INDEX(tblVideos[Video ID],Q33)="",IF(INDEX(tblVideos[Status],Q33)="Watched","✓ ","▸ ")&amp;INDEX(tblVideos[Title],Q33),HYPERLINK("https://www.youtube.com/watch?v="&amp;INDEX(tblVideos[Video ID],Q33),IF(INDEX(tblVideos[Status],Q33)="Watched","✓ ","▸ ")&amp;INDEX(tblVideos[Title],Q33))))</f>
        <v/>
      </c>
      <c r="K33">
        <f>IF(S28&gt;=5,MATCH(K28*100+5,tblVideos[Cal Key],0),"")</f>
        <v/>
      </c>
      <c r="L33">
        <f>IF(T28&gt;=5,MATCH(L28*100+5,tblVideos[Cal Key],0),"")</f>
        <v/>
      </c>
      <c r="M33">
        <f>IF(U28&gt;=5,MATCH(M28*100+5,tblVideos[Cal Key],0),"")</f>
        <v/>
      </c>
      <c r="N33">
        <f>IF(V28&gt;=5,MATCH(N28*100+5,tblVideos[Cal Key],0),"")</f>
        <v/>
      </c>
      <c r="O33">
        <f>IF(W28&gt;=5,MATCH(O28*100+5,tblVideos[Cal Key],0),"")</f>
        <v/>
      </c>
      <c r="P33">
        <f>IF(X28&gt;=5,MATCH(P28*100+5,tblVideos[Cal Key],0),"")</f>
        <v/>
      </c>
      <c r="Q33">
        <f>IF(Y28&gt;=5,MATCH(Q28*100+5,tblVideos[Cal Key],0),"")</f>
        <v/>
      </c>
      <c r="S33">
        <f>IF(K33="","",IFERROR(MATCH(INDEX(tblVideos[Channel ID],K33),tblChannels[Channel ID],0),""))</f>
        <v/>
      </c>
      <c r="T33">
        <f>IF(L33="","",IFERROR(MATCH(INDEX(tblVideos[Channel ID],L33),tblChannels[Channel ID],0),""))</f>
        <v/>
      </c>
      <c r="U33">
        <f>IF(M33="","",IFERROR(MATCH(INDEX(tblVideos[Channel ID],M33),tblChannels[Channel ID],0),""))</f>
        <v/>
      </c>
      <c r="V33">
        <f>IF(N33="","",IFERROR(MATCH(INDEX(tblVideos[Channel ID],N33),tblChannels[Channel ID],0),""))</f>
        <v/>
      </c>
      <c r="W33">
        <f>IF(O33="","",IFERROR(MATCH(INDEX(tblVideos[Channel ID],O33),tblChannels[Channel ID],0),""))</f>
        <v/>
      </c>
      <c r="X33">
        <f>IF(P33="","",IFERROR(MATCH(INDEX(tblVideos[Channel ID],P33),tblChannels[Channel ID],0),""))</f>
        <v/>
      </c>
      <c r="Y33">
        <f>IF(Q33="","",IFERROR(MATCH(INDEX(tblVideos[Channel ID],Q33),tblChannels[Channel ID],0),""))</f>
        <v/>
      </c>
    </row>
    <row r="34" ht="18" customHeight="1">
      <c r="B34" s="69">
        <f>IF(MONTH(K34)=MONTH($K$2),DAY(K34)&amp;IF(S34&gt;0,"   ·   "&amp;S34&amp;IF(S34=1," video"," videos")&amp;"   ·   "&amp;IF(ROUND((AA34)*1440,0)&lt;60,ROUND((AA34)*1440,0)&amp;" m",IF(MOD(ROUND((AA34)*1440,0),60)=0,INT(ROUND((AA34)*1440,0)/60)&amp;" h",INT(ROUND((AA34)*1440,0)/60)&amp;" h "&amp;MOD(ROUND((AA34)*1440,0),60)&amp;" m"))&amp;IF(S34&gt;5,"   (+"&amp;(S34-5)&amp;" more)",""),""),"")</f>
        <v/>
      </c>
      <c r="C34" s="69">
        <f>IF(MONTH(L34)=MONTH($K$2),DAY(L34)&amp;IF(T34&gt;0,"   ·   "&amp;T34&amp;IF(T34=1," video"," videos")&amp;"   ·   "&amp;IF(ROUND((AB34)*1440,0)&lt;60,ROUND((AB34)*1440,0)&amp;" m",IF(MOD(ROUND((AB34)*1440,0),60)=0,INT(ROUND((AB34)*1440,0)/60)&amp;" h",INT(ROUND((AB34)*1440,0)/60)&amp;" h "&amp;MOD(ROUND((AB34)*1440,0),60)&amp;" m"))&amp;IF(T34&gt;5,"   (+"&amp;(T34-5)&amp;" more)",""),""),"")</f>
        <v/>
      </c>
      <c r="D34" s="69">
        <f>IF(MONTH(M34)=MONTH($K$2),DAY(M34)&amp;IF(U34&gt;0,"   ·   "&amp;U34&amp;IF(U34=1," video"," videos")&amp;"   ·   "&amp;IF(ROUND((AC34)*1440,0)&lt;60,ROUND((AC34)*1440,0)&amp;" m",IF(MOD(ROUND((AC34)*1440,0),60)=0,INT(ROUND((AC34)*1440,0)/60)&amp;" h",INT(ROUND((AC34)*1440,0)/60)&amp;" h "&amp;MOD(ROUND((AC34)*1440,0),60)&amp;" m"))&amp;IF(U34&gt;5,"   (+"&amp;(U34-5)&amp;" more)",""),""),"")</f>
        <v/>
      </c>
      <c r="E34" s="69">
        <f>IF(MONTH(N34)=MONTH($K$2),DAY(N34)&amp;IF(V34&gt;0,"   ·   "&amp;V34&amp;IF(V34=1," video"," videos")&amp;"   ·   "&amp;IF(ROUND((AD34)*1440,0)&lt;60,ROUND((AD34)*1440,0)&amp;" m",IF(MOD(ROUND((AD34)*1440,0),60)=0,INT(ROUND((AD34)*1440,0)/60)&amp;" h",INT(ROUND((AD34)*1440,0)/60)&amp;" h "&amp;MOD(ROUND((AD34)*1440,0),60)&amp;" m"))&amp;IF(V34&gt;5,"   (+"&amp;(V34-5)&amp;" more)",""),""),"")</f>
        <v/>
      </c>
      <c r="F34" s="69">
        <f>IF(MONTH(O34)=MONTH($K$2),DAY(O34)&amp;IF(W34&gt;0,"   ·   "&amp;W34&amp;IF(W34=1," video"," videos")&amp;"   ·   "&amp;IF(ROUND((AE34)*1440,0)&lt;60,ROUND((AE34)*1440,0)&amp;" m",IF(MOD(ROUND((AE34)*1440,0),60)=0,INT(ROUND((AE34)*1440,0)/60)&amp;" h",INT(ROUND((AE34)*1440,0)/60)&amp;" h "&amp;MOD(ROUND((AE34)*1440,0),60)&amp;" m"))&amp;IF(W34&gt;5,"   (+"&amp;(W34-5)&amp;" more)",""),""),"")</f>
        <v/>
      </c>
      <c r="G34" s="69">
        <f>IF(MONTH(P34)=MONTH($K$2),DAY(P34)&amp;IF(X34&gt;0,"   ·   "&amp;X34&amp;IF(X34=1," video"," videos")&amp;"   ·   "&amp;IF(ROUND((AF34)*1440,0)&lt;60,ROUND((AF34)*1440,0)&amp;" m",IF(MOD(ROUND((AF34)*1440,0),60)=0,INT(ROUND((AF34)*1440,0)/60)&amp;" h",INT(ROUND((AF34)*1440,0)/60)&amp;" h "&amp;MOD(ROUND((AF34)*1440,0),60)&amp;" m"))&amp;IF(X34&gt;5,"   (+"&amp;(X34-5)&amp;" more)",""),""),"")</f>
        <v/>
      </c>
      <c r="H34" s="69">
        <f>IF(MONTH(Q34)=MONTH($K$2),DAY(Q34)&amp;IF(Y34&gt;0,"   ·   "&amp;Y34&amp;IF(Y34=1," video"," videos")&amp;"   ·   "&amp;IF(ROUND((AG34)*1440,0)&lt;60,ROUND((AG34)*1440,0)&amp;" m",IF(MOD(ROUND((AG34)*1440,0),60)=0,INT(ROUND((AG34)*1440,0)/60)&amp;" h",INT(ROUND((AG34)*1440,0)/60)&amp;" h "&amp;MOD(ROUND((AG34)*1440,0),60)&amp;" m"))&amp;IF(Y34&gt;5,"   (+"&amp;(Y34-5)&amp;" more)",""),""),"")</f>
        <v/>
      </c>
      <c r="K34" s="59">
        <f>$K$3+28</f>
        <v/>
      </c>
      <c r="L34" s="59">
        <f>$K$3+29</f>
        <v/>
      </c>
      <c r="M34" s="59">
        <f>$K$3+30</f>
        <v/>
      </c>
      <c r="N34" s="59">
        <f>$K$3+31</f>
        <v/>
      </c>
      <c r="O34" s="59">
        <f>$K$3+32</f>
        <v/>
      </c>
      <c r="P34" s="59">
        <f>$K$3+33</f>
        <v/>
      </c>
      <c r="Q34" s="59">
        <f>$K$3+34</f>
        <v/>
      </c>
      <c r="S34">
        <f>IF(MONTH(K34)=MONTH($K$2),COUNTIFS(tblVideos[Day],K34,tblVideos[Channel ID],$K$4),0)</f>
        <v/>
      </c>
      <c r="T34">
        <f>IF(MONTH(L34)=MONTH($K$2),COUNTIFS(tblVideos[Day],L34,tblVideos[Channel ID],$K$4),0)</f>
        <v/>
      </c>
      <c r="U34">
        <f>IF(MONTH(M34)=MONTH($K$2),COUNTIFS(tblVideos[Day],M34,tblVideos[Channel ID],$K$4),0)</f>
        <v/>
      </c>
      <c r="V34">
        <f>IF(MONTH(N34)=MONTH($K$2),COUNTIFS(tblVideos[Day],N34,tblVideos[Channel ID],$K$4),0)</f>
        <v/>
      </c>
      <c r="W34">
        <f>IF(MONTH(O34)=MONTH($K$2),COUNTIFS(tblVideos[Day],O34,tblVideos[Channel ID],$K$4),0)</f>
        <v/>
      </c>
      <c r="X34">
        <f>IF(MONTH(P34)=MONTH($K$2),COUNTIFS(tblVideos[Day],P34,tblVideos[Channel ID],$K$4),0)</f>
        <v/>
      </c>
      <c r="Y34">
        <f>IF(MONTH(Q34)=MONTH($K$2),COUNTIFS(tblVideos[Day],Q34,tblVideos[Channel ID],$K$4),0)</f>
        <v/>
      </c>
      <c r="AA34">
        <f>IF(S34&gt;0,SUMIFS(tblVideos[Length],tblVideos[Day],K34,tblVideos[Channel ID],$K$4),0)</f>
        <v/>
      </c>
      <c r="AB34">
        <f>IF(T34&gt;0,SUMIFS(tblVideos[Length],tblVideos[Day],L34,tblVideos[Channel ID],$K$4),0)</f>
        <v/>
      </c>
      <c r="AC34">
        <f>IF(U34&gt;0,SUMIFS(tblVideos[Length],tblVideos[Day],M34,tblVideos[Channel ID],$K$4),0)</f>
        <v/>
      </c>
      <c r="AD34">
        <f>IF(V34&gt;0,SUMIFS(tblVideos[Length],tblVideos[Day],N34,tblVideos[Channel ID],$K$4),0)</f>
        <v/>
      </c>
      <c r="AE34">
        <f>IF(W34&gt;0,SUMIFS(tblVideos[Length],tblVideos[Day],O34,tblVideos[Channel ID],$K$4),0)</f>
        <v/>
      </c>
      <c r="AF34">
        <f>IF(X34&gt;0,SUMIFS(tblVideos[Length],tblVideos[Day],P34,tblVideos[Channel ID],$K$4),0)</f>
        <v/>
      </c>
      <c r="AG34">
        <f>IF(Y34&gt;0,SUMIFS(tblVideos[Length],tblVideos[Day],Q34,tblVideos[Channel ID],$K$4),0)</f>
        <v/>
      </c>
    </row>
    <row r="35">
      <c r="B35" s="70">
        <f>IF(K35="","",IF(INDEX(tblVideos[Video ID],K35)="",IF(INDEX(tblVideos[Status],K35)="Watched","✓ ","▸ ")&amp;INDEX(tblVideos[Title],K35),HYPERLINK("https://www.youtube.com/watch?v="&amp;INDEX(tblVideos[Video ID],K35),IF(INDEX(tblVideos[Status],K35)="Watched","✓ ","▸ ")&amp;INDEX(tblVideos[Title],K35))))</f>
        <v/>
      </c>
      <c r="C35" s="70">
        <f>IF(L35="","",IF(INDEX(tblVideos[Video ID],L35)="",IF(INDEX(tblVideos[Status],L35)="Watched","✓ ","▸ ")&amp;INDEX(tblVideos[Title],L35),HYPERLINK("https://www.youtube.com/watch?v="&amp;INDEX(tblVideos[Video ID],L35),IF(INDEX(tblVideos[Status],L35)="Watched","✓ ","▸ ")&amp;INDEX(tblVideos[Title],L35))))</f>
        <v/>
      </c>
      <c r="D35" s="70">
        <f>IF(M35="","",IF(INDEX(tblVideos[Video ID],M35)="",IF(INDEX(tblVideos[Status],M35)="Watched","✓ ","▸ ")&amp;INDEX(tblVideos[Title],M35),HYPERLINK("https://www.youtube.com/watch?v="&amp;INDEX(tblVideos[Video ID],M35),IF(INDEX(tblVideos[Status],M35)="Watched","✓ ","▸ ")&amp;INDEX(tblVideos[Title],M35))))</f>
        <v/>
      </c>
      <c r="E35" s="70">
        <f>IF(N35="","",IF(INDEX(tblVideos[Video ID],N35)="",IF(INDEX(tblVideos[Status],N35)="Watched","✓ ","▸ ")&amp;INDEX(tblVideos[Title],N35),HYPERLINK("https://www.youtube.com/watch?v="&amp;INDEX(tblVideos[Video ID],N35),IF(INDEX(tblVideos[Status],N35)="Watched","✓ ","▸ ")&amp;INDEX(tblVideos[Title],N35))))</f>
        <v/>
      </c>
      <c r="F35" s="70">
        <f>IF(O35="","",IF(INDEX(tblVideos[Video ID],O35)="",IF(INDEX(tblVideos[Status],O35)="Watched","✓ ","▸ ")&amp;INDEX(tblVideos[Title],O35),HYPERLINK("https://www.youtube.com/watch?v="&amp;INDEX(tblVideos[Video ID],O35),IF(INDEX(tblVideos[Status],O35)="Watched","✓ ","▸ ")&amp;INDEX(tblVideos[Title],O35))))</f>
        <v/>
      </c>
      <c r="G35" s="70">
        <f>IF(P35="","",IF(INDEX(tblVideos[Video ID],P35)="",IF(INDEX(tblVideos[Status],P35)="Watched","✓ ","▸ ")&amp;INDEX(tblVideos[Title],P35),HYPERLINK("https://www.youtube.com/watch?v="&amp;INDEX(tblVideos[Video ID],P35),IF(INDEX(tblVideos[Status],P35)="Watched","✓ ","▸ ")&amp;INDEX(tblVideos[Title],P35))))</f>
        <v/>
      </c>
      <c r="H35" s="70">
        <f>IF(Q35="","",IF(INDEX(tblVideos[Video ID],Q35)="",IF(INDEX(tblVideos[Status],Q35)="Watched","✓ ","▸ ")&amp;INDEX(tblVideos[Title],Q35),HYPERLINK("https://www.youtube.com/watch?v="&amp;INDEX(tblVideos[Video ID],Q35),IF(INDEX(tblVideos[Status],Q35)="Watched","✓ ","▸ ")&amp;INDEX(tblVideos[Title],Q35))))</f>
        <v/>
      </c>
      <c r="K35">
        <f>IF(S34&gt;=1,MATCH(K34*100+1,tblVideos[Cal Key],0),"")</f>
        <v/>
      </c>
      <c r="L35">
        <f>IF(T34&gt;=1,MATCH(L34*100+1,tblVideos[Cal Key],0),"")</f>
        <v/>
      </c>
      <c r="M35">
        <f>IF(U34&gt;=1,MATCH(M34*100+1,tblVideos[Cal Key],0),"")</f>
        <v/>
      </c>
      <c r="N35">
        <f>IF(V34&gt;=1,MATCH(N34*100+1,tblVideos[Cal Key],0),"")</f>
        <v/>
      </c>
      <c r="O35">
        <f>IF(W34&gt;=1,MATCH(O34*100+1,tblVideos[Cal Key],0),"")</f>
        <v/>
      </c>
      <c r="P35">
        <f>IF(X34&gt;=1,MATCH(P34*100+1,tblVideos[Cal Key],0),"")</f>
        <v/>
      </c>
      <c r="Q35">
        <f>IF(Y34&gt;=1,MATCH(Q34*100+1,tblVideos[Cal Key],0),"")</f>
        <v/>
      </c>
      <c r="S35">
        <f>IF(K35="","",IFERROR(MATCH(INDEX(tblVideos[Channel ID],K35),tblChannels[Channel ID],0),""))</f>
        <v/>
      </c>
      <c r="T35">
        <f>IF(L35="","",IFERROR(MATCH(INDEX(tblVideos[Channel ID],L35),tblChannels[Channel ID],0),""))</f>
        <v/>
      </c>
      <c r="U35">
        <f>IF(M35="","",IFERROR(MATCH(INDEX(tblVideos[Channel ID],M35),tblChannels[Channel ID],0),""))</f>
        <v/>
      </c>
      <c r="V35">
        <f>IF(N35="","",IFERROR(MATCH(INDEX(tblVideos[Channel ID],N35),tblChannels[Channel ID],0),""))</f>
        <v/>
      </c>
      <c r="W35">
        <f>IF(O35="","",IFERROR(MATCH(INDEX(tblVideos[Channel ID],O35),tblChannels[Channel ID],0),""))</f>
        <v/>
      </c>
      <c r="X35">
        <f>IF(P35="","",IFERROR(MATCH(INDEX(tblVideos[Channel ID],P35),tblChannels[Channel ID],0),""))</f>
        <v/>
      </c>
      <c r="Y35">
        <f>IF(Q35="","",IFERROR(MATCH(INDEX(tblVideos[Channel ID],Q35),tblChannels[Channel ID],0),""))</f>
        <v/>
      </c>
    </row>
    <row r="36">
      <c r="B36" s="70">
        <f>IF(K36="","",IF(INDEX(tblVideos[Video ID],K36)="",IF(INDEX(tblVideos[Status],K36)="Watched","✓ ","▸ ")&amp;INDEX(tblVideos[Title],K36),HYPERLINK("https://www.youtube.com/watch?v="&amp;INDEX(tblVideos[Video ID],K36),IF(INDEX(tblVideos[Status],K36)="Watched","✓ ","▸ ")&amp;INDEX(tblVideos[Title],K36))))</f>
        <v/>
      </c>
      <c r="C36" s="70">
        <f>IF(L36="","",IF(INDEX(tblVideos[Video ID],L36)="",IF(INDEX(tblVideos[Status],L36)="Watched","✓ ","▸ ")&amp;INDEX(tblVideos[Title],L36),HYPERLINK("https://www.youtube.com/watch?v="&amp;INDEX(tblVideos[Video ID],L36),IF(INDEX(tblVideos[Status],L36)="Watched","✓ ","▸ ")&amp;INDEX(tblVideos[Title],L36))))</f>
        <v/>
      </c>
      <c r="D36" s="70">
        <f>IF(M36="","",IF(INDEX(tblVideos[Video ID],M36)="",IF(INDEX(tblVideos[Status],M36)="Watched","✓ ","▸ ")&amp;INDEX(tblVideos[Title],M36),HYPERLINK("https://www.youtube.com/watch?v="&amp;INDEX(tblVideos[Video ID],M36),IF(INDEX(tblVideos[Status],M36)="Watched","✓ ","▸ ")&amp;INDEX(tblVideos[Title],M36))))</f>
        <v/>
      </c>
      <c r="E36" s="70">
        <f>IF(N36="","",IF(INDEX(tblVideos[Video ID],N36)="",IF(INDEX(tblVideos[Status],N36)="Watched","✓ ","▸ ")&amp;INDEX(tblVideos[Title],N36),HYPERLINK("https://www.youtube.com/watch?v="&amp;INDEX(tblVideos[Video ID],N36),IF(INDEX(tblVideos[Status],N36)="Watched","✓ ","▸ ")&amp;INDEX(tblVideos[Title],N36))))</f>
        <v/>
      </c>
      <c r="F36" s="70">
        <f>IF(O36="","",IF(INDEX(tblVideos[Video ID],O36)="",IF(INDEX(tblVideos[Status],O36)="Watched","✓ ","▸ ")&amp;INDEX(tblVideos[Title],O36),HYPERLINK("https://www.youtube.com/watch?v="&amp;INDEX(tblVideos[Video ID],O36),IF(INDEX(tblVideos[Status],O36)="Watched","✓ ","▸ ")&amp;INDEX(tblVideos[Title],O36))))</f>
        <v/>
      </c>
      <c r="G36" s="70">
        <f>IF(P36="","",IF(INDEX(tblVideos[Video ID],P36)="",IF(INDEX(tblVideos[Status],P36)="Watched","✓ ","▸ ")&amp;INDEX(tblVideos[Title],P36),HYPERLINK("https://www.youtube.com/watch?v="&amp;INDEX(tblVideos[Video ID],P36),IF(INDEX(tblVideos[Status],P36)="Watched","✓ ","▸ ")&amp;INDEX(tblVideos[Title],P36))))</f>
        <v/>
      </c>
      <c r="H36" s="70">
        <f>IF(Q36="","",IF(INDEX(tblVideos[Video ID],Q36)="",IF(INDEX(tblVideos[Status],Q36)="Watched","✓ ","▸ ")&amp;INDEX(tblVideos[Title],Q36),HYPERLINK("https://www.youtube.com/watch?v="&amp;INDEX(tblVideos[Video ID],Q36),IF(INDEX(tblVideos[Status],Q36)="Watched","✓ ","▸ ")&amp;INDEX(tblVideos[Title],Q36))))</f>
        <v/>
      </c>
      <c r="K36">
        <f>IF(S34&gt;=2,MATCH(K34*100+2,tblVideos[Cal Key],0),"")</f>
        <v/>
      </c>
      <c r="L36">
        <f>IF(T34&gt;=2,MATCH(L34*100+2,tblVideos[Cal Key],0),"")</f>
        <v/>
      </c>
      <c r="M36">
        <f>IF(U34&gt;=2,MATCH(M34*100+2,tblVideos[Cal Key],0),"")</f>
        <v/>
      </c>
      <c r="N36">
        <f>IF(V34&gt;=2,MATCH(N34*100+2,tblVideos[Cal Key],0),"")</f>
        <v/>
      </c>
      <c r="O36">
        <f>IF(W34&gt;=2,MATCH(O34*100+2,tblVideos[Cal Key],0),"")</f>
        <v/>
      </c>
      <c r="P36">
        <f>IF(X34&gt;=2,MATCH(P34*100+2,tblVideos[Cal Key],0),"")</f>
        <v/>
      </c>
      <c r="Q36">
        <f>IF(Y34&gt;=2,MATCH(Q34*100+2,tblVideos[Cal Key],0),"")</f>
        <v/>
      </c>
      <c r="S36">
        <f>IF(K36="","",IFERROR(MATCH(INDEX(tblVideos[Channel ID],K36),tblChannels[Channel ID],0),""))</f>
        <v/>
      </c>
      <c r="T36">
        <f>IF(L36="","",IFERROR(MATCH(INDEX(tblVideos[Channel ID],L36),tblChannels[Channel ID],0),""))</f>
        <v/>
      </c>
      <c r="U36">
        <f>IF(M36="","",IFERROR(MATCH(INDEX(tblVideos[Channel ID],M36),tblChannels[Channel ID],0),""))</f>
        <v/>
      </c>
      <c r="V36">
        <f>IF(N36="","",IFERROR(MATCH(INDEX(tblVideos[Channel ID],N36),tblChannels[Channel ID],0),""))</f>
        <v/>
      </c>
      <c r="W36">
        <f>IF(O36="","",IFERROR(MATCH(INDEX(tblVideos[Channel ID],O36),tblChannels[Channel ID],0),""))</f>
        <v/>
      </c>
      <c r="X36">
        <f>IF(P36="","",IFERROR(MATCH(INDEX(tblVideos[Channel ID],P36),tblChannels[Channel ID],0),""))</f>
        <v/>
      </c>
      <c r="Y36">
        <f>IF(Q36="","",IFERROR(MATCH(INDEX(tblVideos[Channel ID],Q36),tblChannels[Channel ID],0),""))</f>
        <v/>
      </c>
    </row>
    <row r="37">
      <c r="B37" s="70">
        <f>IF(K37="","",IF(INDEX(tblVideos[Video ID],K37)="",IF(INDEX(tblVideos[Status],K37)="Watched","✓ ","▸ ")&amp;INDEX(tblVideos[Title],K37),HYPERLINK("https://www.youtube.com/watch?v="&amp;INDEX(tblVideos[Video ID],K37),IF(INDEX(tblVideos[Status],K37)="Watched","✓ ","▸ ")&amp;INDEX(tblVideos[Title],K37))))</f>
        <v/>
      </c>
      <c r="C37" s="70">
        <f>IF(L37="","",IF(INDEX(tblVideos[Video ID],L37)="",IF(INDEX(tblVideos[Status],L37)="Watched","✓ ","▸ ")&amp;INDEX(tblVideos[Title],L37),HYPERLINK("https://www.youtube.com/watch?v="&amp;INDEX(tblVideos[Video ID],L37),IF(INDEX(tblVideos[Status],L37)="Watched","✓ ","▸ ")&amp;INDEX(tblVideos[Title],L37))))</f>
        <v/>
      </c>
      <c r="D37" s="70">
        <f>IF(M37="","",IF(INDEX(tblVideos[Video ID],M37)="",IF(INDEX(tblVideos[Status],M37)="Watched","✓ ","▸ ")&amp;INDEX(tblVideos[Title],M37),HYPERLINK("https://www.youtube.com/watch?v="&amp;INDEX(tblVideos[Video ID],M37),IF(INDEX(tblVideos[Status],M37)="Watched","✓ ","▸ ")&amp;INDEX(tblVideos[Title],M37))))</f>
        <v/>
      </c>
      <c r="E37" s="70">
        <f>IF(N37="","",IF(INDEX(tblVideos[Video ID],N37)="",IF(INDEX(tblVideos[Status],N37)="Watched","✓ ","▸ ")&amp;INDEX(tblVideos[Title],N37),HYPERLINK("https://www.youtube.com/watch?v="&amp;INDEX(tblVideos[Video ID],N37),IF(INDEX(tblVideos[Status],N37)="Watched","✓ ","▸ ")&amp;INDEX(tblVideos[Title],N37))))</f>
        <v/>
      </c>
      <c r="F37" s="70">
        <f>IF(O37="","",IF(INDEX(tblVideos[Video ID],O37)="",IF(INDEX(tblVideos[Status],O37)="Watched","✓ ","▸ ")&amp;INDEX(tblVideos[Title],O37),HYPERLINK("https://www.youtube.com/watch?v="&amp;INDEX(tblVideos[Video ID],O37),IF(INDEX(tblVideos[Status],O37)="Watched","✓ ","▸ ")&amp;INDEX(tblVideos[Title],O37))))</f>
        <v/>
      </c>
      <c r="G37" s="70">
        <f>IF(P37="","",IF(INDEX(tblVideos[Video ID],P37)="",IF(INDEX(tblVideos[Status],P37)="Watched","✓ ","▸ ")&amp;INDEX(tblVideos[Title],P37),HYPERLINK("https://www.youtube.com/watch?v="&amp;INDEX(tblVideos[Video ID],P37),IF(INDEX(tblVideos[Status],P37)="Watched","✓ ","▸ ")&amp;INDEX(tblVideos[Title],P37))))</f>
        <v/>
      </c>
      <c r="H37" s="70">
        <f>IF(Q37="","",IF(INDEX(tblVideos[Video ID],Q37)="",IF(INDEX(tblVideos[Status],Q37)="Watched","✓ ","▸ ")&amp;INDEX(tblVideos[Title],Q37),HYPERLINK("https://www.youtube.com/watch?v="&amp;INDEX(tblVideos[Video ID],Q37),IF(INDEX(tblVideos[Status],Q37)="Watched","✓ ","▸ ")&amp;INDEX(tblVideos[Title],Q37))))</f>
        <v/>
      </c>
      <c r="K37">
        <f>IF(S34&gt;=3,MATCH(K34*100+3,tblVideos[Cal Key],0),"")</f>
        <v/>
      </c>
      <c r="L37">
        <f>IF(T34&gt;=3,MATCH(L34*100+3,tblVideos[Cal Key],0),"")</f>
        <v/>
      </c>
      <c r="M37">
        <f>IF(U34&gt;=3,MATCH(M34*100+3,tblVideos[Cal Key],0),"")</f>
        <v/>
      </c>
      <c r="N37">
        <f>IF(V34&gt;=3,MATCH(N34*100+3,tblVideos[Cal Key],0),"")</f>
        <v/>
      </c>
      <c r="O37">
        <f>IF(W34&gt;=3,MATCH(O34*100+3,tblVideos[Cal Key],0),"")</f>
        <v/>
      </c>
      <c r="P37">
        <f>IF(X34&gt;=3,MATCH(P34*100+3,tblVideos[Cal Key],0),"")</f>
        <v/>
      </c>
      <c r="Q37">
        <f>IF(Y34&gt;=3,MATCH(Q34*100+3,tblVideos[Cal Key],0),"")</f>
        <v/>
      </c>
      <c r="S37">
        <f>IF(K37="","",IFERROR(MATCH(INDEX(tblVideos[Channel ID],K37),tblChannels[Channel ID],0),""))</f>
        <v/>
      </c>
      <c r="T37">
        <f>IF(L37="","",IFERROR(MATCH(INDEX(tblVideos[Channel ID],L37),tblChannels[Channel ID],0),""))</f>
        <v/>
      </c>
      <c r="U37">
        <f>IF(M37="","",IFERROR(MATCH(INDEX(tblVideos[Channel ID],M37),tblChannels[Channel ID],0),""))</f>
        <v/>
      </c>
      <c r="V37">
        <f>IF(N37="","",IFERROR(MATCH(INDEX(tblVideos[Channel ID],N37),tblChannels[Channel ID],0),""))</f>
        <v/>
      </c>
      <c r="W37">
        <f>IF(O37="","",IFERROR(MATCH(INDEX(tblVideos[Channel ID],O37),tblChannels[Channel ID],0),""))</f>
        <v/>
      </c>
      <c r="X37">
        <f>IF(P37="","",IFERROR(MATCH(INDEX(tblVideos[Channel ID],P37),tblChannels[Channel ID],0),""))</f>
        <v/>
      </c>
      <c r="Y37">
        <f>IF(Q37="","",IFERROR(MATCH(INDEX(tblVideos[Channel ID],Q37),tblChannels[Channel ID],0),""))</f>
        <v/>
      </c>
    </row>
    <row r="38">
      <c r="B38" s="70">
        <f>IF(K38="","",IF(INDEX(tblVideos[Video ID],K38)="",IF(INDEX(tblVideos[Status],K38)="Watched","✓ ","▸ ")&amp;INDEX(tblVideos[Title],K38),HYPERLINK("https://www.youtube.com/watch?v="&amp;INDEX(tblVideos[Video ID],K38),IF(INDEX(tblVideos[Status],K38)="Watched","✓ ","▸ ")&amp;INDEX(tblVideos[Title],K38))))</f>
        <v/>
      </c>
      <c r="C38" s="70">
        <f>IF(L38="","",IF(INDEX(tblVideos[Video ID],L38)="",IF(INDEX(tblVideos[Status],L38)="Watched","✓ ","▸ ")&amp;INDEX(tblVideos[Title],L38),HYPERLINK("https://www.youtube.com/watch?v="&amp;INDEX(tblVideos[Video ID],L38),IF(INDEX(tblVideos[Status],L38)="Watched","✓ ","▸ ")&amp;INDEX(tblVideos[Title],L38))))</f>
        <v/>
      </c>
      <c r="D38" s="70">
        <f>IF(M38="","",IF(INDEX(tblVideos[Video ID],M38)="",IF(INDEX(tblVideos[Status],M38)="Watched","✓ ","▸ ")&amp;INDEX(tblVideos[Title],M38),HYPERLINK("https://www.youtube.com/watch?v="&amp;INDEX(tblVideos[Video ID],M38),IF(INDEX(tblVideos[Status],M38)="Watched","✓ ","▸ ")&amp;INDEX(tblVideos[Title],M38))))</f>
        <v/>
      </c>
      <c r="E38" s="70">
        <f>IF(N38="","",IF(INDEX(tblVideos[Video ID],N38)="",IF(INDEX(tblVideos[Status],N38)="Watched","✓ ","▸ ")&amp;INDEX(tblVideos[Title],N38),HYPERLINK("https://www.youtube.com/watch?v="&amp;INDEX(tblVideos[Video ID],N38),IF(INDEX(tblVideos[Status],N38)="Watched","✓ ","▸ ")&amp;INDEX(tblVideos[Title],N38))))</f>
        <v/>
      </c>
      <c r="F38" s="70">
        <f>IF(O38="","",IF(INDEX(tblVideos[Video ID],O38)="",IF(INDEX(tblVideos[Status],O38)="Watched","✓ ","▸ ")&amp;INDEX(tblVideos[Title],O38),HYPERLINK("https://www.youtube.com/watch?v="&amp;INDEX(tblVideos[Video ID],O38),IF(INDEX(tblVideos[Status],O38)="Watched","✓ ","▸ ")&amp;INDEX(tblVideos[Title],O38))))</f>
        <v/>
      </c>
      <c r="G38" s="70">
        <f>IF(P38="","",IF(INDEX(tblVideos[Video ID],P38)="",IF(INDEX(tblVideos[Status],P38)="Watched","✓ ","▸ ")&amp;INDEX(tblVideos[Title],P38),HYPERLINK("https://www.youtube.com/watch?v="&amp;INDEX(tblVideos[Video ID],P38),IF(INDEX(tblVideos[Status],P38)="Watched","✓ ","▸ ")&amp;INDEX(tblVideos[Title],P38))))</f>
        <v/>
      </c>
      <c r="H38" s="70">
        <f>IF(Q38="","",IF(INDEX(tblVideos[Video ID],Q38)="",IF(INDEX(tblVideos[Status],Q38)="Watched","✓ ","▸ ")&amp;INDEX(tblVideos[Title],Q38),HYPERLINK("https://www.youtube.com/watch?v="&amp;INDEX(tblVideos[Video ID],Q38),IF(INDEX(tblVideos[Status],Q38)="Watched","✓ ","▸ ")&amp;INDEX(tblVideos[Title],Q38))))</f>
        <v/>
      </c>
      <c r="K38">
        <f>IF(S34&gt;=4,MATCH(K34*100+4,tblVideos[Cal Key],0),"")</f>
        <v/>
      </c>
      <c r="L38">
        <f>IF(T34&gt;=4,MATCH(L34*100+4,tblVideos[Cal Key],0),"")</f>
        <v/>
      </c>
      <c r="M38">
        <f>IF(U34&gt;=4,MATCH(M34*100+4,tblVideos[Cal Key],0),"")</f>
        <v/>
      </c>
      <c r="N38">
        <f>IF(V34&gt;=4,MATCH(N34*100+4,tblVideos[Cal Key],0),"")</f>
        <v/>
      </c>
      <c r="O38">
        <f>IF(W34&gt;=4,MATCH(O34*100+4,tblVideos[Cal Key],0),"")</f>
        <v/>
      </c>
      <c r="P38">
        <f>IF(X34&gt;=4,MATCH(P34*100+4,tblVideos[Cal Key],0),"")</f>
        <v/>
      </c>
      <c r="Q38">
        <f>IF(Y34&gt;=4,MATCH(Q34*100+4,tblVideos[Cal Key],0),"")</f>
        <v/>
      </c>
      <c r="S38">
        <f>IF(K38="","",IFERROR(MATCH(INDEX(tblVideos[Channel ID],K38),tblChannels[Channel ID],0),""))</f>
        <v/>
      </c>
      <c r="T38">
        <f>IF(L38="","",IFERROR(MATCH(INDEX(tblVideos[Channel ID],L38),tblChannels[Channel ID],0),""))</f>
        <v/>
      </c>
      <c r="U38">
        <f>IF(M38="","",IFERROR(MATCH(INDEX(tblVideos[Channel ID],M38),tblChannels[Channel ID],0),""))</f>
        <v/>
      </c>
      <c r="V38">
        <f>IF(N38="","",IFERROR(MATCH(INDEX(tblVideos[Channel ID],N38),tblChannels[Channel ID],0),""))</f>
        <v/>
      </c>
      <c r="W38">
        <f>IF(O38="","",IFERROR(MATCH(INDEX(tblVideos[Channel ID],O38),tblChannels[Channel ID],0),""))</f>
        <v/>
      </c>
      <c r="X38">
        <f>IF(P38="","",IFERROR(MATCH(INDEX(tblVideos[Channel ID],P38),tblChannels[Channel ID],0),""))</f>
        <v/>
      </c>
      <c r="Y38">
        <f>IF(Q38="","",IFERROR(MATCH(INDEX(tblVideos[Channel ID],Q38),tblChannels[Channel ID],0),""))</f>
        <v/>
      </c>
    </row>
    <row r="39">
      <c r="B39" s="70">
        <f>IF(K39="","",IF(INDEX(tblVideos[Video ID],K39)="",IF(INDEX(tblVideos[Status],K39)="Watched","✓ ","▸ ")&amp;INDEX(tblVideos[Title],K39),HYPERLINK("https://www.youtube.com/watch?v="&amp;INDEX(tblVideos[Video ID],K39),IF(INDEX(tblVideos[Status],K39)="Watched","✓ ","▸ ")&amp;INDEX(tblVideos[Title],K39))))</f>
        <v/>
      </c>
      <c r="C39" s="70">
        <f>IF(L39="","",IF(INDEX(tblVideos[Video ID],L39)="",IF(INDEX(tblVideos[Status],L39)="Watched","✓ ","▸ ")&amp;INDEX(tblVideos[Title],L39),HYPERLINK("https://www.youtube.com/watch?v="&amp;INDEX(tblVideos[Video ID],L39),IF(INDEX(tblVideos[Status],L39)="Watched","✓ ","▸ ")&amp;INDEX(tblVideos[Title],L39))))</f>
        <v/>
      </c>
      <c r="D39" s="70">
        <f>IF(M39="","",IF(INDEX(tblVideos[Video ID],M39)="",IF(INDEX(tblVideos[Status],M39)="Watched","✓ ","▸ ")&amp;INDEX(tblVideos[Title],M39),HYPERLINK("https://www.youtube.com/watch?v="&amp;INDEX(tblVideos[Video ID],M39),IF(INDEX(tblVideos[Status],M39)="Watched","✓ ","▸ ")&amp;INDEX(tblVideos[Title],M39))))</f>
        <v/>
      </c>
      <c r="E39" s="70">
        <f>IF(N39="","",IF(INDEX(tblVideos[Video ID],N39)="",IF(INDEX(tblVideos[Status],N39)="Watched","✓ ","▸ ")&amp;INDEX(tblVideos[Title],N39),HYPERLINK("https://www.youtube.com/watch?v="&amp;INDEX(tblVideos[Video ID],N39),IF(INDEX(tblVideos[Status],N39)="Watched","✓ ","▸ ")&amp;INDEX(tblVideos[Title],N39))))</f>
        <v/>
      </c>
      <c r="F39" s="70">
        <f>IF(O39="","",IF(INDEX(tblVideos[Video ID],O39)="",IF(INDEX(tblVideos[Status],O39)="Watched","✓ ","▸ ")&amp;INDEX(tblVideos[Title],O39),HYPERLINK("https://www.youtube.com/watch?v="&amp;INDEX(tblVideos[Video ID],O39),IF(INDEX(tblVideos[Status],O39)="Watched","✓ ","▸ ")&amp;INDEX(tblVideos[Title],O39))))</f>
        <v/>
      </c>
      <c r="G39" s="70">
        <f>IF(P39="","",IF(INDEX(tblVideos[Video ID],P39)="",IF(INDEX(tblVideos[Status],P39)="Watched","✓ ","▸ ")&amp;INDEX(tblVideos[Title],P39),HYPERLINK("https://www.youtube.com/watch?v="&amp;INDEX(tblVideos[Video ID],P39),IF(INDEX(tblVideos[Status],P39)="Watched","✓ ","▸ ")&amp;INDEX(tblVideos[Title],P39))))</f>
        <v/>
      </c>
      <c r="H39" s="70">
        <f>IF(Q39="","",IF(INDEX(tblVideos[Video ID],Q39)="",IF(INDEX(tblVideos[Status],Q39)="Watched","✓ ","▸ ")&amp;INDEX(tblVideos[Title],Q39),HYPERLINK("https://www.youtube.com/watch?v="&amp;INDEX(tblVideos[Video ID],Q39),IF(INDEX(tblVideos[Status],Q39)="Watched","✓ ","▸ ")&amp;INDEX(tblVideos[Title],Q39))))</f>
        <v/>
      </c>
      <c r="K39">
        <f>IF(S34&gt;=5,MATCH(K34*100+5,tblVideos[Cal Key],0),"")</f>
        <v/>
      </c>
      <c r="L39">
        <f>IF(T34&gt;=5,MATCH(L34*100+5,tblVideos[Cal Key],0),"")</f>
        <v/>
      </c>
      <c r="M39">
        <f>IF(U34&gt;=5,MATCH(M34*100+5,tblVideos[Cal Key],0),"")</f>
        <v/>
      </c>
      <c r="N39">
        <f>IF(V34&gt;=5,MATCH(N34*100+5,tblVideos[Cal Key],0),"")</f>
        <v/>
      </c>
      <c r="O39">
        <f>IF(W34&gt;=5,MATCH(O34*100+5,tblVideos[Cal Key],0),"")</f>
        <v/>
      </c>
      <c r="P39">
        <f>IF(X34&gt;=5,MATCH(P34*100+5,tblVideos[Cal Key],0),"")</f>
        <v/>
      </c>
      <c r="Q39">
        <f>IF(Y34&gt;=5,MATCH(Q34*100+5,tblVideos[Cal Key],0),"")</f>
        <v/>
      </c>
      <c r="S39">
        <f>IF(K39="","",IFERROR(MATCH(INDEX(tblVideos[Channel ID],K39),tblChannels[Channel ID],0),""))</f>
        <v/>
      </c>
      <c r="T39">
        <f>IF(L39="","",IFERROR(MATCH(INDEX(tblVideos[Channel ID],L39),tblChannels[Channel ID],0),""))</f>
        <v/>
      </c>
      <c r="U39">
        <f>IF(M39="","",IFERROR(MATCH(INDEX(tblVideos[Channel ID],M39),tblChannels[Channel ID],0),""))</f>
        <v/>
      </c>
      <c r="V39">
        <f>IF(N39="","",IFERROR(MATCH(INDEX(tblVideos[Channel ID],N39),tblChannels[Channel ID],0),""))</f>
        <v/>
      </c>
      <c r="W39">
        <f>IF(O39="","",IFERROR(MATCH(INDEX(tblVideos[Channel ID],O39),tblChannels[Channel ID],0),""))</f>
        <v/>
      </c>
      <c r="X39">
        <f>IF(P39="","",IFERROR(MATCH(INDEX(tblVideos[Channel ID],P39),tblChannels[Channel ID],0),""))</f>
        <v/>
      </c>
      <c r="Y39">
        <f>IF(Q39="","",IFERROR(MATCH(INDEX(tblVideos[Channel ID],Q39),tblChannels[Channel ID],0),""))</f>
        <v/>
      </c>
    </row>
    <row r="40" ht="18" customHeight="1">
      <c r="B40" s="69">
        <f>IF(MONTH(K40)=MONTH($K$2),DAY(K40)&amp;IF(S40&gt;0,"   ·   "&amp;S40&amp;IF(S40=1," video"," videos")&amp;"   ·   "&amp;IF(ROUND((AA40)*1440,0)&lt;60,ROUND((AA40)*1440,0)&amp;" m",IF(MOD(ROUND((AA40)*1440,0),60)=0,INT(ROUND((AA40)*1440,0)/60)&amp;" h",INT(ROUND((AA40)*1440,0)/60)&amp;" h "&amp;MOD(ROUND((AA40)*1440,0),60)&amp;" m"))&amp;IF(S40&gt;5,"   (+"&amp;(S40-5)&amp;" more)",""),""),"")</f>
        <v/>
      </c>
      <c r="C40" s="69">
        <f>IF(MONTH(L40)=MONTH($K$2),DAY(L40)&amp;IF(T40&gt;0,"   ·   "&amp;T40&amp;IF(T40=1," video"," videos")&amp;"   ·   "&amp;IF(ROUND((AB40)*1440,0)&lt;60,ROUND((AB40)*1440,0)&amp;" m",IF(MOD(ROUND((AB40)*1440,0),60)=0,INT(ROUND((AB40)*1440,0)/60)&amp;" h",INT(ROUND((AB40)*1440,0)/60)&amp;" h "&amp;MOD(ROUND((AB40)*1440,0),60)&amp;" m"))&amp;IF(T40&gt;5,"   (+"&amp;(T40-5)&amp;" more)",""),""),"")</f>
        <v/>
      </c>
      <c r="D40" s="69">
        <f>IF(MONTH(M40)=MONTH($K$2),DAY(M40)&amp;IF(U40&gt;0,"   ·   "&amp;U40&amp;IF(U40=1," video"," videos")&amp;"   ·   "&amp;IF(ROUND((AC40)*1440,0)&lt;60,ROUND((AC40)*1440,0)&amp;" m",IF(MOD(ROUND((AC40)*1440,0),60)=0,INT(ROUND((AC40)*1440,0)/60)&amp;" h",INT(ROUND((AC40)*1440,0)/60)&amp;" h "&amp;MOD(ROUND((AC40)*1440,0),60)&amp;" m"))&amp;IF(U40&gt;5,"   (+"&amp;(U40-5)&amp;" more)",""),""),"")</f>
        <v/>
      </c>
      <c r="E40" s="69">
        <f>IF(MONTH(N40)=MONTH($K$2),DAY(N40)&amp;IF(V40&gt;0,"   ·   "&amp;V40&amp;IF(V40=1," video"," videos")&amp;"   ·   "&amp;IF(ROUND((AD40)*1440,0)&lt;60,ROUND((AD40)*1440,0)&amp;" m",IF(MOD(ROUND((AD40)*1440,0),60)=0,INT(ROUND((AD40)*1440,0)/60)&amp;" h",INT(ROUND((AD40)*1440,0)/60)&amp;" h "&amp;MOD(ROUND((AD40)*1440,0),60)&amp;" m"))&amp;IF(V40&gt;5,"   (+"&amp;(V40-5)&amp;" more)",""),""),"")</f>
        <v/>
      </c>
      <c r="F40" s="69">
        <f>IF(MONTH(O40)=MONTH($K$2),DAY(O40)&amp;IF(W40&gt;0,"   ·   "&amp;W40&amp;IF(W40=1," video"," videos")&amp;"   ·   "&amp;IF(ROUND((AE40)*1440,0)&lt;60,ROUND((AE40)*1440,0)&amp;" m",IF(MOD(ROUND((AE40)*1440,0),60)=0,INT(ROUND((AE40)*1440,0)/60)&amp;" h",INT(ROUND((AE40)*1440,0)/60)&amp;" h "&amp;MOD(ROUND((AE40)*1440,0),60)&amp;" m"))&amp;IF(W40&gt;5,"   (+"&amp;(W40-5)&amp;" more)",""),""),"")</f>
        <v/>
      </c>
      <c r="G40" s="69">
        <f>IF(MONTH(P40)=MONTH($K$2),DAY(P40)&amp;IF(X40&gt;0,"   ·   "&amp;X40&amp;IF(X40=1," video"," videos")&amp;"   ·   "&amp;IF(ROUND((AF40)*1440,0)&lt;60,ROUND((AF40)*1440,0)&amp;" m",IF(MOD(ROUND((AF40)*1440,0),60)=0,INT(ROUND((AF40)*1440,0)/60)&amp;" h",INT(ROUND((AF40)*1440,0)/60)&amp;" h "&amp;MOD(ROUND((AF40)*1440,0),60)&amp;" m"))&amp;IF(X40&gt;5,"   (+"&amp;(X40-5)&amp;" more)",""),""),"")</f>
        <v/>
      </c>
      <c r="H40" s="69">
        <f>IF(MONTH(Q40)=MONTH($K$2),DAY(Q40)&amp;IF(Y40&gt;0,"   ·   "&amp;Y40&amp;IF(Y40=1," video"," videos")&amp;"   ·   "&amp;IF(ROUND((AG40)*1440,0)&lt;60,ROUND((AG40)*1440,0)&amp;" m",IF(MOD(ROUND((AG40)*1440,0),60)=0,INT(ROUND((AG40)*1440,0)/60)&amp;" h",INT(ROUND((AG40)*1440,0)/60)&amp;" h "&amp;MOD(ROUND((AG40)*1440,0),60)&amp;" m"))&amp;IF(Y40&gt;5,"   (+"&amp;(Y40-5)&amp;" more)",""),""),"")</f>
        <v/>
      </c>
      <c r="K40" s="59">
        <f>$K$3+35</f>
        <v/>
      </c>
      <c r="L40" s="59">
        <f>$K$3+36</f>
        <v/>
      </c>
      <c r="M40" s="59">
        <f>$K$3+37</f>
        <v/>
      </c>
      <c r="N40" s="59">
        <f>$K$3+38</f>
        <v/>
      </c>
      <c r="O40" s="59">
        <f>$K$3+39</f>
        <v/>
      </c>
      <c r="P40" s="59">
        <f>$K$3+40</f>
        <v/>
      </c>
      <c r="Q40" s="59">
        <f>$K$3+41</f>
        <v/>
      </c>
      <c r="S40">
        <f>IF(MONTH(K40)=MONTH($K$2),COUNTIFS(tblVideos[Day],K40,tblVideos[Channel ID],$K$4),0)</f>
        <v/>
      </c>
      <c r="T40">
        <f>IF(MONTH(L40)=MONTH($K$2),COUNTIFS(tblVideos[Day],L40,tblVideos[Channel ID],$K$4),0)</f>
        <v/>
      </c>
      <c r="U40">
        <f>IF(MONTH(M40)=MONTH($K$2),COUNTIFS(tblVideos[Day],M40,tblVideos[Channel ID],$K$4),0)</f>
        <v/>
      </c>
      <c r="V40">
        <f>IF(MONTH(N40)=MONTH($K$2),COUNTIFS(tblVideos[Day],N40,tblVideos[Channel ID],$K$4),0)</f>
        <v/>
      </c>
      <c r="W40">
        <f>IF(MONTH(O40)=MONTH($K$2),COUNTIFS(tblVideos[Day],O40,tblVideos[Channel ID],$K$4),0)</f>
        <v/>
      </c>
      <c r="X40">
        <f>IF(MONTH(P40)=MONTH($K$2),COUNTIFS(tblVideos[Day],P40,tblVideos[Channel ID],$K$4),0)</f>
        <v/>
      </c>
      <c r="Y40">
        <f>IF(MONTH(Q40)=MONTH($K$2),COUNTIFS(tblVideos[Day],Q40,tblVideos[Channel ID],$K$4),0)</f>
        <v/>
      </c>
      <c r="AA40">
        <f>IF(S40&gt;0,SUMIFS(tblVideos[Length],tblVideos[Day],K40,tblVideos[Channel ID],$K$4),0)</f>
        <v/>
      </c>
      <c r="AB40">
        <f>IF(T40&gt;0,SUMIFS(tblVideos[Length],tblVideos[Day],L40,tblVideos[Channel ID],$K$4),0)</f>
        <v/>
      </c>
      <c r="AC40">
        <f>IF(U40&gt;0,SUMIFS(tblVideos[Length],tblVideos[Day],M40,tblVideos[Channel ID],$K$4),0)</f>
        <v/>
      </c>
      <c r="AD40">
        <f>IF(V40&gt;0,SUMIFS(tblVideos[Length],tblVideos[Day],N40,tblVideos[Channel ID],$K$4),0)</f>
        <v/>
      </c>
      <c r="AE40">
        <f>IF(W40&gt;0,SUMIFS(tblVideos[Length],tblVideos[Day],O40,tblVideos[Channel ID],$K$4),0)</f>
        <v/>
      </c>
      <c r="AF40">
        <f>IF(X40&gt;0,SUMIFS(tblVideos[Length],tblVideos[Day],P40,tblVideos[Channel ID],$K$4),0)</f>
        <v/>
      </c>
      <c r="AG40">
        <f>IF(Y40&gt;0,SUMIFS(tblVideos[Length],tblVideos[Day],Q40,tblVideos[Channel ID],$K$4),0)</f>
        <v/>
      </c>
    </row>
    <row r="41">
      <c r="B41" s="70">
        <f>IF(K41="","",IF(INDEX(tblVideos[Video ID],K41)="",IF(INDEX(tblVideos[Status],K41)="Watched","✓ ","▸ ")&amp;INDEX(tblVideos[Title],K41),HYPERLINK("https://www.youtube.com/watch?v="&amp;INDEX(tblVideos[Video ID],K41),IF(INDEX(tblVideos[Status],K41)="Watched","✓ ","▸ ")&amp;INDEX(tblVideos[Title],K41))))</f>
        <v/>
      </c>
      <c r="C41" s="70">
        <f>IF(L41="","",IF(INDEX(tblVideos[Video ID],L41)="",IF(INDEX(tblVideos[Status],L41)="Watched","✓ ","▸ ")&amp;INDEX(tblVideos[Title],L41),HYPERLINK("https://www.youtube.com/watch?v="&amp;INDEX(tblVideos[Video ID],L41),IF(INDEX(tblVideos[Status],L41)="Watched","✓ ","▸ ")&amp;INDEX(tblVideos[Title],L41))))</f>
        <v/>
      </c>
      <c r="D41" s="70">
        <f>IF(M41="","",IF(INDEX(tblVideos[Video ID],M41)="",IF(INDEX(tblVideos[Status],M41)="Watched","✓ ","▸ ")&amp;INDEX(tblVideos[Title],M41),HYPERLINK("https://www.youtube.com/watch?v="&amp;INDEX(tblVideos[Video ID],M41),IF(INDEX(tblVideos[Status],M41)="Watched","✓ ","▸ ")&amp;INDEX(tblVideos[Title],M41))))</f>
        <v/>
      </c>
      <c r="E41" s="70">
        <f>IF(N41="","",IF(INDEX(tblVideos[Video ID],N41)="",IF(INDEX(tblVideos[Status],N41)="Watched","✓ ","▸ ")&amp;INDEX(tblVideos[Title],N41),HYPERLINK("https://www.youtube.com/watch?v="&amp;INDEX(tblVideos[Video ID],N41),IF(INDEX(tblVideos[Status],N41)="Watched","✓ ","▸ ")&amp;INDEX(tblVideos[Title],N41))))</f>
        <v/>
      </c>
      <c r="F41" s="70">
        <f>IF(O41="","",IF(INDEX(tblVideos[Video ID],O41)="",IF(INDEX(tblVideos[Status],O41)="Watched","✓ ","▸ ")&amp;INDEX(tblVideos[Title],O41),HYPERLINK("https://www.youtube.com/watch?v="&amp;INDEX(tblVideos[Video ID],O41),IF(INDEX(tblVideos[Status],O41)="Watched","✓ ","▸ ")&amp;INDEX(tblVideos[Title],O41))))</f>
        <v/>
      </c>
      <c r="G41" s="70">
        <f>IF(P41="","",IF(INDEX(tblVideos[Video ID],P41)="",IF(INDEX(tblVideos[Status],P41)="Watched","✓ ","▸ ")&amp;INDEX(tblVideos[Title],P41),HYPERLINK("https://www.youtube.com/watch?v="&amp;INDEX(tblVideos[Video ID],P41),IF(INDEX(tblVideos[Status],P41)="Watched","✓ ","▸ ")&amp;INDEX(tblVideos[Title],P41))))</f>
        <v/>
      </c>
      <c r="H41" s="70">
        <f>IF(Q41="","",IF(INDEX(tblVideos[Video ID],Q41)="",IF(INDEX(tblVideos[Status],Q41)="Watched","✓ ","▸ ")&amp;INDEX(tblVideos[Title],Q41),HYPERLINK("https://www.youtube.com/watch?v="&amp;INDEX(tblVideos[Video ID],Q41),IF(INDEX(tblVideos[Status],Q41)="Watched","✓ ","▸ ")&amp;INDEX(tblVideos[Title],Q41))))</f>
        <v/>
      </c>
      <c r="K41">
        <f>IF(S40&gt;=1,MATCH(K40*100+1,tblVideos[Cal Key],0),"")</f>
        <v/>
      </c>
      <c r="L41">
        <f>IF(T40&gt;=1,MATCH(L40*100+1,tblVideos[Cal Key],0),"")</f>
        <v/>
      </c>
      <c r="M41">
        <f>IF(U40&gt;=1,MATCH(M40*100+1,tblVideos[Cal Key],0),"")</f>
        <v/>
      </c>
      <c r="N41">
        <f>IF(V40&gt;=1,MATCH(N40*100+1,tblVideos[Cal Key],0),"")</f>
        <v/>
      </c>
      <c r="O41">
        <f>IF(W40&gt;=1,MATCH(O40*100+1,tblVideos[Cal Key],0),"")</f>
        <v/>
      </c>
      <c r="P41">
        <f>IF(X40&gt;=1,MATCH(P40*100+1,tblVideos[Cal Key],0),"")</f>
        <v/>
      </c>
      <c r="Q41">
        <f>IF(Y40&gt;=1,MATCH(Q40*100+1,tblVideos[Cal Key],0),"")</f>
        <v/>
      </c>
      <c r="S41">
        <f>IF(K41="","",IFERROR(MATCH(INDEX(tblVideos[Channel ID],K41),tblChannels[Channel ID],0),""))</f>
        <v/>
      </c>
      <c r="T41">
        <f>IF(L41="","",IFERROR(MATCH(INDEX(tblVideos[Channel ID],L41),tblChannels[Channel ID],0),""))</f>
        <v/>
      </c>
      <c r="U41">
        <f>IF(M41="","",IFERROR(MATCH(INDEX(tblVideos[Channel ID],M41),tblChannels[Channel ID],0),""))</f>
        <v/>
      </c>
      <c r="V41">
        <f>IF(N41="","",IFERROR(MATCH(INDEX(tblVideos[Channel ID],N41),tblChannels[Channel ID],0),""))</f>
        <v/>
      </c>
      <c r="W41">
        <f>IF(O41="","",IFERROR(MATCH(INDEX(tblVideos[Channel ID],O41),tblChannels[Channel ID],0),""))</f>
        <v/>
      </c>
      <c r="X41">
        <f>IF(P41="","",IFERROR(MATCH(INDEX(tblVideos[Channel ID],P41),tblChannels[Channel ID],0),""))</f>
        <v/>
      </c>
      <c r="Y41">
        <f>IF(Q41="","",IFERROR(MATCH(INDEX(tblVideos[Channel ID],Q41),tblChannels[Channel ID],0),""))</f>
        <v/>
      </c>
    </row>
    <row r="42">
      <c r="B42" s="70">
        <f>IF(K42="","",IF(INDEX(tblVideos[Video ID],K42)="",IF(INDEX(tblVideos[Status],K42)="Watched","✓ ","▸ ")&amp;INDEX(tblVideos[Title],K42),HYPERLINK("https://www.youtube.com/watch?v="&amp;INDEX(tblVideos[Video ID],K42),IF(INDEX(tblVideos[Status],K42)="Watched","✓ ","▸ ")&amp;INDEX(tblVideos[Title],K42))))</f>
        <v/>
      </c>
      <c r="C42" s="70">
        <f>IF(L42="","",IF(INDEX(tblVideos[Video ID],L42)="",IF(INDEX(tblVideos[Status],L42)="Watched","✓ ","▸ ")&amp;INDEX(tblVideos[Title],L42),HYPERLINK("https://www.youtube.com/watch?v="&amp;INDEX(tblVideos[Video ID],L42),IF(INDEX(tblVideos[Status],L42)="Watched","✓ ","▸ ")&amp;INDEX(tblVideos[Title],L42))))</f>
        <v/>
      </c>
      <c r="D42" s="70">
        <f>IF(M42="","",IF(INDEX(tblVideos[Video ID],M42)="",IF(INDEX(tblVideos[Status],M42)="Watched","✓ ","▸ ")&amp;INDEX(tblVideos[Title],M42),HYPERLINK("https://www.youtube.com/watch?v="&amp;INDEX(tblVideos[Video ID],M42),IF(INDEX(tblVideos[Status],M42)="Watched","✓ ","▸ ")&amp;INDEX(tblVideos[Title],M42))))</f>
        <v/>
      </c>
      <c r="E42" s="70">
        <f>IF(N42="","",IF(INDEX(tblVideos[Video ID],N42)="",IF(INDEX(tblVideos[Status],N42)="Watched","✓ ","▸ ")&amp;INDEX(tblVideos[Title],N42),HYPERLINK("https://www.youtube.com/watch?v="&amp;INDEX(tblVideos[Video ID],N42),IF(INDEX(tblVideos[Status],N42)="Watched","✓ ","▸ ")&amp;INDEX(tblVideos[Title],N42))))</f>
        <v/>
      </c>
      <c r="F42" s="70">
        <f>IF(O42="","",IF(INDEX(tblVideos[Video ID],O42)="",IF(INDEX(tblVideos[Status],O42)="Watched","✓ ","▸ ")&amp;INDEX(tblVideos[Title],O42),HYPERLINK("https://www.youtube.com/watch?v="&amp;INDEX(tblVideos[Video ID],O42),IF(INDEX(tblVideos[Status],O42)="Watched","✓ ","▸ ")&amp;INDEX(tblVideos[Title],O42))))</f>
        <v/>
      </c>
      <c r="G42" s="70">
        <f>IF(P42="","",IF(INDEX(tblVideos[Video ID],P42)="",IF(INDEX(tblVideos[Status],P42)="Watched","✓ ","▸ ")&amp;INDEX(tblVideos[Title],P42),HYPERLINK("https://www.youtube.com/watch?v="&amp;INDEX(tblVideos[Video ID],P42),IF(INDEX(tblVideos[Status],P42)="Watched","✓ ","▸ ")&amp;INDEX(tblVideos[Title],P42))))</f>
        <v/>
      </c>
      <c r="H42" s="70">
        <f>IF(Q42="","",IF(INDEX(tblVideos[Video ID],Q42)="",IF(INDEX(tblVideos[Status],Q42)="Watched","✓ ","▸ ")&amp;INDEX(tblVideos[Title],Q42),HYPERLINK("https://www.youtube.com/watch?v="&amp;INDEX(tblVideos[Video ID],Q42),IF(INDEX(tblVideos[Status],Q42)="Watched","✓ ","▸ ")&amp;INDEX(tblVideos[Title],Q42))))</f>
        <v/>
      </c>
      <c r="K42">
        <f>IF(S40&gt;=2,MATCH(K40*100+2,tblVideos[Cal Key],0),"")</f>
        <v/>
      </c>
      <c r="L42">
        <f>IF(T40&gt;=2,MATCH(L40*100+2,tblVideos[Cal Key],0),"")</f>
        <v/>
      </c>
      <c r="M42">
        <f>IF(U40&gt;=2,MATCH(M40*100+2,tblVideos[Cal Key],0),"")</f>
        <v/>
      </c>
      <c r="N42">
        <f>IF(V40&gt;=2,MATCH(N40*100+2,tblVideos[Cal Key],0),"")</f>
        <v/>
      </c>
      <c r="O42">
        <f>IF(W40&gt;=2,MATCH(O40*100+2,tblVideos[Cal Key],0),"")</f>
        <v/>
      </c>
      <c r="P42">
        <f>IF(X40&gt;=2,MATCH(P40*100+2,tblVideos[Cal Key],0),"")</f>
        <v/>
      </c>
      <c r="Q42">
        <f>IF(Y40&gt;=2,MATCH(Q40*100+2,tblVideos[Cal Key],0),"")</f>
        <v/>
      </c>
      <c r="S42">
        <f>IF(K42="","",IFERROR(MATCH(INDEX(tblVideos[Channel ID],K42),tblChannels[Channel ID],0),""))</f>
        <v/>
      </c>
      <c r="T42">
        <f>IF(L42="","",IFERROR(MATCH(INDEX(tblVideos[Channel ID],L42),tblChannels[Channel ID],0),""))</f>
        <v/>
      </c>
      <c r="U42">
        <f>IF(M42="","",IFERROR(MATCH(INDEX(tblVideos[Channel ID],M42),tblChannels[Channel ID],0),""))</f>
        <v/>
      </c>
      <c r="V42">
        <f>IF(N42="","",IFERROR(MATCH(INDEX(tblVideos[Channel ID],N42),tblChannels[Channel ID],0),""))</f>
        <v/>
      </c>
      <c r="W42">
        <f>IF(O42="","",IFERROR(MATCH(INDEX(tblVideos[Channel ID],O42),tblChannels[Channel ID],0),""))</f>
        <v/>
      </c>
      <c r="X42">
        <f>IF(P42="","",IFERROR(MATCH(INDEX(tblVideos[Channel ID],P42),tblChannels[Channel ID],0),""))</f>
        <v/>
      </c>
      <c r="Y42">
        <f>IF(Q42="","",IFERROR(MATCH(INDEX(tblVideos[Channel ID],Q42),tblChannels[Channel ID],0),""))</f>
        <v/>
      </c>
    </row>
    <row r="43">
      <c r="B43" s="70">
        <f>IF(K43="","",IF(INDEX(tblVideos[Video ID],K43)="",IF(INDEX(tblVideos[Status],K43)="Watched","✓ ","▸ ")&amp;INDEX(tblVideos[Title],K43),HYPERLINK("https://www.youtube.com/watch?v="&amp;INDEX(tblVideos[Video ID],K43),IF(INDEX(tblVideos[Status],K43)="Watched","✓ ","▸ ")&amp;INDEX(tblVideos[Title],K43))))</f>
        <v/>
      </c>
      <c r="C43" s="70">
        <f>IF(L43="","",IF(INDEX(tblVideos[Video ID],L43)="",IF(INDEX(tblVideos[Status],L43)="Watched","✓ ","▸ ")&amp;INDEX(tblVideos[Title],L43),HYPERLINK("https://www.youtube.com/watch?v="&amp;INDEX(tblVideos[Video ID],L43),IF(INDEX(tblVideos[Status],L43)="Watched","✓ ","▸ ")&amp;INDEX(tblVideos[Title],L43))))</f>
        <v/>
      </c>
      <c r="D43" s="70">
        <f>IF(M43="","",IF(INDEX(tblVideos[Video ID],M43)="",IF(INDEX(tblVideos[Status],M43)="Watched","✓ ","▸ ")&amp;INDEX(tblVideos[Title],M43),HYPERLINK("https://www.youtube.com/watch?v="&amp;INDEX(tblVideos[Video ID],M43),IF(INDEX(tblVideos[Status],M43)="Watched","✓ ","▸ ")&amp;INDEX(tblVideos[Title],M43))))</f>
        <v/>
      </c>
      <c r="E43" s="70">
        <f>IF(N43="","",IF(INDEX(tblVideos[Video ID],N43)="",IF(INDEX(tblVideos[Status],N43)="Watched","✓ ","▸ ")&amp;INDEX(tblVideos[Title],N43),HYPERLINK("https://www.youtube.com/watch?v="&amp;INDEX(tblVideos[Video ID],N43),IF(INDEX(tblVideos[Status],N43)="Watched","✓ ","▸ ")&amp;INDEX(tblVideos[Title],N43))))</f>
        <v/>
      </c>
      <c r="F43" s="70">
        <f>IF(O43="","",IF(INDEX(tblVideos[Video ID],O43)="",IF(INDEX(tblVideos[Status],O43)="Watched","✓ ","▸ ")&amp;INDEX(tblVideos[Title],O43),HYPERLINK("https://www.youtube.com/watch?v="&amp;INDEX(tblVideos[Video ID],O43),IF(INDEX(tblVideos[Status],O43)="Watched","✓ ","▸ ")&amp;INDEX(tblVideos[Title],O43))))</f>
        <v/>
      </c>
      <c r="G43" s="70">
        <f>IF(P43="","",IF(INDEX(tblVideos[Video ID],P43)="",IF(INDEX(tblVideos[Status],P43)="Watched","✓ ","▸ ")&amp;INDEX(tblVideos[Title],P43),HYPERLINK("https://www.youtube.com/watch?v="&amp;INDEX(tblVideos[Video ID],P43),IF(INDEX(tblVideos[Status],P43)="Watched","✓ ","▸ ")&amp;INDEX(tblVideos[Title],P43))))</f>
        <v/>
      </c>
      <c r="H43" s="70">
        <f>IF(Q43="","",IF(INDEX(tblVideos[Video ID],Q43)="",IF(INDEX(tblVideos[Status],Q43)="Watched","✓ ","▸ ")&amp;INDEX(tblVideos[Title],Q43),HYPERLINK("https://www.youtube.com/watch?v="&amp;INDEX(tblVideos[Video ID],Q43),IF(INDEX(tblVideos[Status],Q43)="Watched","✓ ","▸ ")&amp;INDEX(tblVideos[Title],Q43))))</f>
        <v/>
      </c>
      <c r="K43">
        <f>IF(S40&gt;=3,MATCH(K40*100+3,tblVideos[Cal Key],0),"")</f>
        <v/>
      </c>
      <c r="L43">
        <f>IF(T40&gt;=3,MATCH(L40*100+3,tblVideos[Cal Key],0),"")</f>
        <v/>
      </c>
      <c r="M43">
        <f>IF(U40&gt;=3,MATCH(M40*100+3,tblVideos[Cal Key],0),"")</f>
        <v/>
      </c>
      <c r="N43">
        <f>IF(V40&gt;=3,MATCH(N40*100+3,tblVideos[Cal Key],0),"")</f>
        <v/>
      </c>
      <c r="O43">
        <f>IF(W40&gt;=3,MATCH(O40*100+3,tblVideos[Cal Key],0),"")</f>
        <v/>
      </c>
      <c r="P43">
        <f>IF(X40&gt;=3,MATCH(P40*100+3,tblVideos[Cal Key],0),"")</f>
        <v/>
      </c>
      <c r="Q43">
        <f>IF(Y40&gt;=3,MATCH(Q40*100+3,tblVideos[Cal Key],0),"")</f>
        <v/>
      </c>
      <c r="S43">
        <f>IF(K43="","",IFERROR(MATCH(INDEX(tblVideos[Channel ID],K43),tblChannels[Channel ID],0),""))</f>
        <v/>
      </c>
      <c r="T43">
        <f>IF(L43="","",IFERROR(MATCH(INDEX(tblVideos[Channel ID],L43),tblChannels[Channel ID],0),""))</f>
        <v/>
      </c>
      <c r="U43">
        <f>IF(M43="","",IFERROR(MATCH(INDEX(tblVideos[Channel ID],M43),tblChannels[Channel ID],0),""))</f>
        <v/>
      </c>
      <c r="V43">
        <f>IF(N43="","",IFERROR(MATCH(INDEX(tblVideos[Channel ID],N43),tblChannels[Channel ID],0),""))</f>
        <v/>
      </c>
      <c r="W43">
        <f>IF(O43="","",IFERROR(MATCH(INDEX(tblVideos[Channel ID],O43),tblChannels[Channel ID],0),""))</f>
        <v/>
      </c>
      <c r="X43">
        <f>IF(P43="","",IFERROR(MATCH(INDEX(tblVideos[Channel ID],P43),tblChannels[Channel ID],0),""))</f>
        <v/>
      </c>
      <c r="Y43">
        <f>IF(Q43="","",IFERROR(MATCH(INDEX(tblVideos[Channel ID],Q43),tblChannels[Channel ID],0),""))</f>
        <v/>
      </c>
    </row>
    <row r="44">
      <c r="B44" s="70">
        <f>IF(K44="","",IF(INDEX(tblVideos[Video ID],K44)="",IF(INDEX(tblVideos[Status],K44)="Watched","✓ ","▸ ")&amp;INDEX(tblVideos[Title],K44),HYPERLINK("https://www.youtube.com/watch?v="&amp;INDEX(tblVideos[Video ID],K44),IF(INDEX(tblVideos[Status],K44)="Watched","✓ ","▸ ")&amp;INDEX(tblVideos[Title],K44))))</f>
        <v/>
      </c>
      <c r="C44" s="70">
        <f>IF(L44="","",IF(INDEX(tblVideos[Video ID],L44)="",IF(INDEX(tblVideos[Status],L44)="Watched","✓ ","▸ ")&amp;INDEX(tblVideos[Title],L44),HYPERLINK("https://www.youtube.com/watch?v="&amp;INDEX(tblVideos[Video ID],L44),IF(INDEX(tblVideos[Status],L44)="Watched","✓ ","▸ ")&amp;INDEX(tblVideos[Title],L44))))</f>
        <v/>
      </c>
      <c r="D44" s="70">
        <f>IF(M44="","",IF(INDEX(tblVideos[Video ID],M44)="",IF(INDEX(tblVideos[Status],M44)="Watched","✓ ","▸ ")&amp;INDEX(tblVideos[Title],M44),HYPERLINK("https://www.youtube.com/watch?v="&amp;INDEX(tblVideos[Video ID],M44),IF(INDEX(tblVideos[Status],M44)="Watched","✓ ","▸ ")&amp;INDEX(tblVideos[Title],M44))))</f>
        <v/>
      </c>
      <c r="E44" s="70">
        <f>IF(N44="","",IF(INDEX(tblVideos[Video ID],N44)="",IF(INDEX(tblVideos[Status],N44)="Watched","✓ ","▸ ")&amp;INDEX(tblVideos[Title],N44),HYPERLINK("https://www.youtube.com/watch?v="&amp;INDEX(tblVideos[Video ID],N44),IF(INDEX(tblVideos[Status],N44)="Watched","✓ ","▸ ")&amp;INDEX(tblVideos[Title],N44))))</f>
        <v/>
      </c>
      <c r="F44" s="70">
        <f>IF(O44="","",IF(INDEX(tblVideos[Video ID],O44)="",IF(INDEX(tblVideos[Status],O44)="Watched","✓ ","▸ ")&amp;INDEX(tblVideos[Title],O44),HYPERLINK("https://www.youtube.com/watch?v="&amp;INDEX(tblVideos[Video ID],O44),IF(INDEX(tblVideos[Status],O44)="Watched","✓ ","▸ ")&amp;INDEX(tblVideos[Title],O44))))</f>
        <v/>
      </c>
      <c r="G44" s="70">
        <f>IF(P44="","",IF(INDEX(tblVideos[Video ID],P44)="",IF(INDEX(tblVideos[Status],P44)="Watched","✓ ","▸ ")&amp;INDEX(tblVideos[Title],P44),HYPERLINK("https://www.youtube.com/watch?v="&amp;INDEX(tblVideos[Video ID],P44),IF(INDEX(tblVideos[Status],P44)="Watched","✓ ","▸ ")&amp;INDEX(tblVideos[Title],P44))))</f>
        <v/>
      </c>
      <c r="H44" s="70">
        <f>IF(Q44="","",IF(INDEX(tblVideos[Video ID],Q44)="",IF(INDEX(tblVideos[Status],Q44)="Watched","✓ ","▸ ")&amp;INDEX(tblVideos[Title],Q44),HYPERLINK("https://www.youtube.com/watch?v="&amp;INDEX(tblVideos[Video ID],Q44),IF(INDEX(tblVideos[Status],Q44)="Watched","✓ ","▸ ")&amp;INDEX(tblVideos[Title],Q44))))</f>
        <v/>
      </c>
      <c r="K44">
        <f>IF(S40&gt;=4,MATCH(K40*100+4,tblVideos[Cal Key],0),"")</f>
        <v/>
      </c>
      <c r="L44">
        <f>IF(T40&gt;=4,MATCH(L40*100+4,tblVideos[Cal Key],0),"")</f>
        <v/>
      </c>
      <c r="M44">
        <f>IF(U40&gt;=4,MATCH(M40*100+4,tblVideos[Cal Key],0),"")</f>
        <v/>
      </c>
      <c r="N44">
        <f>IF(V40&gt;=4,MATCH(N40*100+4,tblVideos[Cal Key],0),"")</f>
        <v/>
      </c>
      <c r="O44">
        <f>IF(W40&gt;=4,MATCH(O40*100+4,tblVideos[Cal Key],0),"")</f>
        <v/>
      </c>
      <c r="P44">
        <f>IF(X40&gt;=4,MATCH(P40*100+4,tblVideos[Cal Key],0),"")</f>
        <v/>
      </c>
      <c r="Q44">
        <f>IF(Y40&gt;=4,MATCH(Q40*100+4,tblVideos[Cal Key],0),"")</f>
        <v/>
      </c>
      <c r="S44">
        <f>IF(K44="","",IFERROR(MATCH(INDEX(tblVideos[Channel ID],K44),tblChannels[Channel ID],0),""))</f>
        <v/>
      </c>
      <c r="T44">
        <f>IF(L44="","",IFERROR(MATCH(INDEX(tblVideos[Channel ID],L44),tblChannels[Channel ID],0),""))</f>
        <v/>
      </c>
      <c r="U44">
        <f>IF(M44="","",IFERROR(MATCH(INDEX(tblVideos[Channel ID],M44),tblChannels[Channel ID],0),""))</f>
        <v/>
      </c>
      <c r="V44">
        <f>IF(N44="","",IFERROR(MATCH(INDEX(tblVideos[Channel ID],N44),tblChannels[Channel ID],0),""))</f>
        <v/>
      </c>
      <c r="W44">
        <f>IF(O44="","",IFERROR(MATCH(INDEX(tblVideos[Channel ID],O44),tblChannels[Channel ID],0),""))</f>
        <v/>
      </c>
      <c r="X44">
        <f>IF(P44="","",IFERROR(MATCH(INDEX(tblVideos[Channel ID],P44),tblChannels[Channel ID],0),""))</f>
        <v/>
      </c>
      <c r="Y44">
        <f>IF(Q44="","",IFERROR(MATCH(INDEX(tblVideos[Channel ID],Q44),tblChannels[Channel ID],0),""))</f>
        <v/>
      </c>
    </row>
    <row r="45">
      <c r="B45" s="70">
        <f>IF(K45="","",IF(INDEX(tblVideos[Video ID],K45)="",IF(INDEX(tblVideos[Status],K45)="Watched","✓ ","▸ ")&amp;INDEX(tblVideos[Title],K45),HYPERLINK("https://www.youtube.com/watch?v="&amp;INDEX(tblVideos[Video ID],K45),IF(INDEX(tblVideos[Status],K45)="Watched","✓ ","▸ ")&amp;INDEX(tblVideos[Title],K45))))</f>
        <v/>
      </c>
      <c r="C45" s="70">
        <f>IF(L45="","",IF(INDEX(tblVideos[Video ID],L45)="",IF(INDEX(tblVideos[Status],L45)="Watched","✓ ","▸ ")&amp;INDEX(tblVideos[Title],L45),HYPERLINK("https://www.youtube.com/watch?v="&amp;INDEX(tblVideos[Video ID],L45),IF(INDEX(tblVideos[Status],L45)="Watched","✓ ","▸ ")&amp;INDEX(tblVideos[Title],L45))))</f>
        <v/>
      </c>
      <c r="D45" s="70">
        <f>IF(M45="","",IF(INDEX(tblVideos[Video ID],M45)="",IF(INDEX(tblVideos[Status],M45)="Watched","✓ ","▸ ")&amp;INDEX(tblVideos[Title],M45),HYPERLINK("https://www.youtube.com/watch?v="&amp;INDEX(tblVideos[Video ID],M45),IF(INDEX(tblVideos[Status],M45)="Watched","✓ ","▸ ")&amp;INDEX(tblVideos[Title],M45))))</f>
        <v/>
      </c>
      <c r="E45" s="70">
        <f>IF(N45="","",IF(INDEX(tblVideos[Video ID],N45)="",IF(INDEX(tblVideos[Status],N45)="Watched","✓ ","▸ ")&amp;INDEX(tblVideos[Title],N45),HYPERLINK("https://www.youtube.com/watch?v="&amp;INDEX(tblVideos[Video ID],N45),IF(INDEX(tblVideos[Status],N45)="Watched","✓ ","▸ ")&amp;INDEX(tblVideos[Title],N45))))</f>
        <v/>
      </c>
      <c r="F45" s="70">
        <f>IF(O45="","",IF(INDEX(tblVideos[Video ID],O45)="",IF(INDEX(tblVideos[Status],O45)="Watched","✓ ","▸ ")&amp;INDEX(tblVideos[Title],O45),HYPERLINK("https://www.youtube.com/watch?v="&amp;INDEX(tblVideos[Video ID],O45),IF(INDEX(tblVideos[Status],O45)="Watched","✓ ","▸ ")&amp;INDEX(tblVideos[Title],O45))))</f>
        <v/>
      </c>
      <c r="G45" s="70">
        <f>IF(P45="","",IF(INDEX(tblVideos[Video ID],P45)="",IF(INDEX(tblVideos[Status],P45)="Watched","✓ ","▸ ")&amp;INDEX(tblVideos[Title],P45),HYPERLINK("https://www.youtube.com/watch?v="&amp;INDEX(tblVideos[Video ID],P45),IF(INDEX(tblVideos[Status],P45)="Watched","✓ ","▸ ")&amp;INDEX(tblVideos[Title],P45))))</f>
        <v/>
      </c>
      <c r="H45" s="70">
        <f>IF(Q45="","",IF(INDEX(tblVideos[Video ID],Q45)="",IF(INDEX(tblVideos[Status],Q45)="Watched","✓ ","▸ ")&amp;INDEX(tblVideos[Title],Q45),HYPERLINK("https://www.youtube.com/watch?v="&amp;INDEX(tblVideos[Video ID],Q45),IF(INDEX(tblVideos[Status],Q45)="Watched","✓ ","▸ ")&amp;INDEX(tblVideos[Title],Q45))))</f>
        <v/>
      </c>
      <c r="K45">
        <f>IF(S40&gt;=5,MATCH(K40*100+5,tblVideos[Cal Key],0),"")</f>
        <v/>
      </c>
      <c r="L45">
        <f>IF(T40&gt;=5,MATCH(L40*100+5,tblVideos[Cal Key],0),"")</f>
        <v/>
      </c>
      <c r="M45">
        <f>IF(U40&gt;=5,MATCH(M40*100+5,tblVideos[Cal Key],0),"")</f>
        <v/>
      </c>
      <c r="N45">
        <f>IF(V40&gt;=5,MATCH(N40*100+5,tblVideos[Cal Key],0),"")</f>
        <v/>
      </c>
      <c r="O45">
        <f>IF(W40&gt;=5,MATCH(O40*100+5,tblVideos[Cal Key],0),"")</f>
        <v/>
      </c>
      <c r="P45">
        <f>IF(X40&gt;=5,MATCH(P40*100+5,tblVideos[Cal Key],0),"")</f>
        <v/>
      </c>
      <c r="Q45">
        <f>IF(Y40&gt;=5,MATCH(Q40*100+5,tblVideos[Cal Key],0),"")</f>
        <v/>
      </c>
      <c r="S45">
        <f>IF(K45="","",IFERROR(MATCH(INDEX(tblVideos[Channel ID],K45),tblChannels[Channel ID],0),""))</f>
        <v/>
      </c>
      <c r="T45">
        <f>IF(L45="","",IFERROR(MATCH(INDEX(tblVideos[Channel ID],L45),tblChannels[Channel ID],0),""))</f>
        <v/>
      </c>
      <c r="U45">
        <f>IF(M45="","",IFERROR(MATCH(INDEX(tblVideos[Channel ID],M45),tblChannels[Channel ID],0),""))</f>
        <v/>
      </c>
      <c r="V45">
        <f>IF(N45="","",IFERROR(MATCH(INDEX(tblVideos[Channel ID],N45),tblChannels[Channel ID],0),""))</f>
        <v/>
      </c>
      <c r="W45">
        <f>IF(O45="","",IFERROR(MATCH(INDEX(tblVideos[Channel ID],O45),tblChannels[Channel ID],0),""))</f>
        <v/>
      </c>
      <c r="X45">
        <f>IF(P45="","",IFERROR(MATCH(INDEX(tblVideos[Channel ID],P45),tblChannels[Channel ID],0),""))</f>
        <v/>
      </c>
      <c r="Y45">
        <f>IF(Q45="","",IFERROR(MATCH(INDEX(tblVideos[Channel ID],Q45),tblChannels[Channel ID],0),""))</f>
        <v/>
      </c>
    </row>
  </sheetData>
  <sheetProtection selectLockedCells="0" selectUnlockedCells="0" sheet="1" objects="0" insertRows="1" insertHyperlinks="1" autoFilter="1" scenarios="0" formatColumns="1" deleteColumns="1" insertColumns="1" pivotTables="1" deleteRows="1" formatCells="1" formatRows="1" sort="1"/>
  <conditionalFormatting sqref="B10:H15">
    <cfRule type="expression" priority="1" dxfId="13" stopIfTrue="1">
      <formula>MONTH(K$10)&lt;&gt;MONTH($K$2)</formula>
    </cfRule>
  </conditionalFormatting>
  <conditionalFormatting sqref="B10:H10">
    <cfRule type="expression" priority="2" dxfId="6">
      <formula>K10=TODAY()</formula>
    </cfRule>
  </conditionalFormatting>
  <conditionalFormatting sqref="B16:H21">
    <cfRule type="expression" priority="3" dxfId="13" stopIfTrue="1">
      <formula>MONTH(K$16)&lt;&gt;MONTH($K$2)</formula>
    </cfRule>
  </conditionalFormatting>
  <conditionalFormatting sqref="B16:H16">
    <cfRule type="expression" priority="4" dxfId="6">
      <formula>K16=TODAY()</formula>
    </cfRule>
  </conditionalFormatting>
  <conditionalFormatting sqref="B22:H27">
    <cfRule type="expression" priority="5" dxfId="13" stopIfTrue="1">
      <formula>MONTH(K$22)&lt;&gt;MONTH($K$2)</formula>
    </cfRule>
  </conditionalFormatting>
  <conditionalFormatting sqref="B22:H22">
    <cfRule type="expression" priority="6" dxfId="6">
      <formula>K22=TODAY()</formula>
    </cfRule>
  </conditionalFormatting>
  <conditionalFormatting sqref="B28:H33">
    <cfRule type="expression" priority="7" dxfId="13" stopIfTrue="1">
      <formula>MONTH(K$28)&lt;&gt;MONTH($K$2)</formula>
    </cfRule>
  </conditionalFormatting>
  <conditionalFormatting sqref="B28:H28">
    <cfRule type="expression" priority="8" dxfId="6">
      <formula>K28=TODAY()</formula>
    </cfRule>
  </conditionalFormatting>
  <conditionalFormatting sqref="B34:H39">
    <cfRule type="expression" priority="9" dxfId="13" stopIfTrue="1">
      <formula>MONTH(K$34)&lt;&gt;MONTH($K$2)</formula>
    </cfRule>
  </conditionalFormatting>
  <conditionalFormatting sqref="B34:H34">
    <cfRule type="expression" priority="10" dxfId="6">
      <formula>K34=TODAY()</formula>
    </cfRule>
  </conditionalFormatting>
  <conditionalFormatting sqref="B40:H45">
    <cfRule type="expression" priority="11" dxfId="13" stopIfTrue="1">
      <formula>MONTH(K$40)&lt;&gt;MONTH($K$2)</formula>
    </cfRule>
  </conditionalFormatting>
  <conditionalFormatting sqref="B40:H40">
    <cfRule type="expression" priority="12" dxfId="6">
      <formula>K40=TODAY()</formula>
    </cfRule>
  </conditionalFormatting>
  <conditionalFormatting sqref="B11:H15 B17:H21 B23:H27 B29:H33 B35:H39 B41:H45">
    <cfRule type="expression" priority="13" dxfId="14">
      <formula>S11=1</formula>
    </cfRule>
    <cfRule type="expression" priority="14" dxfId="15">
      <formula>S11=2</formula>
    </cfRule>
    <cfRule type="expression" priority="15" dxfId="16">
      <formula>S11=3</formula>
    </cfRule>
    <cfRule type="expression" priority="16" dxfId="17">
      <formula>S11=4</formula>
    </cfRule>
    <cfRule type="expression" priority="17" dxfId="18">
      <formula>S11=5</formula>
    </cfRule>
    <cfRule type="expression" priority="18" dxfId="19">
      <formula>S11=6</formula>
    </cfRule>
    <cfRule type="expression" priority="19" dxfId="20">
      <formula>LEFT(B11,1)="✓"</formula>
    </cfRule>
  </conditionalFormatting>
  <dataValidations count="3">
    <dataValidation sqref="C4" showDropDown="0" showInputMessage="0" showErrorMessage="1" allowBlank="0" type="list">
      <formula1>=YearList</formula1>
    </dataValidation>
    <dataValidation sqref="E4" showDropDown="0" showInputMessage="0" showErrorMessage="1" allowBlank="0" type="list">
      <formula1>=MonthList</formula1>
    </dataValidation>
    <dataValidation sqref="G4" showDropDown="0" showInputMessage="0" showErrorMessage="1" allowBlank="0" type="list">
      <formula1>=ChannelList</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2E9E6B"/>
    <outlinePr summaryBelow="1" summaryRight="1"/>
    <pageSetUpPr fitToPage="1"/>
  </sheetPr>
  <dimension ref="B1:T317"/>
  <sheetViews>
    <sheetView showGridLines="0" workbookViewId="0">
      <pane ySplit="4" topLeftCell="A5" activePane="bottomLeft" state="frozen"/>
      <selection pane="bottomLeft" activeCell="A1" sqref="A1"/>
    </sheetView>
  </sheetViews>
  <sheetFormatPr baseColWidth="8" defaultRowHeight="15"/>
  <cols>
    <col width="2" customWidth="1" min="1" max="1"/>
    <col width="16"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hidden="1" outlineLevel="1" width="13" customWidth="1" min="20" max="21"/>
  </cols>
  <sheetData>
    <row r="1"/>
    <row r="2" ht="30" customHeight="1">
      <c r="B2" s="55" t="inlineStr">
        <is>
          <t>History</t>
        </is>
      </c>
    </row>
    <row r="3">
      <c r="C3" s="56" t="inlineStr">
        <is>
          <t>Channel</t>
        </is>
      </c>
      <c r="G3" s="56" t="inlineStr">
        <is>
          <t>Heatmap shows</t>
        </is>
      </c>
      <c r="K3" s="56" t="inlineStr">
        <is>
          <t>Year view</t>
        </is>
      </c>
    </row>
    <row r="4">
      <c r="B4" s="60">
        <f>HYPERLINK("#Dashboard!A1","◄ Dashboard")</f>
        <v/>
      </c>
      <c r="C4" s="57" t="inlineStr">
        <is>
          <t>All channels</t>
        </is>
      </c>
      <c r="G4" s="57" t="inlineStr">
        <is>
          <t>Videos</t>
        </is>
      </c>
      <c r="K4" s="57" t="n">
        <v>2026</v>
      </c>
      <c r="T4">
        <f>IF($C$4="All channels","*",IFERROR(INDEX(tblChannels[Channel ID],MATCH($C$4,tblChannels[Display Name],0)),"none"))</f>
        <v/>
      </c>
    </row>
    <row r="5">
      <c r="B5" s="2" t="inlineStr">
        <is>
          <t>How the channels uploaded over the years - and how much of it you've watched.</t>
        </is>
      </c>
    </row>
    <row r="6" ht="20" customHeight="1">
      <c r="B6" s="10" t="inlineStr">
        <is>
          <t>Upload heatmap  -  darker = more (hours are rounded)</t>
        </is>
      </c>
      <c r="C6" s="11" t="n"/>
      <c r="D6" s="11" t="n"/>
      <c r="E6" s="11" t="n"/>
      <c r="F6" s="11" t="n"/>
      <c r="G6" s="11" t="n"/>
      <c r="H6" s="11" t="n"/>
      <c r="I6" s="11" t="n"/>
      <c r="J6" s="11" t="n"/>
      <c r="K6" s="11" t="n"/>
      <c r="L6" s="11" t="n"/>
      <c r="M6" s="11" t="n"/>
      <c r="N6" s="11" t="n"/>
      <c r="O6" s="11" t="n"/>
    </row>
    <row r="7" ht="20" customHeight="1">
      <c r="B7" s="12" t="inlineStr">
        <is>
          <t>Year</t>
        </is>
      </c>
      <c r="C7" s="12" t="inlineStr">
        <is>
          <t>Jan</t>
        </is>
      </c>
      <c r="D7" s="12" t="inlineStr">
        <is>
          <t>Feb</t>
        </is>
      </c>
      <c r="E7" s="12" t="inlineStr">
        <is>
          <t>Mar</t>
        </is>
      </c>
      <c r="F7" s="12" t="inlineStr">
        <is>
          <t>Apr</t>
        </is>
      </c>
      <c r="G7" s="12" t="inlineStr">
        <is>
          <t>May</t>
        </is>
      </c>
      <c r="H7" s="12" t="inlineStr">
        <is>
          <t>Jun</t>
        </is>
      </c>
      <c r="I7" s="12" t="inlineStr">
        <is>
          <t>Jul</t>
        </is>
      </c>
      <c r="J7" s="12" t="inlineStr">
        <is>
          <t>Aug</t>
        </is>
      </c>
      <c r="K7" s="12" t="inlineStr">
        <is>
          <t>Sep</t>
        </is>
      </c>
      <c r="L7" s="12" t="inlineStr">
        <is>
          <t>Oct</t>
        </is>
      </c>
      <c r="M7" s="12" t="inlineStr">
        <is>
          <t>Nov</t>
        </is>
      </c>
      <c r="N7" s="12" t="inlineStr">
        <is>
          <t>Dec</t>
        </is>
      </c>
      <c r="O7" s="12" t="inlineStr">
        <is>
          <t>Total</t>
        </is>
      </c>
    </row>
    <row r="8">
      <c r="B8" s="71" t="n">
        <v>2012</v>
      </c>
      <c r="C8" s="72">
        <f>IF($G$4="Hours",ROUND(SUMIFS(tblVideos[Length],tblVideos[Day],"&gt;="&amp;DATE($B8,1,1),tblVideos[Day],"&lt;"&amp;DATE($B8,2,1),tblVideos[Channel ID],$T$4)*24,0),COUNTIFS(tblVideos[Day],"&gt;="&amp;DATE($B8,1,1),tblVideos[Day],"&lt;"&amp;DATE($B8,2,1),tblVideos[Channel ID],$T$4))</f>
        <v/>
      </c>
      <c r="D8" s="72">
        <f>IF($G$4="Hours",ROUND(SUMIFS(tblVideos[Length],tblVideos[Day],"&gt;="&amp;DATE($B8,2,1),tblVideos[Day],"&lt;"&amp;DATE($B8,3,1),tblVideos[Channel ID],$T$4)*24,0),COUNTIFS(tblVideos[Day],"&gt;="&amp;DATE($B8,2,1),tblVideos[Day],"&lt;"&amp;DATE($B8,3,1),tblVideos[Channel ID],$T$4))</f>
        <v/>
      </c>
      <c r="E8" s="72">
        <f>IF($G$4="Hours",ROUND(SUMIFS(tblVideos[Length],tblVideos[Day],"&gt;="&amp;DATE($B8,3,1),tblVideos[Day],"&lt;"&amp;DATE($B8,4,1),tblVideos[Channel ID],$T$4)*24,0),COUNTIFS(tblVideos[Day],"&gt;="&amp;DATE($B8,3,1),tblVideos[Day],"&lt;"&amp;DATE($B8,4,1),tblVideos[Channel ID],$T$4))</f>
        <v/>
      </c>
      <c r="F8" s="72">
        <f>IF($G$4="Hours",ROUND(SUMIFS(tblVideos[Length],tblVideos[Day],"&gt;="&amp;DATE($B8,4,1),tblVideos[Day],"&lt;"&amp;DATE($B8,5,1),tblVideos[Channel ID],$T$4)*24,0),COUNTIFS(tblVideos[Day],"&gt;="&amp;DATE($B8,4,1),tblVideos[Day],"&lt;"&amp;DATE($B8,5,1),tblVideos[Channel ID],$T$4))</f>
        <v/>
      </c>
      <c r="G8" s="72">
        <f>IF($G$4="Hours",ROUND(SUMIFS(tblVideos[Length],tblVideos[Day],"&gt;="&amp;DATE($B8,5,1),tblVideos[Day],"&lt;"&amp;DATE($B8,6,1),tblVideos[Channel ID],$T$4)*24,0),COUNTIFS(tblVideos[Day],"&gt;="&amp;DATE($B8,5,1),tblVideos[Day],"&lt;"&amp;DATE($B8,6,1),tblVideos[Channel ID],$T$4))</f>
        <v/>
      </c>
      <c r="H8" s="72">
        <f>IF($G$4="Hours",ROUND(SUMIFS(tblVideos[Length],tblVideos[Day],"&gt;="&amp;DATE($B8,6,1),tblVideos[Day],"&lt;"&amp;DATE($B8,7,1),tblVideos[Channel ID],$T$4)*24,0),COUNTIFS(tblVideos[Day],"&gt;="&amp;DATE($B8,6,1),tblVideos[Day],"&lt;"&amp;DATE($B8,7,1),tblVideos[Channel ID],$T$4))</f>
        <v/>
      </c>
      <c r="I8" s="72">
        <f>IF($G$4="Hours",ROUND(SUMIFS(tblVideos[Length],tblVideos[Day],"&gt;="&amp;DATE($B8,7,1),tblVideos[Day],"&lt;"&amp;DATE($B8,8,1),tblVideos[Channel ID],$T$4)*24,0),COUNTIFS(tblVideos[Day],"&gt;="&amp;DATE($B8,7,1),tblVideos[Day],"&lt;"&amp;DATE($B8,8,1),tblVideos[Channel ID],$T$4))</f>
        <v/>
      </c>
      <c r="J8" s="72">
        <f>IF($G$4="Hours",ROUND(SUMIFS(tblVideos[Length],tblVideos[Day],"&gt;="&amp;DATE($B8,8,1),tblVideos[Day],"&lt;"&amp;DATE($B8,9,1),tblVideos[Channel ID],$T$4)*24,0),COUNTIFS(tblVideos[Day],"&gt;="&amp;DATE($B8,8,1),tblVideos[Day],"&lt;"&amp;DATE($B8,9,1),tblVideos[Channel ID],$T$4))</f>
        <v/>
      </c>
      <c r="K8" s="72">
        <f>IF($G$4="Hours",ROUND(SUMIFS(tblVideos[Length],tblVideos[Day],"&gt;="&amp;DATE($B8,9,1),tblVideos[Day],"&lt;"&amp;DATE($B8,10,1),tblVideos[Channel ID],$T$4)*24,0),COUNTIFS(tblVideos[Day],"&gt;="&amp;DATE($B8,9,1),tblVideos[Day],"&lt;"&amp;DATE($B8,10,1),tblVideos[Channel ID],$T$4))</f>
        <v/>
      </c>
      <c r="L8" s="72">
        <f>IF($G$4="Hours",ROUND(SUMIFS(tblVideos[Length],tblVideos[Day],"&gt;="&amp;DATE($B8,10,1),tblVideos[Day],"&lt;"&amp;DATE($B8,11,1),tblVideos[Channel ID],$T$4)*24,0),COUNTIFS(tblVideos[Day],"&gt;="&amp;DATE($B8,10,1),tblVideos[Day],"&lt;"&amp;DATE($B8,11,1),tblVideos[Channel ID],$T$4))</f>
        <v/>
      </c>
      <c r="M8" s="72">
        <f>IF($G$4="Hours",ROUND(SUMIFS(tblVideos[Length],tblVideos[Day],"&gt;="&amp;DATE($B8,11,1),tblVideos[Day],"&lt;"&amp;DATE($B8,12,1),tblVideos[Channel ID],$T$4)*24,0),COUNTIFS(tblVideos[Day],"&gt;="&amp;DATE($B8,11,1),tblVideos[Day],"&lt;"&amp;DATE($B8,12,1),tblVideos[Channel ID],$T$4))</f>
        <v/>
      </c>
      <c r="N8" s="72">
        <f>IF($G$4="Hours",ROUND(SUMIFS(tblVideos[Length],tblVideos[Day],"&gt;="&amp;DATE($B8,12,1),tblVideos[Day],"&lt;"&amp;DATE($B8,13,1),tblVideos[Channel ID],$T$4)*24,0),COUNTIFS(tblVideos[Day],"&gt;="&amp;DATE($B8,12,1),tblVideos[Day],"&lt;"&amp;DATE($B8,13,1),tblVideos[Channel ID],$T$4))</f>
        <v/>
      </c>
      <c r="O8" s="26">
        <f>SUM(C8:N8)</f>
        <v/>
      </c>
    </row>
    <row r="9">
      <c r="B9" s="71" t="n">
        <v>2013</v>
      </c>
      <c r="C9" s="72">
        <f>IF($G$4="Hours",ROUND(SUMIFS(tblVideos[Length],tblVideos[Day],"&gt;="&amp;DATE($B9,1,1),tblVideos[Day],"&lt;"&amp;DATE($B9,2,1),tblVideos[Channel ID],$T$4)*24,0),COUNTIFS(tblVideos[Day],"&gt;="&amp;DATE($B9,1,1),tblVideos[Day],"&lt;"&amp;DATE($B9,2,1),tblVideos[Channel ID],$T$4))</f>
        <v/>
      </c>
      <c r="D9" s="72">
        <f>IF($G$4="Hours",ROUND(SUMIFS(tblVideos[Length],tblVideos[Day],"&gt;="&amp;DATE($B9,2,1),tblVideos[Day],"&lt;"&amp;DATE($B9,3,1),tblVideos[Channel ID],$T$4)*24,0),COUNTIFS(tblVideos[Day],"&gt;="&amp;DATE($B9,2,1),tblVideos[Day],"&lt;"&amp;DATE($B9,3,1),tblVideos[Channel ID],$T$4))</f>
        <v/>
      </c>
      <c r="E9" s="72">
        <f>IF($G$4="Hours",ROUND(SUMIFS(tblVideos[Length],tblVideos[Day],"&gt;="&amp;DATE($B9,3,1),tblVideos[Day],"&lt;"&amp;DATE($B9,4,1),tblVideos[Channel ID],$T$4)*24,0),COUNTIFS(tblVideos[Day],"&gt;="&amp;DATE($B9,3,1),tblVideos[Day],"&lt;"&amp;DATE($B9,4,1),tblVideos[Channel ID],$T$4))</f>
        <v/>
      </c>
      <c r="F9" s="72">
        <f>IF($G$4="Hours",ROUND(SUMIFS(tblVideos[Length],tblVideos[Day],"&gt;="&amp;DATE($B9,4,1),tblVideos[Day],"&lt;"&amp;DATE($B9,5,1),tblVideos[Channel ID],$T$4)*24,0),COUNTIFS(tblVideos[Day],"&gt;="&amp;DATE($B9,4,1),tblVideos[Day],"&lt;"&amp;DATE($B9,5,1),tblVideos[Channel ID],$T$4))</f>
        <v/>
      </c>
      <c r="G9" s="72">
        <f>IF($G$4="Hours",ROUND(SUMIFS(tblVideos[Length],tblVideos[Day],"&gt;="&amp;DATE($B9,5,1),tblVideos[Day],"&lt;"&amp;DATE($B9,6,1),tblVideos[Channel ID],$T$4)*24,0),COUNTIFS(tblVideos[Day],"&gt;="&amp;DATE($B9,5,1),tblVideos[Day],"&lt;"&amp;DATE($B9,6,1),tblVideos[Channel ID],$T$4))</f>
        <v/>
      </c>
      <c r="H9" s="72">
        <f>IF($G$4="Hours",ROUND(SUMIFS(tblVideos[Length],tblVideos[Day],"&gt;="&amp;DATE($B9,6,1),tblVideos[Day],"&lt;"&amp;DATE($B9,7,1),tblVideos[Channel ID],$T$4)*24,0),COUNTIFS(tblVideos[Day],"&gt;="&amp;DATE($B9,6,1),tblVideos[Day],"&lt;"&amp;DATE($B9,7,1),tblVideos[Channel ID],$T$4))</f>
        <v/>
      </c>
      <c r="I9" s="72">
        <f>IF($G$4="Hours",ROUND(SUMIFS(tblVideos[Length],tblVideos[Day],"&gt;="&amp;DATE($B9,7,1),tblVideos[Day],"&lt;"&amp;DATE($B9,8,1),tblVideos[Channel ID],$T$4)*24,0),COUNTIFS(tblVideos[Day],"&gt;="&amp;DATE($B9,7,1),tblVideos[Day],"&lt;"&amp;DATE($B9,8,1),tblVideos[Channel ID],$T$4))</f>
        <v/>
      </c>
      <c r="J9" s="72">
        <f>IF($G$4="Hours",ROUND(SUMIFS(tblVideos[Length],tblVideos[Day],"&gt;="&amp;DATE($B9,8,1),tblVideos[Day],"&lt;"&amp;DATE($B9,9,1),tblVideos[Channel ID],$T$4)*24,0),COUNTIFS(tblVideos[Day],"&gt;="&amp;DATE($B9,8,1),tblVideos[Day],"&lt;"&amp;DATE($B9,9,1),tblVideos[Channel ID],$T$4))</f>
        <v/>
      </c>
      <c r="K9" s="72">
        <f>IF($G$4="Hours",ROUND(SUMIFS(tblVideos[Length],tblVideos[Day],"&gt;="&amp;DATE($B9,9,1),tblVideos[Day],"&lt;"&amp;DATE($B9,10,1),tblVideos[Channel ID],$T$4)*24,0),COUNTIFS(tblVideos[Day],"&gt;="&amp;DATE($B9,9,1),tblVideos[Day],"&lt;"&amp;DATE($B9,10,1),tblVideos[Channel ID],$T$4))</f>
        <v/>
      </c>
      <c r="L9" s="72">
        <f>IF($G$4="Hours",ROUND(SUMIFS(tblVideos[Length],tblVideos[Day],"&gt;="&amp;DATE($B9,10,1),tblVideos[Day],"&lt;"&amp;DATE($B9,11,1),tblVideos[Channel ID],$T$4)*24,0),COUNTIFS(tblVideos[Day],"&gt;="&amp;DATE($B9,10,1),tblVideos[Day],"&lt;"&amp;DATE($B9,11,1),tblVideos[Channel ID],$T$4))</f>
        <v/>
      </c>
      <c r="M9" s="72">
        <f>IF($G$4="Hours",ROUND(SUMIFS(tblVideos[Length],tblVideos[Day],"&gt;="&amp;DATE($B9,11,1),tblVideos[Day],"&lt;"&amp;DATE($B9,12,1),tblVideos[Channel ID],$T$4)*24,0),COUNTIFS(tblVideos[Day],"&gt;="&amp;DATE($B9,11,1),tblVideos[Day],"&lt;"&amp;DATE($B9,12,1),tblVideos[Channel ID],$T$4))</f>
        <v/>
      </c>
      <c r="N9" s="72">
        <f>IF($G$4="Hours",ROUND(SUMIFS(tblVideos[Length],tblVideos[Day],"&gt;="&amp;DATE($B9,12,1),tblVideos[Day],"&lt;"&amp;DATE($B9,13,1),tblVideos[Channel ID],$T$4)*24,0),COUNTIFS(tblVideos[Day],"&gt;="&amp;DATE($B9,12,1),tblVideos[Day],"&lt;"&amp;DATE($B9,13,1),tblVideos[Channel ID],$T$4))</f>
        <v/>
      </c>
      <c r="O9" s="26">
        <f>SUM(C9:N9)</f>
        <v/>
      </c>
    </row>
    <row r="10">
      <c r="B10" s="71" t="n">
        <v>2014</v>
      </c>
      <c r="C10" s="72">
        <f>IF($G$4="Hours",ROUND(SUMIFS(tblVideos[Length],tblVideos[Day],"&gt;="&amp;DATE($B10,1,1),tblVideos[Day],"&lt;"&amp;DATE($B10,2,1),tblVideos[Channel ID],$T$4)*24,0),COUNTIFS(tblVideos[Day],"&gt;="&amp;DATE($B10,1,1),tblVideos[Day],"&lt;"&amp;DATE($B10,2,1),tblVideos[Channel ID],$T$4))</f>
        <v/>
      </c>
      <c r="D10" s="72">
        <f>IF($G$4="Hours",ROUND(SUMIFS(tblVideos[Length],tblVideos[Day],"&gt;="&amp;DATE($B10,2,1),tblVideos[Day],"&lt;"&amp;DATE($B10,3,1),tblVideos[Channel ID],$T$4)*24,0),COUNTIFS(tblVideos[Day],"&gt;="&amp;DATE($B10,2,1),tblVideos[Day],"&lt;"&amp;DATE($B10,3,1),tblVideos[Channel ID],$T$4))</f>
        <v/>
      </c>
      <c r="E10" s="72">
        <f>IF($G$4="Hours",ROUND(SUMIFS(tblVideos[Length],tblVideos[Day],"&gt;="&amp;DATE($B10,3,1),tblVideos[Day],"&lt;"&amp;DATE($B10,4,1),tblVideos[Channel ID],$T$4)*24,0),COUNTIFS(tblVideos[Day],"&gt;="&amp;DATE($B10,3,1),tblVideos[Day],"&lt;"&amp;DATE($B10,4,1),tblVideos[Channel ID],$T$4))</f>
        <v/>
      </c>
      <c r="F10" s="72">
        <f>IF($G$4="Hours",ROUND(SUMIFS(tblVideos[Length],tblVideos[Day],"&gt;="&amp;DATE($B10,4,1),tblVideos[Day],"&lt;"&amp;DATE($B10,5,1),tblVideos[Channel ID],$T$4)*24,0),COUNTIFS(tblVideos[Day],"&gt;="&amp;DATE($B10,4,1),tblVideos[Day],"&lt;"&amp;DATE($B10,5,1),tblVideos[Channel ID],$T$4))</f>
        <v/>
      </c>
      <c r="G10" s="72">
        <f>IF($G$4="Hours",ROUND(SUMIFS(tblVideos[Length],tblVideos[Day],"&gt;="&amp;DATE($B10,5,1),tblVideos[Day],"&lt;"&amp;DATE($B10,6,1),tblVideos[Channel ID],$T$4)*24,0),COUNTIFS(tblVideos[Day],"&gt;="&amp;DATE($B10,5,1),tblVideos[Day],"&lt;"&amp;DATE($B10,6,1),tblVideos[Channel ID],$T$4))</f>
        <v/>
      </c>
      <c r="H10" s="72">
        <f>IF($G$4="Hours",ROUND(SUMIFS(tblVideos[Length],tblVideos[Day],"&gt;="&amp;DATE($B10,6,1),tblVideos[Day],"&lt;"&amp;DATE($B10,7,1),tblVideos[Channel ID],$T$4)*24,0),COUNTIFS(tblVideos[Day],"&gt;="&amp;DATE($B10,6,1),tblVideos[Day],"&lt;"&amp;DATE($B10,7,1),tblVideos[Channel ID],$T$4))</f>
        <v/>
      </c>
      <c r="I10" s="72">
        <f>IF($G$4="Hours",ROUND(SUMIFS(tblVideos[Length],tblVideos[Day],"&gt;="&amp;DATE($B10,7,1),tblVideos[Day],"&lt;"&amp;DATE($B10,8,1),tblVideos[Channel ID],$T$4)*24,0),COUNTIFS(tblVideos[Day],"&gt;="&amp;DATE($B10,7,1),tblVideos[Day],"&lt;"&amp;DATE($B10,8,1),tblVideos[Channel ID],$T$4))</f>
        <v/>
      </c>
      <c r="J10" s="72">
        <f>IF($G$4="Hours",ROUND(SUMIFS(tblVideos[Length],tblVideos[Day],"&gt;="&amp;DATE($B10,8,1),tblVideos[Day],"&lt;"&amp;DATE($B10,9,1),tblVideos[Channel ID],$T$4)*24,0),COUNTIFS(tblVideos[Day],"&gt;="&amp;DATE($B10,8,1),tblVideos[Day],"&lt;"&amp;DATE($B10,9,1),tblVideos[Channel ID],$T$4))</f>
        <v/>
      </c>
      <c r="K10" s="72">
        <f>IF($G$4="Hours",ROUND(SUMIFS(tblVideos[Length],tblVideos[Day],"&gt;="&amp;DATE($B10,9,1),tblVideos[Day],"&lt;"&amp;DATE($B10,10,1),tblVideos[Channel ID],$T$4)*24,0),COUNTIFS(tblVideos[Day],"&gt;="&amp;DATE($B10,9,1),tblVideos[Day],"&lt;"&amp;DATE($B10,10,1),tblVideos[Channel ID],$T$4))</f>
        <v/>
      </c>
      <c r="L10" s="72">
        <f>IF($G$4="Hours",ROUND(SUMIFS(tblVideos[Length],tblVideos[Day],"&gt;="&amp;DATE($B10,10,1),tblVideos[Day],"&lt;"&amp;DATE($B10,11,1),tblVideos[Channel ID],$T$4)*24,0),COUNTIFS(tblVideos[Day],"&gt;="&amp;DATE($B10,10,1),tblVideos[Day],"&lt;"&amp;DATE($B10,11,1),tblVideos[Channel ID],$T$4))</f>
        <v/>
      </c>
      <c r="M10" s="72">
        <f>IF($G$4="Hours",ROUND(SUMIFS(tblVideos[Length],tblVideos[Day],"&gt;="&amp;DATE($B10,11,1),tblVideos[Day],"&lt;"&amp;DATE($B10,12,1),tblVideos[Channel ID],$T$4)*24,0),COUNTIFS(tblVideos[Day],"&gt;="&amp;DATE($B10,11,1),tblVideos[Day],"&lt;"&amp;DATE($B10,12,1),tblVideos[Channel ID],$T$4))</f>
        <v/>
      </c>
      <c r="N10" s="72">
        <f>IF($G$4="Hours",ROUND(SUMIFS(tblVideos[Length],tblVideos[Day],"&gt;="&amp;DATE($B10,12,1),tblVideos[Day],"&lt;"&amp;DATE($B10,13,1),tblVideos[Channel ID],$T$4)*24,0),COUNTIFS(tblVideos[Day],"&gt;="&amp;DATE($B10,12,1),tblVideos[Day],"&lt;"&amp;DATE($B10,13,1),tblVideos[Channel ID],$T$4))</f>
        <v/>
      </c>
      <c r="O10" s="26">
        <f>SUM(C10:N10)</f>
        <v/>
      </c>
    </row>
    <row r="11">
      <c r="B11" s="71" t="n">
        <v>2015</v>
      </c>
      <c r="C11" s="72">
        <f>IF($G$4="Hours",ROUND(SUMIFS(tblVideos[Length],tblVideos[Day],"&gt;="&amp;DATE($B11,1,1),tblVideos[Day],"&lt;"&amp;DATE($B11,2,1),tblVideos[Channel ID],$T$4)*24,0),COUNTIFS(tblVideos[Day],"&gt;="&amp;DATE($B11,1,1),tblVideos[Day],"&lt;"&amp;DATE($B11,2,1),tblVideos[Channel ID],$T$4))</f>
        <v/>
      </c>
      <c r="D11" s="72">
        <f>IF($G$4="Hours",ROUND(SUMIFS(tblVideos[Length],tblVideos[Day],"&gt;="&amp;DATE($B11,2,1),tblVideos[Day],"&lt;"&amp;DATE($B11,3,1),tblVideos[Channel ID],$T$4)*24,0),COUNTIFS(tblVideos[Day],"&gt;="&amp;DATE($B11,2,1),tblVideos[Day],"&lt;"&amp;DATE($B11,3,1),tblVideos[Channel ID],$T$4))</f>
        <v/>
      </c>
      <c r="E11" s="72">
        <f>IF($G$4="Hours",ROUND(SUMIFS(tblVideos[Length],tblVideos[Day],"&gt;="&amp;DATE($B11,3,1),tblVideos[Day],"&lt;"&amp;DATE($B11,4,1),tblVideos[Channel ID],$T$4)*24,0),COUNTIFS(tblVideos[Day],"&gt;="&amp;DATE($B11,3,1),tblVideos[Day],"&lt;"&amp;DATE($B11,4,1),tblVideos[Channel ID],$T$4))</f>
        <v/>
      </c>
      <c r="F11" s="72">
        <f>IF($G$4="Hours",ROUND(SUMIFS(tblVideos[Length],tblVideos[Day],"&gt;="&amp;DATE($B11,4,1),tblVideos[Day],"&lt;"&amp;DATE($B11,5,1),tblVideos[Channel ID],$T$4)*24,0),COUNTIFS(tblVideos[Day],"&gt;="&amp;DATE($B11,4,1),tblVideos[Day],"&lt;"&amp;DATE($B11,5,1),tblVideos[Channel ID],$T$4))</f>
        <v/>
      </c>
      <c r="G11" s="72">
        <f>IF($G$4="Hours",ROUND(SUMIFS(tblVideos[Length],tblVideos[Day],"&gt;="&amp;DATE($B11,5,1),tblVideos[Day],"&lt;"&amp;DATE($B11,6,1),tblVideos[Channel ID],$T$4)*24,0),COUNTIFS(tblVideos[Day],"&gt;="&amp;DATE($B11,5,1),tblVideos[Day],"&lt;"&amp;DATE($B11,6,1),tblVideos[Channel ID],$T$4))</f>
        <v/>
      </c>
      <c r="H11" s="72">
        <f>IF($G$4="Hours",ROUND(SUMIFS(tblVideos[Length],tblVideos[Day],"&gt;="&amp;DATE($B11,6,1),tblVideos[Day],"&lt;"&amp;DATE($B11,7,1),tblVideos[Channel ID],$T$4)*24,0),COUNTIFS(tblVideos[Day],"&gt;="&amp;DATE($B11,6,1),tblVideos[Day],"&lt;"&amp;DATE($B11,7,1),tblVideos[Channel ID],$T$4))</f>
        <v/>
      </c>
      <c r="I11" s="72">
        <f>IF($G$4="Hours",ROUND(SUMIFS(tblVideos[Length],tblVideos[Day],"&gt;="&amp;DATE($B11,7,1),tblVideos[Day],"&lt;"&amp;DATE($B11,8,1),tblVideos[Channel ID],$T$4)*24,0),COUNTIFS(tblVideos[Day],"&gt;="&amp;DATE($B11,7,1),tblVideos[Day],"&lt;"&amp;DATE($B11,8,1),tblVideos[Channel ID],$T$4))</f>
        <v/>
      </c>
      <c r="J11" s="72">
        <f>IF($G$4="Hours",ROUND(SUMIFS(tblVideos[Length],tblVideos[Day],"&gt;="&amp;DATE($B11,8,1),tblVideos[Day],"&lt;"&amp;DATE($B11,9,1),tblVideos[Channel ID],$T$4)*24,0),COUNTIFS(tblVideos[Day],"&gt;="&amp;DATE($B11,8,1),tblVideos[Day],"&lt;"&amp;DATE($B11,9,1),tblVideos[Channel ID],$T$4))</f>
        <v/>
      </c>
      <c r="K11" s="72">
        <f>IF($G$4="Hours",ROUND(SUMIFS(tblVideos[Length],tblVideos[Day],"&gt;="&amp;DATE($B11,9,1),tblVideos[Day],"&lt;"&amp;DATE($B11,10,1),tblVideos[Channel ID],$T$4)*24,0),COUNTIFS(tblVideos[Day],"&gt;="&amp;DATE($B11,9,1),tblVideos[Day],"&lt;"&amp;DATE($B11,10,1),tblVideos[Channel ID],$T$4))</f>
        <v/>
      </c>
      <c r="L11" s="72">
        <f>IF($G$4="Hours",ROUND(SUMIFS(tblVideos[Length],tblVideos[Day],"&gt;="&amp;DATE($B11,10,1),tblVideos[Day],"&lt;"&amp;DATE($B11,11,1),tblVideos[Channel ID],$T$4)*24,0),COUNTIFS(tblVideos[Day],"&gt;="&amp;DATE($B11,10,1),tblVideos[Day],"&lt;"&amp;DATE($B11,11,1),tblVideos[Channel ID],$T$4))</f>
        <v/>
      </c>
      <c r="M11" s="72">
        <f>IF($G$4="Hours",ROUND(SUMIFS(tblVideos[Length],tblVideos[Day],"&gt;="&amp;DATE($B11,11,1),tblVideos[Day],"&lt;"&amp;DATE($B11,12,1),tblVideos[Channel ID],$T$4)*24,0),COUNTIFS(tblVideos[Day],"&gt;="&amp;DATE($B11,11,1),tblVideos[Day],"&lt;"&amp;DATE($B11,12,1),tblVideos[Channel ID],$T$4))</f>
        <v/>
      </c>
      <c r="N11" s="72">
        <f>IF($G$4="Hours",ROUND(SUMIFS(tblVideos[Length],tblVideos[Day],"&gt;="&amp;DATE($B11,12,1),tblVideos[Day],"&lt;"&amp;DATE($B11,13,1),tblVideos[Channel ID],$T$4)*24,0),COUNTIFS(tblVideos[Day],"&gt;="&amp;DATE($B11,12,1),tblVideos[Day],"&lt;"&amp;DATE($B11,13,1),tblVideos[Channel ID],$T$4))</f>
        <v/>
      </c>
      <c r="O11" s="26">
        <f>SUM(C11:N11)</f>
        <v/>
      </c>
    </row>
    <row r="12">
      <c r="B12" s="71" t="n">
        <v>2016</v>
      </c>
      <c r="C12" s="72">
        <f>IF($G$4="Hours",ROUND(SUMIFS(tblVideos[Length],tblVideos[Day],"&gt;="&amp;DATE($B12,1,1),tblVideos[Day],"&lt;"&amp;DATE($B12,2,1),tblVideos[Channel ID],$T$4)*24,0),COUNTIFS(tblVideos[Day],"&gt;="&amp;DATE($B12,1,1),tblVideos[Day],"&lt;"&amp;DATE($B12,2,1),tblVideos[Channel ID],$T$4))</f>
        <v/>
      </c>
      <c r="D12" s="72">
        <f>IF($G$4="Hours",ROUND(SUMIFS(tblVideos[Length],tblVideos[Day],"&gt;="&amp;DATE($B12,2,1),tblVideos[Day],"&lt;"&amp;DATE($B12,3,1),tblVideos[Channel ID],$T$4)*24,0),COUNTIFS(tblVideos[Day],"&gt;="&amp;DATE($B12,2,1),tblVideos[Day],"&lt;"&amp;DATE($B12,3,1),tblVideos[Channel ID],$T$4))</f>
        <v/>
      </c>
      <c r="E12" s="72">
        <f>IF($G$4="Hours",ROUND(SUMIFS(tblVideos[Length],tblVideos[Day],"&gt;="&amp;DATE($B12,3,1),tblVideos[Day],"&lt;"&amp;DATE($B12,4,1),tblVideos[Channel ID],$T$4)*24,0),COUNTIFS(tblVideos[Day],"&gt;="&amp;DATE($B12,3,1),tblVideos[Day],"&lt;"&amp;DATE($B12,4,1),tblVideos[Channel ID],$T$4))</f>
        <v/>
      </c>
      <c r="F12" s="72">
        <f>IF($G$4="Hours",ROUND(SUMIFS(tblVideos[Length],tblVideos[Day],"&gt;="&amp;DATE($B12,4,1),tblVideos[Day],"&lt;"&amp;DATE($B12,5,1),tblVideos[Channel ID],$T$4)*24,0),COUNTIFS(tblVideos[Day],"&gt;="&amp;DATE($B12,4,1),tblVideos[Day],"&lt;"&amp;DATE($B12,5,1),tblVideos[Channel ID],$T$4))</f>
        <v/>
      </c>
      <c r="G12" s="72">
        <f>IF($G$4="Hours",ROUND(SUMIFS(tblVideos[Length],tblVideos[Day],"&gt;="&amp;DATE($B12,5,1),tblVideos[Day],"&lt;"&amp;DATE($B12,6,1),tblVideos[Channel ID],$T$4)*24,0),COUNTIFS(tblVideos[Day],"&gt;="&amp;DATE($B12,5,1),tblVideos[Day],"&lt;"&amp;DATE($B12,6,1),tblVideos[Channel ID],$T$4))</f>
        <v/>
      </c>
      <c r="H12" s="72">
        <f>IF($G$4="Hours",ROUND(SUMIFS(tblVideos[Length],tblVideos[Day],"&gt;="&amp;DATE($B12,6,1),tblVideos[Day],"&lt;"&amp;DATE($B12,7,1),tblVideos[Channel ID],$T$4)*24,0),COUNTIFS(tblVideos[Day],"&gt;="&amp;DATE($B12,6,1),tblVideos[Day],"&lt;"&amp;DATE($B12,7,1),tblVideos[Channel ID],$T$4))</f>
        <v/>
      </c>
      <c r="I12" s="72">
        <f>IF($G$4="Hours",ROUND(SUMIFS(tblVideos[Length],tblVideos[Day],"&gt;="&amp;DATE($B12,7,1),tblVideos[Day],"&lt;"&amp;DATE($B12,8,1),tblVideos[Channel ID],$T$4)*24,0),COUNTIFS(tblVideos[Day],"&gt;="&amp;DATE($B12,7,1),tblVideos[Day],"&lt;"&amp;DATE($B12,8,1),tblVideos[Channel ID],$T$4))</f>
        <v/>
      </c>
      <c r="J12" s="72">
        <f>IF($G$4="Hours",ROUND(SUMIFS(tblVideos[Length],tblVideos[Day],"&gt;="&amp;DATE($B12,8,1),tblVideos[Day],"&lt;"&amp;DATE($B12,9,1),tblVideos[Channel ID],$T$4)*24,0),COUNTIFS(tblVideos[Day],"&gt;="&amp;DATE($B12,8,1),tblVideos[Day],"&lt;"&amp;DATE($B12,9,1),tblVideos[Channel ID],$T$4))</f>
        <v/>
      </c>
      <c r="K12" s="72">
        <f>IF($G$4="Hours",ROUND(SUMIFS(tblVideos[Length],tblVideos[Day],"&gt;="&amp;DATE($B12,9,1),tblVideos[Day],"&lt;"&amp;DATE($B12,10,1),tblVideos[Channel ID],$T$4)*24,0),COUNTIFS(tblVideos[Day],"&gt;="&amp;DATE($B12,9,1),tblVideos[Day],"&lt;"&amp;DATE($B12,10,1),tblVideos[Channel ID],$T$4))</f>
        <v/>
      </c>
      <c r="L12" s="72">
        <f>IF($G$4="Hours",ROUND(SUMIFS(tblVideos[Length],tblVideos[Day],"&gt;="&amp;DATE($B12,10,1),tblVideos[Day],"&lt;"&amp;DATE($B12,11,1),tblVideos[Channel ID],$T$4)*24,0),COUNTIFS(tblVideos[Day],"&gt;="&amp;DATE($B12,10,1),tblVideos[Day],"&lt;"&amp;DATE($B12,11,1),tblVideos[Channel ID],$T$4))</f>
        <v/>
      </c>
      <c r="M12" s="72">
        <f>IF($G$4="Hours",ROUND(SUMIFS(tblVideos[Length],tblVideos[Day],"&gt;="&amp;DATE($B12,11,1),tblVideos[Day],"&lt;"&amp;DATE($B12,12,1),tblVideos[Channel ID],$T$4)*24,0),COUNTIFS(tblVideos[Day],"&gt;="&amp;DATE($B12,11,1),tblVideos[Day],"&lt;"&amp;DATE($B12,12,1),tblVideos[Channel ID],$T$4))</f>
        <v/>
      </c>
      <c r="N12" s="72">
        <f>IF($G$4="Hours",ROUND(SUMIFS(tblVideos[Length],tblVideos[Day],"&gt;="&amp;DATE($B12,12,1),tblVideos[Day],"&lt;"&amp;DATE($B12,13,1),tblVideos[Channel ID],$T$4)*24,0),COUNTIFS(tblVideos[Day],"&gt;="&amp;DATE($B12,12,1),tblVideos[Day],"&lt;"&amp;DATE($B12,13,1),tblVideos[Channel ID],$T$4))</f>
        <v/>
      </c>
      <c r="O12" s="26">
        <f>SUM(C12:N12)</f>
        <v/>
      </c>
    </row>
    <row r="13">
      <c r="B13" s="71" t="n">
        <v>2017</v>
      </c>
      <c r="C13" s="72">
        <f>IF($G$4="Hours",ROUND(SUMIFS(tblVideos[Length],tblVideos[Day],"&gt;="&amp;DATE($B13,1,1),tblVideos[Day],"&lt;"&amp;DATE($B13,2,1),tblVideos[Channel ID],$T$4)*24,0),COUNTIFS(tblVideos[Day],"&gt;="&amp;DATE($B13,1,1),tblVideos[Day],"&lt;"&amp;DATE($B13,2,1),tblVideos[Channel ID],$T$4))</f>
        <v/>
      </c>
      <c r="D13" s="72">
        <f>IF($G$4="Hours",ROUND(SUMIFS(tblVideos[Length],tblVideos[Day],"&gt;="&amp;DATE($B13,2,1),tblVideos[Day],"&lt;"&amp;DATE($B13,3,1),tblVideos[Channel ID],$T$4)*24,0),COUNTIFS(tblVideos[Day],"&gt;="&amp;DATE($B13,2,1),tblVideos[Day],"&lt;"&amp;DATE($B13,3,1),tblVideos[Channel ID],$T$4))</f>
        <v/>
      </c>
      <c r="E13" s="72">
        <f>IF($G$4="Hours",ROUND(SUMIFS(tblVideos[Length],tblVideos[Day],"&gt;="&amp;DATE($B13,3,1),tblVideos[Day],"&lt;"&amp;DATE($B13,4,1),tblVideos[Channel ID],$T$4)*24,0),COUNTIFS(tblVideos[Day],"&gt;="&amp;DATE($B13,3,1),tblVideos[Day],"&lt;"&amp;DATE($B13,4,1),tblVideos[Channel ID],$T$4))</f>
        <v/>
      </c>
      <c r="F13" s="72">
        <f>IF($G$4="Hours",ROUND(SUMIFS(tblVideos[Length],tblVideos[Day],"&gt;="&amp;DATE($B13,4,1),tblVideos[Day],"&lt;"&amp;DATE($B13,5,1),tblVideos[Channel ID],$T$4)*24,0),COUNTIFS(tblVideos[Day],"&gt;="&amp;DATE($B13,4,1),tblVideos[Day],"&lt;"&amp;DATE($B13,5,1),tblVideos[Channel ID],$T$4))</f>
        <v/>
      </c>
      <c r="G13" s="72">
        <f>IF($G$4="Hours",ROUND(SUMIFS(tblVideos[Length],tblVideos[Day],"&gt;="&amp;DATE($B13,5,1),tblVideos[Day],"&lt;"&amp;DATE($B13,6,1),tblVideos[Channel ID],$T$4)*24,0),COUNTIFS(tblVideos[Day],"&gt;="&amp;DATE($B13,5,1),tblVideos[Day],"&lt;"&amp;DATE($B13,6,1),tblVideos[Channel ID],$T$4))</f>
        <v/>
      </c>
      <c r="H13" s="72">
        <f>IF($G$4="Hours",ROUND(SUMIFS(tblVideos[Length],tblVideos[Day],"&gt;="&amp;DATE($B13,6,1),tblVideos[Day],"&lt;"&amp;DATE($B13,7,1),tblVideos[Channel ID],$T$4)*24,0),COUNTIFS(tblVideos[Day],"&gt;="&amp;DATE($B13,6,1),tblVideos[Day],"&lt;"&amp;DATE($B13,7,1),tblVideos[Channel ID],$T$4))</f>
        <v/>
      </c>
      <c r="I13" s="72">
        <f>IF($G$4="Hours",ROUND(SUMIFS(tblVideos[Length],tblVideos[Day],"&gt;="&amp;DATE($B13,7,1),tblVideos[Day],"&lt;"&amp;DATE($B13,8,1),tblVideos[Channel ID],$T$4)*24,0),COUNTIFS(tblVideos[Day],"&gt;="&amp;DATE($B13,7,1),tblVideos[Day],"&lt;"&amp;DATE($B13,8,1),tblVideos[Channel ID],$T$4))</f>
        <v/>
      </c>
      <c r="J13" s="72">
        <f>IF($G$4="Hours",ROUND(SUMIFS(tblVideos[Length],tblVideos[Day],"&gt;="&amp;DATE($B13,8,1),tblVideos[Day],"&lt;"&amp;DATE($B13,9,1),tblVideos[Channel ID],$T$4)*24,0),COUNTIFS(tblVideos[Day],"&gt;="&amp;DATE($B13,8,1),tblVideos[Day],"&lt;"&amp;DATE($B13,9,1),tblVideos[Channel ID],$T$4))</f>
        <v/>
      </c>
      <c r="K13" s="72">
        <f>IF($G$4="Hours",ROUND(SUMIFS(tblVideos[Length],tblVideos[Day],"&gt;="&amp;DATE($B13,9,1),tblVideos[Day],"&lt;"&amp;DATE($B13,10,1),tblVideos[Channel ID],$T$4)*24,0),COUNTIFS(tblVideos[Day],"&gt;="&amp;DATE($B13,9,1),tblVideos[Day],"&lt;"&amp;DATE($B13,10,1),tblVideos[Channel ID],$T$4))</f>
        <v/>
      </c>
      <c r="L13" s="72">
        <f>IF($G$4="Hours",ROUND(SUMIFS(tblVideos[Length],tblVideos[Day],"&gt;="&amp;DATE($B13,10,1),tblVideos[Day],"&lt;"&amp;DATE($B13,11,1),tblVideos[Channel ID],$T$4)*24,0),COUNTIFS(tblVideos[Day],"&gt;="&amp;DATE($B13,10,1),tblVideos[Day],"&lt;"&amp;DATE($B13,11,1),tblVideos[Channel ID],$T$4))</f>
        <v/>
      </c>
      <c r="M13" s="72">
        <f>IF($G$4="Hours",ROUND(SUMIFS(tblVideos[Length],tblVideos[Day],"&gt;="&amp;DATE($B13,11,1),tblVideos[Day],"&lt;"&amp;DATE($B13,12,1),tblVideos[Channel ID],$T$4)*24,0),COUNTIFS(tblVideos[Day],"&gt;="&amp;DATE($B13,11,1),tblVideos[Day],"&lt;"&amp;DATE($B13,12,1),tblVideos[Channel ID],$T$4))</f>
        <v/>
      </c>
      <c r="N13" s="72">
        <f>IF($G$4="Hours",ROUND(SUMIFS(tblVideos[Length],tblVideos[Day],"&gt;="&amp;DATE($B13,12,1),tblVideos[Day],"&lt;"&amp;DATE($B13,13,1),tblVideos[Channel ID],$T$4)*24,0),COUNTIFS(tblVideos[Day],"&gt;="&amp;DATE($B13,12,1),tblVideos[Day],"&lt;"&amp;DATE($B13,13,1),tblVideos[Channel ID],$T$4))</f>
        <v/>
      </c>
      <c r="O13" s="26">
        <f>SUM(C13:N13)</f>
        <v/>
      </c>
    </row>
    <row r="14">
      <c r="B14" s="71" t="n">
        <v>2018</v>
      </c>
      <c r="C14" s="72">
        <f>IF($G$4="Hours",ROUND(SUMIFS(tblVideos[Length],tblVideos[Day],"&gt;="&amp;DATE($B14,1,1),tblVideos[Day],"&lt;"&amp;DATE($B14,2,1),tblVideos[Channel ID],$T$4)*24,0),COUNTIFS(tblVideos[Day],"&gt;="&amp;DATE($B14,1,1),tblVideos[Day],"&lt;"&amp;DATE($B14,2,1),tblVideos[Channel ID],$T$4))</f>
        <v/>
      </c>
      <c r="D14" s="72">
        <f>IF($G$4="Hours",ROUND(SUMIFS(tblVideos[Length],tblVideos[Day],"&gt;="&amp;DATE($B14,2,1),tblVideos[Day],"&lt;"&amp;DATE($B14,3,1),tblVideos[Channel ID],$T$4)*24,0),COUNTIFS(tblVideos[Day],"&gt;="&amp;DATE($B14,2,1),tblVideos[Day],"&lt;"&amp;DATE($B14,3,1),tblVideos[Channel ID],$T$4))</f>
        <v/>
      </c>
      <c r="E14" s="72">
        <f>IF($G$4="Hours",ROUND(SUMIFS(tblVideos[Length],tblVideos[Day],"&gt;="&amp;DATE($B14,3,1),tblVideos[Day],"&lt;"&amp;DATE($B14,4,1),tblVideos[Channel ID],$T$4)*24,0),COUNTIFS(tblVideos[Day],"&gt;="&amp;DATE($B14,3,1),tblVideos[Day],"&lt;"&amp;DATE($B14,4,1),tblVideos[Channel ID],$T$4))</f>
        <v/>
      </c>
      <c r="F14" s="72">
        <f>IF($G$4="Hours",ROUND(SUMIFS(tblVideos[Length],tblVideos[Day],"&gt;="&amp;DATE($B14,4,1),tblVideos[Day],"&lt;"&amp;DATE($B14,5,1),tblVideos[Channel ID],$T$4)*24,0),COUNTIFS(tblVideos[Day],"&gt;="&amp;DATE($B14,4,1),tblVideos[Day],"&lt;"&amp;DATE($B14,5,1),tblVideos[Channel ID],$T$4))</f>
        <v/>
      </c>
      <c r="G14" s="72">
        <f>IF($G$4="Hours",ROUND(SUMIFS(tblVideos[Length],tblVideos[Day],"&gt;="&amp;DATE($B14,5,1),tblVideos[Day],"&lt;"&amp;DATE($B14,6,1),tblVideos[Channel ID],$T$4)*24,0),COUNTIFS(tblVideos[Day],"&gt;="&amp;DATE($B14,5,1),tblVideos[Day],"&lt;"&amp;DATE($B14,6,1),tblVideos[Channel ID],$T$4))</f>
        <v/>
      </c>
      <c r="H14" s="72">
        <f>IF($G$4="Hours",ROUND(SUMIFS(tblVideos[Length],tblVideos[Day],"&gt;="&amp;DATE($B14,6,1),tblVideos[Day],"&lt;"&amp;DATE($B14,7,1),tblVideos[Channel ID],$T$4)*24,0),COUNTIFS(tblVideos[Day],"&gt;="&amp;DATE($B14,6,1),tblVideos[Day],"&lt;"&amp;DATE($B14,7,1),tblVideos[Channel ID],$T$4))</f>
        <v/>
      </c>
      <c r="I14" s="72">
        <f>IF($G$4="Hours",ROUND(SUMIFS(tblVideos[Length],tblVideos[Day],"&gt;="&amp;DATE($B14,7,1),tblVideos[Day],"&lt;"&amp;DATE($B14,8,1),tblVideos[Channel ID],$T$4)*24,0),COUNTIFS(tblVideos[Day],"&gt;="&amp;DATE($B14,7,1),tblVideos[Day],"&lt;"&amp;DATE($B14,8,1),tblVideos[Channel ID],$T$4))</f>
        <v/>
      </c>
      <c r="J14" s="72">
        <f>IF($G$4="Hours",ROUND(SUMIFS(tblVideos[Length],tblVideos[Day],"&gt;="&amp;DATE($B14,8,1),tblVideos[Day],"&lt;"&amp;DATE($B14,9,1),tblVideos[Channel ID],$T$4)*24,0),COUNTIFS(tblVideos[Day],"&gt;="&amp;DATE($B14,8,1),tblVideos[Day],"&lt;"&amp;DATE($B14,9,1),tblVideos[Channel ID],$T$4))</f>
        <v/>
      </c>
      <c r="K14" s="72">
        <f>IF($G$4="Hours",ROUND(SUMIFS(tblVideos[Length],tblVideos[Day],"&gt;="&amp;DATE($B14,9,1),tblVideos[Day],"&lt;"&amp;DATE($B14,10,1),tblVideos[Channel ID],$T$4)*24,0),COUNTIFS(tblVideos[Day],"&gt;="&amp;DATE($B14,9,1),tblVideos[Day],"&lt;"&amp;DATE($B14,10,1),tblVideos[Channel ID],$T$4))</f>
        <v/>
      </c>
      <c r="L14" s="72">
        <f>IF($G$4="Hours",ROUND(SUMIFS(tblVideos[Length],tblVideos[Day],"&gt;="&amp;DATE($B14,10,1),tblVideos[Day],"&lt;"&amp;DATE($B14,11,1),tblVideos[Channel ID],$T$4)*24,0),COUNTIFS(tblVideos[Day],"&gt;="&amp;DATE($B14,10,1),tblVideos[Day],"&lt;"&amp;DATE($B14,11,1),tblVideos[Channel ID],$T$4))</f>
        <v/>
      </c>
      <c r="M14" s="72">
        <f>IF($G$4="Hours",ROUND(SUMIFS(tblVideos[Length],tblVideos[Day],"&gt;="&amp;DATE($B14,11,1),tblVideos[Day],"&lt;"&amp;DATE($B14,12,1),tblVideos[Channel ID],$T$4)*24,0),COUNTIFS(tblVideos[Day],"&gt;="&amp;DATE($B14,11,1),tblVideos[Day],"&lt;"&amp;DATE($B14,12,1),tblVideos[Channel ID],$T$4))</f>
        <v/>
      </c>
      <c r="N14" s="72">
        <f>IF($G$4="Hours",ROUND(SUMIFS(tblVideos[Length],tblVideos[Day],"&gt;="&amp;DATE($B14,12,1),tblVideos[Day],"&lt;"&amp;DATE($B14,13,1),tblVideos[Channel ID],$T$4)*24,0),COUNTIFS(tblVideos[Day],"&gt;="&amp;DATE($B14,12,1),tblVideos[Day],"&lt;"&amp;DATE($B14,13,1),tblVideos[Channel ID],$T$4))</f>
        <v/>
      </c>
      <c r="O14" s="26">
        <f>SUM(C14:N14)</f>
        <v/>
      </c>
    </row>
    <row r="15">
      <c r="B15" s="71" t="n">
        <v>2019</v>
      </c>
      <c r="C15" s="72">
        <f>IF($G$4="Hours",ROUND(SUMIFS(tblVideos[Length],tblVideos[Day],"&gt;="&amp;DATE($B15,1,1),tblVideos[Day],"&lt;"&amp;DATE($B15,2,1),tblVideos[Channel ID],$T$4)*24,0),COUNTIFS(tblVideos[Day],"&gt;="&amp;DATE($B15,1,1),tblVideos[Day],"&lt;"&amp;DATE($B15,2,1),tblVideos[Channel ID],$T$4))</f>
        <v/>
      </c>
      <c r="D15" s="72">
        <f>IF($G$4="Hours",ROUND(SUMIFS(tblVideos[Length],tblVideos[Day],"&gt;="&amp;DATE($B15,2,1),tblVideos[Day],"&lt;"&amp;DATE($B15,3,1),tblVideos[Channel ID],$T$4)*24,0),COUNTIFS(tblVideos[Day],"&gt;="&amp;DATE($B15,2,1),tblVideos[Day],"&lt;"&amp;DATE($B15,3,1),tblVideos[Channel ID],$T$4))</f>
        <v/>
      </c>
      <c r="E15" s="72">
        <f>IF($G$4="Hours",ROUND(SUMIFS(tblVideos[Length],tblVideos[Day],"&gt;="&amp;DATE($B15,3,1),tblVideos[Day],"&lt;"&amp;DATE($B15,4,1),tblVideos[Channel ID],$T$4)*24,0),COUNTIFS(tblVideos[Day],"&gt;="&amp;DATE($B15,3,1),tblVideos[Day],"&lt;"&amp;DATE($B15,4,1),tblVideos[Channel ID],$T$4))</f>
        <v/>
      </c>
      <c r="F15" s="72">
        <f>IF($G$4="Hours",ROUND(SUMIFS(tblVideos[Length],tblVideos[Day],"&gt;="&amp;DATE($B15,4,1),tblVideos[Day],"&lt;"&amp;DATE($B15,5,1),tblVideos[Channel ID],$T$4)*24,0),COUNTIFS(tblVideos[Day],"&gt;="&amp;DATE($B15,4,1),tblVideos[Day],"&lt;"&amp;DATE($B15,5,1),tblVideos[Channel ID],$T$4))</f>
        <v/>
      </c>
      <c r="G15" s="72">
        <f>IF($G$4="Hours",ROUND(SUMIFS(tblVideos[Length],tblVideos[Day],"&gt;="&amp;DATE($B15,5,1),tblVideos[Day],"&lt;"&amp;DATE($B15,6,1),tblVideos[Channel ID],$T$4)*24,0),COUNTIFS(tblVideos[Day],"&gt;="&amp;DATE($B15,5,1),tblVideos[Day],"&lt;"&amp;DATE($B15,6,1),tblVideos[Channel ID],$T$4))</f>
        <v/>
      </c>
      <c r="H15" s="72">
        <f>IF($G$4="Hours",ROUND(SUMIFS(tblVideos[Length],tblVideos[Day],"&gt;="&amp;DATE($B15,6,1),tblVideos[Day],"&lt;"&amp;DATE($B15,7,1),tblVideos[Channel ID],$T$4)*24,0),COUNTIFS(tblVideos[Day],"&gt;="&amp;DATE($B15,6,1),tblVideos[Day],"&lt;"&amp;DATE($B15,7,1),tblVideos[Channel ID],$T$4))</f>
        <v/>
      </c>
      <c r="I15" s="72">
        <f>IF($G$4="Hours",ROUND(SUMIFS(tblVideos[Length],tblVideos[Day],"&gt;="&amp;DATE($B15,7,1),tblVideos[Day],"&lt;"&amp;DATE($B15,8,1),tblVideos[Channel ID],$T$4)*24,0),COUNTIFS(tblVideos[Day],"&gt;="&amp;DATE($B15,7,1),tblVideos[Day],"&lt;"&amp;DATE($B15,8,1),tblVideos[Channel ID],$T$4))</f>
        <v/>
      </c>
      <c r="J15" s="72">
        <f>IF($G$4="Hours",ROUND(SUMIFS(tblVideos[Length],tblVideos[Day],"&gt;="&amp;DATE($B15,8,1),tblVideos[Day],"&lt;"&amp;DATE($B15,9,1),tblVideos[Channel ID],$T$4)*24,0),COUNTIFS(tblVideos[Day],"&gt;="&amp;DATE($B15,8,1),tblVideos[Day],"&lt;"&amp;DATE($B15,9,1),tblVideos[Channel ID],$T$4))</f>
        <v/>
      </c>
      <c r="K15" s="72">
        <f>IF($G$4="Hours",ROUND(SUMIFS(tblVideos[Length],tblVideos[Day],"&gt;="&amp;DATE($B15,9,1),tblVideos[Day],"&lt;"&amp;DATE($B15,10,1),tblVideos[Channel ID],$T$4)*24,0),COUNTIFS(tblVideos[Day],"&gt;="&amp;DATE($B15,9,1),tblVideos[Day],"&lt;"&amp;DATE($B15,10,1),tblVideos[Channel ID],$T$4))</f>
        <v/>
      </c>
      <c r="L15" s="72">
        <f>IF($G$4="Hours",ROUND(SUMIFS(tblVideos[Length],tblVideos[Day],"&gt;="&amp;DATE($B15,10,1),tblVideos[Day],"&lt;"&amp;DATE($B15,11,1),tblVideos[Channel ID],$T$4)*24,0),COUNTIFS(tblVideos[Day],"&gt;="&amp;DATE($B15,10,1),tblVideos[Day],"&lt;"&amp;DATE($B15,11,1),tblVideos[Channel ID],$T$4))</f>
        <v/>
      </c>
      <c r="M15" s="72">
        <f>IF($G$4="Hours",ROUND(SUMIFS(tblVideos[Length],tblVideos[Day],"&gt;="&amp;DATE($B15,11,1),tblVideos[Day],"&lt;"&amp;DATE($B15,12,1),tblVideos[Channel ID],$T$4)*24,0),COUNTIFS(tblVideos[Day],"&gt;="&amp;DATE($B15,11,1),tblVideos[Day],"&lt;"&amp;DATE($B15,12,1),tblVideos[Channel ID],$T$4))</f>
        <v/>
      </c>
      <c r="N15" s="72">
        <f>IF($G$4="Hours",ROUND(SUMIFS(tblVideos[Length],tblVideos[Day],"&gt;="&amp;DATE($B15,12,1),tblVideos[Day],"&lt;"&amp;DATE($B15,13,1),tblVideos[Channel ID],$T$4)*24,0),COUNTIFS(tblVideos[Day],"&gt;="&amp;DATE($B15,12,1),tblVideos[Day],"&lt;"&amp;DATE($B15,13,1),tblVideos[Channel ID],$T$4))</f>
        <v/>
      </c>
      <c r="O15" s="26">
        <f>SUM(C15:N15)</f>
        <v/>
      </c>
    </row>
    <row r="16">
      <c r="B16" s="71" t="n">
        <v>2020</v>
      </c>
      <c r="C16" s="72">
        <f>IF($G$4="Hours",ROUND(SUMIFS(tblVideos[Length],tblVideos[Day],"&gt;="&amp;DATE($B16,1,1),tblVideos[Day],"&lt;"&amp;DATE($B16,2,1),tblVideos[Channel ID],$T$4)*24,0),COUNTIFS(tblVideos[Day],"&gt;="&amp;DATE($B16,1,1),tblVideos[Day],"&lt;"&amp;DATE($B16,2,1),tblVideos[Channel ID],$T$4))</f>
        <v/>
      </c>
      <c r="D16" s="72">
        <f>IF($G$4="Hours",ROUND(SUMIFS(tblVideos[Length],tblVideos[Day],"&gt;="&amp;DATE($B16,2,1),tblVideos[Day],"&lt;"&amp;DATE($B16,3,1),tblVideos[Channel ID],$T$4)*24,0),COUNTIFS(tblVideos[Day],"&gt;="&amp;DATE($B16,2,1),tblVideos[Day],"&lt;"&amp;DATE($B16,3,1),tblVideos[Channel ID],$T$4))</f>
        <v/>
      </c>
      <c r="E16" s="72">
        <f>IF($G$4="Hours",ROUND(SUMIFS(tblVideos[Length],tblVideos[Day],"&gt;="&amp;DATE($B16,3,1),tblVideos[Day],"&lt;"&amp;DATE($B16,4,1),tblVideos[Channel ID],$T$4)*24,0),COUNTIFS(tblVideos[Day],"&gt;="&amp;DATE($B16,3,1),tblVideos[Day],"&lt;"&amp;DATE($B16,4,1),tblVideos[Channel ID],$T$4))</f>
        <v/>
      </c>
      <c r="F16" s="72">
        <f>IF($G$4="Hours",ROUND(SUMIFS(tblVideos[Length],tblVideos[Day],"&gt;="&amp;DATE($B16,4,1),tblVideos[Day],"&lt;"&amp;DATE($B16,5,1),tblVideos[Channel ID],$T$4)*24,0),COUNTIFS(tblVideos[Day],"&gt;="&amp;DATE($B16,4,1),tblVideos[Day],"&lt;"&amp;DATE($B16,5,1),tblVideos[Channel ID],$T$4))</f>
        <v/>
      </c>
      <c r="G16" s="72">
        <f>IF($G$4="Hours",ROUND(SUMIFS(tblVideos[Length],tblVideos[Day],"&gt;="&amp;DATE($B16,5,1),tblVideos[Day],"&lt;"&amp;DATE($B16,6,1),tblVideos[Channel ID],$T$4)*24,0),COUNTIFS(tblVideos[Day],"&gt;="&amp;DATE($B16,5,1),tblVideos[Day],"&lt;"&amp;DATE($B16,6,1),tblVideos[Channel ID],$T$4))</f>
        <v/>
      </c>
      <c r="H16" s="72">
        <f>IF($G$4="Hours",ROUND(SUMIFS(tblVideos[Length],tblVideos[Day],"&gt;="&amp;DATE($B16,6,1),tblVideos[Day],"&lt;"&amp;DATE($B16,7,1),tblVideos[Channel ID],$T$4)*24,0),COUNTIFS(tblVideos[Day],"&gt;="&amp;DATE($B16,6,1),tblVideos[Day],"&lt;"&amp;DATE($B16,7,1),tblVideos[Channel ID],$T$4))</f>
        <v/>
      </c>
      <c r="I16" s="72">
        <f>IF($G$4="Hours",ROUND(SUMIFS(tblVideos[Length],tblVideos[Day],"&gt;="&amp;DATE($B16,7,1),tblVideos[Day],"&lt;"&amp;DATE($B16,8,1),tblVideos[Channel ID],$T$4)*24,0),COUNTIFS(tblVideos[Day],"&gt;="&amp;DATE($B16,7,1),tblVideos[Day],"&lt;"&amp;DATE($B16,8,1),tblVideos[Channel ID],$T$4))</f>
        <v/>
      </c>
      <c r="J16" s="72">
        <f>IF($G$4="Hours",ROUND(SUMIFS(tblVideos[Length],tblVideos[Day],"&gt;="&amp;DATE($B16,8,1),tblVideos[Day],"&lt;"&amp;DATE($B16,9,1),tblVideos[Channel ID],$T$4)*24,0),COUNTIFS(tblVideos[Day],"&gt;="&amp;DATE($B16,8,1),tblVideos[Day],"&lt;"&amp;DATE($B16,9,1),tblVideos[Channel ID],$T$4))</f>
        <v/>
      </c>
      <c r="K16" s="72">
        <f>IF($G$4="Hours",ROUND(SUMIFS(tblVideos[Length],tblVideos[Day],"&gt;="&amp;DATE($B16,9,1),tblVideos[Day],"&lt;"&amp;DATE($B16,10,1),tblVideos[Channel ID],$T$4)*24,0),COUNTIFS(tblVideos[Day],"&gt;="&amp;DATE($B16,9,1),tblVideos[Day],"&lt;"&amp;DATE($B16,10,1),tblVideos[Channel ID],$T$4))</f>
        <v/>
      </c>
      <c r="L16" s="72">
        <f>IF($G$4="Hours",ROUND(SUMIFS(tblVideos[Length],tblVideos[Day],"&gt;="&amp;DATE($B16,10,1),tblVideos[Day],"&lt;"&amp;DATE($B16,11,1),tblVideos[Channel ID],$T$4)*24,0),COUNTIFS(tblVideos[Day],"&gt;="&amp;DATE($B16,10,1),tblVideos[Day],"&lt;"&amp;DATE($B16,11,1),tblVideos[Channel ID],$T$4))</f>
        <v/>
      </c>
      <c r="M16" s="72">
        <f>IF($G$4="Hours",ROUND(SUMIFS(tblVideos[Length],tblVideos[Day],"&gt;="&amp;DATE($B16,11,1),tblVideos[Day],"&lt;"&amp;DATE($B16,12,1),tblVideos[Channel ID],$T$4)*24,0),COUNTIFS(tblVideos[Day],"&gt;="&amp;DATE($B16,11,1),tblVideos[Day],"&lt;"&amp;DATE($B16,12,1),tblVideos[Channel ID],$T$4))</f>
        <v/>
      </c>
      <c r="N16" s="72">
        <f>IF($G$4="Hours",ROUND(SUMIFS(tblVideos[Length],tblVideos[Day],"&gt;="&amp;DATE($B16,12,1),tblVideos[Day],"&lt;"&amp;DATE($B16,13,1),tblVideos[Channel ID],$T$4)*24,0),COUNTIFS(tblVideos[Day],"&gt;="&amp;DATE($B16,12,1),tblVideos[Day],"&lt;"&amp;DATE($B16,13,1),tblVideos[Channel ID],$T$4))</f>
        <v/>
      </c>
      <c r="O16" s="26">
        <f>SUM(C16:N16)</f>
        <v/>
      </c>
    </row>
    <row r="17">
      <c r="B17" s="71" t="n">
        <v>2021</v>
      </c>
      <c r="C17" s="72">
        <f>IF($G$4="Hours",ROUND(SUMIFS(tblVideos[Length],tblVideos[Day],"&gt;="&amp;DATE($B17,1,1),tblVideos[Day],"&lt;"&amp;DATE($B17,2,1),tblVideos[Channel ID],$T$4)*24,0),COUNTIFS(tblVideos[Day],"&gt;="&amp;DATE($B17,1,1),tblVideos[Day],"&lt;"&amp;DATE($B17,2,1),tblVideos[Channel ID],$T$4))</f>
        <v/>
      </c>
      <c r="D17" s="72">
        <f>IF($G$4="Hours",ROUND(SUMIFS(tblVideos[Length],tblVideos[Day],"&gt;="&amp;DATE($B17,2,1),tblVideos[Day],"&lt;"&amp;DATE($B17,3,1),tblVideos[Channel ID],$T$4)*24,0),COUNTIFS(tblVideos[Day],"&gt;="&amp;DATE($B17,2,1),tblVideos[Day],"&lt;"&amp;DATE($B17,3,1),tblVideos[Channel ID],$T$4))</f>
        <v/>
      </c>
      <c r="E17" s="72">
        <f>IF($G$4="Hours",ROUND(SUMIFS(tblVideos[Length],tblVideos[Day],"&gt;="&amp;DATE($B17,3,1),tblVideos[Day],"&lt;"&amp;DATE($B17,4,1),tblVideos[Channel ID],$T$4)*24,0),COUNTIFS(tblVideos[Day],"&gt;="&amp;DATE($B17,3,1),tblVideos[Day],"&lt;"&amp;DATE($B17,4,1),tblVideos[Channel ID],$T$4))</f>
        <v/>
      </c>
      <c r="F17" s="72">
        <f>IF($G$4="Hours",ROUND(SUMIFS(tblVideos[Length],tblVideos[Day],"&gt;="&amp;DATE($B17,4,1),tblVideos[Day],"&lt;"&amp;DATE($B17,5,1),tblVideos[Channel ID],$T$4)*24,0),COUNTIFS(tblVideos[Day],"&gt;="&amp;DATE($B17,4,1),tblVideos[Day],"&lt;"&amp;DATE($B17,5,1),tblVideos[Channel ID],$T$4))</f>
        <v/>
      </c>
      <c r="G17" s="72">
        <f>IF($G$4="Hours",ROUND(SUMIFS(tblVideos[Length],tblVideos[Day],"&gt;="&amp;DATE($B17,5,1),tblVideos[Day],"&lt;"&amp;DATE($B17,6,1),tblVideos[Channel ID],$T$4)*24,0),COUNTIFS(tblVideos[Day],"&gt;="&amp;DATE($B17,5,1),tblVideos[Day],"&lt;"&amp;DATE($B17,6,1),tblVideos[Channel ID],$T$4))</f>
        <v/>
      </c>
      <c r="H17" s="72">
        <f>IF($G$4="Hours",ROUND(SUMIFS(tblVideos[Length],tblVideos[Day],"&gt;="&amp;DATE($B17,6,1),tblVideos[Day],"&lt;"&amp;DATE($B17,7,1),tblVideos[Channel ID],$T$4)*24,0),COUNTIFS(tblVideos[Day],"&gt;="&amp;DATE($B17,6,1),tblVideos[Day],"&lt;"&amp;DATE($B17,7,1),tblVideos[Channel ID],$T$4))</f>
        <v/>
      </c>
      <c r="I17" s="72">
        <f>IF($G$4="Hours",ROUND(SUMIFS(tblVideos[Length],tblVideos[Day],"&gt;="&amp;DATE($B17,7,1),tblVideos[Day],"&lt;"&amp;DATE($B17,8,1),tblVideos[Channel ID],$T$4)*24,0),COUNTIFS(tblVideos[Day],"&gt;="&amp;DATE($B17,7,1),tblVideos[Day],"&lt;"&amp;DATE($B17,8,1),tblVideos[Channel ID],$T$4))</f>
        <v/>
      </c>
      <c r="J17" s="72">
        <f>IF($G$4="Hours",ROUND(SUMIFS(tblVideos[Length],tblVideos[Day],"&gt;="&amp;DATE($B17,8,1),tblVideos[Day],"&lt;"&amp;DATE($B17,9,1),tblVideos[Channel ID],$T$4)*24,0),COUNTIFS(tblVideos[Day],"&gt;="&amp;DATE($B17,8,1),tblVideos[Day],"&lt;"&amp;DATE($B17,9,1),tblVideos[Channel ID],$T$4))</f>
        <v/>
      </c>
      <c r="K17" s="72">
        <f>IF($G$4="Hours",ROUND(SUMIFS(tblVideos[Length],tblVideos[Day],"&gt;="&amp;DATE($B17,9,1),tblVideos[Day],"&lt;"&amp;DATE($B17,10,1),tblVideos[Channel ID],$T$4)*24,0),COUNTIFS(tblVideos[Day],"&gt;="&amp;DATE($B17,9,1),tblVideos[Day],"&lt;"&amp;DATE($B17,10,1),tblVideos[Channel ID],$T$4))</f>
        <v/>
      </c>
      <c r="L17" s="72">
        <f>IF($G$4="Hours",ROUND(SUMIFS(tblVideos[Length],tblVideos[Day],"&gt;="&amp;DATE($B17,10,1),tblVideos[Day],"&lt;"&amp;DATE($B17,11,1),tblVideos[Channel ID],$T$4)*24,0),COUNTIFS(tblVideos[Day],"&gt;="&amp;DATE($B17,10,1),tblVideos[Day],"&lt;"&amp;DATE($B17,11,1),tblVideos[Channel ID],$T$4))</f>
        <v/>
      </c>
      <c r="M17" s="72">
        <f>IF($G$4="Hours",ROUND(SUMIFS(tblVideos[Length],tblVideos[Day],"&gt;="&amp;DATE($B17,11,1),tblVideos[Day],"&lt;"&amp;DATE($B17,12,1),tblVideos[Channel ID],$T$4)*24,0),COUNTIFS(tblVideos[Day],"&gt;="&amp;DATE($B17,11,1),tblVideos[Day],"&lt;"&amp;DATE($B17,12,1),tblVideos[Channel ID],$T$4))</f>
        <v/>
      </c>
      <c r="N17" s="72">
        <f>IF($G$4="Hours",ROUND(SUMIFS(tblVideos[Length],tblVideos[Day],"&gt;="&amp;DATE($B17,12,1),tblVideos[Day],"&lt;"&amp;DATE($B17,13,1),tblVideos[Channel ID],$T$4)*24,0),COUNTIFS(tblVideos[Day],"&gt;="&amp;DATE($B17,12,1),tblVideos[Day],"&lt;"&amp;DATE($B17,13,1),tblVideos[Channel ID],$T$4))</f>
        <v/>
      </c>
      <c r="O17" s="26">
        <f>SUM(C17:N17)</f>
        <v/>
      </c>
    </row>
    <row r="18">
      <c r="B18" s="71" t="n">
        <v>2022</v>
      </c>
      <c r="C18" s="72">
        <f>IF($G$4="Hours",ROUND(SUMIFS(tblVideos[Length],tblVideos[Day],"&gt;="&amp;DATE($B18,1,1),tblVideos[Day],"&lt;"&amp;DATE($B18,2,1),tblVideos[Channel ID],$T$4)*24,0),COUNTIFS(tblVideos[Day],"&gt;="&amp;DATE($B18,1,1),tblVideos[Day],"&lt;"&amp;DATE($B18,2,1),tblVideos[Channel ID],$T$4))</f>
        <v/>
      </c>
      <c r="D18" s="72">
        <f>IF($G$4="Hours",ROUND(SUMIFS(tblVideos[Length],tblVideos[Day],"&gt;="&amp;DATE($B18,2,1),tblVideos[Day],"&lt;"&amp;DATE($B18,3,1),tblVideos[Channel ID],$T$4)*24,0),COUNTIFS(tblVideos[Day],"&gt;="&amp;DATE($B18,2,1),tblVideos[Day],"&lt;"&amp;DATE($B18,3,1),tblVideos[Channel ID],$T$4))</f>
        <v/>
      </c>
      <c r="E18" s="72">
        <f>IF($G$4="Hours",ROUND(SUMIFS(tblVideos[Length],tblVideos[Day],"&gt;="&amp;DATE($B18,3,1),tblVideos[Day],"&lt;"&amp;DATE($B18,4,1),tblVideos[Channel ID],$T$4)*24,0),COUNTIFS(tblVideos[Day],"&gt;="&amp;DATE($B18,3,1),tblVideos[Day],"&lt;"&amp;DATE($B18,4,1),tblVideos[Channel ID],$T$4))</f>
        <v/>
      </c>
      <c r="F18" s="72">
        <f>IF($G$4="Hours",ROUND(SUMIFS(tblVideos[Length],tblVideos[Day],"&gt;="&amp;DATE($B18,4,1),tblVideos[Day],"&lt;"&amp;DATE($B18,5,1),tblVideos[Channel ID],$T$4)*24,0),COUNTIFS(tblVideos[Day],"&gt;="&amp;DATE($B18,4,1),tblVideos[Day],"&lt;"&amp;DATE($B18,5,1),tblVideos[Channel ID],$T$4))</f>
        <v/>
      </c>
      <c r="G18" s="72">
        <f>IF($G$4="Hours",ROUND(SUMIFS(tblVideos[Length],tblVideos[Day],"&gt;="&amp;DATE($B18,5,1),tblVideos[Day],"&lt;"&amp;DATE($B18,6,1),tblVideos[Channel ID],$T$4)*24,0),COUNTIFS(tblVideos[Day],"&gt;="&amp;DATE($B18,5,1),tblVideos[Day],"&lt;"&amp;DATE($B18,6,1),tblVideos[Channel ID],$T$4))</f>
        <v/>
      </c>
      <c r="H18" s="72">
        <f>IF($G$4="Hours",ROUND(SUMIFS(tblVideos[Length],tblVideos[Day],"&gt;="&amp;DATE($B18,6,1),tblVideos[Day],"&lt;"&amp;DATE($B18,7,1),tblVideos[Channel ID],$T$4)*24,0),COUNTIFS(tblVideos[Day],"&gt;="&amp;DATE($B18,6,1),tblVideos[Day],"&lt;"&amp;DATE($B18,7,1),tblVideos[Channel ID],$T$4))</f>
        <v/>
      </c>
      <c r="I18" s="72">
        <f>IF($G$4="Hours",ROUND(SUMIFS(tblVideos[Length],tblVideos[Day],"&gt;="&amp;DATE($B18,7,1),tblVideos[Day],"&lt;"&amp;DATE($B18,8,1),tblVideos[Channel ID],$T$4)*24,0),COUNTIFS(tblVideos[Day],"&gt;="&amp;DATE($B18,7,1),tblVideos[Day],"&lt;"&amp;DATE($B18,8,1),tblVideos[Channel ID],$T$4))</f>
        <v/>
      </c>
      <c r="J18" s="72">
        <f>IF($G$4="Hours",ROUND(SUMIFS(tblVideos[Length],tblVideos[Day],"&gt;="&amp;DATE($B18,8,1),tblVideos[Day],"&lt;"&amp;DATE($B18,9,1),tblVideos[Channel ID],$T$4)*24,0),COUNTIFS(tblVideos[Day],"&gt;="&amp;DATE($B18,8,1),tblVideos[Day],"&lt;"&amp;DATE($B18,9,1),tblVideos[Channel ID],$T$4))</f>
        <v/>
      </c>
      <c r="K18" s="72">
        <f>IF($G$4="Hours",ROUND(SUMIFS(tblVideos[Length],tblVideos[Day],"&gt;="&amp;DATE($B18,9,1),tblVideos[Day],"&lt;"&amp;DATE($B18,10,1),tblVideos[Channel ID],$T$4)*24,0),COUNTIFS(tblVideos[Day],"&gt;="&amp;DATE($B18,9,1),tblVideos[Day],"&lt;"&amp;DATE($B18,10,1),tblVideos[Channel ID],$T$4))</f>
        <v/>
      </c>
      <c r="L18" s="72">
        <f>IF($G$4="Hours",ROUND(SUMIFS(tblVideos[Length],tblVideos[Day],"&gt;="&amp;DATE($B18,10,1),tblVideos[Day],"&lt;"&amp;DATE($B18,11,1),tblVideos[Channel ID],$T$4)*24,0),COUNTIFS(tblVideos[Day],"&gt;="&amp;DATE($B18,10,1),tblVideos[Day],"&lt;"&amp;DATE($B18,11,1),tblVideos[Channel ID],$T$4))</f>
        <v/>
      </c>
      <c r="M18" s="72">
        <f>IF($G$4="Hours",ROUND(SUMIFS(tblVideos[Length],tblVideos[Day],"&gt;="&amp;DATE($B18,11,1),tblVideos[Day],"&lt;"&amp;DATE($B18,12,1),tblVideos[Channel ID],$T$4)*24,0),COUNTIFS(tblVideos[Day],"&gt;="&amp;DATE($B18,11,1),tblVideos[Day],"&lt;"&amp;DATE($B18,12,1),tblVideos[Channel ID],$T$4))</f>
        <v/>
      </c>
      <c r="N18" s="72">
        <f>IF($G$4="Hours",ROUND(SUMIFS(tblVideos[Length],tblVideos[Day],"&gt;="&amp;DATE($B18,12,1),tblVideos[Day],"&lt;"&amp;DATE($B18,13,1),tblVideos[Channel ID],$T$4)*24,0),COUNTIFS(tblVideos[Day],"&gt;="&amp;DATE($B18,12,1),tblVideos[Day],"&lt;"&amp;DATE($B18,13,1),tblVideos[Channel ID],$T$4))</f>
        <v/>
      </c>
      <c r="O18" s="26">
        <f>SUM(C18:N18)</f>
        <v/>
      </c>
    </row>
    <row r="19">
      <c r="B19" s="71" t="n">
        <v>2023</v>
      </c>
      <c r="C19" s="72">
        <f>IF($G$4="Hours",ROUND(SUMIFS(tblVideos[Length],tblVideos[Day],"&gt;="&amp;DATE($B19,1,1),tblVideos[Day],"&lt;"&amp;DATE($B19,2,1),tblVideos[Channel ID],$T$4)*24,0),COUNTIFS(tblVideos[Day],"&gt;="&amp;DATE($B19,1,1),tblVideos[Day],"&lt;"&amp;DATE($B19,2,1),tblVideos[Channel ID],$T$4))</f>
        <v/>
      </c>
      <c r="D19" s="72">
        <f>IF($G$4="Hours",ROUND(SUMIFS(tblVideos[Length],tblVideos[Day],"&gt;="&amp;DATE($B19,2,1),tblVideos[Day],"&lt;"&amp;DATE($B19,3,1),tblVideos[Channel ID],$T$4)*24,0),COUNTIFS(tblVideos[Day],"&gt;="&amp;DATE($B19,2,1),tblVideos[Day],"&lt;"&amp;DATE($B19,3,1),tblVideos[Channel ID],$T$4))</f>
        <v/>
      </c>
      <c r="E19" s="72">
        <f>IF($G$4="Hours",ROUND(SUMIFS(tblVideos[Length],tblVideos[Day],"&gt;="&amp;DATE($B19,3,1),tblVideos[Day],"&lt;"&amp;DATE($B19,4,1),tblVideos[Channel ID],$T$4)*24,0),COUNTIFS(tblVideos[Day],"&gt;="&amp;DATE($B19,3,1),tblVideos[Day],"&lt;"&amp;DATE($B19,4,1),tblVideos[Channel ID],$T$4))</f>
        <v/>
      </c>
      <c r="F19" s="72">
        <f>IF($G$4="Hours",ROUND(SUMIFS(tblVideos[Length],tblVideos[Day],"&gt;="&amp;DATE($B19,4,1),tblVideos[Day],"&lt;"&amp;DATE($B19,5,1),tblVideos[Channel ID],$T$4)*24,0),COUNTIFS(tblVideos[Day],"&gt;="&amp;DATE($B19,4,1),tblVideos[Day],"&lt;"&amp;DATE($B19,5,1),tblVideos[Channel ID],$T$4))</f>
        <v/>
      </c>
      <c r="G19" s="72">
        <f>IF($G$4="Hours",ROUND(SUMIFS(tblVideos[Length],tblVideos[Day],"&gt;="&amp;DATE($B19,5,1),tblVideos[Day],"&lt;"&amp;DATE($B19,6,1),tblVideos[Channel ID],$T$4)*24,0),COUNTIFS(tblVideos[Day],"&gt;="&amp;DATE($B19,5,1),tblVideos[Day],"&lt;"&amp;DATE($B19,6,1),tblVideos[Channel ID],$T$4))</f>
        <v/>
      </c>
      <c r="H19" s="72">
        <f>IF($G$4="Hours",ROUND(SUMIFS(tblVideos[Length],tblVideos[Day],"&gt;="&amp;DATE($B19,6,1),tblVideos[Day],"&lt;"&amp;DATE($B19,7,1),tblVideos[Channel ID],$T$4)*24,0),COUNTIFS(tblVideos[Day],"&gt;="&amp;DATE($B19,6,1),tblVideos[Day],"&lt;"&amp;DATE($B19,7,1),tblVideos[Channel ID],$T$4))</f>
        <v/>
      </c>
      <c r="I19" s="72">
        <f>IF($G$4="Hours",ROUND(SUMIFS(tblVideos[Length],tblVideos[Day],"&gt;="&amp;DATE($B19,7,1),tblVideos[Day],"&lt;"&amp;DATE($B19,8,1),tblVideos[Channel ID],$T$4)*24,0),COUNTIFS(tblVideos[Day],"&gt;="&amp;DATE($B19,7,1),tblVideos[Day],"&lt;"&amp;DATE($B19,8,1),tblVideos[Channel ID],$T$4))</f>
        <v/>
      </c>
      <c r="J19" s="72">
        <f>IF($G$4="Hours",ROUND(SUMIFS(tblVideos[Length],tblVideos[Day],"&gt;="&amp;DATE($B19,8,1),tblVideos[Day],"&lt;"&amp;DATE($B19,9,1),tblVideos[Channel ID],$T$4)*24,0),COUNTIFS(tblVideos[Day],"&gt;="&amp;DATE($B19,8,1),tblVideos[Day],"&lt;"&amp;DATE($B19,9,1),tblVideos[Channel ID],$T$4))</f>
        <v/>
      </c>
      <c r="K19" s="72">
        <f>IF($G$4="Hours",ROUND(SUMIFS(tblVideos[Length],tblVideos[Day],"&gt;="&amp;DATE($B19,9,1),tblVideos[Day],"&lt;"&amp;DATE($B19,10,1),tblVideos[Channel ID],$T$4)*24,0),COUNTIFS(tblVideos[Day],"&gt;="&amp;DATE($B19,9,1),tblVideos[Day],"&lt;"&amp;DATE($B19,10,1),tblVideos[Channel ID],$T$4))</f>
        <v/>
      </c>
      <c r="L19" s="72">
        <f>IF($G$4="Hours",ROUND(SUMIFS(tblVideos[Length],tblVideos[Day],"&gt;="&amp;DATE($B19,10,1),tblVideos[Day],"&lt;"&amp;DATE($B19,11,1),tblVideos[Channel ID],$T$4)*24,0),COUNTIFS(tblVideos[Day],"&gt;="&amp;DATE($B19,10,1),tblVideos[Day],"&lt;"&amp;DATE($B19,11,1),tblVideos[Channel ID],$T$4))</f>
        <v/>
      </c>
      <c r="M19" s="72">
        <f>IF($G$4="Hours",ROUND(SUMIFS(tblVideos[Length],tblVideos[Day],"&gt;="&amp;DATE($B19,11,1),tblVideos[Day],"&lt;"&amp;DATE($B19,12,1),tblVideos[Channel ID],$T$4)*24,0),COUNTIFS(tblVideos[Day],"&gt;="&amp;DATE($B19,11,1),tblVideos[Day],"&lt;"&amp;DATE($B19,12,1),tblVideos[Channel ID],$T$4))</f>
        <v/>
      </c>
      <c r="N19" s="72">
        <f>IF($G$4="Hours",ROUND(SUMIFS(tblVideos[Length],tblVideos[Day],"&gt;="&amp;DATE($B19,12,1),tblVideos[Day],"&lt;"&amp;DATE($B19,13,1),tblVideos[Channel ID],$T$4)*24,0),COUNTIFS(tblVideos[Day],"&gt;="&amp;DATE($B19,12,1),tblVideos[Day],"&lt;"&amp;DATE($B19,13,1),tblVideos[Channel ID],$T$4))</f>
        <v/>
      </c>
      <c r="O19" s="26">
        <f>SUM(C19:N19)</f>
        <v/>
      </c>
    </row>
    <row r="20">
      <c r="B20" s="71" t="n">
        <v>2024</v>
      </c>
      <c r="C20" s="72">
        <f>IF($G$4="Hours",ROUND(SUMIFS(tblVideos[Length],tblVideos[Day],"&gt;="&amp;DATE($B20,1,1),tblVideos[Day],"&lt;"&amp;DATE($B20,2,1),tblVideos[Channel ID],$T$4)*24,0),COUNTIFS(tblVideos[Day],"&gt;="&amp;DATE($B20,1,1),tblVideos[Day],"&lt;"&amp;DATE($B20,2,1),tblVideos[Channel ID],$T$4))</f>
        <v/>
      </c>
      <c r="D20" s="72">
        <f>IF($G$4="Hours",ROUND(SUMIFS(tblVideos[Length],tblVideos[Day],"&gt;="&amp;DATE($B20,2,1),tblVideos[Day],"&lt;"&amp;DATE($B20,3,1),tblVideos[Channel ID],$T$4)*24,0),COUNTIFS(tblVideos[Day],"&gt;="&amp;DATE($B20,2,1),tblVideos[Day],"&lt;"&amp;DATE($B20,3,1),tblVideos[Channel ID],$T$4))</f>
        <v/>
      </c>
      <c r="E20" s="72">
        <f>IF($G$4="Hours",ROUND(SUMIFS(tblVideos[Length],tblVideos[Day],"&gt;="&amp;DATE($B20,3,1),tblVideos[Day],"&lt;"&amp;DATE($B20,4,1),tblVideos[Channel ID],$T$4)*24,0),COUNTIFS(tblVideos[Day],"&gt;="&amp;DATE($B20,3,1),tblVideos[Day],"&lt;"&amp;DATE($B20,4,1),tblVideos[Channel ID],$T$4))</f>
        <v/>
      </c>
      <c r="F20" s="72">
        <f>IF($G$4="Hours",ROUND(SUMIFS(tblVideos[Length],tblVideos[Day],"&gt;="&amp;DATE($B20,4,1),tblVideos[Day],"&lt;"&amp;DATE($B20,5,1),tblVideos[Channel ID],$T$4)*24,0),COUNTIFS(tblVideos[Day],"&gt;="&amp;DATE($B20,4,1),tblVideos[Day],"&lt;"&amp;DATE($B20,5,1),tblVideos[Channel ID],$T$4))</f>
        <v/>
      </c>
      <c r="G20" s="72">
        <f>IF($G$4="Hours",ROUND(SUMIFS(tblVideos[Length],tblVideos[Day],"&gt;="&amp;DATE($B20,5,1),tblVideos[Day],"&lt;"&amp;DATE($B20,6,1),tblVideos[Channel ID],$T$4)*24,0),COUNTIFS(tblVideos[Day],"&gt;="&amp;DATE($B20,5,1),tblVideos[Day],"&lt;"&amp;DATE($B20,6,1),tblVideos[Channel ID],$T$4))</f>
        <v/>
      </c>
      <c r="H20" s="72">
        <f>IF($G$4="Hours",ROUND(SUMIFS(tblVideos[Length],tblVideos[Day],"&gt;="&amp;DATE($B20,6,1),tblVideos[Day],"&lt;"&amp;DATE($B20,7,1),tblVideos[Channel ID],$T$4)*24,0),COUNTIFS(tblVideos[Day],"&gt;="&amp;DATE($B20,6,1),tblVideos[Day],"&lt;"&amp;DATE($B20,7,1),tblVideos[Channel ID],$T$4))</f>
        <v/>
      </c>
      <c r="I20" s="72">
        <f>IF($G$4="Hours",ROUND(SUMIFS(tblVideos[Length],tblVideos[Day],"&gt;="&amp;DATE($B20,7,1),tblVideos[Day],"&lt;"&amp;DATE($B20,8,1),tblVideos[Channel ID],$T$4)*24,0),COUNTIFS(tblVideos[Day],"&gt;="&amp;DATE($B20,7,1),tblVideos[Day],"&lt;"&amp;DATE($B20,8,1),tblVideos[Channel ID],$T$4))</f>
        <v/>
      </c>
      <c r="J20" s="72">
        <f>IF($G$4="Hours",ROUND(SUMIFS(tblVideos[Length],tblVideos[Day],"&gt;="&amp;DATE($B20,8,1),tblVideos[Day],"&lt;"&amp;DATE($B20,9,1),tblVideos[Channel ID],$T$4)*24,0),COUNTIFS(tblVideos[Day],"&gt;="&amp;DATE($B20,8,1),tblVideos[Day],"&lt;"&amp;DATE($B20,9,1),tblVideos[Channel ID],$T$4))</f>
        <v/>
      </c>
      <c r="K20" s="72">
        <f>IF($G$4="Hours",ROUND(SUMIFS(tblVideos[Length],tblVideos[Day],"&gt;="&amp;DATE($B20,9,1),tblVideos[Day],"&lt;"&amp;DATE($B20,10,1),tblVideos[Channel ID],$T$4)*24,0),COUNTIFS(tblVideos[Day],"&gt;="&amp;DATE($B20,9,1),tblVideos[Day],"&lt;"&amp;DATE($B20,10,1),tblVideos[Channel ID],$T$4))</f>
        <v/>
      </c>
      <c r="L20" s="72">
        <f>IF($G$4="Hours",ROUND(SUMIFS(tblVideos[Length],tblVideos[Day],"&gt;="&amp;DATE($B20,10,1),tblVideos[Day],"&lt;"&amp;DATE($B20,11,1),tblVideos[Channel ID],$T$4)*24,0),COUNTIFS(tblVideos[Day],"&gt;="&amp;DATE($B20,10,1),tblVideos[Day],"&lt;"&amp;DATE($B20,11,1),tblVideos[Channel ID],$T$4))</f>
        <v/>
      </c>
      <c r="M20" s="72">
        <f>IF($G$4="Hours",ROUND(SUMIFS(tblVideos[Length],tblVideos[Day],"&gt;="&amp;DATE($B20,11,1),tblVideos[Day],"&lt;"&amp;DATE($B20,12,1),tblVideos[Channel ID],$T$4)*24,0),COUNTIFS(tblVideos[Day],"&gt;="&amp;DATE($B20,11,1),tblVideos[Day],"&lt;"&amp;DATE($B20,12,1),tblVideos[Channel ID],$T$4))</f>
        <v/>
      </c>
      <c r="N20" s="72">
        <f>IF($G$4="Hours",ROUND(SUMIFS(tblVideos[Length],tblVideos[Day],"&gt;="&amp;DATE($B20,12,1),tblVideos[Day],"&lt;"&amp;DATE($B20,13,1),tblVideos[Channel ID],$T$4)*24,0),COUNTIFS(tblVideos[Day],"&gt;="&amp;DATE($B20,12,1),tblVideos[Day],"&lt;"&amp;DATE($B20,13,1),tblVideos[Channel ID],$T$4))</f>
        <v/>
      </c>
      <c r="O20" s="26">
        <f>SUM(C20:N20)</f>
        <v/>
      </c>
    </row>
    <row r="21">
      <c r="B21" s="71" t="n">
        <v>2025</v>
      </c>
      <c r="C21" s="72">
        <f>IF($G$4="Hours",ROUND(SUMIFS(tblVideos[Length],tblVideos[Day],"&gt;="&amp;DATE($B21,1,1),tblVideos[Day],"&lt;"&amp;DATE($B21,2,1),tblVideos[Channel ID],$T$4)*24,0),COUNTIFS(tblVideos[Day],"&gt;="&amp;DATE($B21,1,1),tblVideos[Day],"&lt;"&amp;DATE($B21,2,1),tblVideos[Channel ID],$T$4))</f>
        <v/>
      </c>
      <c r="D21" s="72">
        <f>IF($G$4="Hours",ROUND(SUMIFS(tblVideos[Length],tblVideos[Day],"&gt;="&amp;DATE($B21,2,1),tblVideos[Day],"&lt;"&amp;DATE($B21,3,1),tblVideos[Channel ID],$T$4)*24,0),COUNTIFS(tblVideos[Day],"&gt;="&amp;DATE($B21,2,1),tblVideos[Day],"&lt;"&amp;DATE($B21,3,1),tblVideos[Channel ID],$T$4))</f>
        <v/>
      </c>
      <c r="E21" s="72">
        <f>IF($G$4="Hours",ROUND(SUMIFS(tblVideos[Length],tblVideos[Day],"&gt;="&amp;DATE($B21,3,1),tblVideos[Day],"&lt;"&amp;DATE($B21,4,1),tblVideos[Channel ID],$T$4)*24,0),COUNTIFS(tblVideos[Day],"&gt;="&amp;DATE($B21,3,1),tblVideos[Day],"&lt;"&amp;DATE($B21,4,1),tblVideos[Channel ID],$T$4))</f>
        <v/>
      </c>
      <c r="F21" s="72">
        <f>IF($G$4="Hours",ROUND(SUMIFS(tblVideos[Length],tblVideos[Day],"&gt;="&amp;DATE($B21,4,1),tblVideos[Day],"&lt;"&amp;DATE($B21,5,1),tblVideos[Channel ID],$T$4)*24,0),COUNTIFS(tblVideos[Day],"&gt;="&amp;DATE($B21,4,1),tblVideos[Day],"&lt;"&amp;DATE($B21,5,1),tblVideos[Channel ID],$T$4))</f>
        <v/>
      </c>
      <c r="G21" s="72">
        <f>IF($G$4="Hours",ROUND(SUMIFS(tblVideos[Length],tblVideos[Day],"&gt;="&amp;DATE($B21,5,1),tblVideos[Day],"&lt;"&amp;DATE($B21,6,1),tblVideos[Channel ID],$T$4)*24,0),COUNTIFS(tblVideos[Day],"&gt;="&amp;DATE($B21,5,1),tblVideos[Day],"&lt;"&amp;DATE($B21,6,1),tblVideos[Channel ID],$T$4))</f>
        <v/>
      </c>
      <c r="H21" s="72">
        <f>IF($G$4="Hours",ROUND(SUMIFS(tblVideos[Length],tblVideos[Day],"&gt;="&amp;DATE($B21,6,1),tblVideos[Day],"&lt;"&amp;DATE($B21,7,1),tblVideos[Channel ID],$T$4)*24,0),COUNTIFS(tblVideos[Day],"&gt;="&amp;DATE($B21,6,1),tblVideos[Day],"&lt;"&amp;DATE($B21,7,1),tblVideos[Channel ID],$T$4))</f>
        <v/>
      </c>
      <c r="I21" s="72">
        <f>IF($G$4="Hours",ROUND(SUMIFS(tblVideos[Length],tblVideos[Day],"&gt;="&amp;DATE($B21,7,1),tblVideos[Day],"&lt;"&amp;DATE($B21,8,1),tblVideos[Channel ID],$T$4)*24,0),COUNTIFS(tblVideos[Day],"&gt;="&amp;DATE($B21,7,1),tblVideos[Day],"&lt;"&amp;DATE($B21,8,1),tblVideos[Channel ID],$T$4))</f>
        <v/>
      </c>
      <c r="J21" s="72">
        <f>IF($G$4="Hours",ROUND(SUMIFS(tblVideos[Length],tblVideos[Day],"&gt;="&amp;DATE($B21,8,1),tblVideos[Day],"&lt;"&amp;DATE($B21,9,1),tblVideos[Channel ID],$T$4)*24,0),COUNTIFS(tblVideos[Day],"&gt;="&amp;DATE($B21,8,1),tblVideos[Day],"&lt;"&amp;DATE($B21,9,1),tblVideos[Channel ID],$T$4))</f>
        <v/>
      </c>
      <c r="K21" s="72">
        <f>IF($G$4="Hours",ROUND(SUMIFS(tblVideos[Length],tblVideos[Day],"&gt;="&amp;DATE($B21,9,1),tblVideos[Day],"&lt;"&amp;DATE($B21,10,1),tblVideos[Channel ID],$T$4)*24,0),COUNTIFS(tblVideos[Day],"&gt;="&amp;DATE($B21,9,1),tblVideos[Day],"&lt;"&amp;DATE($B21,10,1),tblVideos[Channel ID],$T$4))</f>
        <v/>
      </c>
      <c r="L21" s="72">
        <f>IF($G$4="Hours",ROUND(SUMIFS(tblVideos[Length],tblVideos[Day],"&gt;="&amp;DATE($B21,10,1),tblVideos[Day],"&lt;"&amp;DATE($B21,11,1),tblVideos[Channel ID],$T$4)*24,0),COUNTIFS(tblVideos[Day],"&gt;="&amp;DATE($B21,10,1),tblVideos[Day],"&lt;"&amp;DATE($B21,11,1),tblVideos[Channel ID],$T$4))</f>
        <v/>
      </c>
      <c r="M21" s="72">
        <f>IF($G$4="Hours",ROUND(SUMIFS(tblVideos[Length],tblVideos[Day],"&gt;="&amp;DATE($B21,11,1),tblVideos[Day],"&lt;"&amp;DATE($B21,12,1),tblVideos[Channel ID],$T$4)*24,0),COUNTIFS(tblVideos[Day],"&gt;="&amp;DATE($B21,11,1),tblVideos[Day],"&lt;"&amp;DATE($B21,12,1),tblVideos[Channel ID],$T$4))</f>
        <v/>
      </c>
      <c r="N21" s="72">
        <f>IF($G$4="Hours",ROUND(SUMIFS(tblVideos[Length],tblVideos[Day],"&gt;="&amp;DATE($B21,12,1),tblVideos[Day],"&lt;"&amp;DATE($B21,13,1),tblVideos[Channel ID],$T$4)*24,0),COUNTIFS(tblVideos[Day],"&gt;="&amp;DATE($B21,12,1),tblVideos[Day],"&lt;"&amp;DATE($B21,13,1),tblVideos[Channel ID],$T$4))</f>
        <v/>
      </c>
      <c r="O21" s="26">
        <f>SUM(C21:N21)</f>
        <v/>
      </c>
    </row>
    <row r="22">
      <c r="B22" s="71" t="n">
        <v>2026</v>
      </c>
      <c r="C22" s="72">
        <f>IF($G$4="Hours",ROUND(SUMIFS(tblVideos[Length],tblVideos[Day],"&gt;="&amp;DATE($B22,1,1),tblVideos[Day],"&lt;"&amp;DATE($B22,2,1),tblVideos[Channel ID],$T$4)*24,0),COUNTIFS(tblVideos[Day],"&gt;="&amp;DATE($B22,1,1),tblVideos[Day],"&lt;"&amp;DATE($B22,2,1),tblVideos[Channel ID],$T$4))</f>
        <v/>
      </c>
      <c r="D22" s="72">
        <f>IF($G$4="Hours",ROUND(SUMIFS(tblVideos[Length],tblVideos[Day],"&gt;="&amp;DATE($B22,2,1),tblVideos[Day],"&lt;"&amp;DATE($B22,3,1),tblVideos[Channel ID],$T$4)*24,0),COUNTIFS(tblVideos[Day],"&gt;="&amp;DATE($B22,2,1),tblVideos[Day],"&lt;"&amp;DATE($B22,3,1),tblVideos[Channel ID],$T$4))</f>
        <v/>
      </c>
      <c r="E22" s="72">
        <f>IF($G$4="Hours",ROUND(SUMIFS(tblVideos[Length],tblVideos[Day],"&gt;="&amp;DATE($B22,3,1),tblVideos[Day],"&lt;"&amp;DATE($B22,4,1),tblVideos[Channel ID],$T$4)*24,0),COUNTIFS(tblVideos[Day],"&gt;="&amp;DATE($B22,3,1),tblVideos[Day],"&lt;"&amp;DATE($B22,4,1),tblVideos[Channel ID],$T$4))</f>
        <v/>
      </c>
      <c r="F22" s="72">
        <f>IF($G$4="Hours",ROUND(SUMIFS(tblVideos[Length],tblVideos[Day],"&gt;="&amp;DATE($B22,4,1),tblVideos[Day],"&lt;"&amp;DATE($B22,5,1),tblVideos[Channel ID],$T$4)*24,0),COUNTIFS(tblVideos[Day],"&gt;="&amp;DATE($B22,4,1),tblVideos[Day],"&lt;"&amp;DATE($B22,5,1),tblVideos[Channel ID],$T$4))</f>
        <v/>
      </c>
      <c r="G22" s="72">
        <f>IF($G$4="Hours",ROUND(SUMIFS(tblVideos[Length],tblVideos[Day],"&gt;="&amp;DATE($B22,5,1),tblVideos[Day],"&lt;"&amp;DATE($B22,6,1),tblVideos[Channel ID],$T$4)*24,0),COUNTIFS(tblVideos[Day],"&gt;="&amp;DATE($B22,5,1),tblVideos[Day],"&lt;"&amp;DATE($B22,6,1),tblVideos[Channel ID],$T$4))</f>
        <v/>
      </c>
      <c r="H22" s="72">
        <f>IF($G$4="Hours",ROUND(SUMIFS(tblVideos[Length],tblVideos[Day],"&gt;="&amp;DATE($B22,6,1),tblVideos[Day],"&lt;"&amp;DATE($B22,7,1),tblVideos[Channel ID],$T$4)*24,0),COUNTIFS(tblVideos[Day],"&gt;="&amp;DATE($B22,6,1),tblVideos[Day],"&lt;"&amp;DATE($B22,7,1),tblVideos[Channel ID],$T$4))</f>
        <v/>
      </c>
      <c r="I22" s="72">
        <f>IF($G$4="Hours",ROUND(SUMIFS(tblVideos[Length],tblVideos[Day],"&gt;="&amp;DATE($B22,7,1),tblVideos[Day],"&lt;"&amp;DATE($B22,8,1),tblVideos[Channel ID],$T$4)*24,0),COUNTIFS(tblVideos[Day],"&gt;="&amp;DATE($B22,7,1),tblVideos[Day],"&lt;"&amp;DATE($B22,8,1),tblVideos[Channel ID],$T$4))</f>
        <v/>
      </c>
      <c r="J22" s="72">
        <f>IF($G$4="Hours",ROUND(SUMIFS(tblVideos[Length],tblVideos[Day],"&gt;="&amp;DATE($B22,8,1),tblVideos[Day],"&lt;"&amp;DATE($B22,9,1),tblVideos[Channel ID],$T$4)*24,0),COUNTIFS(tblVideos[Day],"&gt;="&amp;DATE($B22,8,1),tblVideos[Day],"&lt;"&amp;DATE($B22,9,1),tblVideos[Channel ID],$T$4))</f>
        <v/>
      </c>
      <c r="K22" s="72">
        <f>IF($G$4="Hours",ROUND(SUMIFS(tblVideos[Length],tblVideos[Day],"&gt;="&amp;DATE($B22,9,1),tblVideos[Day],"&lt;"&amp;DATE($B22,10,1),tblVideos[Channel ID],$T$4)*24,0),COUNTIFS(tblVideos[Day],"&gt;="&amp;DATE($B22,9,1),tblVideos[Day],"&lt;"&amp;DATE($B22,10,1),tblVideos[Channel ID],$T$4))</f>
        <v/>
      </c>
      <c r="L22" s="72">
        <f>IF($G$4="Hours",ROUND(SUMIFS(tblVideos[Length],tblVideos[Day],"&gt;="&amp;DATE($B22,10,1),tblVideos[Day],"&lt;"&amp;DATE($B22,11,1),tblVideos[Channel ID],$T$4)*24,0),COUNTIFS(tblVideos[Day],"&gt;="&amp;DATE($B22,10,1),tblVideos[Day],"&lt;"&amp;DATE($B22,11,1),tblVideos[Channel ID],$T$4))</f>
        <v/>
      </c>
      <c r="M22" s="72">
        <f>IF($G$4="Hours",ROUND(SUMIFS(tblVideos[Length],tblVideos[Day],"&gt;="&amp;DATE($B22,11,1),tblVideos[Day],"&lt;"&amp;DATE($B22,12,1),tblVideos[Channel ID],$T$4)*24,0),COUNTIFS(tblVideos[Day],"&gt;="&amp;DATE($B22,11,1),tblVideos[Day],"&lt;"&amp;DATE($B22,12,1),tblVideos[Channel ID],$T$4))</f>
        <v/>
      </c>
      <c r="N22" s="72">
        <f>IF($G$4="Hours",ROUND(SUMIFS(tblVideos[Length],tblVideos[Day],"&gt;="&amp;DATE($B22,12,1),tblVideos[Day],"&lt;"&amp;DATE($B22,13,1),tblVideos[Channel ID],$T$4)*24,0),COUNTIFS(tblVideos[Day],"&gt;="&amp;DATE($B22,12,1),tblVideos[Day],"&lt;"&amp;DATE($B22,13,1),tblVideos[Channel ID],$T$4))</f>
        <v/>
      </c>
      <c r="O22" s="26">
        <f>SUM(C22:N22)</f>
        <v/>
      </c>
    </row>
    <row r="23">
      <c r="B23" s="73" t="inlineStr">
        <is>
          <t>All years</t>
        </is>
      </c>
      <c r="C23" s="26">
        <f>SUM(C8:C22)</f>
        <v/>
      </c>
      <c r="D23" s="26">
        <f>SUM(D8:D22)</f>
        <v/>
      </c>
      <c r="E23" s="26">
        <f>SUM(E8:E22)</f>
        <v/>
      </c>
      <c r="F23" s="26">
        <f>SUM(F8:F22)</f>
        <v/>
      </c>
      <c r="G23" s="26">
        <f>SUM(G8:G22)</f>
        <v/>
      </c>
      <c r="H23" s="26">
        <f>SUM(H8:H22)</f>
        <v/>
      </c>
      <c r="I23" s="26">
        <f>SUM(I8:I22)</f>
        <v/>
      </c>
      <c r="J23" s="26">
        <f>SUM(J8:J22)</f>
        <v/>
      </c>
      <c r="K23" s="26">
        <f>SUM(K8:K22)</f>
        <v/>
      </c>
      <c r="L23" s="26">
        <f>SUM(L8:L22)</f>
        <v/>
      </c>
      <c r="M23" s="26">
        <f>SUM(M8:M22)</f>
        <v/>
      </c>
      <c r="N23" s="26">
        <f>SUM(N8:N22)</f>
        <v/>
      </c>
      <c r="O23" s="26">
        <f>SUM(O8:O22)</f>
        <v/>
      </c>
    </row>
    <row r="26" ht="20" customHeight="1">
      <c r="B26" s="10">
        <f>"Year view  -  "&amp;$K$4</f>
        <v/>
      </c>
      <c r="C26" s="11" t="n"/>
      <c r="D26" s="11" t="n"/>
      <c r="E26" s="11" t="n"/>
      <c r="F26" s="11" t="n"/>
      <c r="G26" s="11" t="n"/>
      <c r="H26" s="11" t="n"/>
      <c r="I26" s="11" t="n"/>
      <c r="J26" s="11" t="n"/>
      <c r="K26" s="11" t="n"/>
      <c r="L26" s="11" t="n"/>
      <c r="M26" s="11" t="n"/>
      <c r="N26" s="11" t="n"/>
      <c r="O26" s="11" t="n"/>
    </row>
    <row r="27" ht="46" customHeight="1">
      <c r="B27" s="12" t="inlineStr">
        <is>
          <t>Month</t>
        </is>
      </c>
      <c r="C27" s="74">
        <f>Channels!$C$6</f>
        <v/>
      </c>
      <c r="D27" s="75">
        <f>Channels!$C$7</f>
        <v/>
      </c>
      <c r="E27" s="76">
        <f>Channels!$C$8</f>
        <v/>
      </c>
      <c r="F27" s="77">
        <f>Channels!$C$9</f>
        <v/>
      </c>
      <c r="G27" s="78">
        <f>Channels!$C$10</f>
        <v/>
      </c>
      <c r="H27" s="79">
        <f>Channels!$C$11</f>
        <v/>
      </c>
      <c r="I27" s="12" t="inlineStr">
        <is>
          <t>Total</t>
        </is>
      </c>
      <c r="J27" s="12" t="inlineStr">
        <is>
          <t>Time</t>
        </is>
      </c>
    </row>
    <row r="28">
      <c r="B28" s="80" t="inlineStr">
        <is>
          <t>January</t>
        </is>
      </c>
      <c r="C28" s="72">
        <f>COUNTIFS(tblVideos[Day],"&gt;="&amp;DATE($K$4,1,1),tblVideos[Day],"&lt;"&amp;DATE($K$4,2,1),tblVideos[Channel ID],Channels!$E$6)</f>
        <v/>
      </c>
      <c r="D28" s="72">
        <f>COUNTIFS(tblVideos[Day],"&gt;="&amp;DATE($K$4,1,1),tblVideos[Day],"&lt;"&amp;DATE($K$4,2,1),tblVideos[Channel ID],Channels!$E$7)</f>
        <v/>
      </c>
      <c r="E28" s="72">
        <f>COUNTIFS(tblVideos[Day],"&gt;="&amp;DATE($K$4,1,1),tblVideos[Day],"&lt;"&amp;DATE($K$4,2,1),tblVideos[Channel ID],Channels!$E$8)</f>
        <v/>
      </c>
      <c r="F28" s="72">
        <f>COUNTIFS(tblVideos[Day],"&gt;="&amp;DATE($K$4,1,1),tblVideos[Day],"&lt;"&amp;DATE($K$4,2,1),tblVideos[Channel ID],Channels!$E$9)</f>
        <v/>
      </c>
      <c r="G28" s="72">
        <f>COUNTIFS(tblVideos[Day],"&gt;="&amp;DATE($K$4,1,1),tblVideos[Day],"&lt;"&amp;DATE($K$4,2,1),tblVideos[Channel ID],Channels!$E$10)</f>
        <v/>
      </c>
      <c r="H28" s="72">
        <f>COUNTIFS(tblVideos[Day],"&gt;="&amp;DATE($K$4,1,1),tblVideos[Day],"&lt;"&amp;DATE($K$4,2,1),tblVideos[Channel ID],Channels!$E$11)</f>
        <v/>
      </c>
      <c r="I28" s="81">
        <f>SUM(C28:H28)</f>
        <v/>
      </c>
      <c r="J28" s="82">
        <f>SUMIFS(tblVideos[Length],tblVideos[Day],"&gt;="&amp;DATE($K$4,1,1),tblVideos[Day],"&lt;"&amp;DATE($K$4,2,1))</f>
        <v/>
      </c>
    </row>
    <row r="29">
      <c r="B29" s="80" t="inlineStr">
        <is>
          <t>February</t>
        </is>
      </c>
      <c r="C29" s="72">
        <f>COUNTIFS(tblVideos[Day],"&gt;="&amp;DATE($K$4,2,1),tblVideos[Day],"&lt;"&amp;DATE($K$4,3,1),tblVideos[Channel ID],Channels!$E$6)</f>
        <v/>
      </c>
      <c r="D29" s="72">
        <f>COUNTIFS(tblVideos[Day],"&gt;="&amp;DATE($K$4,2,1),tblVideos[Day],"&lt;"&amp;DATE($K$4,3,1),tblVideos[Channel ID],Channels!$E$7)</f>
        <v/>
      </c>
      <c r="E29" s="72">
        <f>COUNTIFS(tblVideos[Day],"&gt;="&amp;DATE($K$4,2,1),tblVideos[Day],"&lt;"&amp;DATE($K$4,3,1),tblVideos[Channel ID],Channels!$E$8)</f>
        <v/>
      </c>
      <c r="F29" s="72">
        <f>COUNTIFS(tblVideos[Day],"&gt;="&amp;DATE($K$4,2,1),tblVideos[Day],"&lt;"&amp;DATE($K$4,3,1),tblVideos[Channel ID],Channels!$E$9)</f>
        <v/>
      </c>
      <c r="G29" s="72">
        <f>COUNTIFS(tblVideos[Day],"&gt;="&amp;DATE($K$4,2,1),tblVideos[Day],"&lt;"&amp;DATE($K$4,3,1),tblVideos[Channel ID],Channels!$E$10)</f>
        <v/>
      </c>
      <c r="H29" s="72">
        <f>COUNTIFS(tblVideos[Day],"&gt;="&amp;DATE($K$4,2,1),tblVideos[Day],"&lt;"&amp;DATE($K$4,3,1),tblVideos[Channel ID],Channels!$E$11)</f>
        <v/>
      </c>
      <c r="I29" s="81">
        <f>SUM(C29:H29)</f>
        <v/>
      </c>
      <c r="J29" s="82">
        <f>SUMIFS(tblVideos[Length],tblVideos[Day],"&gt;="&amp;DATE($K$4,2,1),tblVideos[Day],"&lt;"&amp;DATE($K$4,3,1))</f>
        <v/>
      </c>
    </row>
    <row r="30">
      <c r="B30" s="80" t="inlineStr">
        <is>
          <t>March</t>
        </is>
      </c>
      <c r="C30" s="72">
        <f>COUNTIFS(tblVideos[Day],"&gt;="&amp;DATE($K$4,3,1),tblVideos[Day],"&lt;"&amp;DATE($K$4,4,1),tblVideos[Channel ID],Channels!$E$6)</f>
        <v/>
      </c>
      <c r="D30" s="72">
        <f>COUNTIFS(tblVideos[Day],"&gt;="&amp;DATE($K$4,3,1),tblVideos[Day],"&lt;"&amp;DATE($K$4,4,1),tblVideos[Channel ID],Channels!$E$7)</f>
        <v/>
      </c>
      <c r="E30" s="72">
        <f>COUNTIFS(tblVideos[Day],"&gt;="&amp;DATE($K$4,3,1),tblVideos[Day],"&lt;"&amp;DATE($K$4,4,1),tblVideos[Channel ID],Channels!$E$8)</f>
        <v/>
      </c>
      <c r="F30" s="72">
        <f>COUNTIFS(tblVideos[Day],"&gt;="&amp;DATE($K$4,3,1),tblVideos[Day],"&lt;"&amp;DATE($K$4,4,1),tblVideos[Channel ID],Channels!$E$9)</f>
        <v/>
      </c>
      <c r="G30" s="72">
        <f>COUNTIFS(tblVideos[Day],"&gt;="&amp;DATE($K$4,3,1),tblVideos[Day],"&lt;"&amp;DATE($K$4,4,1),tblVideos[Channel ID],Channels!$E$10)</f>
        <v/>
      </c>
      <c r="H30" s="72">
        <f>COUNTIFS(tblVideos[Day],"&gt;="&amp;DATE($K$4,3,1),tblVideos[Day],"&lt;"&amp;DATE($K$4,4,1),tblVideos[Channel ID],Channels!$E$11)</f>
        <v/>
      </c>
      <c r="I30" s="81">
        <f>SUM(C30:H30)</f>
        <v/>
      </c>
      <c r="J30" s="82">
        <f>SUMIFS(tblVideos[Length],tblVideos[Day],"&gt;="&amp;DATE($K$4,3,1),tblVideos[Day],"&lt;"&amp;DATE($K$4,4,1))</f>
        <v/>
      </c>
    </row>
    <row r="31">
      <c r="B31" s="80" t="inlineStr">
        <is>
          <t>April</t>
        </is>
      </c>
      <c r="C31" s="72">
        <f>COUNTIFS(tblVideos[Day],"&gt;="&amp;DATE($K$4,4,1),tblVideos[Day],"&lt;"&amp;DATE($K$4,5,1),tblVideos[Channel ID],Channels!$E$6)</f>
        <v/>
      </c>
      <c r="D31" s="72">
        <f>COUNTIFS(tblVideos[Day],"&gt;="&amp;DATE($K$4,4,1),tblVideos[Day],"&lt;"&amp;DATE($K$4,5,1),tblVideos[Channel ID],Channels!$E$7)</f>
        <v/>
      </c>
      <c r="E31" s="72">
        <f>COUNTIFS(tblVideos[Day],"&gt;="&amp;DATE($K$4,4,1),tblVideos[Day],"&lt;"&amp;DATE($K$4,5,1),tblVideos[Channel ID],Channels!$E$8)</f>
        <v/>
      </c>
      <c r="F31" s="72">
        <f>COUNTIFS(tblVideos[Day],"&gt;="&amp;DATE($K$4,4,1),tblVideos[Day],"&lt;"&amp;DATE($K$4,5,1),tblVideos[Channel ID],Channels!$E$9)</f>
        <v/>
      </c>
      <c r="G31" s="72">
        <f>COUNTIFS(tblVideos[Day],"&gt;="&amp;DATE($K$4,4,1),tblVideos[Day],"&lt;"&amp;DATE($K$4,5,1),tblVideos[Channel ID],Channels!$E$10)</f>
        <v/>
      </c>
      <c r="H31" s="72">
        <f>COUNTIFS(tblVideos[Day],"&gt;="&amp;DATE($K$4,4,1),tblVideos[Day],"&lt;"&amp;DATE($K$4,5,1),tblVideos[Channel ID],Channels!$E$11)</f>
        <v/>
      </c>
      <c r="I31" s="81">
        <f>SUM(C31:H31)</f>
        <v/>
      </c>
      <c r="J31" s="82">
        <f>SUMIFS(tblVideos[Length],tblVideos[Day],"&gt;="&amp;DATE($K$4,4,1),tblVideos[Day],"&lt;"&amp;DATE($K$4,5,1))</f>
        <v/>
      </c>
    </row>
    <row r="32">
      <c r="B32" s="80" t="inlineStr">
        <is>
          <t>May</t>
        </is>
      </c>
      <c r="C32" s="72">
        <f>COUNTIFS(tblVideos[Day],"&gt;="&amp;DATE($K$4,5,1),tblVideos[Day],"&lt;"&amp;DATE($K$4,6,1),tblVideos[Channel ID],Channels!$E$6)</f>
        <v/>
      </c>
      <c r="D32" s="72">
        <f>COUNTIFS(tblVideos[Day],"&gt;="&amp;DATE($K$4,5,1),tblVideos[Day],"&lt;"&amp;DATE($K$4,6,1),tblVideos[Channel ID],Channels!$E$7)</f>
        <v/>
      </c>
      <c r="E32" s="72">
        <f>COUNTIFS(tblVideos[Day],"&gt;="&amp;DATE($K$4,5,1),tblVideos[Day],"&lt;"&amp;DATE($K$4,6,1),tblVideos[Channel ID],Channels!$E$8)</f>
        <v/>
      </c>
      <c r="F32" s="72">
        <f>COUNTIFS(tblVideos[Day],"&gt;="&amp;DATE($K$4,5,1),tblVideos[Day],"&lt;"&amp;DATE($K$4,6,1),tblVideos[Channel ID],Channels!$E$9)</f>
        <v/>
      </c>
      <c r="G32" s="72">
        <f>COUNTIFS(tblVideos[Day],"&gt;="&amp;DATE($K$4,5,1),tblVideos[Day],"&lt;"&amp;DATE($K$4,6,1),tblVideos[Channel ID],Channels!$E$10)</f>
        <v/>
      </c>
      <c r="H32" s="72">
        <f>COUNTIFS(tblVideos[Day],"&gt;="&amp;DATE($K$4,5,1),tblVideos[Day],"&lt;"&amp;DATE($K$4,6,1),tblVideos[Channel ID],Channels!$E$11)</f>
        <v/>
      </c>
      <c r="I32" s="81">
        <f>SUM(C32:H32)</f>
        <v/>
      </c>
      <c r="J32" s="82">
        <f>SUMIFS(tblVideos[Length],tblVideos[Day],"&gt;="&amp;DATE($K$4,5,1),tblVideos[Day],"&lt;"&amp;DATE($K$4,6,1))</f>
        <v/>
      </c>
    </row>
    <row r="33">
      <c r="B33" s="80" t="inlineStr">
        <is>
          <t>June</t>
        </is>
      </c>
      <c r="C33" s="72">
        <f>COUNTIFS(tblVideos[Day],"&gt;="&amp;DATE($K$4,6,1),tblVideos[Day],"&lt;"&amp;DATE($K$4,7,1),tblVideos[Channel ID],Channels!$E$6)</f>
        <v/>
      </c>
      <c r="D33" s="72">
        <f>COUNTIFS(tblVideos[Day],"&gt;="&amp;DATE($K$4,6,1),tblVideos[Day],"&lt;"&amp;DATE($K$4,7,1),tblVideos[Channel ID],Channels!$E$7)</f>
        <v/>
      </c>
      <c r="E33" s="72">
        <f>COUNTIFS(tblVideos[Day],"&gt;="&amp;DATE($K$4,6,1),tblVideos[Day],"&lt;"&amp;DATE($K$4,7,1),tblVideos[Channel ID],Channels!$E$8)</f>
        <v/>
      </c>
      <c r="F33" s="72">
        <f>COUNTIFS(tblVideos[Day],"&gt;="&amp;DATE($K$4,6,1),tblVideos[Day],"&lt;"&amp;DATE($K$4,7,1),tblVideos[Channel ID],Channels!$E$9)</f>
        <v/>
      </c>
      <c r="G33" s="72">
        <f>COUNTIFS(tblVideos[Day],"&gt;="&amp;DATE($K$4,6,1),tblVideos[Day],"&lt;"&amp;DATE($K$4,7,1),tblVideos[Channel ID],Channels!$E$10)</f>
        <v/>
      </c>
      <c r="H33" s="72">
        <f>COUNTIFS(tblVideos[Day],"&gt;="&amp;DATE($K$4,6,1),tblVideos[Day],"&lt;"&amp;DATE($K$4,7,1),tblVideos[Channel ID],Channels!$E$11)</f>
        <v/>
      </c>
      <c r="I33" s="81">
        <f>SUM(C33:H33)</f>
        <v/>
      </c>
      <c r="J33" s="82">
        <f>SUMIFS(tblVideos[Length],tblVideos[Day],"&gt;="&amp;DATE($K$4,6,1),tblVideos[Day],"&lt;"&amp;DATE($K$4,7,1))</f>
        <v/>
      </c>
    </row>
    <row r="34">
      <c r="B34" s="80" t="inlineStr">
        <is>
          <t>July</t>
        </is>
      </c>
      <c r="C34" s="72">
        <f>COUNTIFS(tblVideos[Day],"&gt;="&amp;DATE($K$4,7,1),tblVideos[Day],"&lt;"&amp;DATE($K$4,8,1),tblVideos[Channel ID],Channels!$E$6)</f>
        <v/>
      </c>
      <c r="D34" s="72">
        <f>COUNTIFS(tblVideos[Day],"&gt;="&amp;DATE($K$4,7,1),tblVideos[Day],"&lt;"&amp;DATE($K$4,8,1),tblVideos[Channel ID],Channels!$E$7)</f>
        <v/>
      </c>
      <c r="E34" s="72">
        <f>COUNTIFS(tblVideos[Day],"&gt;="&amp;DATE($K$4,7,1),tblVideos[Day],"&lt;"&amp;DATE($K$4,8,1),tblVideos[Channel ID],Channels!$E$8)</f>
        <v/>
      </c>
      <c r="F34" s="72">
        <f>COUNTIFS(tblVideos[Day],"&gt;="&amp;DATE($K$4,7,1),tblVideos[Day],"&lt;"&amp;DATE($K$4,8,1),tblVideos[Channel ID],Channels!$E$9)</f>
        <v/>
      </c>
      <c r="G34" s="72">
        <f>COUNTIFS(tblVideos[Day],"&gt;="&amp;DATE($K$4,7,1),tblVideos[Day],"&lt;"&amp;DATE($K$4,8,1),tblVideos[Channel ID],Channels!$E$10)</f>
        <v/>
      </c>
      <c r="H34" s="72">
        <f>COUNTIFS(tblVideos[Day],"&gt;="&amp;DATE($K$4,7,1),tblVideos[Day],"&lt;"&amp;DATE($K$4,8,1),tblVideos[Channel ID],Channels!$E$11)</f>
        <v/>
      </c>
      <c r="I34" s="81">
        <f>SUM(C34:H34)</f>
        <v/>
      </c>
      <c r="J34" s="82">
        <f>SUMIFS(tblVideos[Length],tblVideos[Day],"&gt;="&amp;DATE($K$4,7,1),tblVideos[Day],"&lt;"&amp;DATE($K$4,8,1))</f>
        <v/>
      </c>
    </row>
    <row r="35">
      <c r="B35" s="80" t="inlineStr">
        <is>
          <t>August</t>
        </is>
      </c>
      <c r="C35" s="72">
        <f>COUNTIFS(tblVideos[Day],"&gt;="&amp;DATE($K$4,8,1),tblVideos[Day],"&lt;"&amp;DATE($K$4,9,1),tblVideos[Channel ID],Channels!$E$6)</f>
        <v/>
      </c>
      <c r="D35" s="72">
        <f>COUNTIFS(tblVideos[Day],"&gt;="&amp;DATE($K$4,8,1),tblVideos[Day],"&lt;"&amp;DATE($K$4,9,1),tblVideos[Channel ID],Channels!$E$7)</f>
        <v/>
      </c>
      <c r="E35" s="72">
        <f>COUNTIFS(tblVideos[Day],"&gt;="&amp;DATE($K$4,8,1),tblVideos[Day],"&lt;"&amp;DATE($K$4,9,1),tblVideos[Channel ID],Channels!$E$8)</f>
        <v/>
      </c>
      <c r="F35" s="72">
        <f>COUNTIFS(tblVideos[Day],"&gt;="&amp;DATE($K$4,8,1),tblVideos[Day],"&lt;"&amp;DATE($K$4,9,1),tblVideos[Channel ID],Channels!$E$9)</f>
        <v/>
      </c>
      <c r="G35" s="72">
        <f>COUNTIFS(tblVideos[Day],"&gt;="&amp;DATE($K$4,8,1),tblVideos[Day],"&lt;"&amp;DATE($K$4,9,1),tblVideos[Channel ID],Channels!$E$10)</f>
        <v/>
      </c>
      <c r="H35" s="72">
        <f>COUNTIFS(tblVideos[Day],"&gt;="&amp;DATE($K$4,8,1),tblVideos[Day],"&lt;"&amp;DATE($K$4,9,1),tblVideos[Channel ID],Channels!$E$11)</f>
        <v/>
      </c>
      <c r="I35" s="81">
        <f>SUM(C35:H35)</f>
        <v/>
      </c>
      <c r="J35" s="82">
        <f>SUMIFS(tblVideos[Length],tblVideos[Day],"&gt;="&amp;DATE($K$4,8,1),tblVideos[Day],"&lt;"&amp;DATE($K$4,9,1))</f>
        <v/>
      </c>
    </row>
    <row r="36">
      <c r="B36" s="80" t="inlineStr">
        <is>
          <t>September</t>
        </is>
      </c>
      <c r="C36" s="72">
        <f>COUNTIFS(tblVideos[Day],"&gt;="&amp;DATE($K$4,9,1),tblVideos[Day],"&lt;"&amp;DATE($K$4,10,1),tblVideos[Channel ID],Channels!$E$6)</f>
        <v/>
      </c>
      <c r="D36" s="72">
        <f>COUNTIFS(tblVideos[Day],"&gt;="&amp;DATE($K$4,9,1),tblVideos[Day],"&lt;"&amp;DATE($K$4,10,1),tblVideos[Channel ID],Channels!$E$7)</f>
        <v/>
      </c>
      <c r="E36" s="72">
        <f>COUNTIFS(tblVideos[Day],"&gt;="&amp;DATE($K$4,9,1),tblVideos[Day],"&lt;"&amp;DATE($K$4,10,1),tblVideos[Channel ID],Channels!$E$8)</f>
        <v/>
      </c>
      <c r="F36" s="72">
        <f>COUNTIFS(tblVideos[Day],"&gt;="&amp;DATE($K$4,9,1),tblVideos[Day],"&lt;"&amp;DATE($K$4,10,1),tblVideos[Channel ID],Channels!$E$9)</f>
        <v/>
      </c>
      <c r="G36" s="72">
        <f>COUNTIFS(tblVideos[Day],"&gt;="&amp;DATE($K$4,9,1),tblVideos[Day],"&lt;"&amp;DATE($K$4,10,1),tblVideos[Channel ID],Channels!$E$10)</f>
        <v/>
      </c>
      <c r="H36" s="72">
        <f>COUNTIFS(tblVideos[Day],"&gt;="&amp;DATE($K$4,9,1),tblVideos[Day],"&lt;"&amp;DATE($K$4,10,1),tblVideos[Channel ID],Channels!$E$11)</f>
        <v/>
      </c>
      <c r="I36" s="81">
        <f>SUM(C36:H36)</f>
        <v/>
      </c>
      <c r="J36" s="82">
        <f>SUMIFS(tblVideos[Length],tblVideos[Day],"&gt;="&amp;DATE($K$4,9,1),tblVideos[Day],"&lt;"&amp;DATE($K$4,10,1))</f>
        <v/>
      </c>
    </row>
    <row r="37">
      <c r="B37" s="80" t="inlineStr">
        <is>
          <t>October</t>
        </is>
      </c>
      <c r="C37" s="72">
        <f>COUNTIFS(tblVideos[Day],"&gt;="&amp;DATE($K$4,10,1),tblVideos[Day],"&lt;"&amp;DATE($K$4,11,1),tblVideos[Channel ID],Channels!$E$6)</f>
        <v/>
      </c>
      <c r="D37" s="72">
        <f>COUNTIFS(tblVideos[Day],"&gt;="&amp;DATE($K$4,10,1),tblVideos[Day],"&lt;"&amp;DATE($K$4,11,1),tblVideos[Channel ID],Channels!$E$7)</f>
        <v/>
      </c>
      <c r="E37" s="72">
        <f>COUNTIFS(tblVideos[Day],"&gt;="&amp;DATE($K$4,10,1),tblVideos[Day],"&lt;"&amp;DATE($K$4,11,1),tblVideos[Channel ID],Channels!$E$8)</f>
        <v/>
      </c>
      <c r="F37" s="72">
        <f>COUNTIFS(tblVideos[Day],"&gt;="&amp;DATE($K$4,10,1),tblVideos[Day],"&lt;"&amp;DATE($K$4,11,1),tblVideos[Channel ID],Channels!$E$9)</f>
        <v/>
      </c>
      <c r="G37" s="72">
        <f>COUNTIFS(tblVideos[Day],"&gt;="&amp;DATE($K$4,10,1),tblVideos[Day],"&lt;"&amp;DATE($K$4,11,1),tblVideos[Channel ID],Channels!$E$10)</f>
        <v/>
      </c>
      <c r="H37" s="72">
        <f>COUNTIFS(tblVideos[Day],"&gt;="&amp;DATE($K$4,10,1),tblVideos[Day],"&lt;"&amp;DATE($K$4,11,1),tblVideos[Channel ID],Channels!$E$11)</f>
        <v/>
      </c>
      <c r="I37" s="81">
        <f>SUM(C37:H37)</f>
        <v/>
      </c>
      <c r="J37" s="82">
        <f>SUMIFS(tblVideos[Length],tblVideos[Day],"&gt;="&amp;DATE($K$4,10,1),tblVideos[Day],"&lt;"&amp;DATE($K$4,11,1))</f>
        <v/>
      </c>
    </row>
    <row r="38">
      <c r="B38" s="80" t="inlineStr">
        <is>
          <t>November</t>
        </is>
      </c>
      <c r="C38" s="72">
        <f>COUNTIFS(tblVideos[Day],"&gt;="&amp;DATE($K$4,11,1),tblVideos[Day],"&lt;"&amp;DATE($K$4,12,1),tblVideos[Channel ID],Channels!$E$6)</f>
        <v/>
      </c>
      <c r="D38" s="72">
        <f>COUNTIFS(tblVideos[Day],"&gt;="&amp;DATE($K$4,11,1),tblVideos[Day],"&lt;"&amp;DATE($K$4,12,1),tblVideos[Channel ID],Channels!$E$7)</f>
        <v/>
      </c>
      <c r="E38" s="72">
        <f>COUNTIFS(tblVideos[Day],"&gt;="&amp;DATE($K$4,11,1),tblVideos[Day],"&lt;"&amp;DATE($K$4,12,1),tblVideos[Channel ID],Channels!$E$8)</f>
        <v/>
      </c>
      <c r="F38" s="72">
        <f>COUNTIFS(tblVideos[Day],"&gt;="&amp;DATE($K$4,11,1),tblVideos[Day],"&lt;"&amp;DATE($K$4,12,1),tblVideos[Channel ID],Channels!$E$9)</f>
        <v/>
      </c>
      <c r="G38" s="72">
        <f>COUNTIFS(tblVideos[Day],"&gt;="&amp;DATE($K$4,11,1),tblVideos[Day],"&lt;"&amp;DATE($K$4,12,1),tblVideos[Channel ID],Channels!$E$10)</f>
        <v/>
      </c>
      <c r="H38" s="72">
        <f>COUNTIFS(tblVideos[Day],"&gt;="&amp;DATE($K$4,11,1),tblVideos[Day],"&lt;"&amp;DATE($K$4,12,1),tblVideos[Channel ID],Channels!$E$11)</f>
        <v/>
      </c>
      <c r="I38" s="81">
        <f>SUM(C38:H38)</f>
        <v/>
      </c>
      <c r="J38" s="82">
        <f>SUMIFS(tblVideos[Length],tblVideos[Day],"&gt;="&amp;DATE($K$4,11,1),tblVideos[Day],"&lt;"&amp;DATE($K$4,12,1))</f>
        <v/>
      </c>
    </row>
    <row r="39">
      <c r="B39" s="80" t="inlineStr">
        <is>
          <t>December</t>
        </is>
      </c>
      <c r="C39" s="72">
        <f>COUNTIFS(tblVideos[Day],"&gt;="&amp;DATE($K$4,12,1),tblVideos[Day],"&lt;"&amp;DATE($K$4,13,1),tblVideos[Channel ID],Channels!$E$6)</f>
        <v/>
      </c>
      <c r="D39" s="72">
        <f>COUNTIFS(tblVideos[Day],"&gt;="&amp;DATE($K$4,12,1),tblVideos[Day],"&lt;"&amp;DATE($K$4,13,1),tblVideos[Channel ID],Channels!$E$7)</f>
        <v/>
      </c>
      <c r="E39" s="72">
        <f>COUNTIFS(tblVideos[Day],"&gt;="&amp;DATE($K$4,12,1),tblVideos[Day],"&lt;"&amp;DATE($K$4,13,1),tblVideos[Channel ID],Channels!$E$8)</f>
        <v/>
      </c>
      <c r="F39" s="72">
        <f>COUNTIFS(tblVideos[Day],"&gt;="&amp;DATE($K$4,12,1),tblVideos[Day],"&lt;"&amp;DATE($K$4,13,1),tblVideos[Channel ID],Channels!$E$9)</f>
        <v/>
      </c>
      <c r="G39" s="72">
        <f>COUNTIFS(tblVideos[Day],"&gt;="&amp;DATE($K$4,12,1),tblVideos[Day],"&lt;"&amp;DATE($K$4,13,1),tblVideos[Channel ID],Channels!$E$10)</f>
        <v/>
      </c>
      <c r="H39" s="72">
        <f>COUNTIFS(tblVideos[Day],"&gt;="&amp;DATE($K$4,12,1),tblVideos[Day],"&lt;"&amp;DATE($K$4,13,1),tblVideos[Channel ID],Channels!$E$11)</f>
        <v/>
      </c>
      <c r="I39" s="81">
        <f>SUM(C39:H39)</f>
        <v/>
      </c>
      <c r="J39" s="82">
        <f>SUMIFS(tblVideos[Length],tblVideos[Day],"&gt;="&amp;DATE($K$4,12,1),tblVideos[Day],"&lt;"&amp;DATE($K$4,13,1))</f>
        <v/>
      </c>
    </row>
    <row r="40">
      <c r="B40" s="25" t="inlineStr">
        <is>
          <t>Year total</t>
        </is>
      </c>
      <c r="C40" s="26">
        <f>SUM(C28:C39)</f>
        <v/>
      </c>
      <c r="D40" s="26">
        <f>SUM(D28:D39)</f>
        <v/>
      </c>
      <c r="E40" s="26">
        <f>SUM(E28:E39)</f>
        <v/>
      </c>
      <c r="F40" s="26">
        <f>SUM(F28:F39)</f>
        <v/>
      </c>
      <c r="G40" s="26">
        <f>SUM(G28:G39)</f>
        <v/>
      </c>
      <c r="H40" s="26">
        <f>SUM(H28:H39)</f>
        <v/>
      </c>
      <c r="I40" s="26">
        <f>SUM(I28:I39)</f>
        <v/>
      </c>
      <c r="J40" s="28">
        <f>SUM(J28:J39)</f>
        <v/>
      </c>
    </row>
    <row r="62" ht="20" customHeight="1">
      <c r="B62" s="10" t="inlineStr">
        <is>
          <t>Uploads per year</t>
        </is>
      </c>
      <c r="C62" s="11" t="n"/>
      <c r="D62" s="11" t="n"/>
      <c r="E62" s="11" t="n"/>
      <c r="F62" s="11" t="n"/>
      <c r="G62" s="11" t="n"/>
      <c r="H62" s="11" t="n"/>
      <c r="I62" s="11" t="n"/>
      <c r="J62" s="11" t="n"/>
      <c r="K62" s="11" t="n"/>
      <c r="L62" s="11" t="n"/>
      <c r="M62" s="11" t="n"/>
      <c r="N62" s="11" t="n"/>
      <c r="O62" s="11" t="n"/>
    </row>
    <row r="63" ht="46" customHeight="1">
      <c r="B63" s="12" t="inlineStr">
        <is>
          <t>Year</t>
        </is>
      </c>
      <c r="C63" s="74">
        <f>Channels!$C$6</f>
        <v/>
      </c>
      <c r="D63" s="75">
        <f>Channels!$C$7</f>
        <v/>
      </c>
      <c r="E63" s="76">
        <f>Channels!$C$8</f>
        <v/>
      </c>
      <c r="F63" s="77">
        <f>Channels!$C$9</f>
        <v/>
      </c>
      <c r="G63" s="78">
        <f>Channels!$C$10</f>
        <v/>
      </c>
      <c r="H63" s="79">
        <f>Channels!$C$11</f>
        <v/>
      </c>
      <c r="I63" s="12" t="inlineStr">
        <is>
          <t>Total</t>
        </is>
      </c>
      <c r="J63" s="12" t="inlineStr">
        <is>
          <t>Time uploaded</t>
        </is>
      </c>
      <c r="K63" s="12" t="inlineStr">
        <is>
          <t>Watched (dated)</t>
        </is>
      </c>
      <c r="L63" s="12" t="inlineStr">
        <is>
          <t>Time watched (dated)</t>
        </is>
      </c>
    </row>
    <row r="64">
      <c r="B64" s="71" t="n">
        <v>2012</v>
      </c>
      <c r="C64" s="72">
        <f>COUNTIFS(tblVideos[Day],"&gt;="&amp;DATE($B64,1,1),tblVideos[Day],"&lt;"&amp;DATE($B64+1,1,1),tblVideos[Channel ID],Channels!$E$6)</f>
        <v/>
      </c>
      <c r="D64" s="72">
        <f>COUNTIFS(tblVideos[Day],"&gt;="&amp;DATE($B64,1,1),tblVideos[Day],"&lt;"&amp;DATE($B64+1,1,1),tblVideos[Channel ID],Channels!$E$7)</f>
        <v/>
      </c>
      <c r="E64" s="72">
        <f>COUNTIFS(tblVideos[Day],"&gt;="&amp;DATE($B64,1,1),tblVideos[Day],"&lt;"&amp;DATE($B64+1,1,1),tblVideos[Channel ID],Channels!$E$8)</f>
        <v/>
      </c>
      <c r="F64" s="72">
        <f>COUNTIFS(tblVideos[Day],"&gt;="&amp;DATE($B64,1,1),tblVideos[Day],"&lt;"&amp;DATE($B64+1,1,1),tblVideos[Channel ID],Channels!$E$9)</f>
        <v/>
      </c>
      <c r="G64" s="72">
        <f>COUNTIFS(tblVideos[Day],"&gt;="&amp;DATE($B64,1,1),tblVideos[Day],"&lt;"&amp;DATE($B64+1,1,1),tblVideos[Channel ID],Channels!$E$10)</f>
        <v/>
      </c>
      <c r="H64" s="72">
        <f>COUNTIFS(tblVideos[Day],"&gt;="&amp;DATE($B64,1,1),tblVideos[Day],"&lt;"&amp;DATE($B64+1,1,1),tblVideos[Channel ID],Channels!$E$11)</f>
        <v/>
      </c>
      <c r="I64" s="26">
        <f>SUM(C64:H64)</f>
        <v/>
      </c>
      <c r="J64" s="82">
        <f>SUMIFS(tblVideos[Length],tblVideos[Day],"&gt;="&amp;DATE($B64,1,1),tblVideos[Day],"&lt;"&amp;DATE($B64+1,1,1))</f>
        <v/>
      </c>
      <c r="K64" s="72">
        <f>COUNTIFS(tblVideos[Watched On],"&gt;="&amp;DATE($B64,1,1),tblVideos[Watched On],"&lt;"&amp;DATE($B64+1,1,1),tblVideos[Status],"Watched")</f>
        <v/>
      </c>
      <c r="L64" s="82">
        <f>SUMIFS(tblVideos[Length],tblVideos[Watched On],"&gt;="&amp;DATE($B64,1,1),tblVideos[Watched On],"&lt;"&amp;DATE($B64+1,1,1),tblVideos[Status],"Watched")</f>
        <v/>
      </c>
    </row>
    <row r="65">
      <c r="B65" s="71" t="n">
        <v>2013</v>
      </c>
      <c r="C65" s="72">
        <f>COUNTIFS(tblVideos[Day],"&gt;="&amp;DATE($B65,1,1),tblVideos[Day],"&lt;"&amp;DATE($B65+1,1,1),tblVideos[Channel ID],Channels!$E$6)</f>
        <v/>
      </c>
      <c r="D65" s="72">
        <f>COUNTIFS(tblVideos[Day],"&gt;="&amp;DATE($B65,1,1),tblVideos[Day],"&lt;"&amp;DATE($B65+1,1,1),tblVideos[Channel ID],Channels!$E$7)</f>
        <v/>
      </c>
      <c r="E65" s="72">
        <f>COUNTIFS(tblVideos[Day],"&gt;="&amp;DATE($B65,1,1),tblVideos[Day],"&lt;"&amp;DATE($B65+1,1,1),tblVideos[Channel ID],Channels!$E$8)</f>
        <v/>
      </c>
      <c r="F65" s="72">
        <f>COUNTIFS(tblVideos[Day],"&gt;="&amp;DATE($B65,1,1),tblVideos[Day],"&lt;"&amp;DATE($B65+1,1,1),tblVideos[Channel ID],Channels!$E$9)</f>
        <v/>
      </c>
      <c r="G65" s="72">
        <f>COUNTIFS(tblVideos[Day],"&gt;="&amp;DATE($B65,1,1),tblVideos[Day],"&lt;"&amp;DATE($B65+1,1,1),tblVideos[Channel ID],Channels!$E$10)</f>
        <v/>
      </c>
      <c r="H65" s="72">
        <f>COUNTIFS(tblVideos[Day],"&gt;="&amp;DATE($B65,1,1),tblVideos[Day],"&lt;"&amp;DATE($B65+1,1,1),tblVideos[Channel ID],Channels!$E$11)</f>
        <v/>
      </c>
      <c r="I65" s="26">
        <f>SUM(C65:H65)</f>
        <v/>
      </c>
      <c r="J65" s="82">
        <f>SUMIFS(tblVideos[Length],tblVideos[Day],"&gt;="&amp;DATE($B65,1,1),tblVideos[Day],"&lt;"&amp;DATE($B65+1,1,1))</f>
        <v/>
      </c>
      <c r="K65" s="72">
        <f>COUNTIFS(tblVideos[Watched On],"&gt;="&amp;DATE($B65,1,1),tblVideos[Watched On],"&lt;"&amp;DATE($B65+1,1,1),tblVideos[Status],"Watched")</f>
        <v/>
      </c>
      <c r="L65" s="82">
        <f>SUMIFS(tblVideos[Length],tblVideos[Watched On],"&gt;="&amp;DATE($B65,1,1),tblVideos[Watched On],"&lt;"&amp;DATE($B65+1,1,1),tblVideos[Status],"Watched")</f>
        <v/>
      </c>
    </row>
    <row r="66">
      <c r="B66" s="71" t="n">
        <v>2014</v>
      </c>
      <c r="C66" s="72">
        <f>COUNTIFS(tblVideos[Day],"&gt;="&amp;DATE($B66,1,1),tblVideos[Day],"&lt;"&amp;DATE($B66+1,1,1),tblVideos[Channel ID],Channels!$E$6)</f>
        <v/>
      </c>
      <c r="D66" s="72">
        <f>COUNTIFS(tblVideos[Day],"&gt;="&amp;DATE($B66,1,1),tblVideos[Day],"&lt;"&amp;DATE($B66+1,1,1),tblVideos[Channel ID],Channels!$E$7)</f>
        <v/>
      </c>
      <c r="E66" s="72">
        <f>COUNTIFS(tblVideos[Day],"&gt;="&amp;DATE($B66,1,1),tblVideos[Day],"&lt;"&amp;DATE($B66+1,1,1),tblVideos[Channel ID],Channels!$E$8)</f>
        <v/>
      </c>
      <c r="F66" s="72">
        <f>COUNTIFS(tblVideos[Day],"&gt;="&amp;DATE($B66,1,1),tblVideos[Day],"&lt;"&amp;DATE($B66+1,1,1),tblVideos[Channel ID],Channels!$E$9)</f>
        <v/>
      </c>
      <c r="G66" s="72">
        <f>COUNTIFS(tblVideos[Day],"&gt;="&amp;DATE($B66,1,1),tblVideos[Day],"&lt;"&amp;DATE($B66+1,1,1),tblVideos[Channel ID],Channels!$E$10)</f>
        <v/>
      </c>
      <c r="H66" s="72">
        <f>COUNTIFS(tblVideos[Day],"&gt;="&amp;DATE($B66,1,1),tblVideos[Day],"&lt;"&amp;DATE($B66+1,1,1),tblVideos[Channel ID],Channels!$E$11)</f>
        <v/>
      </c>
      <c r="I66" s="26">
        <f>SUM(C66:H66)</f>
        <v/>
      </c>
      <c r="J66" s="82">
        <f>SUMIFS(tblVideos[Length],tblVideos[Day],"&gt;="&amp;DATE($B66,1,1),tblVideos[Day],"&lt;"&amp;DATE($B66+1,1,1))</f>
        <v/>
      </c>
      <c r="K66" s="72">
        <f>COUNTIFS(tblVideos[Watched On],"&gt;="&amp;DATE($B66,1,1),tblVideos[Watched On],"&lt;"&amp;DATE($B66+1,1,1),tblVideos[Status],"Watched")</f>
        <v/>
      </c>
      <c r="L66" s="82">
        <f>SUMIFS(tblVideos[Length],tblVideos[Watched On],"&gt;="&amp;DATE($B66,1,1),tblVideos[Watched On],"&lt;"&amp;DATE($B66+1,1,1),tblVideos[Status],"Watched")</f>
        <v/>
      </c>
    </row>
    <row r="67">
      <c r="B67" s="71" t="n">
        <v>2015</v>
      </c>
      <c r="C67" s="72">
        <f>COUNTIFS(tblVideos[Day],"&gt;="&amp;DATE($B67,1,1),tblVideos[Day],"&lt;"&amp;DATE($B67+1,1,1),tblVideos[Channel ID],Channels!$E$6)</f>
        <v/>
      </c>
      <c r="D67" s="72">
        <f>COUNTIFS(tblVideos[Day],"&gt;="&amp;DATE($B67,1,1),tblVideos[Day],"&lt;"&amp;DATE($B67+1,1,1),tblVideos[Channel ID],Channels!$E$7)</f>
        <v/>
      </c>
      <c r="E67" s="72">
        <f>COUNTIFS(tblVideos[Day],"&gt;="&amp;DATE($B67,1,1),tblVideos[Day],"&lt;"&amp;DATE($B67+1,1,1),tblVideos[Channel ID],Channels!$E$8)</f>
        <v/>
      </c>
      <c r="F67" s="72">
        <f>COUNTIFS(tblVideos[Day],"&gt;="&amp;DATE($B67,1,1),tblVideos[Day],"&lt;"&amp;DATE($B67+1,1,1),tblVideos[Channel ID],Channels!$E$9)</f>
        <v/>
      </c>
      <c r="G67" s="72">
        <f>COUNTIFS(tblVideos[Day],"&gt;="&amp;DATE($B67,1,1),tblVideos[Day],"&lt;"&amp;DATE($B67+1,1,1),tblVideos[Channel ID],Channels!$E$10)</f>
        <v/>
      </c>
      <c r="H67" s="72">
        <f>COUNTIFS(tblVideos[Day],"&gt;="&amp;DATE($B67,1,1),tblVideos[Day],"&lt;"&amp;DATE($B67+1,1,1),tblVideos[Channel ID],Channels!$E$11)</f>
        <v/>
      </c>
      <c r="I67" s="26">
        <f>SUM(C67:H67)</f>
        <v/>
      </c>
      <c r="J67" s="82">
        <f>SUMIFS(tblVideos[Length],tblVideos[Day],"&gt;="&amp;DATE($B67,1,1),tblVideos[Day],"&lt;"&amp;DATE($B67+1,1,1))</f>
        <v/>
      </c>
      <c r="K67" s="72">
        <f>COUNTIFS(tblVideos[Watched On],"&gt;="&amp;DATE($B67,1,1),tblVideos[Watched On],"&lt;"&amp;DATE($B67+1,1,1),tblVideos[Status],"Watched")</f>
        <v/>
      </c>
      <c r="L67" s="82">
        <f>SUMIFS(tblVideos[Length],tblVideos[Watched On],"&gt;="&amp;DATE($B67,1,1),tblVideos[Watched On],"&lt;"&amp;DATE($B67+1,1,1),tblVideos[Status],"Watched")</f>
        <v/>
      </c>
    </row>
    <row r="68">
      <c r="B68" s="71" t="n">
        <v>2016</v>
      </c>
      <c r="C68" s="72">
        <f>COUNTIFS(tblVideos[Day],"&gt;="&amp;DATE($B68,1,1),tblVideos[Day],"&lt;"&amp;DATE($B68+1,1,1),tblVideos[Channel ID],Channels!$E$6)</f>
        <v/>
      </c>
      <c r="D68" s="72">
        <f>COUNTIFS(tblVideos[Day],"&gt;="&amp;DATE($B68,1,1),tblVideos[Day],"&lt;"&amp;DATE($B68+1,1,1),tblVideos[Channel ID],Channels!$E$7)</f>
        <v/>
      </c>
      <c r="E68" s="72">
        <f>COUNTIFS(tblVideos[Day],"&gt;="&amp;DATE($B68,1,1),tblVideos[Day],"&lt;"&amp;DATE($B68+1,1,1),tblVideos[Channel ID],Channels!$E$8)</f>
        <v/>
      </c>
      <c r="F68" s="72">
        <f>COUNTIFS(tblVideos[Day],"&gt;="&amp;DATE($B68,1,1),tblVideos[Day],"&lt;"&amp;DATE($B68+1,1,1),tblVideos[Channel ID],Channels!$E$9)</f>
        <v/>
      </c>
      <c r="G68" s="72">
        <f>COUNTIFS(tblVideos[Day],"&gt;="&amp;DATE($B68,1,1),tblVideos[Day],"&lt;"&amp;DATE($B68+1,1,1),tblVideos[Channel ID],Channels!$E$10)</f>
        <v/>
      </c>
      <c r="H68" s="72">
        <f>COUNTIFS(tblVideos[Day],"&gt;="&amp;DATE($B68,1,1),tblVideos[Day],"&lt;"&amp;DATE($B68+1,1,1),tblVideos[Channel ID],Channels!$E$11)</f>
        <v/>
      </c>
      <c r="I68" s="26">
        <f>SUM(C68:H68)</f>
        <v/>
      </c>
      <c r="J68" s="82">
        <f>SUMIFS(tblVideos[Length],tblVideos[Day],"&gt;="&amp;DATE($B68,1,1),tblVideos[Day],"&lt;"&amp;DATE($B68+1,1,1))</f>
        <v/>
      </c>
      <c r="K68" s="72">
        <f>COUNTIFS(tblVideos[Watched On],"&gt;="&amp;DATE($B68,1,1),tblVideos[Watched On],"&lt;"&amp;DATE($B68+1,1,1),tblVideos[Status],"Watched")</f>
        <v/>
      </c>
      <c r="L68" s="82">
        <f>SUMIFS(tblVideos[Length],tblVideos[Watched On],"&gt;="&amp;DATE($B68,1,1),tblVideos[Watched On],"&lt;"&amp;DATE($B68+1,1,1),tblVideos[Status],"Watched")</f>
        <v/>
      </c>
    </row>
    <row r="69">
      <c r="B69" s="71" t="n">
        <v>2017</v>
      </c>
      <c r="C69" s="72">
        <f>COUNTIFS(tblVideos[Day],"&gt;="&amp;DATE($B69,1,1),tblVideos[Day],"&lt;"&amp;DATE($B69+1,1,1),tblVideos[Channel ID],Channels!$E$6)</f>
        <v/>
      </c>
      <c r="D69" s="72">
        <f>COUNTIFS(tblVideos[Day],"&gt;="&amp;DATE($B69,1,1),tblVideos[Day],"&lt;"&amp;DATE($B69+1,1,1),tblVideos[Channel ID],Channels!$E$7)</f>
        <v/>
      </c>
      <c r="E69" s="72">
        <f>COUNTIFS(tblVideos[Day],"&gt;="&amp;DATE($B69,1,1),tblVideos[Day],"&lt;"&amp;DATE($B69+1,1,1),tblVideos[Channel ID],Channels!$E$8)</f>
        <v/>
      </c>
      <c r="F69" s="72">
        <f>COUNTIFS(tblVideos[Day],"&gt;="&amp;DATE($B69,1,1),tblVideos[Day],"&lt;"&amp;DATE($B69+1,1,1),tblVideos[Channel ID],Channels!$E$9)</f>
        <v/>
      </c>
      <c r="G69" s="72">
        <f>COUNTIFS(tblVideos[Day],"&gt;="&amp;DATE($B69,1,1),tblVideos[Day],"&lt;"&amp;DATE($B69+1,1,1),tblVideos[Channel ID],Channels!$E$10)</f>
        <v/>
      </c>
      <c r="H69" s="72">
        <f>COUNTIFS(tblVideos[Day],"&gt;="&amp;DATE($B69,1,1),tblVideos[Day],"&lt;"&amp;DATE($B69+1,1,1),tblVideos[Channel ID],Channels!$E$11)</f>
        <v/>
      </c>
      <c r="I69" s="26">
        <f>SUM(C69:H69)</f>
        <v/>
      </c>
      <c r="J69" s="82">
        <f>SUMIFS(tblVideos[Length],tblVideos[Day],"&gt;="&amp;DATE($B69,1,1),tblVideos[Day],"&lt;"&amp;DATE($B69+1,1,1))</f>
        <v/>
      </c>
      <c r="K69" s="72">
        <f>COUNTIFS(tblVideos[Watched On],"&gt;="&amp;DATE($B69,1,1),tblVideos[Watched On],"&lt;"&amp;DATE($B69+1,1,1),tblVideos[Status],"Watched")</f>
        <v/>
      </c>
      <c r="L69" s="82">
        <f>SUMIFS(tblVideos[Length],tblVideos[Watched On],"&gt;="&amp;DATE($B69,1,1),tblVideos[Watched On],"&lt;"&amp;DATE($B69+1,1,1),tblVideos[Status],"Watched")</f>
        <v/>
      </c>
    </row>
    <row r="70">
      <c r="B70" s="71" t="n">
        <v>2018</v>
      </c>
      <c r="C70" s="72">
        <f>COUNTIFS(tblVideos[Day],"&gt;="&amp;DATE($B70,1,1),tblVideos[Day],"&lt;"&amp;DATE($B70+1,1,1),tblVideos[Channel ID],Channels!$E$6)</f>
        <v/>
      </c>
      <c r="D70" s="72">
        <f>COUNTIFS(tblVideos[Day],"&gt;="&amp;DATE($B70,1,1),tblVideos[Day],"&lt;"&amp;DATE($B70+1,1,1),tblVideos[Channel ID],Channels!$E$7)</f>
        <v/>
      </c>
      <c r="E70" s="72">
        <f>COUNTIFS(tblVideos[Day],"&gt;="&amp;DATE($B70,1,1),tblVideos[Day],"&lt;"&amp;DATE($B70+1,1,1),tblVideos[Channel ID],Channels!$E$8)</f>
        <v/>
      </c>
      <c r="F70" s="72">
        <f>COUNTIFS(tblVideos[Day],"&gt;="&amp;DATE($B70,1,1),tblVideos[Day],"&lt;"&amp;DATE($B70+1,1,1),tblVideos[Channel ID],Channels!$E$9)</f>
        <v/>
      </c>
      <c r="G70" s="72">
        <f>COUNTIFS(tblVideos[Day],"&gt;="&amp;DATE($B70,1,1),tblVideos[Day],"&lt;"&amp;DATE($B70+1,1,1),tblVideos[Channel ID],Channels!$E$10)</f>
        <v/>
      </c>
      <c r="H70" s="72">
        <f>COUNTIFS(tblVideos[Day],"&gt;="&amp;DATE($B70,1,1),tblVideos[Day],"&lt;"&amp;DATE($B70+1,1,1),tblVideos[Channel ID],Channels!$E$11)</f>
        <v/>
      </c>
      <c r="I70" s="26">
        <f>SUM(C70:H70)</f>
        <v/>
      </c>
      <c r="J70" s="82">
        <f>SUMIFS(tblVideos[Length],tblVideos[Day],"&gt;="&amp;DATE($B70,1,1),tblVideos[Day],"&lt;"&amp;DATE($B70+1,1,1))</f>
        <v/>
      </c>
      <c r="K70" s="72">
        <f>COUNTIFS(tblVideos[Watched On],"&gt;="&amp;DATE($B70,1,1),tblVideos[Watched On],"&lt;"&amp;DATE($B70+1,1,1),tblVideos[Status],"Watched")</f>
        <v/>
      </c>
      <c r="L70" s="82">
        <f>SUMIFS(tblVideos[Length],tblVideos[Watched On],"&gt;="&amp;DATE($B70,1,1),tblVideos[Watched On],"&lt;"&amp;DATE($B70+1,1,1),tblVideos[Status],"Watched")</f>
        <v/>
      </c>
    </row>
    <row r="71">
      <c r="B71" s="71" t="n">
        <v>2019</v>
      </c>
      <c r="C71" s="72">
        <f>COUNTIFS(tblVideos[Day],"&gt;="&amp;DATE($B71,1,1),tblVideos[Day],"&lt;"&amp;DATE($B71+1,1,1),tblVideos[Channel ID],Channels!$E$6)</f>
        <v/>
      </c>
      <c r="D71" s="72">
        <f>COUNTIFS(tblVideos[Day],"&gt;="&amp;DATE($B71,1,1),tblVideos[Day],"&lt;"&amp;DATE($B71+1,1,1),tblVideos[Channel ID],Channels!$E$7)</f>
        <v/>
      </c>
      <c r="E71" s="72">
        <f>COUNTIFS(tblVideos[Day],"&gt;="&amp;DATE($B71,1,1),tblVideos[Day],"&lt;"&amp;DATE($B71+1,1,1),tblVideos[Channel ID],Channels!$E$8)</f>
        <v/>
      </c>
      <c r="F71" s="72">
        <f>COUNTIFS(tblVideos[Day],"&gt;="&amp;DATE($B71,1,1),tblVideos[Day],"&lt;"&amp;DATE($B71+1,1,1),tblVideos[Channel ID],Channels!$E$9)</f>
        <v/>
      </c>
      <c r="G71" s="72">
        <f>COUNTIFS(tblVideos[Day],"&gt;="&amp;DATE($B71,1,1),tblVideos[Day],"&lt;"&amp;DATE($B71+1,1,1),tblVideos[Channel ID],Channels!$E$10)</f>
        <v/>
      </c>
      <c r="H71" s="72">
        <f>COUNTIFS(tblVideos[Day],"&gt;="&amp;DATE($B71,1,1),tblVideos[Day],"&lt;"&amp;DATE($B71+1,1,1),tblVideos[Channel ID],Channels!$E$11)</f>
        <v/>
      </c>
      <c r="I71" s="26">
        <f>SUM(C71:H71)</f>
        <v/>
      </c>
      <c r="J71" s="82">
        <f>SUMIFS(tblVideos[Length],tblVideos[Day],"&gt;="&amp;DATE($B71,1,1),tblVideos[Day],"&lt;"&amp;DATE($B71+1,1,1))</f>
        <v/>
      </c>
      <c r="K71" s="72">
        <f>COUNTIFS(tblVideos[Watched On],"&gt;="&amp;DATE($B71,1,1),tblVideos[Watched On],"&lt;"&amp;DATE($B71+1,1,1),tblVideos[Status],"Watched")</f>
        <v/>
      </c>
      <c r="L71" s="82">
        <f>SUMIFS(tblVideos[Length],tblVideos[Watched On],"&gt;="&amp;DATE($B71,1,1),tblVideos[Watched On],"&lt;"&amp;DATE($B71+1,1,1),tblVideos[Status],"Watched")</f>
        <v/>
      </c>
    </row>
    <row r="72">
      <c r="B72" s="71" t="n">
        <v>2020</v>
      </c>
      <c r="C72" s="72">
        <f>COUNTIFS(tblVideos[Day],"&gt;="&amp;DATE($B72,1,1),tblVideos[Day],"&lt;"&amp;DATE($B72+1,1,1),tblVideos[Channel ID],Channels!$E$6)</f>
        <v/>
      </c>
      <c r="D72" s="72">
        <f>COUNTIFS(tblVideos[Day],"&gt;="&amp;DATE($B72,1,1),tblVideos[Day],"&lt;"&amp;DATE($B72+1,1,1),tblVideos[Channel ID],Channels!$E$7)</f>
        <v/>
      </c>
      <c r="E72" s="72">
        <f>COUNTIFS(tblVideos[Day],"&gt;="&amp;DATE($B72,1,1),tblVideos[Day],"&lt;"&amp;DATE($B72+1,1,1),tblVideos[Channel ID],Channels!$E$8)</f>
        <v/>
      </c>
      <c r="F72" s="72">
        <f>COUNTIFS(tblVideos[Day],"&gt;="&amp;DATE($B72,1,1),tblVideos[Day],"&lt;"&amp;DATE($B72+1,1,1),tblVideos[Channel ID],Channels!$E$9)</f>
        <v/>
      </c>
      <c r="G72" s="72">
        <f>COUNTIFS(tblVideos[Day],"&gt;="&amp;DATE($B72,1,1),tblVideos[Day],"&lt;"&amp;DATE($B72+1,1,1),tblVideos[Channel ID],Channels!$E$10)</f>
        <v/>
      </c>
      <c r="H72" s="72">
        <f>COUNTIFS(tblVideos[Day],"&gt;="&amp;DATE($B72,1,1),tblVideos[Day],"&lt;"&amp;DATE($B72+1,1,1),tblVideos[Channel ID],Channels!$E$11)</f>
        <v/>
      </c>
      <c r="I72" s="26">
        <f>SUM(C72:H72)</f>
        <v/>
      </c>
      <c r="J72" s="82">
        <f>SUMIFS(tblVideos[Length],tblVideos[Day],"&gt;="&amp;DATE($B72,1,1),tblVideos[Day],"&lt;"&amp;DATE($B72+1,1,1))</f>
        <v/>
      </c>
      <c r="K72" s="72">
        <f>COUNTIFS(tblVideos[Watched On],"&gt;="&amp;DATE($B72,1,1),tblVideos[Watched On],"&lt;"&amp;DATE($B72+1,1,1),tblVideos[Status],"Watched")</f>
        <v/>
      </c>
      <c r="L72" s="82">
        <f>SUMIFS(tblVideos[Length],tblVideos[Watched On],"&gt;="&amp;DATE($B72,1,1),tblVideos[Watched On],"&lt;"&amp;DATE($B72+1,1,1),tblVideos[Status],"Watched")</f>
        <v/>
      </c>
    </row>
    <row r="73">
      <c r="B73" s="71" t="n">
        <v>2021</v>
      </c>
      <c r="C73" s="72">
        <f>COUNTIFS(tblVideos[Day],"&gt;="&amp;DATE($B73,1,1),tblVideos[Day],"&lt;"&amp;DATE($B73+1,1,1),tblVideos[Channel ID],Channels!$E$6)</f>
        <v/>
      </c>
      <c r="D73" s="72">
        <f>COUNTIFS(tblVideos[Day],"&gt;="&amp;DATE($B73,1,1),tblVideos[Day],"&lt;"&amp;DATE($B73+1,1,1),tblVideos[Channel ID],Channels!$E$7)</f>
        <v/>
      </c>
      <c r="E73" s="72">
        <f>COUNTIFS(tblVideos[Day],"&gt;="&amp;DATE($B73,1,1),tblVideos[Day],"&lt;"&amp;DATE($B73+1,1,1),tblVideos[Channel ID],Channels!$E$8)</f>
        <v/>
      </c>
      <c r="F73" s="72">
        <f>COUNTIFS(tblVideos[Day],"&gt;="&amp;DATE($B73,1,1),tblVideos[Day],"&lt;"&amp;DATE($B73+1,1,1),tblVideos[Channel ID],Channels!$E$9)</f>
        <v/>
      </c>
      <c r="G73" s="72">
        <f>COUNTIFS(tblVideos[Day],"&gt;="&amp;DATE($B73,1,1),tblVideos[Day],"&lt;"&amp;DATE($B73+1,1,1),tblVideos[Channel ID],Channels!$E$10)</f>
        <v/>
      </c>
      <c r="H73" s="72">
        <f>COUNTIFS(tblVideos[Day],"&gt;="&amp;DATE($B73,1,1),tblVideos[Day],"&lt;"&amp;DATE($B73+1,1,1),tblVideos[Channel ID],Channels!$E$11)</f>
        <v/>
      </c>
      <c r="I73" s="26">
        <f>SUM(C73:H73)</f>
        <v/>
      </c>
      <c r="J73" s="82">
        <f>SUMIFS(tblVideos[Length],tblVideos[Day],"&gt;="&amp;DATE($B73,1,1),tblVideos[Day],"&lt;"&amp;DATE($B73+1,1,1))</f>
        <v/>
      </c>
      <c r="K73" s="72">
        <f>COUNTIFS(tblVideos[Watched On],"&gt;="&amp;DATE($B73,1,1),tblVideos[Watched On],"&lt;"&amp;DATE($B73+1,1,1),tblVideos[Status],"Watched")</f>
        <v/>
      </c>
      <c r="L73" s="82">
        <f>SUMIFS(tblVideos[Length],tblVideos[Watched On],"&gt;="&amp;DATE($B73,1,1),tblVideos[Watched On],"&lt;"&amp;DATE($B73+1,1,1),tblVideos[Status],"Watched")</f>
        <v/>
      </c>
    </row>
    <row r="74">
      <c r="B74" s="71" t="n">
        <v>2022</v>
      </c>
      <c r="C74" s="72">
        <f>COUNTIFS(tblVideos[Day],"&gt;="&amp;DATE($B74,1,1),tblVideos[Day],"&lt;"&amp;DATE($B74+1,1,1),tblVideos[Channel ID],Channels!$E$6)</f>
        <v/>
      </c>
      <c r="D74" s="72">
        <f>COUNTIFS(tblVideos[Day],"&gt;="&amp;DATE($B74,1,1),tblVideos[Day],"&lt;"&amp;DATE($B74+1,1,1),tblVideos[Channel ID],Channels!$E$7)</f>
        <v/>
      </c>
      <c r="E74" s="72">
        <f>COUNTIFS(tblVideos[Day],"&gt;="&amp;DATE($B74,1,1),tblVideos[Day],"&lt;"&amp;DATE($B74+1,1,1),tblVideos[Channel ID],Channels!$E$8)</f>
        <v/>
      </c>
      <c r="F74" s="72">
        <f>COUNTIFS(tblVideos[Day],"&gt;="&amp;DATE($B74,1,1),tblVideos[Day],"&lt;"&amp;DATE($B74+1,1,1),tblVideos[Channel ID],Channels!$E$9)</f>
        <v/>
      </c>
      <c r="G74" s="72">
        <f>COUNTIFS(tblVideos[Day],"&gt;="&amp;DATE($B74,1,1),tblVideos[Day],"&lt;"&amp;DATE($B74+1,1,1),tblVideos[Channel ID],Channels!$E$10)</f>
        <v/>
      </c>
      <c r="H74" s="72">
        <f>COUNTIFS(tblVideos[Day],"&gt;="&amp;DATE($B74,1,1),tblVideos[Day],"&lt;"&amp;DATE($B74+1,1,1),tblVideos[Channel ID],Channels!$E$11)</f>
        <v/>
      </c>
      <c r="I74" s="26">
        <f>SUM(C74:H74)</f>
        <v/>
      </c>
      <c r="J74" s="82">
        <f>SUMIFS(tblVideos[Length],tblVideos[Day],"&gt;="&amp;DATE($B74,1,1),tblVideos[Day],"&lt;"&amp;DATE($B74+1,1,1))</f>
        <v/>
      </c>
      <c r="K74" s="72">
        <f>COUNTIFS(tblVideos[Watched On],"&gt;="&amp;DATE($B74,1,1),tblVideos[Watched On],"&lt;"&amp;DATE($B74+1,1,1),tblVideos[Status],"Watched")</f>
        <v/>
      </c>
      <c r="L74" s="82">
        <f>SUMIFS(tblVideos[Length],tblVideos[Watched On],"&gt;="&amp;DATE($B74,1,1),tblVideos[Watched On],"&lt;"&amp;DATE($B74+1,1,1),tblVideos[Status],"Watched")</f>
        <v/>
      </c>
    </row>
    <row r="75">
      <c r="B75" s="71" t="n">
        <v>2023</v>
      </c>
      <c r="C75" s="72">
        <f>COUNTIFS(tblVideos[Day],"&gt;="&amp;DATE($B75,1,1),tblVideos[Day],"&lt;"&amp;DATE($B75+1,1,1),tblVideos[Channel ID],Channels!$E$6)</f>
        <v/>
      </c>
      <c r="D75" s="72">
        <f>COUNTIFS(tblVideos[Day],"&gt;="&amp;DATE($B75,1,1),tblVideos[Day],"&lt;"&amp;DATE($B75+1,1,1),tblVideos[Channel ID],Channels!$E$7)</f>
        <v/>
      </c>
      <c r="E75" s="72">
        <f>COUNTIFS(tblVideos[Day],"&gt;="&amp;DATE($B75,1,1),tblVideos[Day],"&lt;"&amp;DATE($B75+1,1,1),tblVideos[Channel ID],Channels!$E$8)</f>
        <v/>
      </c>
      <c r="F75" s="72">
        <f>COUNTIFS(tblVideos[Day],"&gt;="&amp;DATE($B75,1,1),tblVideos[Day],"&lt;"&amp;DATE($B75+1,1,1),tblVideos[Channel ID],Channels!$E$9)</f>
        <v/>
      </c>
      <c r="G75" s="72">
        <f>COUNTIFS(tblVideos[Day],"&gt;="&amp;DATE($B75,1,1),tblVideos[Day],"&lt;"&amp;DATE($B75+1,1,1),tblVideos[Channel ID],Channels!$E$10)</f>
        <v/>
      </c>
      <c r="H75" s="72">
        <f>COUNTIFS(tblVideos[Day],"&gt;="&amp;DATE($B75,1,1),tblVideos[Day],"&lt;"&amp;DATE($B75+1,1,1),tblVideos[Channel ID],Channels!$E$11)</f>
        <v/>
      </c>
      <c r="I75" s="26">
        <f>SUM(C75:H75)</f>
        <v/>
      </c>
      <c r="J75" s="82">
        <f>SUMIFS(tblVideos[Length],tblVideos[Day],"&gt;="&amp;DATE($B75,1,1),tblVideos[Day],"&lt;"&amp;DATE($B75+1,1,1))</f>
        <v/>
      </c>
      <c r="K75" s="72">
        <f>COUNTIFS(tblVideos[Watched On],"&gt;="&amp;DATE($B75,1,1),tblVideos[Watched On],"&lt;"&amp;DATE($B75+1,1,1),tblVideos[Status],"Watched")</f>
        <v/>
      </c>
      <c r="L75" s="82">
        <f>SUMIFS(tblVideos[Length],tblVideos[Watched On],"&gt;="&amp;DATE($B75,1,1),tblVideos[Watched On],"&lt;"&amp;DATE($B75+1,1,1),tblVideos[Status],"Watched")</f>
        <v/>
      </c>
    </row>
    <row r="76">
      <c r="B76" s="71" t="n">
        <v>2024</v>
      </c>
      <c r="C76" s="72">
        <f>COUNTIFS(tblVideos[Day],"&gt;="&amp;DATE($B76,1,1),tblVideos[Day],"&lt;"&amp;DATE($B76+1,1,1),tblVideos[Channel ID],Channels!$E$6)</f>
        <v/>
      </c>
      <c r="D76" s="72">
        <f>COUNTIFS(tblVideos[Day],"&gt;="&amp;DATE($B76,1,1),tblVideos[Day],"&lt;"&amp;DATE($B76+1,1,1),tblVideos[Channel ID],Channels!$E$7)</f>
        <v/>
      </c>
      <c r="E76" s="72">
        <f>COUNTIFS(tblVideos[Day],"&gt;="&amp;DATE($B76,1,1),tblVideos[Day],"&lt;"&amp;DATE($B76+1,1,1),tblVideos[Channel ID],Channels!$E$8)</f>
        <v/>
      </c>
      <c r="F76" s="72">
        <f>COUNTIFS(tblVideos[Day],"&gt;="&amp;DATE($B76,1,1),tblVideos[Day],"&lt;"&amp;DATE($B76+1,1,1),tblVideos[Channel ID],Channels!$E$9)</f>
        <v/>
      </c>
      <c r="G76" s="72">
        <f>COUNTIFS(tblVideos[Day],"&gt;="&amp;DATE($B76,1,1),tblVideos[Day],"&lt;"&amp;DATE($B76+1,1,1),tblVideos[Channel ID],Channels!$E$10)</f>
        <v/>
      </c>
      <c r="H76" s="72">
        <f>COUNTIFS(tblVideos[Day],"&gt;="&amp;DATE($B76,1,1),tblVideos[Day],"&lt;"&amp;DATE($B76+1,1,1),tblVideos[Channel ID],Channels!$E$11)</f>
        <v/>
      </c>
      <c r="I76" s="26">
        <f>SUM(C76:H76)</f>
        <v/>
      </c>
      <c r="J76" s="82">
        <f>SUMIFS(tblVideos[Length],tblVideos[Day],"&gt;="&amp;DATE($B76,1,1),tblVideos[Day],"&lt;"&amp;DATE($B76+1,1,1))</f>
        <v/>
      </c>
      <c r="K76" s="72">
        <f>COUNTIFS(tblVideos[Watched On],"&gt;="&amp;DATE($B76,1,1),tblVideos[Watched On],"&lt;"&amp;DATE($B76+1,1,1),tblVideos[Status],"Watched")</f>
        <v/>
      </c>
      <c r="L76" s="82">
        <f>SUMIFS(tblVideos[Length],tblVideos[Watched On],"&gt;="&amp;DATE($B76,1,1),tblVideos[Watched On],"&lt;"&amp;DATE($B76+1,1,1),tblVideos[Status],"Watched")</f>
        <v/>
      </c>
    </row>
    <row r="77">
      <c r="B77" s="71" t="n">
        <v>2025</v>
      </c>
      <c r="C77" s="72">
        <f>COUNTIFS(tblVideos[Day],"&gt;="&amp;DATE($B77,1,1),tblVideos[Day],"&lt;"&amp;DATE($B77+1,1,1),tblVideos[Channel ID],Channels!$E$6)</f>
        <v/>
      </c>
      <c r="D77" s="72">
        <f>COUNTIFS(tblVideos[Day],"&gt;="&amp;DATE($B77,1,1),tblVideos[Day],"&lt;"&amp;DATE($B77+1,1,1),tblVideos[Channel ID],Channels!$E$7)</f>
        <v/>
      </c>
      <c r="E77" s="72">
        <f>COUNTIFS(tblVideos[Day],"&gt;="&amp;DATE($B77,1,1),tblVideos[Day],"&lt;"&amp;DATE($B77+1,1,1),tblVideos[Channel ID],Channels!$E$8)</f>
        <v/>
      </c>
      <c r="F77" s="72">
        <f>COUNTIFS(tblVideos[Day],"&gt;="&amp;DATE($B77,1,1),tblVideos[Day],"&lt;"&amp;DATE($B77+1,1,1),tblVideos[Channel ID],Channels!$E$9)</f>
        <v/>
      </c>
      <c r="G77" s="72">
        <f>COUNTIFS(tblVideos[Day],"&gt;="&amp;DATE($B77,1,1),tblVideos[Day],"&lt;"&amp;DATE($B77+1,1,1),tblVideos[Channel ID],Channels!$E$10)</f>
        <v/>
      </c>
      <c r="H77" s="72">
        <f>COUNTIFS(tblVideos[Day],"&gt;="&amp;DATE($B77,1,1),tblVideos[Day],"&lt;"&amp;DATE($B77+1,1,1),tblVideos[Channel ID],Channels!$E$11)</f>
        <v/>
      </c>
      <c r="I77" s="26">
        <f>SUM(C77:H77)</f>
        <v/>
      </c>
      <c r="J77" s="82">
        <f>SUMIFS(tblVideos[Length],tblVideos[Day],"&gt;="&amp;DATE($B77,1,1),tblVideos[Day],"&lt;"&amp;DATE($B77+1,1,1))</f>
        <v/>
      </c>
      <c r="K77" s="72">
        <f>COUNTIFS(tblVideos[Watched On],"&gt;="&amp;DATE($B77,1,1),tblVideos[Watched On],"&lt;"&amp;DATE($B77+1,1,1),tblVideos[Status],"Watched")</f>
        <v/>
      </c>
      <c r="L77" s="82">
        <f>SUMIFS(tblVideos[Length],tblVideos[Watched On],"&gt;="&amp;DATE($B77,1,1),tblVideos[Watched On],"&lt;"&amp;DATE($B77+1,1,1),tblVideos[Status],"Watched")</f>
        <v/>
      </c>
    </row>
    <row r="78">
      <c r="B78" s="71" t="n">
        <v>2026</v>
      </c>
      <c r="C78" s="72">
        <f>COUNTIFS(tblVideos[Day],"&gt;="&amp;DATE($B78,1,1),tblVideos[Day],"&lt;"&amp;DATE($B78+1,1,1),tblVideos[Channel ID],Channels!$E$6)</f>
        <v/>
      </c>
      <c r="D78" s="72">
        <f>COUNTIFS(tblVideos[Day],"&gt;="&amp;DATE($B78,1,1),tblVideos[Day],"&lt;"&amp;DATE($B78+1,1,1),tblVideos[Channel ID],Channels!$E$7)</f>
        <v/>
      </c>
      <c r="E78" s="72">
        <f>COUNTIFS(tblVideos[Day],"&gt;="&amp;DATE($B78,1,1),tblVideos[Day],"&lt;"&amp;DATE($B78+1,1,1),tblVideos[Channel ID],Channels!$E$8)</f>
        <v/>
      </c>
      <c r="F78" s="72">
        <f>COUNTIFS(tblVideos[Day],"&gt;="&amp;DATE($B78,1,1),tblVideos[Day],"&lt;"&amp;DATE($B78+1,1,1),tblVideos[Channel ID],Channels!$E$9)</f>
        <v/>
      </c>
      <c r="G78" s="72">
        <f>COUNTIFS(tblVideos[Day],"&gt;="&amp;DATE($B78,1,1),tblVideos[Day],"&lt;"&amp;DATE($B78+1,1,1),tblVideos[Channel ID],Channels!$E$10)</f>
        <v/>
      </c>
      <c r="H78" s="72">
        <f>COUNTIFS(tblVideos[Day],"&gt;="&amp;DATE($B78,1,1),tblVideos[Day],"&lt;"&amp;DATE($B78+1,1,1),tblVideos[Channel ID],Channels!$E$11)</f>
        <v/>
      </c>
      <c r="I78" s="26">
        <f>SUM(C78:H78)</f>
        <v/>
      </c>
      <c r="J78" s="82">
        <f>SUMIFS(tblVideos[Length],tblVideos[Day],"&gt;="&amp;DATE($B78,1,1),tblVideos[Day],"&lt;"&amp;DATE($B78+1,1,1))</f>
        <v/>
      </c>
      <c r="K78" s="72">
        <f>COUNTIFS(tblVideos[Watched On],"&gt;="&amp;DATE($B78,1,1),tblVideos[Watched On],"&lt;"&amp;DATE($B78+1,1,1),tblVideos[Status],"Watched")</f>
        <v/>
      </c>
      <c r="L78" s="82">
        <f>SUMIFS(tblVideos[Length],tblVideos[Watched On],"&gt;="&amp;DATE($B78,1,1),tblVideos[Watched On],"&lt;"&amp;DATE($B78+1,1,1),tblVideos[Status],"Watched")</f>
        <v/>
      </c>
    </row>
    <row r="100" ht="20" customHeight="1">
      <c r="B100" s="10" t="inlineStr">
        <is>
          <t>Month-by-month timeline</t>
        </is>
      </c>
      <c r="C100" s="11" t="n"/>
      <c r="D100" s="11" t="n"/>
      <c r="E100" s="11" t="n"/>
      <c r="F100" s="11" t="n"/>
      <c r="G100" s="11" t="n"/>
      <c r="H100" s="11" t="n"/>
      <c r="I100" s="11" t="n"/>
      <c r="J100" s="11" t="n"/>
      <c r="K100" s="11" t="n"/>
      <c r="L100" s="11" t="n"/>
      <c r="M100" s="11" t="n"/>
      <c r="N100" s="11" t="n"/>
      <c r="O100" s="11" t="n"/>
    </row>
    <row r="143" ht="46" customHeight="1">
      <c r="B143" s="12" t="inlineStr">
        <is>
          <t>Month</t>
        </is>
      </c>
      <c r="C143" s="74">
        <f>Channels!$C$6</f>
        <v/>
      </c>
      <c r="D143" s="75">
        <f>Channels!$C$7</f>
        <v/>
      </c>
      <c r="E143" s="76">
        <f>Channels!$C$8</f>
        <v/>
      </c>
      <c r="F143" s="77">
        <f>Channels!$C$9</f>
        <v/>
      </c>
      <c r="G143" s="78">
        <f>Channels!$C$10</f>
        <v/>
      </c>
      <c r="H143" s="79">
        <f>Channels!$C$11</f>
        <v/>
      </c>
      <c r="I143" s="12" t="inlineStr">
        <is>
          <t>Total</t>
        </is>
      </c>
      <c r="J143" s="12" t="inlineStr">
        <is>
          <t>Time uploaded</t>
        </is>
      </c>
      <c r="K143" s="12" t="inlineStr">
        <is>
          <t>Watched (dated)</t>
        </is>
      </c>
      <c r="L143" s="12" t="inlineStr">
        <is>
          <t>Time watched (dated)</t>
        </is>
      </c>
      <c r="M143" s="12" t="inlineStr">
        <is>
          <t>Activity</t>
        </is>
      </c>
    </row>
    <row r="144">
      <c r="B144" s="83" t="n">
        <v>41030</v>
      </c>
      <c r="C144" s="72">
        <f>COUNTIFS(tblVideos[Day],"&gt;="&amp;$B144,tblVideos[Day],"&lt;"&amp;EDATE($B144,1),tblVideos[Channel ID],Channels!$E$6)</f>
        <v/>
      </c>
      <c r="D144" s="72">
        <f>COUNTIFS(tblVideos[Day],"&gt;="&amp;$B144,tblVideos[Day],"&lt;"&amp;EDATE($B144,1),tblVideos[Channel ID],Channels!$E$7)</f>
        <v/>
      </c>
      <c r="E144" s="72">
        <f>COUNTIFS(tblVideos[Day],"&gt;="&amp;$B144,tblVideos[Day],"&lt;"&amp;EDATE($B144,1),tblVideos[Channel ID],Channels!$E$8)</f>
        <v/>
      </c>
      <c r="F144" s="72">
        <f>COUNTIFS(tblVideos[Day],"&gt;="&amp;$B144,tblVideos[Day],"&lt;"&amp;EDATE($B144,1),tblVideos[Channel ID],Channels!$E$9)</f>
        <v/>
      </c>
      <c r="G144" s="72">
        <f>COUNTIFS(tblVideos[Day],"&gt;="&amp;$B144,tblVideos[Day],"&lt;"&amp;EDATE($B144,1),tblVideos[Channel ID],Channels!$E$10)</f>
        <v/>
      </c>
      <c r="H144" s="72">
        <f>COUNTIFS(tblVideos[Day],"&gt;="&amp;$B144,tblVideos[Day],"&lt;"&amp;EDATE($B144,1),tblVideos[Channel ID],Channels!$E$11)</f>
        <v/>
      </c>
      <c r="I144" s="81">
        <f>SUM(C144:H144)</f>
        <v/>
      </c>
      <c r="J144" s="82">
        <f>SUMIFS(tblVideos[Length],tblVideos[Day],"&gt;="&amp;$B144,tblVideos[Day],"&lt;"&amp;EDATE($B144,1))</f>
        <v/>
      </c>
      <c r="K144" s="72">
        <f>COUNTIFS(tblVideos[Watched On],"&gt;="&amp;$B144,tblVideos[Watched On],"&lt;"&amp;EDATE($B144,1),tblVideos[Status],"Watched")</f>
        <v/>
      </c>
      <c r="L144" s="82">
        <f>SUMIFS(tblVideos[Length],tblVideos[Watched On],"&gt;="&amp;$B144,tblVideos[Watched On],"&lt;"&amp;EDATE($B144,1),tblVideos[Status],"Watched")</f>
        <v/>
      </c>
      <c r="M144" s="84">
        <f>IF(I144=0,"Gap",IF(I144&gt;AVERAGE($I$144:$I$317)+2*STDEV($I$144:$I$317),"High",""))</f>
        <v/>
      </c>
    </row>
    <row r="145">
      <c r="B145" s="83" t="n">
        <v>41061</v>
      </c>
      <c r="C145" s="72">
        <f>COUNTIFS(tblVideos[Day],"&gt;="&amp;$B145,tblVideos[Day],"&lt;"&amp;EDATE($B145,1),tblVideos[Channel ID],Channels!$E$6)</f>
        <v/>
      </c>
      <c r="D145" s="72">
        <f>COUNTIFS(tblVideos[Day],"&gt;="&amp;$B145,tblVideos[Day],"&lt;"&amp;EDATE($B145,1),tblVideos[Channel ID],Channels!$E$7)</f>
        <v/>
      </c>
      <c r="E145" s="72">
        <f>COUNTIFS(tblVideos[Day],"&gt;="&amp;$B145,tblVideos[Day],"&lt;"&amp;EDATE($B145,1),tblVideos[Channel ID],Channels!$E$8)</f>
        <v/>
      </c>
      <c r="F145" s="72">
        <f>COUNTIFS(tblVideos[Day],"&gt;="&amp;$B145,tblVideos[Day],"&lt;"&amp;EDATE($B145,1),tblVideos[Channel ID],Channels!$E$9)</f>
        <v/>
      </c>
      <c r="G145" s="72">
        <f>COUNTIFS(tblVideos[Day],"&gt;="&amp;$B145,tblVideos[Day],"&lt;"&amp;EDATE($B145,1),tblVideos[Channel ID],Channels!$E$10)</f>
        <v/>
      </c>
      <c r="H145" s="72">
        <f>COUNTIFS(tblVideos[Day],"&gt;="&amp;$B145,tblVideos[Day],"&lt;"&amp;EDATE($B145,1),tblVideos[Channel ID],Channels!$E$11)</f>
        <v/>
      </c>
      <c r="I145" s="81">
        <f>SUM(C145:H145)</f>
        <v/>
      </c>
      <c r="J145" s="82">
        <f>SUMIFS(tblVideos[Length],tblVideos[Day],"&gt;="&amp;$B145,tblVideos[Day],"&lt;"&amp;EDATE($B145,1))</f>
        <v/>
      </c>
      <c r="K145" s="72">
        <f>COUNTIFS(tblVideos[Watched On],"&gt;="&amp;$B145,tblVideos[Watched On],"&lt;"&amp;EDATE($B145,1),tblVideos[Status],"Watched")</f>
        <v/>
      </c>
      <c r="L145" s="82">
        <f>SUMIFS(tblVideos[Length],tblVideos[Watched On],"&gt;="&amp;$B145,tblVideos[Watched On],"&lt;"&amp;EDATE($B145,1),tblVideos[Status],"Watched")</f>
        <v/>
      </c>
      <c r="M145" s="84">
        <f>IF(I145=0,"Gap",IF(I145&gt;AVERAGE($I$144:$I$317)+2*STDEV($I$144:$I$317),"High",""))</f>
        <v/>
      </c>
    </row>
    <row r="146">
      <c r="B146" s="83" t="n">
        <v>41091</v>
      </c>
      <c r="C146" s="72">
        <f>COUNTIFS(tblVideos[Day],"&gt;="&amp;$B146,tblVideos[Day],"&lt;"&amp;EDATE($B146,1),tblVideos[Channel ID],Channels!$E$6)</f>
        <v/>
      </c>
      <c r="D146" s="72">
        <f>COUNTIFS(tblVideos[Day],"&gt;="&amp;$B146,tblVideos[Day],"&lt;"&amp;EDATE($B146,1),tblVideos[Channel ID],Channels!$E$7)</f>
        <v/>
      </c>
      <c r="E146" s="72">
        <f>COUNTIFS(tblVideos[Day],"&gt;="&amp;$B146,tblVideos[Day],"&lt;"&amp;EDATE($B146,1),tblVideos[Channel ID],Channels!$E$8)</f>
        <v/>
      </c>
      <c r="F146" s="72">
        <f>COUNTIFS(tblVideos[Day],"&gt;="&amp;$B146,tblVideos[Day],"&lt;"&amp;EDATE($B146,1),tblVideos[Channel ID],Channels!$E$9)</f>
        <v/>
      </c>
      <c r="G146" s="72">
        <f>COUNTIFS(tblVideos[Day],"&gt;="&amp;$B146,tblVideos[Day],"&lt;"&amp;EDATE($B146,1),tblVideos[Channel ID],Channels!$E$10)</f>
        <v/>
      </c>
      <c r="H146" s="72">
        <f>COUNTIFS(tblVideos[Day],"&gt;="&amp;$B146,tblVideos[Day],"&lt;"&amp;EDATE($B146,1),tblVideos[Channel ID],Channels!$E$11)</f>
        <v/>
      </c>
      <c r="I146" s="81">
        <f>SUM(C146:H146)</f>
        <v/>
      </c>
      <c r="J146" s="82">
        <f>SUMIFS(tblVideos[Length],tblVideos[Day],"&gt;="&amp;$B146,tblVideos[Day],"&lt;"&amp;EDATE($B146,1))</f>
        <v/>
      </c>
      <c r="K146" s="72">
        <f>COUNTIFS(tblVideos[Watched On],"&gt;="&amp;$B146,tblVideos[Watched On],"&lt;"&amp;EDATE($B146,1),tblVideos[Status],"Watched")</f>
        <v/>
      </c>
      <c r="L146" s="82">
        <f>SUMIFS(tblVideos[Length],tblVideos[Watched On],"&gt;="&amp;$B146,tblVideos[Watched On],"&lt;"&amp;EDATE($B146,1),tblVideos[Status],"Watched")</f>
        <v/>
      </c>
      <c r="M146" s="84">
        <f>IF(I146=0,"Gap",IF(I146&gt;AVERAGE($I$144:$I$317)+2*STDEV($I$144:$I$317),"High",""))</f>
        <v/>
      </c>
    </row>
    <row r="147">
      <c r="B147" s="83" t="n">
        <v>41122</v>
      </c>
      <c r="C147" s="72">
        <f>COUNTIFS(tblVideos[Day],"&gt;="&amp;$B147,tblVideos[Day],"&lt;"&amp;EDATE($B147,1),tblVideos[Channel ID],Channels!$E$6)</f>
        <v/>
      </c>
      <c r="D147" s="72">
        <f>COUNTIFS(tblVideos[Day],"&gt;="&amp;$B147,tblVideos[Day],"&lt;"&amp;EDATE($B147,1),tblVideos[Channel ID],Channels!$E$7)</f>
        <v/>
      </c>
      <c r="E147" s="72">
        <f>COUNTIFS(tblVideos[Day],"&gt;="&amp;$B147,tblVideos[Day],"&lt;"&amp;EDATE($B147,1),tblVideos[Channel ID],Channels!$E$8)</f>
        <v/>
      </c>
      <c r="F147" s="72">
        <f>COUNTIFS(tblVideos[Day],"&gt;="&amp;$B147,tblVideos[Day],"&lt;"&amp;EDATE($B147,1),tblVideos[Channel ID],Channels!$E$9)</f>
        <v/>
      </c>
      <c r="G147" s="72">
        <f>COUNTIFS(tblVideos[Day],"&gt;="&amp;$B147,tblVideos[Day],"&lt;"&amp;EDATE($B147,1),tblVideos[Channel ID],Channels!$E$10)</f>
        <v/>
      </c>
      <c r="H147" s="72">
        <f>COUNTIFS(tblVideos[Day],"&gt;="&amp;$B147,tblVideos[Day],"&lt;"&amp;EDATE($B147,1),tblVideos[Channel ID],Channels!$E$11)</f>
        <v/>
      </c>
      <c r="I147" s="81">
        <f>SUM(C147:H147)</f>
        <v/>
      </c>
      <c r="J147" s="82">
        <f>SUMIFS(tblVideos[Length],tblVideos[Day],"&gt;="&amp;$B147,tblVideos[Day],"&lt;"&amp;EDATE($B147,1))</f>
        <v/>
      </c>
      <c r="K147" s="72">
        <f>COUNTIFS(tblVideos[Watched On],"&gt;="&amp;$B147,tblVideos[Watched On],"&lt;"&amp;EDATE($B147,1),tblVideos[Status],"Watched")</f>
        <v/>
      </c>
      <c r="L147" s="82">
        <f>SUMIFS(tblVideos[Length],tblVideos[Watched On],"&gt;="&amp;$B147,tblVideos[Watched On],"&lt;"&amp;EDATE($B147,1),tblVideos[Status],"Watched")</f>
        <v/>
      </c>
      <c r="M147" s="84">
        <f>IF(I147=0,"Gap",IF(I147&gt;AVERAGE($I$144:$I$317)+2*STDEV($I$144:$I$317),"High",""))</f>
        <v/>
      </c>
    </row>
    <row r="148">
      <c r="B148" s="83" t="n">
        <v>41153</v>
      </c>
      <c r="C148" s="72">
        <f>COUNTIFS(tblVideos[Day],"&gt;="&amp;$B148,tblVideos[Day],"&lt;"&amp;EDATE($B148,1),tblVideos[Channel ID],Channels!$E$6)</f>
        <v/>
      </c>
      <c r="D148" s="72">
        <f>COUNTIFS(tblVideos[Day],"&gt;="&amp;$B148,tblVideos[Day],"&lt;"&amp;EDATE($B148,1),tblVideos[Channel ID],Channels!$E$7)</f>
        <v/>
      </c>
      <c r="E148" s="72">
        <f>COUNTIFS(tblVideos[Day],"&gt;="&amp;$B148,tblVideos[Day],"&lt;"&amp;EDATE($B148,1),tblVideos[Channel ID],Channels!$E$8)</f>
        <v/>
      </c>
      <c r="F148" s="72">
        <f>COUNTIFS(tblVideos[Day],"&gt;="&amp;$B148,tblVideos[Day],"&lt;"&amp;EDATE($B148,1),tblVideos[Channel ID],Channels!$E$9)</f>
        <v/>
      </c>
      <c r="G148" s="72">
        <f>COUNTIFS(tblVideos[Day],"&gt;="&amp;$B148,tblVideos[Day],"&lt;"&amp;EDATE($B148,1),tblVideos[Channel ID],Channels!$E$10)</f>
        <v/>
      </c>
      <c r="H148" s="72">
        <f>COUNTIFS(tblVideos[Day],"&gt;="&amp;$B148,tblVideos[Day],"&lt;"&amp;EDATE($B148,1),tblVideos[Channel ID],Channels!$E$11)</f>
        <v/>
      </c>
      <c r="I148" s="81">
        <f>SUM(C148:H148)</f>
        <v/>
      </c>
      <c r="J148" s="82">
        <f>SUMIFS(tblVideos[Length],tblVideos[Day],"&gt;="&amp;$B148,tblVideos[Day],"&lt;"&amp;EDATE($B148,1))</f>
        <v/>
      </c>
      <c r="K148" s="72">
        <f>COUNTIFS(tblVideos[Watched On],"&gt;="&amp;$B148,tblVideos[Watched On],"&lt;"&amp;EDATE($B148,1),tblVideos[Status],"Watched")</f>
        <v/>
      </c>
      <c r="L148" s="82">
        <f>SUMIFS(tblVideos[Length],tblVideos[Watched On],"&gt;="&amp;$B148,tblVideos[Watched On],"&lt;"&amp;EDATE($B148,1),tblVideos[Status],"Watched")</f>
        <v/>
      </c>
      <c r="M148" s="84">
        <f>IF(I148=0,"Gap",IF(I148&gt;AVERAGE($I$144:$I$317)+2*STDEV($I$144:$I$317),"High",""))</f>
        <v/>
      </c>
    </row>
    <row r="149">
      <c r="B149" s="83" t="n">
        <v>41183</v>
      </c>
      <c r="C149" s="72">
        <f>COUNTIFS(tblVideos[Day],"&gt;="&amp;$B149,tblVideos[Day],"&lt;"&amp;EDATE($B149,1),tblVideos[Channel ID],Channels!$E$6)</f>
        <v/>
      </c>
      <c r="D149" s="72">
        <f>COUNTIFS(tblVideos[Day],"&gt;="&amp;$B149,tblVideos[Day],"&lt;"&amp;EDATE($B149,1),tblVideos[Channel ID],Channels!$E$7)</f>
        <v/>
      </c>
      <c r="E149" s="72">
        <f>COUNTIFS(tblVideos[Day],"&gt;="&amp;$B149,tblVideos[Day],"&lt;"&amp;EDATE($B149,1),tblVideos[Channel ID],Channels!$E$8)</f>
        <v/>
      </c>
      <c r="F149" s="72">
        <f>COUNTIFS(tblVideos[Day],"&gt;="&amp;$B149,tblVideos[Day],"&lt;"&amp;EDATE($B149,1),tblVideos[Channel ID],Channels!$E$9)</f>
        <v/>
      </c>
      <c r="G149" s="72">
        <f>COUNTIFS(tblVideos[Day],"&gt;="&amp;$B149,tblVideos[Day],"&lt;"&amp;EDATE($B149,1),tblVideos[Channel ID],Channels!$E$10)</f>
        <v/>
      </c>
      <c r="H149" s="72">
        <f>COUNTIFS(tblVideos[Day],"&gt;="&amp;$B149,tblVideos[Day],"&lt;"&amp;EDATE($B149,1),tblVideos[Channel ID],Channels!$E$11)</f>
        <v/>
      </c>
      <c r="I149" s="81">
        <f>SUM(C149:H149)</f>
        <v/>
      </c>
      <c r="J149" s="82">
        <f>SUMIFS(tblVideos[Length],tblVideos[Day],"&gt;="&amp;$B149,tblVideos[Day],"&lt;"&amp;EDATE($B149,1))</f>
        <v/>
      </c>
      <c r="K149" s="72">
        <f>COUNTIFS(tblVideos[Watched On],"&gt;="&amp;$B149,tblVideos[Watched On],"&lt;"&amp;EDATE($B149,1),tblVideos[Status],"Watched")</f>
        <v/>
      </c>
      <c r="L149" s="82">
        <f>SUMIFS(tblVideos[Length],tblVideos[Watched On],"&gt;="&amp;$B149,tblVideos[Watched On],"&lt;"&amp;EDATE($B149,1),tblVideos[Status],"Watched")</f>
        <v/>
      </c>
      <c r="M149" s="84">
        <f>IF(I149=0,"Gap",IF(I149&gt;AVERAGE($I$144:$I$317)+2*STDEV($I$144:$I$317),"High",""))</f>
        <v/>
      </c>
    </row>
    <row r="150">
      <c r="B150" s="83" t="n">
        <v>41214</v>
      </c>
      <c r="C150" s="72">
        <f>COUNTIFS(tblVideos[Day],"&gt;="&amp;$B150,tblVideos[Day],"&lt;"&amp;EDATE($B150,1),tblVideos[Channel ID],Channels!$E$6)</f>
        <v/>
      </c>
      <c r="D150" s="72">
        <f>COUNTIFS(tblVideos[Day],"&gt;="&amp;$B150,tblVideos[Day],"&lt;"&amp;EDATE($B150,1),tblVideos[Channel ID],Channels!$E$7)</f>
        <v/>
      </c>
      <c r="E150" s="72">
        <f>COUNTIFS(tblVideos[Day],"&gt;="&amp;$B150,tblVideos[Day],"&lt;"&amp;EDATE($B150,1),tblVideos[Channel ID],Channels!$E$8)</f>
        <v/>
      </c>
      <c r="F150" s="72">
        <f>COUNTIFS(tblVideos[Day],"&gt;="&amp;$B150,tblVideos[Day],"&lt;"&amp;EDATE($B150,1),tblVideos[Channel ID],Channels!$E$9)</f>
        <v/>
      </c>
      <c r="G150" s="72">
        <f>COUNTIFS(tblVideos[Day],"&gt;="&amp;$B150,tblVideos[Day],"&lt;"&amp;EDATE($B150,1),tblVideos[Channel ID],Channels!$E$10)</f>
        <v/>
      </c>
      <c r="H150" s="72">
        <f>COUNTIFS(tblVideos[Day],"&gt;="&amp;$B150,tblVideos[Day],"&lt;"&amp;EDATE($B150,1),tblVideos[Channel ID],Channels!$E$11)</f>
        <v/>
      </c>
      <c r="I150" s="81">
        <f>SUM(C150:H150)</f>
        <v/>
      </c>
      <c r="J150" s="82">
        <f>SUMIFS(tblVideos[Length],tblVideos[Day],"&gt;="&amp;$B150,tblVideos[Day],"&lt;"&amp;EDATE($B150,1))</f>
        <v/>
      </c>
      <c r="K150" s="72">
        <f>COUNTIFS(tblVideos[Watched On],"&gt;="&amp;$B150,tblVideos[Watched On],"&lt;"&amp;EDATE($B150,1),tblVideos[Status],"Watched")</f>
        <v/>
      </c>
      <c r="L150" s="82">
        <f>SUMIFS(tblVideos[Length],tblVideos[Watched On],"&gt;="&amp;$B150,tblVideos[Watched On],"&lt;"&amp;EDATE($B150,1),tblVideos[Status],"Watched")</f>
        <v/>
      </c>
      <c r="M150" s="84">
        <f>IF(I150=0,"Gap",IF(I150&gt;AVERAGE($I$144:$I$317)+2*STDEV($I$144:$I$317),"High",""))</f>
        <v/>
      </c>
    </row>
    <row r="151">
      <c r="B151" s="83" t="n">
        <v>41244</v>
      </c>
      <c r="C151" s="72">
        <f>COUNTIFS(tblVideos[Day],"&gt;="&amp;$B151,tblVideos[Day],"&lt;"&amp;EDATE($B151,1),tblVideos[Channel ID],Channels!$E$6)</f>
        <v/>
      </c>
      <c r="D151" s="72">
        <f>COUNTIFS(tblVideos[Day],"&gt;="&amp;$B151,tblVideos[Day],"&lt;"&amp;EDATE($B151,1),tblVideos[Channel ID],Channels!$E$7)</f>
        <v/>
      </c>
      <c r="E151" s="72">
        <f>COUNTIFS(tblVideos[Day],"&gt;="&amp;$B151,tblVideos[Day],"&lt;"&amp;EDATE($B151,1),tblVideos[Channel ID],Channels!$E$8)</f>
        <v/>
      </c>
      <c r="F151" s="72">
        <f>COUNTIFS(tblVideos[Day],"&gt;="&amp;$B151,tblVideos[Day],"&lt;"&amp;EDATE($B151,1),tblVideos[Channel ID],Channels!$E$9)</f>
        <v/>
      </c>
      <c r="G151" s="72">
        <f>COUNTIFS(tblVideos[Day],"&gt;="&amp;$B151,tblVideos[Day],"&lt;"&amp;EDATE($B151,1),tblVideos[Channel ID],Channels!$E$10)</f>
        <v/>
      </c>
      <c r="H151" s="72">
        <f>COUNTIFS(tblVideos[Day],"&gt;="&amp;$B151,tblVideos[Day],"&lt;"&amp;EDATE($B151,1),tblVideos[Channel ID],Channels!$E$11)</f>
        <v/>
      </c>
      <c r="I151" s="81">
        <f>SUM(C151:H151)</f>
        <v/>
      </c>
      <c r="J151" s="82">
        <f>SUMIFS(tblVideos[Length],tblVideos[Day],"&gt;="&amp;$B151,tblVideos[Day],"&lt;"&amp;EDATE($B151,1))</f>
        <v/>
      </c>
      <c r="K151" s="72">
        <f>COUNTIFS(tblVideos[Watched On],"&gt;="&amp;$B151,tblVideos[Watched On],"&lt;"&amp;EDATE($B151,1),tblVideos[Status],"Watched")</f>
        <v/>
      </c>
      <c r="L151" s="82">
        <f>SUMIFS(tblVideos[Length],tblVideos[Watched On],"&gt;="&amp;$B151,tblVideos[Watched On],"&lt;"&amp;EDATE($B151,1),tblVideos[Status],"Watched")</f>
        <v/>
      </c>
      <c r="M151" s="84">
        <f>IF(I151=0,"Gap",IF(I151&gt;AVERAGE($I$144:$I$317)+2*STDEV($I$144:$I$317),"High",""))</f>
        <v/>
      </c>
    </row>
    <row r="152">
      <c r="B152" s="83" t="n">
        <v>41275</v>
      </c>
      <c r="C152" s="72">
        <f>COUNTIFS(tblVideos[Day],"&gt;="&amp;$B152,tblVideos[Day],"&lt;"&amp;EDATE($B152,1),tblVideos[Channel ID],Channels!$E$6)</f>
        <v/>
      </c>
      <c r="D152" s="72">
        <f>COUNTIFS(tblVideos[Day],"&gt;="&amp;$B152,tblVideos[Day],"&lt;"&amp;EDATE($B152,1),tblVideos[Channel ID],Channels!$E$7)</f>
        <v/>
      </c>
      <c r="E152" s="72">
        <f>COUNTIFS(tblVideos[Day],"&gt;="&amp;$B152,tblVideos[Day],"&lt;"&amp;EDATE($B152,1),tblVideos[Channel ID],Channels!$E$8)</f>
        <v/>
      </c>
      <c r="F152" s="72">
        <f>COUNTIFS(tblVideos[Day],"&gt;="&amp;$B152,tblVideos[Day],"&lt;"&amp;EDATE($B152,1),tblVideos[Channel ID],Channels!$E$9)</f>
        <v/>
      </c>
      <c r="G152" s="72">
        <f>COUNTIFS(tblVideos[Day],"&gt;="&amp;$B152,tblVideos[Day],"&lt;"&amp;EDATE($B152,1),tblVideos[Channel ID],Channels!$E$10)</f>
        <v/>
      </c>
      <c r="H152" s="72">
        <f>COUNTIFS(tblVideos[Day],"&gt;="&amp;$B152,tblVideos[Day],"&lt;"&amp;EDATE($B152,1),tblVideos[Channel ID],Channels!$E$11)</f>
        <v/>
      </c>
      <c r="I152" s="81">
        <f>SUM(C152:H152)</f>
        <v/>
      </c>
      <c r="J152" s="82">
        <f>SUMIFS(tblVideos[Length],tblVideos[Day],"&gt;="&amp;$B152,tblVideos[Day],"&lt;"&amp;EDATE($B152,1))</f>
        <v/>
      </c>
      <c r="K152" s="72">
        <f>COUNTIFS(tblVideos[Watched On],"&gt;="&amp;$B152,tblVideos[Watched On],"&lt;"&amp;EDATE($B152,1),tblVideos[Status],"Watched")</f>
        <v/>
      </c>
      <c r="L152" s="82">
        <f>SUMIFS(tblVideos[Length],tblVideos[Watched On],"&gt;="&amp;$B152,tblVideos[Watched On],"&lt;"&amp;EDATE($B152,1),tblVideos[Status],"Watched")</f>
        <v/>
      </c>
      <c r="M152" s="84">
        <f>IF(I152=0,"Gap",IF(I152&gt;AVERAGE($I$144:$I$317)+2*STDEV($I$144:$I$317),"High",""))</f>
        <v/>
      </c>
    </row>
    <row r="153">
      <c r="B153" s="83" t="n">
        <v>41306</v>
      </c>
      <c r="C153" s="72">
        <f>COUNTIFS(tblVideos[Day],"&gt;="&amp;$B153,tblVideos[Day],"&lt;"&amp;EDATE($B153,1),tblVideos[Channel ID],Channels!$E$6)</f>
        <v/>
      </c>
      <c r="D153" s="72">
        <f>COUNTIFS(tblVideos[Day],"&gt;="&amp;$B153,tblVideos[Day],"&lt;"&amp;EDATE($B153,1),tblVideos[Channel ID],Channels!$E$7)</f>
        <v/>
      </c>
      <c r="E153" s="72">
        <f>COUNTIFS(tblVideos[Day],"&gt;="&amp;$B153,tblVideos[Day],"&lt;"&amp;EDATE($B153,1),tblVideos[Channel ID],Channels!$E$8)</f>
        <v/>
      </c>
      <c r="F153" s="72">
        <f>COUNTIFS(tblVideos[Day],"&gt;="&amp;$B153,tblVideos[Day],"&lt;"&amp;EDATE($B153,1),tblVideos[Channel ID],Channels!$E$9)</f>
        <v/>
      </c>
      <c r="G153" s="72">
        <f>COUNTIFS(tblVideos[Day],"&gt;="&amp;$B153,tblVideos[Day],"&lt;"&amp;EDATE($B153,1),tblVideos[Channel ID],Channels!$E$10)</f>
        <v/>
      </c>
      <c r="H153" s="72">
        <f>COUNTIFS(tblVideos[Day],"&gt;="&amp;$B153,tblVideos[Day],"&lt;"&amp;EDATE($B153,1),tblVideos[Channel ID],Channels!$E$11)</f>
        <v/>
      </c>
      <c r="I153" s="81">
        <f>SUM(C153:H153)</f>
        <v/>
      </c>
      <c r="J153" s="82">
        <f>SUMIFS(tblVideos[Length],tblVideos[Day],"&gt;="&amp;$B153,tblVideos[Day],"&lt;"&amp;EDATE($B153,1))</f>
        <v/>
      </c>
      <c r="K153" s="72">
        <f>COUNTIFS(tblVideos[Watched On],"&gt;="&amp;$B153,tblVideos[Watched On],"&lt;"&amp;EDATE($B153,1),tblVideos[Status],"Watched")</f>
        <v/>
      </c>
      <c r="L153" s="82">
        <f>SUMIFS(tblVideos[Length],tblVideos[Watched On],"&gt;="&amp;$B153,tblVideos[Watched On],"&lt;"&amp;EDATE($B153,1),tblVideos[Status],"Watched")</f>
        <v/>
      </c>
      <c r="M153" s="84">
        <f>IF(I153=0,"Gap",IF(I153&gt;AVERAGE($I$144:$I$317)+2*STDEV($I$144:$I$317),"High",""))</f>
        <v/>
      </c>
    </row>
    <row r="154">
      <c r="B154" s="83" t="n">
        <v>41334</v>
      </c>
      <c r="C154" s="72">
        <f>COUNTIFS(tblVideos[Day],"&gt;="&amp;$B154,tblVideos[Day],"&lt;"&amp;EDATE($B154,1),tblVideos[Channel ID],Channels!$E$6)</f>
        <v/>
      </c>
      <c r="D154" s="72">
        <f>COUNTIFS(tblVideos[Day],"&gt;="&amp;$B154,tblVideos[Day],"&lt;"&amp;EDATE($B154,1),tblVideos[Channel ID],Channels!$E$7)</f>
        <v/>
      </c>
      <c r="E154" s="72">
        <f>COUNTIFS(tblVideos[Day],"&gt;="&amp;$B154,tblVideos[Day],"&lt;"&amp;EDATE($B154,1),tblVideos[Channel ID],Channels!$E$8)</f>
        <v/>
      </c>
      <c r="F154" s="72">
        <f>COUNTIFS(tblVideos[Day],"&gt;="&amp;$B154,tblVideos[Day],"&lt;"&amp;EDATE($B154,1),tblVideos[Channel ID],Channels!$E$9)</f>
        <v/>
      </c>
      <c r="G154" s="72">
        <f>COUNTIFS(tblVideos[Day],"&gt;="&amp;$B154,tblVideos[Day],"&lt;"&amp;EDATE($B154,1),tblVideos[Channel ID],Channels!$E$10)</f>
        <v/>
      </c>
      <c r="H154" s="72">
        <f>COUNTIFS(tblVideos[Day],"&gt;="&amp;$B154,tblVideos[Day],"&lt;"&amp;EDATE($B154,1),tblVideos[Channel ID],Channels!$E$11)</f>
        <v/>
      </c>
      <c r="I154" s="81">
        <f>SUM(C154:H154)</f>
        <v/>
      </c>
      <c r="J154" s="82">
        <f>SUMIFS(tblVideos[Length],tblVideos[Day],"&gt;="&amp;$B154,tblVideos[Day],"&lt;"&amp;EDATE($B154,1))</f>
        <v/>
      </c>
      <c r="K154" s="72">
        <f>COUNTIFS(tblVideos[Watched On],"&gt;="&amp;$B154,tblVideos[Watched On],"&lt;"&amp;EDATE($B154,1),tblVideos[Status],"Watched")</f>
        <v/>
      </c>
      <c r="L154" s="82">
        <f>SUMIFS(tblVideos[Length],tblVideos[Watched On],"&gt;="&amp;$B154,tblVideos[Watched On],"&lt;"&amp;EDATE($B154,1),tblVideos[Status],"Watched")</f>
        <v/>
      </c>
      <c r="M154" s="84">
        <f>IF(I154=0,"Gap",IF(I154&gt;AVERAGE($I$144:$I$317)+2*STDEV($I$144:$I$317),"High",""))</f>
        <v/>
      </c>
    </row>
    <row r="155">
      <c r="B155" s="83" t="n">
        <v>41365</v>
      </c>
      <c r="C155" s="72">
        <f>COUNTIFS(tblVideos[Day],"&gt;="&amp;$B155,tblVideos[Day],"&lt;"&amp;EDATE($B155,1),tblVideos[Channel ID],Channels!$E$6)</f>
        <v/>
      </c>
      <c r="D155" s="72">
        <f>COUNTIFS(tblVideos[Day],"&gt;="&amp;$B155,tblVideos[Day],"&lt;"&amp;EDATE($B155,1),tblVideos[Channel ID],Channels!$E$7)</f>
        <v/>
      </c>
      <c r="E155" s="72">
        <f>COUNTIFS(tblVideos[Day],"&gt;="&amp;$B155,tblVideos[Day],"&lt;"&amp;EDATE($B155,1),tblVideos[Channel ID],Channels!$E$8)</f>
        <v/>
      </c>
      <c r="F155" s="72">
        <f>COUNTIFS(tblVideos[Day],"&gt;="&amp;$B155,tblVideos[Day],"&lt;"&amp;EDATE($B155,1),tblVideos[Channel ID],Channels!$E$9)</f>
        <v/>
      </c>
      <c r="G155" s="72">
        <f>COUNTIFS(tblVideos[Day],"&gt;="&amp;$B155,tblVideos[Day],"&lt;"&amp;EDATE($B155,1),tblVideos[Channel ID],Channels!$E$10)</f>
        <v/>
      </c>
      <c r="H155" s="72">
        <f>COUNTIFS(tblVideos[Day],"&gt;="&amp;$B155,tblVideos[Day],"&lt;"&amp;EDATE($B155,1),tblVideos[Channel ID],Channels!$E$11)</f>
        <v/>
      </c>
      <c r="I155" s="81">
        <f>SUM(C155:H155)</f>
        <v/>
      </c>
      <c r="J155" s="82">
        <f>SUMIFS(tblVideos[Length],tblVideos[Day],"&gt;="&amp;$B155,tblVideos[Day],"&lt;"&amp;EDATE($B155,1))</f>
        <v/>
      </c>
      <c r="K155" s="72">
        <f>COUNTIFS(tblVideos[Watched On],"&gt;="&amp;$B155,tblVideos[Watched On],"&lt;"&amp;EDATE($B155,1),tblVideos[Status],"Watched")</f>
        <v/>
      </c>
      <c r="L155" s="82">
        <f>SUMIFS(tblVideos[Length],tblVideos[Watched On],"&gt;="&amp;$B155,tblVideos[Watched On],"&lt;"&amp;EDATE($B155,1),tblVideos[Status],"Watched")</f>
        <v/>
      </c>
      <c r="M155" s="84">
        <f>IF(I155=0,"Gap",IF(I155&gt;AVERAGE($I$144:$I$317)+2*STDEV($I$144:$I$317),"High",""))</f>
        <v/>
      </c>
    </row>
    <row r="156">
      <c r="B156" s="83" t="n">
        <v>41395</v>
      </c>
      <c r="C156" s="72">
        <f>COUNTIFS(tblVideos[Day],"&gt;="&amp;$B156,tblVideos[Day],"&lt;"&amp;EDATE($B156,1),tblVideos[Channel ID],Channels!$E$6)</f>
        <v/>
      </c>
      <c r="D156" s="72">
        <f>COUNTIFS(tblVideos[Day],"&gt;="&amp;$B156,tblVideos[Day],"&lt;"&amp;EDATE($B156,1),tblVideos[Channel ID],Channels!$E$7)</f>
        <v/>
      </c>
      <c r="E156" s="72">
        <f>COUNTIFS(tblVideos[Day],"&gt;="&amp;$B156,tblVideos[Day],"&lt;"&amp;EDATE($B156,1),tblVideos[Channel ID],Channels!$E$8)</f>
        <v/>
      </c>
      <c r="F156" s="72">
        <f>COUNTIFS(tblVideos[Day],"&gt;="&amp;$B156,tblVideos[Day],"&lt;"&amp;EDATE($B156,1),tblVideos[Channel ID],Channels!$E$9)</f>
        <v/>
      </c>
      <c r="G156" s="72">
        <f>COUNTIFS(tblVideos[Day],"&gt;="&amp;$B156,tblVideos[Day],"&lt;"&amp;EDATE($B156,1),tblVideos[Channel ID],Channels!$E$10)</f>
        <v/>
      </c>
      <c r="H156" s="72">
        <f>COUNTIFS(tblVideos[Day],"&gt;="&amp;$B156,tblVideos[Day],"&lt;"&amp;EDATE($B156,1),tblVideos[Channel ID],Channels!$E$11)</f>
        <v/>
      </c>
      <c r="I156" s="81">
        <f>SUM(C156:H156)</f>
        <v/>
      </c>
      <c r="J156" s="82">
        <f>SUMIFS(tblVideos[Length],tblVideos[Day],"&gt;="&amp;$B156,tblVideos[Day],"&lt;"&amp;EDATE($B156,1))</f>
        <v/>
      </c>
      <c r="K156" s="72">
        <f>COUNTIFS(tblVideos[Watched On],"&gt;="&amp;$B156,tblVideos[Watched On],"&lt;"&amp;EDATE($B156,1),tblVideos[Status],"Watched")</f>
        <v/>
      </c>
      <c r="L156" s="82">
        <f>SUMIFS(tblVideos[Length],tblVideos[Watched On],"&gt;="&amp;$B156,tblVideos[Watched On],"&lt;"&amp;EDATE($B156,1),tblVideos[Status],"Watched")</f>
        <v/>
      </c>
      <c r="M156" s="84">
        <f>IF(I156=0,"Gap",IF(I156&gt;AVERAGE($I$144:$I$317)+2*STDEV($I$144:$I$317),"High",""))</f>
        <v/>
      </c>
    </row>
    <row r="157">
      <c r="B157" s="83" t="n">
        <v>41426</v>
      </c>
      <c r="C157" s="72">
        <f>COUNTIFS(tblVideos[Day],"&gt;="&amp;$B157,tblVideos[Day],"&lt;"&amp;EDATE($B157,1),tblVideos[Channel ID],Channels!$E$6)</f>
        <v/>
      </c>
      <c r="D157" s="72">
        <f>COUNTIFS(tblVideos[Day],"&gt;="&amp;$B157,tblVideos[Day],"&lt;"&amp;EDATE($B157,1),tblVideos[Channel ID],Channels!$E$7)</f>
        <v/>
      </c>
      <c r="E157" s="72">
        <f>COUNTIFS(tblVideos[Day],"&gt;="&amp;$B157,tblVideos[Day],"&lt;"&amp;EDATE($B157,1),tblVideos[Channel ID],Channels!$E$8)</f>
        <v/>
      </c>
      <c r="F157" s="72">
        <f>COUNTIFS(tblVideos[Day],"&gt;="&amp;$B157,tblVideos[Day],"&lt;"&amp;EDATE($B157,1),tblVideos[Channel ID],Channels!$E$9)</f>
        <v/>
      </c>
      <c r="G157" s="72">
        <f>COUNTIFS(tblVideos[Day],"&gt;="&amp;$B157,tblVideos[Day],"&lt;"&amp;EDATE($B157,1),tblVideos[Channel ID],Channels!$E$10)</f>
        <v/>
      </c>
      <c r="H157" s="72">
        <f>COUNTIFS(tblVideos[Day],"&gt;="&amp;$B157,tblVideos[Day],"&lt;"&amp;EDATE($B157,1),tblVideos[Channel ID],Channels!$E$11)</f>
        <v/>
      </c>
      <c r="I157" s="81">
        <f>SUM(C157:H157)</f>
        <v/>
      </c>
      <c r="J157" s="82">
        <f>SUMIFS(tblVideos[Length],tblVideos[Day],"&gt;="&amp;$B157,tblVideos[Day],"&lt;"&amp;EDATE($B157,1))</f>
        <v/>
      </c>
      <c r="K157" s="72">
        <f>COUNTIFS(tblVideos[Watched On],"&gt;="&amp;$B157,tblVideos[Watched On],"&lt;"&amp;EDATE($B157,1),tblVideos[Status],"Watched")</f>
        <v/>
      </c>
      <c r="L157" s="82">
        <f>SUMIFS(tblVideos[Length],tblVideos[Watched On],"&gt;="&amp;$B157,tblVideos[Watched On],"&lt;"&amp;EDATE($B157,1),tblVideos[Status],"Watched")</f>
        <v/>
      </c>
      <c r="M157" s="84">
        <f>IF(I157=0,"Gap",IF(I157&gt;AVERAGE($I$144:$I$317)+2*STDEV($I$144:$I$317),"High",""))</f>
        <v/>
      </c>
    </row>
    <row r="158">
      <c r="B158" s="83" t="n">
        <v>41456</v>
      </c>
      <c r="C158" s="72">
        <f>COUNTIFS(tblVideos[Day],"&gt;="&amp;$B158,tblVideos[Day],"&lt;"&amp;EDATE($B158,1),tblVideos[Channel ID],Channels!$E$6)</f>
        <v/>
      </c>
      <c r="D158" s="72">
        <f>COUNTIFS(tblVideos[Day],"&gt;="&amp;$B158,tblVideos[Day],"&lt;"&amp;EDATE($B158,1),tblVideos[Channel ID],Channels!$E$7)</f>
        <v/>
      </c>
      <c r="E158" s="72">
        <f>COUNTIFS(tblVideos[Day],"&gt;="&amp;$B158,tblVideos[Day],"&lt;"&amp;EDATE($B158,1),tblVideos[Channel ID],Channels!$E$8)</f>
        <v/>
      </c>
      <c r="F158" s="72">
        <f>COUNTIFS(tblVideos[Day],"&gt;="&amp;$B158,tblVideos[Day],"&lt;"&amp;EDATE($B158,1),tblVideos[Channel ID],Channels!$E$9)</f>
        <v/>
      </c>
      <c r="G158" s="72">
        <f>COUNTIFS(tblVideos[Day],"&gt;="&amp;$B158,tblVideos[Day],"&lt;"&amp;EDATE($B158,1),tblVideos[Channel ID],Channels!$E$10)</f>
        <v/>
      </c>
      <c r="H158" s="72">
        <f>COUNTIFS(tblVideos[Day],"&gt;="&amp;$B158,tblVideos[Day],"&lt;"&amp;EDATE($B158,1),tblVideos[Channel ID],Channels!$E$11)</f>
        <v/>
      </c>
      <c r="I158" s="81">
        <f>SUM(C158:H158)</f>
        <v/>
      </c>
      <c r="J158" s="82">
        <f>SUMIFS(tblVideos[Length],tblVideos[Day],"&gt;="&amp;$B158,tblVideos[Day],"&lt;"&amp;EDATE($B158,1))</f>
        <v/>
      </c>
      <c r="K158" s="72">
        <f>COUNTIFS(tblVideos[Watched On],"&gt;="&amp;$B158,tblVideos[Watched On],"&lt;"&amp;EDATE($B158,1),tblVideos[Status],"Watched")</f>
        <v/>
      </c>
      <c r="L158" s="82">
        <f>SUMIFS(tblVideos[Length],tblVideos[Watched On],"&gt;="&amp;$B158,tblVideos[Watched On],"&lt;"&amp;EDATE($B158,1),tblVideos[Status],"Watched")</f>
        <v/>
      </c>
      <c r="M158" s="84">
        <f>IF(I158=0,"Gap",IF(I158&gt;AVERAGE($I$144:$I$317)+2*STDEV($I$144:$I$317),"High",""))</f>
        <v/>
      </c>
    </row>
    <row r="159">
      <c r="B159" s="83" t="n">
        <v>41487</v>
      </c>
      <c r="C159" s="72">
        <f>COUNTIFS(tblVideos[Day],"&gt;="&amp;$B159,tblVideos[Day],"&lt;"&amp;EDATE($B159,1),tblVideos[Channel ID],Channels!$E$6)</f>
        <v/>
      </c>
      <c r="D159" s="72">
        <f>COUNTIFS(tblVideos[Day],"&gt;="&amp;$B159,tblVideos[Day],"&lt;"&amp;EDATE($B159,1),tblVideos[Channel ID],Channels!$E$7)</f>
        <v/>
      </c>
      <c r="E159" s="72">
        <f>COUNTIFS(tblVideos[Day],"&gt;="&amp;$B159,tblVideos[Day],"&lt;"&amp;EDATE($B159,1),tblVideos[Channel ID],Channels!$E$8)</f>
        <v/>
      </c>
      <c r="F159" s="72">
        <f>COUNTIFS(tblVideos[Day],"&gt;="&amp;$B159,tblVideos[Day],"&lt;"&amp;EDATE($B159,1),tblVideos[Channel ID],Channels!$E$9)</f>
        <v/>
      </c>
      <c r="G159" s="72">
        <f>COUNTIFS(tblVideos[Day],"&gt;="&amp;$B159,tblVideos[Day],"&lt;"&amp;EDATE($B159,1),tblVideos[Channel ID],Channels!$E$10)</f>
        <v/>
      </c>
      <c r="H159" s="72">
        <f>COUNTIFS(tblVideos[Day],"&gt;="&amp;$B159,tblVideos[Day],"&lt;"&amp;EDATE($B159,1),tblVideos[Channel ID],Channels!$E$11)</f>
        <v/>
      </c>
      <c r="I159" s="81">
        <f>SUM(C159:H159)</f>
        <v/>
      </c>
      <c r="J159" s="82">
        <f>SUMIFS(tblVideos[Length],tblVideos[Day],"&gt;="&amp;$B159,tblVideos[Day],"&lt;"&amp;EDATE($B159,1))</f>
        <v/>
      </c>
      <c r="K159" s="72">
        <f>COUNTIFS(tblVideos[Watched On],"&gt;="&amp;$B159,tblVideos[Watched On],"&lt;"&amp;EDATE($B159,1),tblVideos[Status],"Watched")</f>
        <v/>
      </c>
      <c r="L159" s="82">
        <f>SUMIFS(tblVideos[Length],tblVideos[Watched On],"&gt;="&amp;$B159,tblVideos[Watched On],"&lt;"&amp;EDATE($B159,1),tblVideos[Status],"Watched")</f>
        <v/>
      </c>
      <c r="M159" s="84">
        <f>IF(I159=0,"Gap",IF(I159&gt;AVERAGE($I$144:$I$317)+2*STDEV($I$144:$I$317),"High",""))</f>
        <v/>
      </c>
    </row>
    <row r="160">
      <c r="B160" s="83" t="n">
        <v>41518</v>
      </c>
      <c r="C160" s="72">
        <f>COUNTIFS(tblVideos[Day],"&gt;="&amp;$B160,tblVideos[Day],"&lt;"&amp;EDATE($B160,1),tblVideos[Channel ID],Channels!$E$6)</f>
        <v/>
      </c>
      <c r="D160" s="72">
        <f>COUNTIFS(tblVideos[Day],"&gt;="&amp;$B160,tblVideos[Day],"&lt;"&amp;EDATE($B160,1),tblVideos[Channel ID],Channels!$E$7)</f>
        <v/>
      </c>
      <c r="E160" s="72">
        <f>COUNTIFS(tblVideos[Day],"&gt;="&amp;$B160,tblVideos[Day],"&lt;"&amp;EDATE($B160,1),tblVideos[Channel ID],Channels!$E$8)</f>
        <v/>
      </c>
      <c r="F160" s="72">
        <f>COUNTIFS(tblVideos[Day],"&gt;="&amp;$B160,tblVideos[Day],"&lt;"&amp;EDATE($B160,1),tblVideos[Channel ID],Channels!$E$9)</f>
        <v/>
      </c>
      <c r="G160" s="72">
        <f>COUNTIFS(tblVideos[Day],"&gt;="&amp;$B160,tblVideos[Day],"&lt;"&amp;EDATE($B160,1),tblVideos[Channel ID],Channels!$E$10)</f>
        <v/>
      </c>
      <c r="H160" s="72">
        <f>COUNTIFS(tblVideos[Day],"&gt;="&amp;$B160,tblVideos[Day],"&lt;"&amp;EDATE($B160,1),tblVideos[Channel ID],Channels!$E$11)</f>
        <v/>
      </c>
      <c r="I160" s="81">
        <f>SUM(C160:H160)</f>
        <v/>
      </c>
      <c r="J160" s="82">
        <f>SUMIFS(tblVideos[Length],tblVideos[Day],"&gt;="&amp;$B160,tblVideos[Day],"&lt;"&amp;EDATE($B160,1))</f>
        <v/>
      </c>
      <c r="K160" s="72">
        <f>COUNTIFS(tblVideos[Watched On],"&gt;="&amp;$B160,tblVideos[Watched On],"&lt;"&amp;EDATE($B160,1),tblVideos[Status],"Watched")</f>
        <v/>
      </c>
      <c r="L160" s="82">
        <f>SUMIFS(tblVideos[Length],tblVideos[Watched On],"&gt;="&amp;$B160,tblVideos[Watched On],"&lt;"&amp;EDATE($B160,1),tblVideos[Status],"Watched")</f>
        <v/>
      </c>
      <c r="M160" s="84">
        <f>IF(I160=0,"Gap",IF(I160&gt;AVERAGE($I$144:$I$317)+2*STDEV($I$144:$I$317),"High",""))</f>
        <v/>
      </c>
    </row>
    <row r="161">
      <c r="B161" s="83" t="n">
        <v>41548</v>
      </c>
      <c r="C161" s="72">
        <f>COUNTIFS(tblVideos[Day],"&gt;="&amp;$B161,tblVideos[Day],"&lt;"&amp;EDATE($B161,1),tblVideos[Channel ID],Channels!$E$6)</f>
        <v/>
      </c>
      <c r="D161" s="72">
        <f>COUNTIFS(tblVideos[Day],"&gt;="&amp;$B161,tblVideos[Day],"&lt;"&amp;EDATE($B161,1),tblVideos[Channel ID],Channels!$E$7)</f>
        <v/>
      </c>
      <c r="E161" s="72">
        <f>COUNTIFS(tblVideos[Day],"&gt;="&amp;$B161,tblVideos[Day],"&lt;"&amp;EDATE($B161,1),tblVideos[Channel ID],Channels!$E$8)</f>
        <v/>
      </c>
      <c r="F161" s="72">
        <f>COUNTIFS(tblVideos[Day],"&gt;="&amp;$B161,tblVideos[Day],"&lt;"&amp;EDATE($B161,1),tblVideos[Channel ID],Channels!$E$9)</f>
        <v/>
      </c>
      <c r="G161" s="72">
        <f>COUNTIFS(tblVideos[Day],"&gt;="&amp;$B161,tblVideos[Day],"&lt;"&amp;EDATE($B161,1),tblVideos[Channel ID],Channels!$E$10)</f>
        <v/>
      </c>
      <c r="H161" s="72">
        <f>COUNTIFS(tblVideos[Day],"&gt;="&amp;$B161,tblVideos[Day],"&lt;"&amp;EDATE($B161,1),tblVideos[Channel ID],Channels!$E$11)</f>
        <v/>
      </c>
      <c r="I161" s="81">
        <f>SUM(C161:H161)</f>
        <v/>
      </c>
      <c r="J161" s="82">
        <f>SUMIFS(tblVideos[Length],tblVideos[Day],"&gt;="&amp;$B161,tblVideos[Day],"&lt;"&amp;EDATE($B161,1))</f>
        <v/>
      </c>
      <c r="K161" s="72">
        <f>COUNTIFS(tblVideos[Watched On],"&gt;="&amp;$B161,tblVideos[Watched On],"&lt;"&amp;EDATE($B161,1),tblVideos[Status],"Watched")</f>
        <v/>
      </c>
      <c r="L161" s="82">
        <f>SUMIFS(tblVideos[Length],tblVideos[Watched On],"&gt;="&amp;$B161,tblVideos[Watched On],"&lt;"&amp;EDATE($B161,1),tblVideos[Status],"Watched")</f>
        <v/>
      </c>
      <c r="M161" s="84">
        <f>IF(I161=0,"Gap",IF(I161&gt;AVERAGE($I$144:$I$317)+2*STDEV($I$144:$I$317),"High",""))</f>
        <v/>
      </c>
    </row>
    <row r="162">
      <c r="B162" s="83" t="n">
        <v>41579</v>
      </c>
      <c r="C162" s="72">
        <f>COUNTIFS(tblVideos[Day],"&gt;="&amp;$B162,tblVideos[Day],"&lt;"&amp;EDATE($B162,1),tblVideos[Channel ID],Channels!$E$6)</f>
        <v/>
      </c>
      <c r="D162" s="72">
        <f>COUNTIFS(tblVideos[Day],"&gt;="&amp;$B162,tblVideos[Day],"&lt;"&amp;EDATE($B162,1),tblVideos[Channel ID],Channels!$E$7)</f>
        <v/>
      </c>
      <c r="E162" s="72">
        <f>COUNTIFS(tblVideos[Day],"&gt;="&amp;$B162,tblVideos[Day],"&lt;"&amp;EDATE($B162,1),tblVideos[Channel ID],Channels!$E$8)</f>
        <v/>
      </c>
      <c r="F162" s="72">
        <f>COUNTIFS(tblVideos[Day],"&gt;="&amp;$B162,tblVideos[Day],"&lt;"&amp;EDATE($B162,1),tblVideos[Channel ID],Channels!$E$9)</f>
        <v/>
      </c>
      <c r="G162" s="72">
        <f>COUNTIFS(tblVideos[Day],"&gt;="&amp;$B162,tblVideos[Day],"&lt;"&amp;EDATE($B162,1),tblVideos[Channel ID],Channels!$E$10)</f>
        <v/>
      </c>
      <c r="H162" s="72">
        <f>COUNTIFS(tblVideos[Day],"&gt;="&amp;$B162,tblVideos[Day],"&lt;"&amp;EDATE($B162,1),tblVideos[Channel ID],Channels!$E$11)</f>
        <v/>
      </c>
      <c r="I162" s="81">
        <f>SUM(C162:H162)</f>
        <v/>
      </c>
      <c r="J162" s="82">
        <f>SUMIFS(tblVideos[Length],tblVideos[Day],"&gt;="&amp;$B162,tblVideos[Day],"&lt;"&amp;EDATE($B162,1))</f>
        <v/>
      </c>
      <c r="K162" s="72">
        <f>COUNTIFS(tblVideos[Watched On],"&gt;="&amp;$B162,tblVideos[Watched On],"&lt;"&amp;EDATE($B162,1),tblVideos[Status],"Watched")</f>
        <v/>
      </c>
      <c r="L162" s="82">
        <f>SUMIFS(tblVideos[Length],tblVideos[Watched On],"&gt;="&amp;$B162,tblVideos[Watched On],"&lt;"&amp;EDATE($B162,1),tblVideos[Status],"Watched")</f>
        <v/>
      </c>
      <c r="M162" s="84">
        <f>IF(I162=0,"Gap",IF(I162&gt;AVERAGE($I$144:$I$317)+2*STDEV($I$144:$I$317),"High",""))</f>
        <v/>
      </c>
    </row>
    <row r="163">
      <c r="B163" s="83" t="n">
        <v>41609</v>
      </c>
      <c r="C163" s="72">
        <f>COUNTIFS(tblVideos[Day],"&gt;="&amp;$B163,tblVideos[Day],"&lt;"&amp;EDATE($B163,1),tblVideos[Channel ID],Channels!$E$6)</f>
        <v/>
      </c>
      <c r="D163" s="72">
        <f>COUNTIFS(tblVideos[Day],"&gt;="&amp;$B163,tblVideos[Day],"&lt;"&amp;EDATE($B163,1),tblVideos[Channel ID],Channels!$E$7)</f>
        <v/>
      </c>
      <c r="E163" s="72">
        <f>COUNTIFS(tblVideos[Day],"&gt;="&amp;$B163,tblVideos[Day],"&lt;"&amp;EDATE($B163,1),tblVideos[Channel ID],Channels!$E$8)</f>
        <v/>
      </c>
      <c r="F163" s="72">
        <f>COUNTIFS(tblVideos[Day],"&gt;="&amp;$B163,tblVideos[Day],"&lt;"&amp;EDATE($B163,1),tblVideos[Channel ID],Channels!$E$9)</f>
        <v/>
      </c>
      <c r="G163" s="72">
        <f>COUNTIFS(tblVideos[Day],"&gt;="&amp;$B163,tblVideos[Day],"&lt;"&amp;EDATE($B163,1),tblVideos[Channel ID],Channels!$E$10)</f>
        <v/>
      </c>
      <c r="H163" s="72">
        <f>COUNTIFS(tblVideos[Day],"&gt;="&amp;$B163,tblVideos[Day],"&lt;"&amp;EDATE($B163,1),tblVideos[Channel ID],Channels!$E$11)</f>
        <v/>
      </c>
      <c r="I163" s="81">
        <f>SUM(C163:H163)</f>
        <v/>
      </c>
      <c r="J163" s="82">
        <f>SUMIFS(tblVideos[Length],tblVideos[Day],"&gt;="&amp;$B163,tblVideos[Day],"&lt;"&amp;EDATE($B163,1))</f>
        <v/>
      </c>
      <c r="K163" s="72">
        <f>COUNTIFS(tblVideos[Watched On],"&gt;="&amp;$B163,tblVideos[Watched On],"&lt;"&amp;EDATE($B163,1),tblVideos[Status],"Watched")</f>
        <v/>
      </c>
      <c r="L163" s="82">
        <f>SUMIFS(tblVideos[Length],tblVideos[Watched On],"&gt;="&amp;$B163,tblVideos[Watched On],"&lt;"&amp;EDATE($B163,1),tblVideos[Status],"Watched")</f>
        <v/>
      </c>
      <c r="M163" s="84">
        <f>IF(I163=0,"Gap",IF(I163&gt;AVERAGE($I$144:$I$317)+2*STDEV($I$144:$I$317),"High",""))</f>
        <v/>
      </c>
    </row>
    <row r="164">
      <c r="B164" s="83" t="n">
        <v>41640</v>
      </c>
      <c r="C164" s="72">
        <f>COUNTIFS(tblVideos[Day],"&gt;="&amp;$B164,tblVideos[Day],"&lt;"&amp;EDATE($B164,1),tblVideos[Channel ID],Channels!$E$6)</f>
        <v/>
      </c>
      <c r="D164" s="72">
        <f>COUNTIFS(tblVideos[Day],"&gt;="&amp;$B164,tblVideos[Day],"&lt;"&amp;EDATE($B164,1),tblVideos[Channel ID],Channels!$E$7)</f>
        <v/>
      </c>
      <c r="E164" s="72">
        <f>COUNTIFS(tblVideos[Day],"&gt;="&amp;$B164,tblVideos[Day],"&lt;"&amp;EDATE($B164,1),tblVideos[Channel ID],Channels!$E$8)</f>
        <v/>
      </c>
      <c r="F164" s="72">
        <f>COUNTIFS(tblVideos[Day],"&gt;="&amp;$B164,tblVideos[Day],"&lt;"&amp;EDATE($B164,1),tblVideos[Channel ID],Channels!$E$9)</f>
        <v/>
      </c>
      <c r="G164" s="72">
        <f>COUNTIFS(tblVideos[Day],"&gt;="&amp;$B164,tblVideos[Day],"&lt;"&amp;EDATE($B164,1),tblVideos[Channel ID],Channels!$E$10)</f>
        <v/>
      </c>
      <c r="H164" s="72">
        <f>COUNTIFS(tblVideos[Day],"&gt;="&amp;$B164,tblVideos[Day],"&lt;"&amp;EDATE($B164,1),tblVideos[Channel ID],Channels!$E$11)</f>
        <v/>
      </c>
      <c r="I164" s="81">
        <f>SUM(C164:H164)</f>
        <v/>
      </c>
      <c r="J164" s="82">
        <f>SUMIFS(tblVideos[Length],tblVideos[Day],"&gt;="&amp;$B164,tblVideos[Day],"&lt;"&amp;EDATE($B164,1))</f>
        <v/>
      </c>
      <c r="K164" s="72">
        <f>COUNTIFS(tblVideos[Watched On],"&gt;="&amp;$B164,tblVideos[Watched On],"&lt;"&amp;EDATE($B164,1),tblVideos[Status],"Watched")</f>
        <v/>
      </c>
      <c r="L164" s="82">
        <f>SUMIFS(tblVideos[Length],tblVideos[Watched On],"&gt;="&amp;$B164,tblVideos[Watched On],"&lt;"&amp;EDATE($B164,1),tblVideos[Status],"Watched")</f>
        <v/>
      </c>
      <c r="M164" s="84">
        <f>IF(I164=0,"Gap",IF(I164&gt;AVERAGE($I$144:$I$317)+2*STDEV($I$144:$I$317),"High",""))</f>
        <v/>
      </c>
    </row>
    <row r="165">
      <c r="B165" s="83" t="n">
        <v>41671</v>
      </c>
      <c r="C165" s="72">
        <f>COUNTIFS(tblVideos[Day],"&gt;="&amp;$B165,tblVideos[Day],"&lt;"&amp;EDATE($B165,1),tblVideos[Channel ID],Channels!$E$6)</f>
        <v/>
      </c>
      <c r="D165" s="72">
        <f>COUNTIFS(tblVideos[Day],"&gt;="&amp;$B165,tblVideos[Day],"&lt;"&amp;EDATE($B165,1),tblVideos[Channel ID],Channels!$E$7)</f>
        <v/>
      </c>
      <c r="E165" s="72">
        <f>COUNTIFS(tblVideos[Day],"&gt;="&amp;$B165,tblVideos[Day],"&lt;"&amp;EDATE($B165,1),tblVideos[Channel ID],Channels!$E$8)</f>
        <v/>
      </c>
      <c r="F165" s="72">
        <f>COUNTIFS(tblVideos[Day],"&gt;="&amp;$B165,tblVideos[Day],"&lt;"&amp;EDATE($B165,1),tblVideos[Channel ID],Channels!$E$9)</f>
        <v/>
      </c>
      <c r="G165" s="72">
        <f>COUNTIFS(tblVideos[Day],"&gt;="&amp;$B165,tblVideos[Day],"&lt;"&amp;EDATE($B165,1),tblVideos[Channel ID],Channels!$E$10)</f>
        <v/>
      </c>
      <c r="H165" s="72">
        <f>COUNTIFS(tblVideos[Day],"&gt;="&amp;$B165,tblVideos[Day],"&lt;"&amp;EDATE($B165,1),tblVideos[Channel ID],Channels!$E$11)</f>
        <v/>
      </c>
      <c r="I165" s="81">
        <f>SUM(C165:H165)</f>
        <v/>
      </c>
      <c r="J165" s="82">
        <f>SUMIFS(tblVideos[Length],tblVideos[Day],"&gt;="&amp;$B165,tblVideos[Day],"&lt;"&amp;EDATE($B165,1))</f>
        <v/>
      </c>
      <c r="K165" s="72">
        <f>COUNTIFS(tblVideos[Watched On],"&gt;="&amp;$B165,tblVideos[Watched On],"&lt;"&amp;EDATE($B165,1),tblVideos[Status],"Watched")</f>
        <v/>
      </c>
      <c r="L165" s="82">
        <f>SUMIFS(tblVideos[Length],tblVideos[Watched On],"&gt;="&amp;$B165,tblVideos[Watched On],"&lt;"&amp;EDATE($B165,1),tblVideos[Status],"Watched")</f>
        <v/>
      </c>
      <c r="M165" s="84">
        <f>IF(I165=0,"Gap",IF(I165&gt;AVERAGE($I$144:$I$317)+2*STDEV($I$144:$I$317),"High",""))</f>
        <v/>
      </c>
    </row>
    <row r="166">
      <c r="B166" s="83" t="n">
        <v>41699</v>
      </c>
      <c r="C166" s="72">
        <f>COUNTIFS(tblVideos[Day],"&gt;="&amp;$B166,tblVideos[Day],"&lt;"&amp;EDATE($B166,1),tblVideos[Channel ID],Channels!$E$6)</f>
        <v/>
      </c>
      <c r="D166" s="72">
        <f>COUNTIFS(tblVideos[Day],"&gt;="&amp;$B166,tblVideos[Day],"&lt;"&amp;EDATE($B166,1),tblVideos[Channel ID],Channels!$E$7)</f>
        <v/>
      </c>
      <c r="E166" s="72">
        <f>COUNTIFS(tblVideos[Day],"&gt;="&amp;$B166,tblVideos[Day],"&lt;"&amp;EDATE($B166,1),tblVideos[Channel ID],Channels!$E$8)</f>
        <v/>
      </c>
      <c r="F166" s="72">
        <f>COUNTIFS(tblVideos[Day],"&gt;="&amp;$B166,tblVideos[Day],"&lt;"&amp;EDATE($B166,1),tblVideos[Channel ID],Channels!$E$9)</f>
        <v/>
      </c>
      <c r="G166" s="72">
        <f>COUNTIFS(tblVideos[Day],"&gt;="&amp;$B166,tblVideos[Day],"&lt;"&amp;EDATE($B166,1),tblVideos[Channel ID],Channels!$E$10)</f>
        <v/>
      </c>
      <c r="H166" s="72">
        <f>COUNTIFS(tblVideos[Day],"&gt;="&amp;$B166,tblVideos[Day],"&lt;"&amp;EDATE($B166,1),tblVideos[Channel ID],Channels!$E$11)</f>
        <v/>
      </c>
      <c r="I166" s="81">
        <f>SUM(C166:H166)</f>
        <v/>
      </c>
      <c r="J166" s="82">
        <f>SUMIFS(tblVideos[Length],tblVideos[Day],"&gt;="&amp;$B166,tblVideos[Day],"&lt;"&amp;EDATE($B166,1))</f>
        <v/>
      </c>
      <c r="K166" s="72">
        <f>COUNTIFS(tblVideos[Watched On],"&gt;="&amp;$B166,tblVideos[Watched On],"&lt;"&amp;EDATE($B166,1),tblVideos[Status],"Watched")</f>
        <v/>
      </c>
      <c r="L166" s="82">
        <f>SUMIFS(tblVideos[Length],tblVideos[Watched On],"&gt;="&amp;$B166,tblVideos[Watched On],"&lt;"&amp;EDATE($B166,1),tblVideos[Status],"Watched")</f>
        <v/>
      </c>
      <c r="M166" s="84">
        <f>IF(I166=0,"Gap",IF(I166&gt;AVERAGE($I$144:$I$317)+2*STDEV($I$144:$I$317),"High",""))</f>
        <v/>
      </c>
    </row>
    <row r="167">
      <c r="B167" s="83" t="n">
        <v>41730</v>
      </c>
      <c r="C167" s="72">
        <f>COUNTIFS(tblVideos[Day],"&gt;="&amp;$B167,tblVideos[Day],"&lt;"&amp;EDATE($B167,1),tblVideos[Channel ID],Channels!$E$6)</f>
        <v/>
      </c>
      <c r="D167" s="72">
        <f>COUNTIFS(tblVideos[Day],"&gt;="&amp;$B167,tblVideos[Day],"&lt;"&amp;EDATE($B167,1),tblVideos[Channel ID],Channels!$E$7)</f>
        <v/>
      </c>
      <c r="E167" s="72">
        <f>COUNTIFS(tblVideos[Day],"&gt;="&amp;$B167,tblVideos[Day],"&lt;"&amp;EDATE($B167,1),tblVideos[Channel ID],Channels!$E$8)</f>
        <v/>
      </c>
      <c r="F167" s="72">
        <f>COUNTIFS(tblVideos[Day],"&gt;="&amp;$B167,tblVideos[Day],"&lt;"&amp;EDATE($B167,1),tblVideos[Channel ID],Channels!$E$9)</f>
        <v/>
      </c>
      <c r="G167" s="72">
        <f>COUNTIFS(tblVideos[Day],"&gt;="&amp;$B167,tblVideos[Day],"&lt;"&amp;EDATE($B167,1),tblVideos[Channel ID],Channels!$E$10)</f>
        <v/>
      </c>
      <c r="H167" s="72">
        <f>COUNTIFS(tblVideos[Day],"&gt;="&amp;$B167,tblVideos[Day],"&lt;"&amp;EDATE($B167,1),tblVideos[Channel ID],Channels!$E$11)</f>
        <v/>
      </c>
      <c r="I167" s="81">
        <f>SUM(C167:H167)</f>
        <v/>
      </c>
      <c r="J167" s="82">
        <f>SUMIFS(tblVideos[Length],tblVideos[Day],"&gt;="&amp;$B167,tblVideos[Day],"&lt;"&amp;EDATE($B167,1))</f>
        <v/>
      </c>
      <c r="K167" s="72">
        <f>COUNTIFS(tblVideos[Watched On],"&gt;="&amp;$B167,tblVideos[Watched On],"&lt;"&amp;EDATE($B167,1),tblVideos[Status],"Watched")</f>
        <v/>
      </c>
      <c r="L167" s="82">
        <f>SUMIFS(tblVideos[Length],tblVideos[Watched On],"&gt;="&amp;$B167,tblVideos[Watched On],"&lt;"&amp;EDATE($B167,1),tblVideos[Status],"Watched")</f>
        <v/>
      </c>
      <c r="M167" s="84">
        <f>IF(I167=0,"Gap",IF(I167&gt;AVERAGE($I$144:$I$317)+2*STDEV($I$144:$I$317),"High",""))</f>
        <v/>
      </c>
    </row>
    <row r="168">
      <c r="B168" s="83" t="n">
        <v>41760</v>
      </c>
      <c r="C168" s="72">
        <f>COUNTIFS(tblVideos[Day],"&gt;="&amp;$B168,tblVideos[Day],"&lt;"&amp;EDATE($B168,1),tblVideos[Channel ID],Channels!$E$6)</f>
        <v/>
      </c>
      <c r="D168" s="72">
        <f>COUNTIFS(tblVideos[Day],"&gt;="&amp;$B168,tblVideos[Day],"&lt;"&amp;EDATE($B168,1),tblVideos[Channel ID],Channels!$E$7)</f>
        <v/>
      </c>
      <c r="E168" s="72">
        <f>COUNTIFS(tblVideos[Day],"&gt;="&amp;$B168,tblVideos[Day],"&lt;"&amp;EDATE($B168,1),tblVideos[Channel ID],Channels!$E$8)</f>
        <v/>
      </c>
      <c r="F168" s="72">
        <f>COUNTIFS(tblVideos[Day],"&gt;="&amp;$B168,tblVideos[Day],"&lt;"&amp;EDATE($B168,1),tblVideos[Channel ID],Channels!$E$9)</f>
        <v/>
      </c>
      <c r="G168" s="72">
        <f>COUNTIFS(tblVideos[Day],"&gt;="&amp;$B168,tblVideos[Day],"&lt;"&amp;EDATE($B168,1),tblVideos[Channel ID],Channels!$E$10)</f>
        <v/>
      </c>
      <c r="H168" s="72">
        <f>COUNTIFS(tblVideos[Day],"&gt;="&amp;$B168,tblVideos[Day],"&lt;"&amp;EDATE($B168,1),tblVideos[Channel ID],Channels!$E$11)</f>
        <v/>
      </c>
      <c r="I168" s="81">
        <f>SUM(C168:H168)</f>
        <v/>
      </c>
      <c r="J168" s="82">
        <f>SUMIFS(tblVideos[Length],tblVideos[Day],"&gt;="&amp;$B168,tblVideos[Day],"&lt;"&amp;EDATE($B168,1))</f>
        <v/>
      </c>
      <c r="K168" s="72">
        <f>COUNTIFS(tblVideos[Watched On],"&gt;="&amp;$B168,tblVideos[Watched On],"&lt;"&amp;EDATE($B168,1),tblVideos[Status],"Watched")</f>
        <v/>
      </c>
      <c r="L168" s="82">
        <f>SUMIFS(tblVideos[Length],tblVideos[Watched On],"&gt;="&amp;$B168,tblVideos[Watched On],"&lt;"&amp;EDATE($B168,1),tblVideos[Status],"Watched")</f>
        <v/>
      </c>
      <c r="M168" s="84">
        <f>IF(I168=0,"Gap",IF(I168&gt;AVERAGE($I$144:$I$317)+2*STDEV($I$144:$I$317),"High",""))</f>
        <v/>
      </c>
    </row>
    <row r="169">
      <c r="B169" s="83" t="n">
        <v>41791</v>
      </c>
      <c r="C169" s="72">
        <f>COUNTIFS(tblVideos[Day],"&gt;="&amp;$B169,tblVideos[Day],"&lt;"&amp;EDATE($B169,1),tblVideos[Channel ID],Channels!$E$6)</f>
        <v/>
      </c>
      <c r="D169" s="72">
        <f>COUNTIFS(tblVideos[Day],"&gt;="&amp;$B169,tblVideos[Day],"&lt;"&amp;EDATE($B169,1),tblVideos[Channel ID],Channels!$E$7)</f>
        <v/>
      </c>
      <c r="E169" s="72">
        <f>COUNTIFS(tblVideos[Day],"&gt;="&amp;$B169,tblVideos[Day],"&lt;"&amp;EDATE($B169,1),tblVideos[Channel ID],Channels!$E$8)</f>
        <v/>
      </c>
      <c r="F169" s="72">
        <f>COUNTIFS(tblVideos[Day],"&gt;="&amp;$B169,tblVideos[Day],"&lt;"&amp;EDATE($B169,1),tblVideos[Channel ID],Channels!$E$9)</f>
        <v/>
      </c>
      <c r="G169" s="72">
        <f>COUNTIFS(tblVideos[Day],"&gt;="&amp;$B169,tblVideos[Day],"&lt;"&amp;EDATE($B169,1),tblVideos[Channel ID],Channels!$E$10)</f>
        <v/>
      </c>
      <c r="H169" s="72">
        <f>COUNTIFS(tblVideos[Day],"&gt;="&amp;$B169,tblVideos[Day],"&lt;"&amp;EDATE($B169,1),tblVideos[Channel ID],Channels!$E$11)</f>
        <v/>
      </c>
      <c r="I169" s="81">
        <f>SUM(C169:H169)</f>
        <v/>
      </c>
      <c r="J169" s="82">
        <f>SUMIFS(tblVideos[Length],tblVideos[Day],"&gt;="&amp;$B169,tblVideos[Day],"&lt;"&amp;EDATE($B169,1))</f>
        <v/>
      </c>
      <c r="K169" s="72">
        <f>COUNTIFS(tblVideos[Watched On],"&gt;="&amp;$B169,tblVideos[Watched On],"&lt;"&amp;EDATE($B169,1),tblVideos[Status],"Watched")</f>
        <v/>
      </c>
      <c r="L169" s="82">
        <f>SUMIFS(tblVideos[Length],tblVideos[Watched On],"&gt;="&amp;$B169,tblVideos[Watched On],"&lt;"&amp;EDATE($B169,1),tblVideos[Status],"Watched")</f>
        <v/>
      </c>
      <c r="M169" s="84">
        <f>IF(I169=0,"Gap",IF(I169&gt;AVERAGE($I$144:$I$317)+2*STDEV($I$144:$I$317),"High",""))</f>
        <v/>
      </c>
    </row>
    <row r="170">
      <c r="B170" s="83" t="n">
        <v>41821</v>
      </c>
      <c r="C170" s="72">
        <f>COUNTIFS(tblVideos[Day],"&gt;="&amp;$B170,tblVideos[Day],"&lt;"&amp;EDATE($B170,1),tblVideos[Channel ID],Channels!$E$6)</f>
        <v/>
      </c>
      <c r="D170" s="72">
        <f>COUNTIFS(tblVideos[Day],"&gt;="&amp;$B170,tblVideos[Day],"&lt;"&amp;EDATE($B170,1),tblVideos[Channel ID],Channels!$E$7)</f>
        <v/>
      </c>
      <c r="E170" s="72">
        <f>COUNTIFS(tblVideos[Day],"&gt;="&amp;$B170,tblVideos[Day],"&lt;"&amp;EDATE($B170,1),tblVideos[Channel ID],Channels!$E$8)</f>
        <v/>
      </c>
      <c r="F170" s="72">
        <f>COUNTIFS(tblVideos[Day],"&gt;="&amp;$B170,tblVideos[Day],"&lt;"&amp;EDATE($B170,1),tblVideos[Channel ID],Channels!$E$9)</f>
        <v/>
      </c>
      <c r="G170" s="72">
        <f>COUNTIFS(tblVideos[Day],"&gt;="&amp;$B170,tblVideos[Day],"&lt;"&amp;EDATE($B170,1),tblVideos[Channel ID],Channels!$E$10)</f>
        <v/>
      </c>
      <c r="H170" s="72">
        <f>COUNTIFS(tblVideos[Day],"&gt;="&amp;$B170,tblVideos[Day],"&lt;"&amp;EDATE($B170,1),tblVideos[Channel ID],Channels!$E$11)</f>
        <v/>
      </c>
      <c r="I170" s="81">
        <f>SUM(C170:H170)</f>
        <v/>
      </c>
      <c r="J170" s="82">
        <f>SUMIFS(tblVideos[Length],tblVideos[Day],"&gt;="&amp;$B170,tblVideos[Day],"&lt;"&amp;EDATE($B170,1))</f>
        <v/>
      </c>
      <c r="K170" s="72">
        <f>COUNTIFS(tblVideos[Watched On],"&gt;="&amp;$B170,tblVideos[Watched On],"&lt;"&amp;EDATE($B170,1),tblVideos[Status],"Watched")</f>
        <v/>
      </c>
      <c r="L170" s="82">
        <f>SUMIFS(tblVideos[Length],tblVideos[Watched On],"&gt;="&amp;$B170,tblVideos[Watched On],"&lt;"&amp;EDATE($B170,1),tblVideos[Status],"Watched")</f>
        <v/>
      </c>
      <c r="M170" s="84">
        <f>IF(I170=0,"Gap",IF(I170&gt;AVERAGE($I$144:$I$317)+2*STDEV($I$144:$I$317),"High",""))</f>
        <v/>
      </c>
    </row>
    <row r="171">
      <c r="B171" s="83" t="n">
        <v>41852</v>
      </c>
      <c r="C171" s="72">
        <f>COUNTIFS(tblVideos[Day],"&gt;="&amp;$B171,tblVideos[Day],"&lt;"&amp;EDATE($B171,1),tblVideos[Channel ID],Channels!$E$6)</f>
        <v/>
      </c>
      <c r="D171" s="72">
        <f>COUNTIFS(tblVideos[Day],"&gt;="&amp;$B171,tblVideos[Day],"&lt;"&amp;EDATE($B171,1),tblVideos[Channel ID],Channels!$E$7)</f>
        <v/>
      </c>
      <c r="E171" s="72">
        <f>COUNTIFS(tblVideos[Day],"&gt;="&amp;$B171,tblVideos[Day],"&lt;"&amp;EDATE($B171,1),tblVideos[Channel ID],Channels!$E$8)</f>
        <v/>
      </c>
      <c r="F171" s="72">
        <f>COUNTIFS(tblVideos[Day],"&gt;="&amp;$B171,tblVideos[Day],"&lt;"&amp;EDATE($B171,1),tblVideos[Channel ID],Channels!$E$9)</f>
        <v/>
      </c>
      <c r="G171" s="72">
        <f>COUNTIFS(tblVideos[Day],"&gt;="&amp;$B171,tblVideos[Day],"&lt;"&amp;EDATE($B171,1),tblVideos[Channel ID],Channels!$E$10)</f>
        <v/>
      </c>
      <c r="H171" s="72">
        <f>COUNTIFS(tblVideos[Day],"&gt;="&amp;$B171,tblVideos[Day],"&lt;"&amp;EDATE($B171,1),tblVideos[Channel ID],Channels!$E$11)</f>
        <v/>
      </c>
      <c r="I171" s="81">
        <f>SUM(C171:H171)</f>
        <v/>
      </c>
      <c r="J171" s="82">
        <f>SUMIFS(tblVideos[Length],tblVideos[Day],"&gt;="&amp;$B171,tblVideos[Day],"&lt;"&amp;EDATE($B171,1))</f>
        <v/>
      </c>
      <c r="K171" s="72">
        <f>COUNTIFS(tblVideos[Watched On],"&gt;="&amp;$B171,tblVideos[Watched On],"&lt;"&amp;EDATE($B171,1),tblVideos[Status],"Watched")</f>
        <v/>
      </c>
      <c r="L171" s="82">
        <f>SUMIFS(tblVideos[Length],tblVideos[Watched On],"&gt;="&amp;$B171,tblVideos[Watched On],"&lt;"&amp;EDATE($B171,1),tblVideos[Status],"Watched")</f>
        <v/>
      </c>
      <c r="M171" s="84">
        <f>IF(I171=0,"Gap",IF(I171&gt;AVERAGE($I$144:$I$317)+2*STDEV($I$144:$I$317),"High",""))</f>
        <v/>
      </c>
    </row>
    <row r="172">
      <c r="B172" s="83" t="n">
        <v>41883</v>
      </c>
      <c r="C172" s="72">
        <f>COUNTIFS(tblVideos[Day],"&gt;="&amp;$B172,tblVideos[Day],"&lt;"&amp;EDATE($B172,1),tblVideos[Channel ID],Channels!$E$6)</f>
        <v/>
      </c>
      <c r="D172" s="72">
        <f>COUNTIFS(tblVideos[Day],"&gt;="&amp;$B172,tblVideos[Day],"&lt;"&amp;EDATE($B172,1),tblVideos[Channel ID],Channels!$E$7)</f>
        <v/>
      </c>
      <c r="E172" s="72">
        <f>COUNTIFS(tblVideos[Day],"&gt;="&amp;$B172,tblVideos[Day],"&lt;"&amp;EDATE($B172,1),tblVideos[Channel ID],Channels!$E$8)</f>
        <v/>
      </c>
      <c r="F172" s="72">
        <f>COUNTIFS(tblVideos[Day],"&gt;="&amp;$B172,tblVideos[Day],"&lt;"&amp;EDATE($B172,1),tblVideos[Channel ID],Channels!$E$9)</f>
        <v/>
      </c>
      <c r="G172" s="72">
        <f>COUNTIFS(tblVideos[Day],"&gt;="&amp;$B172,tblVideos[Day],"&lt;"&amp;EDATE($B172,1),tblVideos[Channel ID],Channels!$E$10)</f>
        <v/>
      </c>
      <c r="H172" s="72">
        <f>COUNTIFS(tblVideos[Day],"&gt;="&amp;$B172,tblVideos[Day],"&lt;"&amp;EDATE($B172,1),tblVideos[Channel ID],Channels!$E$11)</f>
        <v/>
      </c>
      <c r="I172" s="81">
        <f>SUM(C172:H172)</f>
        <v/>
      </c>
      <c r="J172" s="82">
        <f>SUMIFS(tblVideos[Length],tblVideos[Day],"&gt;="&amp;$B172,tblVideos[Day],"&lt;"&amp;EDATE($B172,1))</f>
        <v/>
      </c>
      <c r="K172" s="72">
        <f>COUNTIFS(tblVideos[Watched On],"&gt;="&amp;$B172,tblVideos[Watched On],"&lt;"&amp;EDATE($B172,1),tblVideos[Status],"Watched")</f>
        <v/>
      </c>
      <c r="L172" s="82">
        <f>SUMIFS(tblVideos[Length],tblVideos[Watched On],"&gt;="&amp;$B172,tblVideos[Watched On],"&lt;"&amp;EDATE($B172,1),tblVideos[Status],"Watched")</f>
        <v/>
      </c>
      <c r="M172" s="84">
        <f>IF(I172=0,"Gap",IF(I172&gt;AVERAGE($I$144:$I$317)+2*STDEV($I$144:$I$317),"High",""))</f>
        <v/>
      </c>
    </row>
    <row r="173">
      <c r="B173" s="83" t="n">
        <v>41913</v>
      </c>
      <c r="C173" s="72">
        <f>COUNTIFS(tblVideos[Day],"&gt;="&amp;$B173,tblVideos[Day],"&lt;"&amp;EDATE($B173,1),tblVideos[Channel ID],Channels!$E$6)</f>
        <v/>
      </c>
      <c r="D173" s="72">
        <f>COUNTIFS(tblVideos[Day],"&gt;="&amp;$B173,tblVideos[Day],"&lt;"&amp;EDATE($B173,1),tblVideos[Channel ID],Channels!$E$7)</f>
        <v/>
      </c>
      <c r="E173" s="72">
        <f>COUNTIFS(tblVideos[Day],"&gt;="&amp;$B173,tblVideos[Day],"&lt;"&amp;EDATE($B173,1),tblVideos[Channel ID],Channels!$E$8)</f>
        <v/>
      </c>
      <c r="F173" s="72">
        <f>COUNTIFS(tblVideos[Day],"&gt;="&amp;$B173,tblVideos[Day],"&lt;"&amp;EDATE($B173,1),tblVideos[Channel ID],Channels!$E$9)</f>
        <v/>
      </c>
      <c r="G173" s="72">
        <f>COUNTIFS(tblVideos[Day],"&gt;="&amp;$B173,tblVideos[Day],"&lt;"&amp;EDATE($B173,1),tblVideos[Channel ID],Channels!$E$10)</f>
        <v/>
      </c>
      <c r="H173" s="72">
        <f>COUNTIFS(tblVideos[Day],"&gt;="&amp;$B173,tblVideos[Day],"&lt;"&amp;EDATE($B173,1),tblVideos[Channel ID],Channels!$E$11)</f>
        <v/>
      </c>
      <c r="I173" s="81">
        <f>SUM(C173:H173)</f>
        <v/>
      </c>
      <c r="J173" s="82">
        <f>SUMIFS(tblVideos[Length],tblVideos[Day],"&gt;="&amp;$B173,tblVideos[Day],"&lt;"&amp;EDATE($B173,1))</f>
        <v/>
      </c>
      <c r="K173" s="72">
        <f>COUNTIFS(tblVideos[Watched On],"&gt;="&amp;$B173,tblVideos[Watched On],"&lt;"&amp;EDATE($B173,1),tblVideos[Status],"Watched")</f>
        <v/>
      </c>
      <c r="L173" s="82">
        <f>SUMIFS(tblVideos[Length],tblVideos[Watched On],"&gt;="&amp;$B173,tblVideos[Watched On],"&lt;"&amp;EDATE($B173,1),tblVideos[Status],"Watched")</f>
        <v/>
      </c>
      <c r="M173" s="84">
        <f>IF(I173=0,"Gap",IF(I173&gt;AVERAGE($I$144:$I$317)+2*STDEV($I$144:$I$317),"High",""))</f>
        <v/>
      </c>
    </row>
    <row r="174">
      <c r="B174" s="83" t="n">
        <v>41944</v>
      </c>
      <c r="C174" s="72">
        <f>COUNTIFS(tblVideos[Day],"&gt;="&amp;$B174,tblVideos[Day],"&lt;"&amp;EDATE($B174,1),tblVideos[Channel ID],Channels!$E$6)</f>
        <v/>
      </c>
      <c r="D174" s="72">
        <f>COUNTIFS(tblVideos[Day],"&gt;="&amp;$B174,tblVideos[Day],"&lt;"&amp;EDATE($B174,1),tblVideos[Channel ID],Channels!$E$7)</f>
        <v/>
      </c>
      <c r="E174" s="72">
        <f>COUNTIFS(tblVideos[Day],"&gt;="&amp;$B174,tblVideos[Day],"&lt;"&amp;EDATE($B174,1),tblVideos[Channel ID],Channels!$E$8)</f>
        <v/>
      </c>
      <c r="F174" s="72">
        <f>COUNTIFS(tblVideos[Day],"&gt;="&amp;$B174,tblVideos[Day],"&lt;"&amp;EDATE($B174,1),tblVideos[Channel ID],Channels!$E$9)</f>
        <v/>
      </c>
      <c r="G174" s="72">
        <f>COUNTIFS(tblVideos[Day],"&gt;="&amp;$B174,tblVideos[Day],"&lt;"&amp;EDATE($B174,1),tblVideos[Channel ID],Channels!$E$10)</f>
        <v/>
      </c>
      <c r="H174" s="72">
        <f>COUNTIFS(tblVideos[Day],"&gt;="&amp;$B174,tblVideos[Day],"&lt;"&amp;EDATE($B174,1),tblVideos[Channel ID],Channels!$E$11)</f>
        <v/>
      </c>
      <c r="I174" s="81">
        <f>SUM(C174:H174)</f>
        <v/>
      </c>
      <c r="J174" s="82">
        <f>SUMIFS(tblVideos[Length],tblVideos[Day],"&gt;="&amp;$B174,tblVideos[Day],"&lt;"&amp;EDATE($B174,1))</f>
        <v/>
      </c>
      <c r="K174" s="72">
        <f>COUNTIFS(tblVideos[Watched On],"&gt;="&amp;$B174,tblVideos[Watched On],"&lt;"&amp;EDATE($B174,1),tblVideos[Status],"Watched")</f>
        <v/>
      </c>
      <c r="L174" s="82">
        <f>SUMIFS(tblVideos[Length],tblVideos[Watched On],"&gt;="&amp;$B174,tblVideos[Watched On],"&lt;"&amp;EDATE($B174,1),tblVideos[Status],"Watched")</f>
        <v/>
      </c>
      <c r="M174" s="84">
        <f>IF(I174=0,"Gap",IF(I174&gt;AVERAGE($I$144:$I$317)+2*STDEV($I$144:$I$317),"High",""))</f>
        <v/>
      </c>
    </row>
    <row r="175">
      <c r="B175" s="83" t="n">
        <v>41974</v>
      </c>
      <c r="C175" s="72">
        <f>COUNTIFS(tblVideos[Day],"&gt;="&amp;$B175,tblVideos[Day],"&lt;"&amp;EDATE($B175,1),tblVideos[Channel ID],Channels!$E$6)</f>
        <v/>
      </c>
      <c r="D175" s="72">
        <f>COUNTIFS(tblVideos[Day],"&gt;="&amp;$B175,tblVideos[Day],"&lt;"&amp;EDATE($B175,1),tblVideos[Channel ID],Channels!$E$7)</f>
        <v/>
      </c>
      <c r="E175" s="72">
        <f>COUNTIFS(tblVideos[Day],"&gt;="&amp;$B175,tblVideos[Day],"&lt;"&amp;EDATE($B175,1),tblVideos[Channel ID],Channels!$E$8)</f>
        <v/>
      </c>
      <c r="F175" s="72">
        <f>COUNTIFS(tblVideos[Day],"&gt;="&amp;$B175,tblVideos[Day],"&lt;"&amp;EDATE($B175,1),tblVideos[Channel ID],Channels!$E$9)</f>
        <v/>
      </c>
      <c r="G175" s="72">
        <f>COUNTIFS(tblVideos[Day],"&gt;="&amp;$B175,tblVideos[Day],"&lt;"&amp;EDATE($B175,1),tblVideos[Channel ID],Channels!$E$10)</f>
        <v/>
      </c>
      <c r="H175" s="72">
        <f>COUNTIFS(tblVideos[Day],"&gt;="&amp;$B175,tblVideos[Day],"&lt;"&amp;EDATE($B175,1),tblVideos[Channel ID],Channels!$E$11)</f>
        <v/>
      </c>
      <c r="I175" s="81">
        <f>SUM(C175:H175)</f>
        <v/>
      </c>
      <c r="J175" s="82">
        <f>SUMIFS(tblVideos[Length],tblVideos[Day],"&gt;="&amp;$B175,tblVideos[Day],"&lt;"&amp;EDATE($B175,1))</f>
        <v/>
      </c>
      <c r="K175" s="72">
        <f>COUNTIFS(tblVideos[Watched On],"&gt;="&amp;$B175,tblVideos[Watched On],"&lt;"&amp;EDATE($B175,1),tblVideos[Status],"Watched")</f>
        <v/>
      </c>
      <c r="L175" s="82">
        <f>SUMIFS(tblVideos[Length],tblVideos[Watched On],"&gt;="&amp;$B175,tblVideos[Watched On],"&lt;"&amp;EDATE($B175,1),tblVideos[Status],"Watched")</f>
        <v/>
      </c>
      <c r="M175" s="84">
        <f>IF(I175=0,"Gap",IF(I175&gt;AVERAGE($I$144:$I$317)+2*STDEV($I$144:$I$317),"High",""))</f>
        <v/>
      </c>
    </row>
    <row r="176">
      <c r="B176" s="83" t="n">
        <v>42005</v>
      </c>
      <c r="C176" s="72">
        <f>COUNTIFS(tblVideos[Day],"&gt;="&amp;$B176,tblVideos[Day],"&lt;"&amp;EDATE($B176,1),tblVideos[Channel ID],Channels!$E$6)</f>
        <v/>
      </c>
      <c r="D176" s="72">
        <f>COUNTIFS(tblVideos[Day],"&gt;="&amp;$B176,tblVideos[Day],"&lt;"&amp;EDATE($B176,1),tblVideos[Channel ID],Channels!$E$7)</f>
        <v/>
      </c>
      <c r="E176" s="72">
        <f>COUNTIFS(tblVideos[Day],"&gt;="&amp;$B176,tblVideos[Day],"&lt;"&amp;EDATE($B176,1),tblVideos[Channel ID],Channels!$E$8)</f>
        <v/>
      </c>
      <c r="F176" s="72">
        <f>COUNTIFS(tblVideos[Day],"&gt;="&amp;$B176,tblVideos[Day],"&lt;"&amp;EDATE($B176,1),tblVideos[Channel ID],Channels!$E$9)</f>
        <v/>
      </c>
      <c r="G176" s="72">
        <f>COUNTIFS(tblVideos[Day],"&gt;="&amp;$B176,tblVideos[Day],"&lt;"&amp;EDATE($B176,1),tblVideos[Channel ID],Channels!$E$10)</f>
        <v/>
      </c>
      <c r="H176" s="72">
        <f>COUNTIFS(tblVideos[Day],"&gt;="&amp;$B176,tblVideos[Day],"&lt;"&amp;EDATE($B176,1),tblVideos[Channel ID],Channels!$E$11)</f>
        <v/>
      </c>
      <c r="I176" s="81">
        <f>SUM(C176:H176)</f>
        <v/>
      </c>
      <c r="J176" s="82">
        <f>SUMIFS(tblVideos[Length],tblVideos[Day],"&gt;="&amp;$B176,tblVideos[Day],"&lt;"&amp;EDATE($B176,1))</f>
        <v/>
      </c>
      <c r="K176" s="72">
        <f>COUNTIFS(tblVideos[Watched On],"&gt;="&amp;$B176,tblVideos[Watched On],"&lt;"&amp;EDATE($B176,1),tblVideos[Status],"Watched")</f>
        <v/>
      </c>
      <c r="L176" s="82">
        <f>SUMIFS(tblVideos[Length],tblVideos[Watched On],"&gt;="&amp;$B176,tblVideos[Watched On],"&lt;"&amp;EDATE($B176,1),tblVideos[Status],"Watched")</f>
        <v/>
      </c>
      <c r="M176" s="84">
        <f>IF(I176=0,"Gap",IF(I176&gt;AVERAGE($I$144:$I$317)+2*STDEV($I$144:$I$317),"High",""))</f>
        <v/>
      </c>
    </row>
    <row r="177">
      <c r="B177" s="83" t="n">
        <v>42036</v>
      </c>
      <c r="C177" s="72">
        <f>COUNTIFS(tblVideos[Day],"&gt;="&amp;$B177,tblVideos[Day],"&lt;"&amp;EDATE($B177,1),tblVideos[Channel ID],Channels!$E$6)</f>
        <v/>
      </c>
      <c r="D177" s="72">
        <f>COUNTIFS(tblVideos[Day],"&gt;="&amp;$B177,tblVideos[Day],"&lt;"&amp;EDATE($B177,1),tblVideos[Channel ID],Channels!$E$7)</f>
        <v/>
      </c>
      <c r="E177" s="72">
        <f>COUNTIFS(tblVideos[Day],"&gt;="&amp;$B177,tblVideos[Day],"&lt;"&amp;EDATE($B177,1),tblVideos[Channel ID],Channels!$E$8)</f>
        <v/>
      </c>
      <c r="F177" s="72">
        <f>COUNTIFS(tblVideos[Day],"&gt;="&amp;$B177,tblVideos[Day],"&lt;"&amp;EDATE($B177,1),tblVideos[Channel ID],Channels!$E$9)</f>
        <v/>
      </c>
      <c r="G177" s="72">
        <f>COUNTIFS(tblVideos[Day],"&gt;="&amp;$B177,tblVideos[Day],"&lt;"&amp;EDATE($B177,1),tblVideos[Channel ID],Channels!$E$10)</f>
        <v/>
      </c>
      <c r="H177" s="72">
        <f>COUNTIFS(tblVideos[Day],"&gt;="&amp;$B177,tblVideos[Day],"&lt;"&amp;EDATE($B177,1),tblVideos[Channel ID],Channels!$E$11)</f>
        <v/>
      </c>
      <c r="I177" s="81">
        <f>SUM(C177:H177)</f>
        <v/>
      </c>
      <c r="J177" s="82">
        <f>SUMIFS(tblVideos[Length],tblVideos[Day],"&gt;="&amp;$B177,tblVideos[Day],"&lt;"&amp;EDATE($B177,1))</f>
        <v/>
      </c>
      <c r="K177" s="72">
        <f>COUNTIFS(tblVideos[Watched On],"&gt;="&amp;$B177,tblVideos[Watched On],"&lt;"&amp;EDATE($B177,1),tblVideos[Status],"Watched")</f>
        <v/>
      </c>
      <c r="L177" s="82">
        <f>SUMIFS(tblVideos[Length],tblVideos[Watched On],"&gt;="&amp;$B177,tblVideos[Watched On],"&lt;"&amp;EDATE($B177,1),tblVideos[Status],"Watched")</f>
        <v/>
      </c>
      <c r="M177" s="84">
        <f>IF(I177=0,"Gap",IF(I177&gt;AVERAGE($I$144:$I$317)+2*STDEV($I$144:$I$317),"High",""))</f>
        <v/>
      </c>
    </row>
    <row r="178">
      <c r="B178" s="83" t="n">
        <v>42064</v>
      </c>
      <c r="C178" s="72">
        <f>COUNTIFS(tblVideos[Day],"&gt;="&amp;$B178,tblVideos[Day],"&lt;"&amp;EDATE($B178,1),tblVideos[Channel ID],Channels!$E$6)</f>
        <v/>
      </c>
      <c r="D178" s="72">
        <f>COUNTIFS(tblVideos[Day],"&gt;="&amp;$B178,tblVideos[Day],"&lt;"&amp;EDATE($B178,1),tblVideos[Channel ID],Channels!$E$7)</f>
        <v/>
      </c>
      <c r="E178" s="72">
        <f>COUNTIFS(tblVideos[Day],"&gt;="&amp;$B178,tblVideos[Day],"&lt;"&amp;EDATE($B178,1),tblVideos[Channel ID],Channels!$E$8)</f>
        <v/>
      </c>
      <c r="F178" s="72">
        <f>COUNTIFS(tblVideos[Day],"&gt;="&amp;$B178,tblVideos[Day],"&lt;"&amp;EDATE($B178,1),tblVideos[Channel ID],Channels!$E$9)</f>
        <v/>
      </c>
      <c r="G178" s="72">
        <f>COUNTIFS(tblVideos[Day],"&gt;="&amp;$B178,tblVideos[Day],"&lt;"&amp;EDATE($B178,1),tblVideos[Channel ID],Channels!$E$10)</f>
        <v/>
      </c>
      <c r="H178" s="72">
        <f>COUNTIFS(tblVideos[Day],"&gt;="&amp;$B178,tblVideos[Day],"&lt;"&amp;EDATE($B178,1),tblVideos[Channel ID],Channels!$E$11)</f>
        <v/>
      </c>
      <c r="I178" s="81">
        <f>SUM(C178:H178)</f>
        <v/>
      </c>
      <c r="J178" s="82">
        <f>SUMIFS(tblVideos[Length],tblVideos[Day],"&gt;="&amp;$B178,tblVideos[Day],"&lt;"&amp;EDATE($B178,1))</f>
        <v/>
      </c>
      <c r="K178" s="72">
        <f>COUNTIFS(tblVideos[Watched On],"&gt;="&amp;$B178,tblVideos[Watched On],"&lt;"&amp;EDATE($B178,1),tblVideos[Status],"Watched")</f>
        <v/>
      </c>
      <c r="L178" s="82">
        <f>SUMIFS(tblVideos[Length],tblVideos[Watched On],"&gt;="&amp;$B178,tblVideos[Watched On],"&lt;"&amp;EDATE($B178,1),tblVideos[Status],"Watched")</f>
        <v/>
      </c>
      <c r="M178" s="84">
        <f>IF(I178=0,"Gap",IF(I178&gt;AVERAGE($I$144:$I$317)+2*STDEV($I$144:$I$317),"High",""))</f>
        <v/>
      </c>
    </row>
    <row r="179">
      <c r="B179" s="83" t="n">
        <v>42095</v>
      </c>
      <c r="C179" s="72">
        <f>COUNTIFS(tblVideos[Day],"&gt;="&amp;$B179,tblVideos[Day],"&lt;"&amp;EDATE($B179,1),tblVideos[Channel ID],Channels!$E$6)</f>
        <v/>
      </c>
      <c r="D179" s="72">
        <f>COUNTIFS(tblVideos[Day],"&gt;="&amp;$B179,tblVideos[Day],"&lt;"&amp;EDATE($B179,1),tblVideos[Channel ID],Channels!$E$7)</f>
        <v/>
      </c>
      <c r="E179" s="72">
        <f>COUNTIFS(tblVideos[Day],"&gt;="&amp;$B179,tblVideos[Day],"&lt;"&amp;EDATE($B179,1),tblVideos[Channel ID],Channels!$E$8)</f>
        <v/>
      </c>
      <c r="F179" s="72">
        <f>COUNTIFS(tblVideos[Day],"&gt;="&amp;$B179,tblVideos[Day],"&lt;"&amp;EDATE($B179,1),tblVideos[Channel ID],Channels!$E$9)</f>
        <v/>
      </c>
      <c r="G179" s="72">
        <f>COUNTIFS(tblVideos[Day],"&gt;="&amp;$B179,tblVideos[Day],"&lt;"&amp;EDATE($B179,1),tblVideos[Channel ID],Channels!$E$10)</f>
        <v/>
      </c>
      <c r="H179" s="72">
        <f>COUNTIFS(tblVideos[Day],"&gt;="&amp;$B179,tblVideos[Day],"&lt;"&amp;EDATE($B179,1),tblVideos[Channel ID],Channels!$E$11)</f>
        <v/>
      </c>
      <c r="I179" s="81">
        <f>SUM(C179:H179)</f>
        <v/>
      </c>
      <c r="J179" s="82">
        <f>SUMIFS(tblVideos[Length],tblVideos[Day],"&gt;="&amp;$B179,tblVideos[Day],"&lt;"&amp;EDATE($B179,1))</f>
        <v/>
      </c>
      <c r="K179" s="72">
        <f>COUNTIFS(tblVideos[Watched On],"&gt;="&amp;$B179,tblVideos[Watched On],"&lt;"&amp;EDATE($B179,1),tblVideos[Status],"Watched")</f>
        <v/>
      </c>
      <c r="L179" s="82">
        <f>SUMIFS(tblVideos[Length],tblVideos[Watched On],"&gt;="&amp;$B179,tblVideos[Watched On],"&lt;"&amp;EDATE($B179,1),tblVideos[Status],"Watched")</f>
        <v/>
      </c>
      <c r="M179" s="84">
        <f>IF(I179=0,"Gap",IF(I179&gt;AVERAGE($I$144:$I$317)+2*STDEV($I$144:$I$317),"High",""))</f>
        <v/>
      </c>
    </row>
    <row r="180">
      <c r="B180" s="83" t="n">
        <v>42125</v>
      </c>
      <c r="C180" s="72">
        <f>COUNTIFS(tblVideos[Day],"&gt;="&amp;$B180,tblVideos[Day],"&lt;"&amp;EDATE($B180,1),tblVideos[Channel ID],Channels!$E$6)</f>
        <v/>
      </c>
      <c r="D180" s="72">
        <f>COUNTIFS(tblVideos[Day],"&gt;="&amp;$B180,tblVideos[Day],"&lt;"&amp;EDATE($B180,1),tblVideos[Channel ID],Channels!$E$7)</f>
        <v/>
      </c>
      <c r="E180" s="72">
        <f>COUNTIFS(tblVideos[Day],"&gt;="&amp;$B180,tblVideos[Day],"&lt;"&amp;EDATE($B180,1),tblVideos[Channel ID],Channels!$E$8)</f>
        <v/>
      </c>
      <c r="F180" s="72">
        <f>COUNTIFS(tblVideos[Day],"&gt;="&amp;$B180,tblVideos[Day],"&lt;"&amp;EDATE($B180,1),tblVideos[Channel ID],Channels!$E$9)</f>
        <v/>
      </c>
      <c r="G180" s="72">
        <f>COUNTIFS(tblVideos[Day],"&gt;="&amp;$B180,tblVideos[Day],"&lt;"&amp;EDATE($B180,1),tblVideos[Channel ID],Channels!$E$10)</f>
        <v/>
      </c>
      <c r="H180" s="72">
        <f>COUNTIFS(tblVideos[Day],"&gt;="&amp;$B180,tblVideos[Day],"&lt;"&amp;EDATE($B180,1),tblVideos[Channel ID],Channels!$E$11)</f>
        <v/>
      </c>
      <c r="I180" s="81">
        <f>SUM(C180:H180)</f>
        <v/>
      </c>
      <c r="J180" s="82">
        <f>SUMIFS(tblVideos[Length],tblVideos[Day],"&gt;="&amp;$B180,tblVideos[Day],"&lt;"&amp;EDATE($B180,1))</f>
        <v/>
      </c>
      <c r="K180" s="72">
        <f>COUNTIFS(tblVideos[Watched On],"&gt;="&amp;$B180,tblVideos[Watched On],"&lt;"&amp;EDATE($B180,1),tblVideos[Status],"Watched")</f>
        <v/>
      </c>
      <c r="L180" s="82">
        <f>SUMIFS(tblVideos[Length],tblVideos[Watched On],"&gt;="&amp;$B180,tblVideos[Watched On],"&lt;"&amp;EDATE($B180,1),tblVideos[Status],"Watched")</f>
        <v/>
      </c>
      <c r="M180" s="84">
        <f>IF(I180=0,"Gap",IF(I180&gt;AVERAGE($I$144:$I$317)+2*STDEV($I$144:$I$317),"High",""))</f>
        <v/>
      </c>
    </row>
    <row r="181">
      <c r="B181" s="83" t="n">
        <v>42156</v>
      </c>
      <c r="C181" s="72">
        <f>COUNTIFS(tblVideos[Day],"&gt;="&amp;$B181,tblVideos[Day],"&lt;"&amp;EDATE($B181,1),tblVideos[Channel ID],Channels!$E$6)</f>
        <v/>
      </c>
      <c r="D181" s="72">
        <f>COUNTIFS(tblVideos[Day],"&gt;="&amp;$B181,tblVideos[Day],"&lt;"&amp;EDATE($B181,1),tblVideos[Channel ID],Channels!$E$7)</f>
        <v/>
      </c>
      <c r="E181" s="72">
        <f>COUNTIFS(tblVideos[Day],"&gt;="&amp;$B181,tblVideos[Day],"&lt;"&amp;EDATE($B181,1),tblVideos[Channel ID],Channels!$E$8)</f>
        <v/>
      </c>
      <c r="F181" s="72">
        <f>COUNTIFS(tblVideos[Day],"&gt;="&amp;$B181,tblVideos[Day],"&lt;"&amp;EDATE($B181,1),tblVideos[Channel ID],Channels!$E$9)</f>
        <v/>
      </c>
      <c r="G181" s="72">
        <f>COUNTIFS(tblVideos[Day],"&gt;="&amp;$B181,tblVideos[Day],"&lt;"&amp;EDATE($B181,1),tblVideos[Channel ID],Channels!$E$10)</f>
        <v/>
      </c>
      <c r="H181" s="72">
        <f>COUNTIFS(tblVideos[Day],"&gt;="&amp;$B181,tblVideos[Day],"&lt;"&amp;EDATE($B181,1),tblVideos[Channel ID],Channels!$E$11)</f>
        <v/>
      </c>
      <c r="I181" s="81">
        <f>SUM(C181:H181)</f>
        <v/>
      </c>
      <c r="J181" s="82">
        <f>SUMIFS(tblVideos[Length],tblVideos[Day],"&gt;="&amp;$B181,tblVideos[Day],"&lt;"&amp;EDATE($B181,1))</f>
        <v/>
      </c>
      <c r="K181" s="72">
        <f>COUNTIFS(tblVideos[Watched On],"&gt;="&amp;$B181,tblVideos[Watched On],"&lt;"&amp;EDATE($B181,1),tblVideos[Status],"Watched")</f>
        <v/>
      </c>
      <c r="L181" s="82">
        <f>SUMIFS(tblVideos[Length],tblVideos[Watched On],"&gt;="&amp;$B181,tblVideos[Watched On],"&lt;"&amp;EDATE($B181,1),tblVideos[Status],"Watched")</f>
        <v/>
      </c>
      <c r="M181" s="84">
        <f>IF(I181=0,"Gap",IF(I181&gt;AVERAGE($I$144:$I$317)+2*STDEV($I$144:$I$317),"High",""))</f>
        <v/>
      </c>
    </row>
    <row r="182">
      <c r="B182" s="83" t="n">
        <v>42186</v>
      </c>
      <c r="C182" s="72">
        <f>COUNTIFS(tblVideos[Day],"&gt;="&amp;$B182,tblVideos[Day],"&lt;"&amp;EDATE($B182,1),tblVideos[Channel ID],Channels!$E$6)</f>
        <v/>
      </c>
      <c r="D182" s="72">
        <f>COUNTIFS(tblVideos[Day],"&gt;="&amp;$B182,tblVideos[Day],"&lt;"&amp;EDATE($B182,1),tblVideos[Channel ID],Channels!$E$7)</f>
        <v/>
      </c>
      <c r="E182" s="72">
        <f>COUNTIFS(tblVideos[Day],"&gt;="&amp;$B182,tblVideos[Day],"&lt;"&amp;EDATE($B182,1),tblVideos[Channel ID],Channels!$E$8)</f>
        <v/>
      </c>
      <c r="F182" s="72">
        <f>COUNTIFS(tblVideos[Day],"&gt;="&amp;$B182,tblVideos[Day],"&lt;"&amp;EDATE($B182,1),tblVideos[Channel ID],Channels!$E$9)</f>
        <v/>
      </c>
      <c r="G182" s="72">
        <f>COUNTIFS(tblVideos[Day],"&gt;="&amp;$B182,tblVideos[Day],"&lt;"&amp;EDATE($B182,1),tblVideos[Channel ID],Channels!$E$10)</f>
        <v/>
      </c>
      <c r="H182" s="72">
        <f>COUNTIFS(tblVideos[Day],"&gt;="&amp;$B182,tblVideos[Day],"&lt;"&amp;EDATE($B182,1),tblVideos[Channel ID],Channels!$E$11)</f>
        <v/>
      </c>
      <c r="I182" s="81">
        <f>SUM(C182:H182)</f>
        <v/>
      </c>
      <c r="J182" s="82">
        <f>SUMIFS(tblVideos[Length],tblVideos[Day],"&gt;="&amp;$B182,tblVideos[Day],"&lt;"&amp;EDATE($B182,1))</f>
        <v/>
      </c>
      <c r="K182" s="72">
        <f>COUNTIFS(tblVideos[Watched On],"&gt;="&amp;$B182,tblVideos[Watched On],"&lt;"&amp;EDATE($B182,1),tblVideos[Status],"Watched")</f>
        <v/>
      </c>
      <c r="L182" s="82">
        <f>SUMIFS(tblVideos[Length],tblVideos[Watched On],"&gt;="&amp;$B182,tblVideos[Watched On],"&lt;"&amp;EDATE($B182,1),tblVideos[Status],"Watched")</f>
        <v/>
      </c>
      <c r="M182" s="84">
        <f>IF(I182=0,"Gap",IF(I182&gt;AVERAGE($I$144:$I$317)+2*STDEV($I$144:$I$317),"High",""))</f>
        <v/>
      </c>
    </row>
    <row r="183">
      <c r="B183" s="83" t="n">
        <v>42217</v>
      </c>
      <c r="C183" s="72">
        <f>COUNTIFS(tblVideos[Day],"&gt;="&amp;$B183,tblVideos[Day],"&lt;"&amp;EDATE($B183,1),tblVideos[Channel ID],Channels!$E$6)</f>
        <v/>
      </c>
      <c r="D183" s="72">
        <f>COUNTIFS(tblVideos[Day],"&gt;="&amp;$B183,tblVideos[Day],"&lt;"&amp;EDATE($B183,1),tblVideos[Channel ID],Channels!$E$7)</f>
        <v/>
      </c>
      <c r="E183" s="72">
        <f>COUNTIFS(tblVideos[Day],"&gt;="&amp;$B183,tblVideos[Day],"&lt;"&amp;EDATE($B183,1),tblVideos[Channel ID],Channels!$E$8)</f>
        <v/>
      </c>
      <c r="F183" s="72">
        <f>COUNTIFS(tblVideos[Day],"&gt;="&amp;$B183,tblVideos[Day],"&lt;"&amp;EDATE($B183,1),tblVideos[Channel ID],Channels!$E$9)</f>
        <v/>
      </c>
      <c r="G183" s="72">
        <f>COUNTIFS(tblVideos[Day],"&gt;="&amp;$B183,tblVideos[Day],"&lt;"&amp;EDATE($B183,1),tblVideos[Channel ID],Channels!$E$10)</f>
        <v/>
      </c>
      <c r="H183" s="72">
        <f>COUNTIFS(tblVideos[Day],"&gt;="&amp;$B183,tblVideos[Day],"&lt;"&amp;EDATE($B183,1),tblVideos[Channel ID],Channels!$E$11)</f>
        <v/>
      </c>
      <c r="I183" s="81">
        <f>SUM(C183:H183)</f>
        <v/>
      </c>
      <c r="J183" s="82">
        <f>SUMIFS(tblVideos[Length],tblVideos[Day],"&gt;="&amp;$B183,tblVideos[Day],"&lt;"&amp;EDATE($B183,1))</f>
        <v/>
      </c>
      <c r="K183" s="72">
        <f>COUNTIFS(tblVideos[Watched On],"&gt;="&amp;$B183,tblVideos[Watched On],"&lt;"&amp;EDATE($B183,1),tblVideos[Status],"Watched")</f>
        <v/>
      </c>
      <c r="L183" s="82">
        <f>SUMIFS(tblVideos[Length],tblVideos[Watched On],"&gt;="&amp;$B183,tblVideos[Watched On],"&lt;"&amp;EDATE($B183,1),tblVideos[Status],"Watched")</f>
        <v/>
      </c>
      <c r="M183" s="84">
        <f>IF(I183=0,"Gap",IF(I183&gt;AVERAGE($I$144:$I$317)+2*STDEV($I$144:$I$317),"High",""))</f>
        <v/>
      </c>
    </row>
    <row r="184">
      <c r="B184" s="83" t="n">
        <v>42248</v>
      </c>
      <c r="C184" s="72">
        <f>COUNTIFS(tblVideos[Day],"&gt;="&amp;$B184,tblVideos[Day],"&lt;"&amp;EDATE($B184,1),tblVideos[Channel ID],Channels!$E$6)</f>
        <v/>
      </c>
      <c r="D184" s="72">
        <f>COUNTIFS(tblVideos[Day],"&gt;="&amp;$B184,tblVideos[Day],"&lt;"&amp;EDATE($B184,1),tblVideos[Channel ID],Channels!$E$7)</f>
        <v/>
      </c>
      <c r="E184" s="72">
        <f>COUNTIFS(tblVideos[Day],"&gt;="&amp;$B184,tblVideos[Day],"&lt;"&amp;EDATE($B184,1),tblVideos[Channel ID],Channels!$E$8)</f>
        <v/>
      </c>
      <c r="F184" s="72">
        <f>COUNTIFS(tblVideos[Day],"&gt;="&amp;$B184,tblVideos[Day],"&lt;"&amp;EDATE($B184,1),tblVideos[Channel ID],Channels!$E$9)</f>
        <v/>
      </c>
      <c r="G184" s="72">
        <f>COUNTIFS(tblVideos[Day],"&gt;="&amp;$B184,tblVideos[Day],"&lt;"&amp;EDATE($B184,1),tblVideos[Channel ID],Channels!$E$10)</f>
        <v/>
      </c>
      <c r="H184" s="72">
        <f>COUNTIFS(tblVideos[Day],"&gt;="&amp;$B184,tblVideos[Day],"&lt;"&amp;EDATE($B184,1),tblVideos[Channel ID],Channels!$E$11)</f>
        <v/>
      </c>
      <c r="I184" s="81">
        <f>SUM(C184:H184)</f>
        <v/>
      </c>
      <c r="J184" s="82">
        <f>SUMIFS(tblVideos[Length],tblVideos[Day],"&gt;="&amp;$B184,tblVideos[Day],"&lt;"&amp;EDATE($B184,1))</f>
        <v/>
      </c>
      <c r="K184" s="72">
        <f>COUNTIFS(tblVideos[Watched On],"&gt;="&amp;$B184,tblVideos[Watched On],"&lt;"&amp;EDATE($B184,1),tblVideos[Status],"Watched")</f>
        <v/>
      </c>
      <c r="L184" s="82">
        <f>SUMIFS(tblVideos[Length],tblVideos[Watched On],"&gt;="&amp;$B184,tblVideos[Watched On],"&lt;"&amp;EDATE($B184,1),tblVideos[Status],"Watched")</f>
        <v/>
      </c>
      <c r="M184" s="84">
        <f>IF(I184=0,"Gap",IF(I184&gt;AVERAGE($I$144:$I$317)+2*STDEV($I$144:$I$317),"High",""))</f>
        <v/>
      </c>
    </row>
    <row r="185">
      <c r="B185" s="83" t="n">
        <v>42278</v>
      </c>
      <c r="C185" s="72">
        <f>COUNTIFS(tblVideos[Day],"&gt;="&amp;$B185,tblVideos[Day],"&lt;"&amp;EDATE($B185,1),tblVideos[Channel ID],Channels!$E$6)</f>
        <v/>
      </c>
      <c r="D185" s="72">
        <f>COUNTIFS(tblVideos[Day],"&gt;="&amp;$B185,tblVideos[Day],"&lt;"&amp;EDATE($B185,1),tblVideos[Channel ID],Channels!$E$7)</f>
        <v/>
      </c>
      <c r="E185" s="72">
        <f>COUNTIFS(tblVideos[Day],"&gt;="&amp;$B185,tblVideos[Day],"&lt;"&amp;EDATE($B185,1),tblVideos[Channel ID],Channels!$E$8)</f>
        <v/>
      </c>
      <c r="F185" s="72">
        <f>COUNTIFS(tblVideos[Day],"&gt;="&amp;$B185,tblVideos[Day],"&lt;"&amp;EDATE($B185,1),tblVideos[Channel ID],Channels!$E$9)</f>
        <v/>
      </c>
      <c r="G185" s="72">
        <f>COUNTIFS(tblVideos[Day],"&gt;="&amp;$B185,tblVideos[Day],"&lt;"&amp;EDATE($B185,1),tblVideos[Channel ID],Channels!$E$10)</f>
        <v/>
      </c>
      <c r="H185" s="72">
        <f>COUNTIFS(tblVideos[Day],"&gt;="&amp;$B185,tblVideos[Day],"&lt;"&amp;EDATE($B185,1),tblVideos[Channel ID],Channels!$E$11)</f>
        <v/>
      </c>
      <c r="I185" s="81">
        <f>SUM(C185:H185)</f>
        <v/>
      </c>
      <c r="J185" s="82">
        <f>SUMIFS(tblVideos[Length],tblVideos[Day],"&gt;="&amp;$B185,tblVideos[Day],"&lt;"&amp;EDATE($B185,1))</f>
        <v/>
      </c>
      <c r="K185" s="72">
        <f>COUNTIFS(tblVideos[Watched On],"&gt;="&amp;$B185,tblVideos[Watched On],"&lt;"&amp;EDATE($B185,1),tblVideos[Status],"Watched")</f>
        <v/>
      </c>
      <c r="L185" s="82">
        <f>SUMIFS(tblVideos[Length],tblVideos[Watched On],"&gt;="&amp;$B185,tblVideos[Watched On],"&lt;"&amp;EDATE($B185,1),tblVideos[Status],"Watched")</f>
        <v/>
      </c>
      <c r="M185" s="84">
        <f>IF(I185=0,"Gap",IF(I185&gt;AVERAGE($I$144:$I$317)+2*STDEV($I$144:$I$317),"High",""))</f>
        <v/>
      </c>
    </row>
    <row r="186">
      <c r="B186" s="83" t="n">
        <v>42309</v>
      </c>
      <c r="C186" s="72">
        <f>COUNTIFS(tblVideos[Day],"&gt;="&amp;$B186,tblVideos[Day],"&lt;"&amp;EDATE($B186,1),tblVideos[Channel ID],Channels!$E$6)</f>
        <v/>
      </c>
      <c r="D186" s="72">
        <f>COUNTIFS(tblVideos[Day],"&gt;="&amp;$B186,tblVideos[Day],"&lt;"&amp;EDATE($B186,1),tblVideos[Channel ID],Channels!$E$7)</f>
        <v/>
      </c>
      <c r="E186" s="72">
        <f>COUNTIFS(tblVideos[Day],"&gt;="&amp;$B186,tblVideos[Day],"&lt;"&amp;EDATE($B186,1),tblVideos[Channel ID],Channels!$E$8)</f>
        <v/>
      </c>
      <c r="F186" s="72">
        <f>COUNTIFS(tblVideos[Day],"&gt;="&amp;$B186,tblVideos[Day],"&lt;"&amp;EDATE($B186,1),tblVideos[Channel ID],Channels!$E$9)</f>
        <v/>
      </c>
      <c r="G186" s="72">
        <f>COUNTIFS(tblVideos[Day],"&gt;="&amp;$B186,tblVideos[Day],"&lt;"&amp;EDATE($B186,1),tblVideos[Channel ID],Channels!$E$10)</f>
        <v/>
      </c>
      <c r="H186" s="72">
        <f>COUNTIFS(tblVideos[Day],"&gt;="&amp;$B186,tblVideos[Day],"&lt;"&amp;EDATE($B186,1),tblVideos[Channel ID],Channels!$E$11)</f>
        <v/>
      </c>
      <c r="I186" s="81">
        <f>SUM(C186:H186)</f>
        <v/>
      </c>
      <c r="J186" s="82">
        <f>SUMIFS(tblVideos[Length],tblVideos[Day],"&gt;="&amp;$B186,tblVideos[Day],"&lt;"&amp;EDATE($B186,1))</f>
        <v/>
      </c>
      <c r="K186" s="72">
        <f>COUNTIFS(tblVideos[Watched On],"&gt;="&amp;$B186,tblVideos[Watched On],"&lt;"&amp;EDATE($B186,1),tblVideos[Status],"Watched")</f>
        <v/>
      </c>
      <c r="L186" s="82">
        <f>SUMIFS(tblVideos[Length],tblVideos[Watched On],"&gt;="&amp;$B186,tblVideos[Watched On],"&lt;"&amp;EDATE($B186,1),tblVideos[Status],"Watched")</f>
        <v/>
      </c>
      <c r="M186" s="84">
        <f>IF(I186=0,"Gap",IF(I186&gt;AVERAGE($I$144:$I$317)+2*STDEV($I$144:$I$317),"High",""))</f>
        <v/>
      </c>
    </row>
    <row r="187">
      <c r="B187" s="83" t="n">
        <v>42339</v>
      </c>
      <c r="C187" s="72">
        <f>COUNTIFS(tblVideos[Day],"&gt;="&amp;$B187,tblVideos[Day],"&lt;"&amp;EDATE($B187,1),tblVideos[Channel ID],Channels!$E$6)</f>
        <v/>
      </c>
      <c r="D187" s="72">
        <f>COUNTIFS(tblVideos[Day],"&gt;="&amp;$B187,tblVideos[Day],"&lt;"&amp;EDATE($B187,1),tblVideos[Channel ID],Channels!$E$7)</f>
        <v/>
      </c>
      <c r="E187" s="72">
        <f>COUNTIFS(tblVideos[Day],"&gt;="&amp;$B187,tblVideos[Day],"&lt;"&amp;EDATE($B187,1),tblVideos[Channel ID],Channels!$E$8)</f>
        <v/>
      </c>
      <c r="F187" s="72">
        <f>COUNTIFS(tblVideos[Day],"&gt;="&amp;$B187,tblVideos[Day],"&lt;"&amp;EDATE($B187,1),tblVideos[Channel ID],Channels!$E$9)</f>
        <v/>
      </c>
      <c r="G187" s="72">
        <f>COUNTIFS(tblVideos[Day],"&gt;="&amp;$B187,tblVideos[Day],"&lt;"&amp;EDATE($B187,1),tblVideos[Channel ID],Channels!$E$10)</f>
        <v/>
      </c>
      <c r="H187" s="72">
        <f>COUNTIFS(tblVideos[Day],"&gt;="&amp;$B187,tblVideos[Day],"&lt;"&amp;EDATE($B187,1),tblVideos[Channel ID],Channels!$E$11)</f>
        <v/>
      </c>
      <c r="I187" s="81">
        <f>SUM(C187:H187)</f>
        <v/>
      </c>
      <c r="J187" s="82">
        <f>SUMIFS(tblVideos[Length],tblVideos[Day],"&gt;="&amp;$B187,tblVideos[Day],"&lt;"&amp;EDATE($B187,1))</f>
        <v/>
      </c>
      <c r="K187" s="72">
        <f>COUNTIFS(tblVideos[Watched On],"&gt;="&amp;$B187,tblVideos[Watched On],"&lt;"&amp;EDATE($B187,1),tblVideos[Status],"Watched")</f>
        <v/>
      </c>
      <c r="L187" s="82">
        <f>SUMIFS(tblVideos[Length],tblVideos[Watched On],"&gt;="&amp;$B187,tblVideos[Watched On],"&lt;"&amp;EDATE($B187,1),tblVideos[Status],"Watched")</f>
        <v/>
      </c>
      <c r="M187" s="84">
        <f>IF(I187=0,"Gap",IF(I187&gt;AVERAGE($I$144:$I$317)+2*STDEV($I$144:$I$317),"High",""))</f>
        <v/>
      </c>
    </row>
    <row r="188">
      <c r="B188" s="83" t="n">
        <v>42370</v>
      </c>
      <c r="C188" s="72">
        <f>COUNTIFS(tblVideos[Day],"&gt;="&amp;$B188,tblVideos[Day],"&lt;"&amp;EDATE($B188,1),tblVideos[Channel ID],Channels!$E$6)</f>
        <v/>
      </c>
      <c r="D188" s="72">
        <f>COUNTIFS(tblVideos[Day],"&gt;="&amp;$B188,tblVideos[Day],"&lt;"&amp;EDATE($B188,1),tblVideos[Channel ID],Channels!$E$7)</f>
        <v/>
      </c>
      <c r="E188" s="72">
        <f>COUNTIFS(tblVideos[Day],"&gt;="&amp;$B188,tblVideos[Day],"&lt;"&amp;EDATE($B188,1),tblVideos[Channel ID],Channels!$E$8)</f>
        <v/>
      </c>
      <c r="F188" s="72">
        <f>COUNTIFS(tblVideos[Day],"&gt;="&amp;$B188,tblVideos[Day],"&lt;"&amp;EDATE($B188,1),tblVideos[Channel ID],Channels!$E$9)</f>
        <v/>
      </c>
      <c r="G188" s="72">
        <f>COUNTIFS(tblVideos[Day],"&gt;="&amp;$B188,tblVideos[Day],"&lt;"&amp;EDATE($B188,1),tblVideos[Channel ID],Channels!$E$10)</f>
        <v/>
      </c>
      <c r="H188" s="72">
        <f>COUNTIFS(tblVideos[Day],"&gt;="&amp;$B188,tblVideos[Day],"&lt;"&amp;EDATE($B188,1),tblVideos[Channel ID],Channels!$E$11)</f>
        <v/>
      </c>
      <c r="I188" s="81">
        <f>SUM(C188:H188)</f>
        <v/>
      </c>
      <c r="J188" s="82">
        <f>SUMIFS(tblVideos[Length],tblVideos[Day],"&gt;="&amp;$B188,tblVideos[Day],"&lt;"&amp;EDATE($B188,1))</f>
        <v/>
      </c>
      <c r="K188" s="72">
        <f>COUNTIFS(tblVideos[Watched On],"&gt;="&amp;$B188,tblVideos[Watched On],"&lt;"&amp;EDATE($B188,1),tblVideos[Status],"Watched")</f>
        <v/>
      </c>
      <c r="L188" s="82">
        <f>SUMIFS(tblVideos[Length],tblVideos[Watched On],"&gt;="&amp;$B188,tblVideos[Watched On],"&lt;"&amp;EDATE($B188,1),tblVideos[Status],"Watched")</f>
        <v/>
      </c>
      <c r="M188" s="84">
        <f>IF(I188=0,"Gap",IF(I188&gt;AVERAGE($I$144:$I$317)+2*STDEV($I$144:$I$317),"High",""))</f>
        <v/>
      </c>
    </row>
    <row r="189">
      <c r="B189" s="83" t="n">
        <v>42401</v>
      </c>
      <c r="C189" s="72">
        <f>COUNTIFS(tblVideos[Day],"&gt;="&amp;$B189,tblVideos[Day],"&lt;"&amp;EDATE($B189,1),tblVideos[Channel ID],Channels!$E$6)</f>
        <v/>
      </c>
      <c r="D189" s="72">
        <f>COUNTIFS(tblVideos[Day],"&gt;="&amp;$B189,tblVideos[Day],"&lt;"&amp;EDATE($B189,1),tblVideos[Channel ID],Channels!$E$7)</f>
        <v/>
      </c>
      <c r="E189" s="72">
        <f>COUNTIFS(tblVideos[Day],"&gt;="&amp;$B189,tblVideos[Day],"&lt;"&amp;EDATE($B189,1),tblVideos[Channel ID],Channels!$E$8)</f>
        <v/>
      </c>
      <c r="F189" s="72">
        <f>COUNTIFS(tblVideos[Day],"&gt;="&amp;$B189,tblVideos[Day],"&lt;"&amp;EDATE($B189,1),tblVideos[Channel ID],Channels!$E$9)</f>
        <v/>
      </c>
      <c r="G189" s="72">
        <f>COUNTIFS(tblVideos[Day],"&gt;="&amp;$B189,tblVideos[Day],"&lt;"&amp;EDATE($B189,1),tblVideos[Channel ID],Channels!$E$10)</f>
        <v/>
      </c>
      <c r="H189" s="72">
        <f>COUNTIFS(tblVideos[Day],"&gt;="&amp;$B189,tblVideos[Day],"&lt;"&amp;EDATE($B189,1),tblVideos[Channel ID],Channels!$E$11)</f>
        <v/>
      </c>
      <c r="I189" s="81">
        <f>SUM(C189:H189)</f>
        <v/>
      </c>
      <c r="J189" s="82">
        <f>SUMIFS(tblVideos[Length],tblVideos[Day],"&gt;="&amp;$B189,tblVideos[Day],"&lt;"&amp;EDATE($B189,1))</f>
        <v/>
      </c>
      <c r="K189" s="72">
        <f>COUNTIFS(tblVideos[Watched On],"&gt;="&amp;$B189,tblVideos[Watched On],"&lt;"&amp;EDATE($B189,1),tblVideos[Status],"Watched")</f>
        <v/>
      </c>
      <c r="L189" s="82">
        <f>SUMIFS(tblVideos[Length],tblVideos[Watched On],"&gt;="&amp;$B189,tblVideos[Watched On],"&lt;"&amp;EDATE($B189,1),tblVideos[Status],"Watched")</f>
        <v/>
      </c>
      <c r="M189" s="84">
        <f>IF(I189=0,"Gap",IF(I189&gt;AVERAGE($I$144:$I$317)+2*STDEV($I$144:$I$317),"High",""))</f>
        <v/>
      </c>
    </row>
    <row r="190">
      <c r="B190" s="83" t="n">
        <v>42430</v>
      </c>
      <c r="C190" s="72">
        <f>COUNTIFS(tblVideos[Day],"&gt;="&amp;$B190,tblVideos[Day],"&lt;"&amp;EDATE($B190,1),tblVideos[Channel ID],Channels!$E$6)</f>
        <v/>
      </c>
      <c r="D190" s="72">
        <f>COUNTIFS(tblVideos[Day],"&gt;="&amp;$B190,tblVideos[Day],"&lt;"&amp;EDATE($B190,1),tblVideos[Channel ID],Channels!$E$7)</f>
        <v/>
      </c>
      <c r="E190" s="72">
        <f>COUNTIFS(tblVideos[Day],"&gt;="&amp;$B190,tblVideos[Day],"&lt;"&amp;EDATE($B190,1),tblVideos[Channel ID],Channels!$E$8)</f>
        <v/>
      </c>
      <c r="F190" s="72">
        <f>COUNTIFS(tblVideos[Day],"&gt;="&amp;$B190,tblVideos[Day],"&lt;"&amp;EDATE($B190,1),tblVideos[Channel ID],Channels!$E$9)</f>
        <v/>
      </c>
      <c r="G190" s="72">
        <f>COUNTIFS(tblVideos[Day],"&gt;="&amp;$B190,tblVideos[Day],"&lt;"&amp;EDATE($B190,1),tblVideos[Channel ID],Channels!$E$10)</f>
        <v/>
      </c>
      <c r="H190" s="72">
        <f>COUNTIFS(tblVideos[Day],"&gt;="&amp;$B190,tblVideos[Day],"&lt;"&amp;EDATE($B190,1),tblVideos[Channel ID],Channels!$E$11)</f>
        <v/>
      </c>
      <c r="I190" s="81">
        <f>SUM(C190:H190)</f>
        <v/>
      </c>
      <c r="J190" s="82">
        <f>SUMIFS(tblVideos[Length],tblVideos[Day],"&gt;="&amp;$B190,tblVideos[Day],"&lt;"&amp;EDATE($B190,1))</f>
        <v/>
      </c>
      <c r="K190" s="72">
        <f>COUNTIFS(tblVideos[Watched On],"&gt;="&amp;$B190,tblVideos[Watched On],"&lt;"&amp;EDATE($B190,1),tblVideos[Status],"Watched")</f>
        <v/>
      </c>
      <c r="L190" s="82">
        <f>SUMIFS(tblVideos[Length],tblVideos[Watched On],"&gt;="&amp;$B190,tblVideos[Watched On],"&lt;"&amp;EDATE($B190,1),tblVideos[Status],"Watched")</f>
        <v/>
      </c>
      <c r="M190" s="84">
        <f>IF(I190=0,"Gap",IF(I190&gt;AVERAGE($I$144:$I$317)+2*STDEV($I$144:$I$317),"High",""))</f>
        <v/>
      </c>
    </row>
    <row r="191">
      <c r="B191" s="83" t="n">
        <v>42461</v>
      </c>
      <c r="C191" s="72">
        <f>COUNTIFS(tblVideos[Day],"&gt;="&amp;$B191,tblVideos[Day],"&lt;"&amp;EDATE($B191,1),tblVideos[Channel ID],Channels!$E$6)</f>
        <v/>
      </c>
      <c r="D191" s="72">
        <f>COUNTIFS(tblVideos[Day],"&gt;="&amp;$B191,tblVideos[Day],"&lt;"&amp;EDATE($B191,1),tblVideos[Channel ID],Channels!$E$7)</f>
        <v/>
      </c>
      <c r="E191" s="72">
        <f>COUNTIFS(tblVideos[Day],"&gt;="&amp;$B191,tblVideos[Day],"&lt;"&amp;EDATE($B191,1),tblVideos[Channel ID],Channels!$E$8)</f>
        <v/>
      </c>
      <c r="F191" s="72">
        <f>COUNTIFS(tblVideos[Day],"&gt;="&amp;$B191,tblVideos[Day],"&lt;"&amp;EDATE($B191,1),tblVideos[Channel ID],Channels!$E$9)</f>
        <v/>
      </c>
      <c r="G191" s="72">
        <f>COUNTIFS(tblVideos[Day],"&gt;="&amp;$B191,tblVideos[Day],"&lt;"&amp;EDATE($B191,1),tblVideos[Channel ID],Channels!$E$10)</f>
        <v/>
      </c>
      <c r="H191" s="72">
        <f>COUNTIFS(tblVideos[Day],"&gt;="&amp;$B191,tblVideos[Day],"&lt;"&amp;EDATE($B191,1),tblVideos[Channel ID],Channels!$E$11)</f>
        <v/>
      </c>
      <c r="I191" s="81">
        <f>SUM(C191:H191)</f>
        <v/>
      </c>
      <c r="J191" s="82">
        <f>SUMIFS(tblVideos[Length],tblVideos[Day],"&gt;="&amp;$B191,tblVideos[Day],"&lt;"&amp;EDATE($B191,1))</f>
        <v/>
      </c>
      <c r="K191" s="72">
        <f>COUNTIFS(tblVideos[Watched On],"&gt;="&amp;$B191,tblVideos[Watched On],"&lt;"&amp;EDATE($B191,1),tblVideos[Status],"Watched")</f>
        <v/>
      </c>
      <c r="L191" s="82">
        <f>SUMIFS(tblVideos[Length],tblVideos[Watched On],"&gt;="&amp;$B191,tblVideos[Watched On],"&lt;"&amp;EDATE($B191,1),tblVideos[Status],"Watched")</f>
        <v/>
      </c>
      <c r="M191" s="84">
        <f>IF(I191=0,"Gap",IF(I191&gt;AVERAGE($I$144:$I$317)+2*STDEV($I$144:$I$317),"High",""))</f>
        <v/>
      </c>
    </row>
    <row r="192">
      <c r="B192" s="83" t="n">
        <v>42491</v>
      </c>
      <c r="C192" s="72">
        <f>COUNTIFS(tblVideos[Day],"&gt;="&amp;$B192,tblVideos[Day],"&lt;"&amp;EDATE($B192,1),tblVideos[Channel ID],Channels!$E$6)</f>
        <v/>
      </c>
      <c r="D192" s="72">
        <f>COUNTIFS(tblVideos[Day],"&gt;="&amp;$B192,tblVideos[Day],"&lt;"&amp;EDATE($B192,1),tblVideos[Channel ID],Channels!$E$7)</f>
        <v/>
      </c>
      <c r="E192" s="72">
        <f>COUNTIFS(tblVideos[Day],"&gt;="&amp;$B192,tblVideos[Day],"&lt;"&amp;EDATE($B192,1),tblVideos[Channel ID],Channels!$E$8)</f>
        <v/>
      </c>
      <c r="F192" s="72">
        <f>COUNTIFS(tblVideos[Day],"&gt;="&amp;$B192,tblVideos[Day],"&lt;"&amp;EDATE($B192,1),tblVideos[Channel ID],Channels!$E$9)</f>
        <v/>
      </c>
      <c r="G192" s="72">
        <f>COUNTIFS(tblVideos[Day],"&gt;="&amp;$B192,tblVideos[Day],"&lt;"&amp;EDATE($B192,1),tblVideos[Channel ID],Channels!$E$10)</f>
        <v/>
      </c>
      <c r="H192" s="72">
        <f>COUNTIFS(tblVideos[Day],"&gt;="&amp;$B192,tblVideos[Day],"&lt;"&amp;EDATE($B192,1),tblVideos[Channel ID],Channels!$E$11)</f>
        <v/>
      </c>
      <c r="I192" s="81">
        <f>SUM(C192:H192)</f>
        <v/>
      </c>
      <c r="J192" s="82">
        <f>SUMIFS(tblVideos[Length],tblVideos[Day],"&gt;="&amp;$B192,tblVideos[Day],"&lt;"&amp;EDATE($B192,1))</f>
        <v/>
      </c>
      <c r="K192" s="72">
        <f>COUNTIFS(tblVideos[Watched On],"&gt;="&amp;$B192,tblVideos[Watched On],"&lt;"&amp;EDATE($B192,1),tblVideos[Status],"Watched")</f>
        <v/>
      </c>
      <c r="L192" s="82">
        <f>SUMIFS(tblVideos[Length],tblVideos[Watched On],"&gt;="&amp;$B192,tblVideos[Watched On],"&lt;"&amp;EDATE($B192,1),tblVideos[Status],"Watched")</f>
        <v/>
      </c>
      <c r="M192" s="84">
        <f>IF(I192=0,"Gap",IF(I192&gt;AVERAGE($I$144:$I$317)+2*STDEV($I$144:$I$317),"High",""))</f>
        <v/>
      </c>
    </row>
    <row r="193">
      <c r="B193" s="83" t="n">
        <v>42522</v>
      </c>
      <c r="C193" s="72">
        <f>COUNTIFS(tblVideos[Day],"&gt;="&amp;$B193,tblVideos[Day],"&lt;"&amp;EDATE($B193,1),tblVideos[Channel ID],Channels!$E$6)</f>
        <v/>
      </c>
      <c r="D193" s="72">
        <f>COUNTIFS(tblVideos[Day],"&gt;="&amp;$B193,tblVideos[Day],"&lt;"&amp;EDATE($B193,1),tblVideos[Channel ID],Channels!$E$7)</f>
        <v/>
      </c>
      <c r="E193" s="72">
        <f>COUNTIFS(tblVideos[Day],"&gt;="&amp;$B193,tblVideos[Day],"&lt;"&amp;EDATE($B193,1),tblVideos[Channel ID],Channels!$E$8)</f>
        <v/>
      </c>
      <c r="F193" s="72">
        <f>COUNTIFS(tblVideos[Day],"&gt;="&amp;$B193,tblVideos[Day],"&lt;"&amp;EDATE($B193,1),tblVideos[Channel ID],Channels!$E$9)</f>
        <v/>
      </c>
      <c r="G193" s="72">
        <f>COUNTIFS(tblVideos[Day],"&gt;="&amp;$B193,tblVideos[Day],"&lt;"&amp;EDATE($B193,1),tblVideos[Channel ID],Channels!$E$10)</f>
        <v/>
      </c>
      <c r="H193" s="72">
        <f>COUNTIFS(tblVideos[Day],"&gt;="&amp;$B193,tblVideos[Day],"&lt;"&amp;EDATE($B193,1),tblVideos[Channel ID],Channels!$E$11)</f>
        <v/>
      </c>
      <c r="I193" s="81">
        <f>SUM(C193:H193)</f>
        <v/>
      </c>
      <c r="J193" s="82">
        <f>SUMIFS(tblVideos[Length],tblVideos[Day],"&gt;="&amp;$B193,tblVideos[Day],"&lt;"&amp;EDATE($B193,1))</f>
        <v/>
      </c>
      <c r="K193" s="72">
        <f>COUNTIFS(tblVideos[Watched On],"&gt;="&amp;$B193,tblVideos[Watched On],"&lt;"&amp;EDATE($B193,1),tblVideos[Status],"Watched")</f>
        <v/>
      </c>
      <c r="L193" s="82">
        <f>SUMIFS(tblVideos[Length],tblVideos[Watched On],"&gt;="&amp;$B193,tblVideos[Watched On],"&lt;"&amp;EDATE($B193,1),tblVideos[Status],"Watched")</f>
        <v/>
      </c>
      <c r="M193" s="84">
        <f>IF(I193=0,"Gap",IF(I193&gt;AVERAGE($I$144:$I$317)+2*STDEV($I$144:$I$317),"High",""))</f>
        <v/>
      </c>
    </row>
    <row r="194">
      <c r="B194" s="83" t="n">
        <v>42552</v>
      </c>
      <c r="C194" s="72">
        <f>COUNTIFS(tblVideos[Day],"&gt;="&amp;$B194,tblVideos[Day],"&lt;"&amp;EDATE($B194,1),tblVideos[Channel ID],Channels!$E$6)</f>
        <v/>
      </c>
      <c r="D194" s="72">
        <f>COUNTIFS(tblVideos[Day],"&gt;="&amp;$B194,tblVideos[Day],"&lt;"&amp;EDATE($B194,1),tblVideos[Channel ID],Channels!$E$7)</f>
        <v/>
      </c>
      <c r="E194" s="72">
        <f>COUNTIFS(tblVideos[Day],"&gt;="&amp;$B194,tblVideos[Day],"&lt;"&amp;EDATE($B194,1),tblVideos[Channel ID],Channels!$E$8)</f>
        <v/>
      </c>
      <c r="F194" s="72">
        <f>COUNTIFS(tblVideos[Day],"&gt;="&amp;$B194,tblVideos[Day],"&lt;"&amp;EDATE($B194,1),tblVideos[Channel ID],Channels!$E$9)</f>
        <v/>
      </c>
      <c r="G194" s="72">
        <f>COUNTIFS(tblVideos[Day],"&gt;="&amp;$B194,tblVideos[Day],"&lt;"&amp;EDATE($B194,1),tblVideos[Channel ID],Channels!$E$10)</f>
        <v/>
      </c>
      <c r="H194" s="72">
        <f>COUNTIFS(tblVideos[Day],"&gt;="&amp;$B194,tblVideos[Day],"&lt;"&amp;EDATE($B194,1),tblVideos[Channel ID],Channels!$E$11)</f>
        <v/>
      </c>
      <c r="I194" s="81">
        <f>SUM(C194:H194)</f>
        <v/>
      </c>
      <c r="J194" s="82">
        <f>SUMIFS(tblVideos[Length],tblVideos[Day],"&gt;="&amp;$B194,tblVideos[Day],"&lt;"&amp;EDATE($B194,1))</f>
        <v/>
      </c>
      <c r="K194" s="72">
        <f>COUNTIFS(tblVideos[Watched On],"&gt;="&amp;$B194,tblVideos[Watched On],"&lt;"&amp;EDATE($B194,1),tblVideos[Status],"Watched")</f>
        <v/>
      </c>
      <c r="L194" s="82">
        <f>SUMIFS(tblVideos[Length],tblVideos[Watched On],"&gt;="&amp;$B194,tblVideos[Watched On],"&lt;"&amp;EDATE($B194,1),tblVideos[Status],"Watched")</f>
        <v/>
      </c>
      <c r="M194" s="84">
        <f>IF(I194=0,"Gap",IF(I194&gt;AVERAGE($I$144:$I$317)+2*STDEV($I$144:$I$317),"High",""))</f>
        <v/>
      </c>
    </row>
    <row r="195">
      <c r="B195" s="83" t="n">
        <v>42583</v>
      </c>
      <c r="C195" s="72">
        <f>COUNTIFS(tblVideos[Day],"&gt;="&amp;$B195,tblVideos[Day],"&lt;"&amp;EDATE($B195,1),tblVideos[Channel ID],Channels!$E$6)</f>
        <v/>
      </c>
      <c r="D195" s="72">
        <f>COUNTIFS(tblVideos[Day],"&gt;="&amp;$B195,tblVideos[Day],"&lt;"&amp;EDATE($B195,1),tblVideos[Channel ID],Channels!$E$7)</f>
        <v/>
      </c>
      <c r="E195" s="72">
        <f>COUNTIFS(tblVideos[Day],"&gt;="&amp;$B195,tblVideos[Day],"&lt;"&amp;EDATE($B195,1),tblVideos[Channel ID],Channels!$E$8)</f>
        <v/>
      </c>
      <c r="F195" s="72">
        <f>COUNTIFS(tblVideos[Day],"&gt;="&amp;$B195,tblVideos[Day],"&lt;"&amp;EDATE($B195,1),tblVideos[Channel ID],Channels!$E$9)</f>
        <v/>
      </c>
      <c r="G195" s="72">
        <f>COUNTIFS(tblVideos[Day],"&gt;="&amp;$B195,tblVideos[Day],"&lt;"&amp;EDATE($B195,1),tblVideos[Channel ID],Channels!$E$10)</f>
        <v/>
      </c>
      <c r="H195" s="72">
        <f>COUNTIFS(tblVideos[Day],"&gt;="&amp;$B195,tblVideos[Day],"&lt;"&amp;EDATE($B195,1),tblVideos[Channel ID],Channels!$E$11)</f>
        <v/>
      </c>
      <c r="I195" s="81">
        <f>SUM(C195:H195)</f>
        <v/>
      </c>
      <c r="J195" s="82">
        <f>SUMIFS(tblVideos[Length],tblVideos[Day],"&gt;="&amp;$B195,tblVideos[Day],"&lt;"&amp;EDATE($B195,1))</f>
        <v/>
      </c>
      <c r="K195" s="72">
        <f>COUNTIFS(tblVideos[Watched On],"&gt;="&amp;$B195,tblVideos[Watched On],"&lt;"&amp;EDATE($B195,1),tblVideos[Status],"Watched")</f>
        <v/>
      </c>
      <c r="L195" s="82">
        <f>SUMIFS(tblVideos[Length],tblVideos[Watched On],"&gt;="&amp;$B195,tblVideos[Watched On],"&lt;"&amp;EDATE($B195,1),tblVideos[Status],"Watched")</f>
        <v/>
      </c>
      <c r="M195" s="84">
        <f>IF(I195=0,"Gap",IF(I195&gt;AVERAGE($I$144:$I$317)+2*STDEV($I$144:$I$317),"High",""))</f>
        <v/>
      </c>
    </row>
    <row r="196">
      <c r="B196" s="83" t="n">
        <v>42614</v>
      </c>
      <c r="C196" s="72">
        <f>COUNTIFS(tblVideos[Day],"&gt;="&amp;$B196,tblVideos[Day],"&lt;"&amp;EDATE($B196,1),tblVideos[Channel ID],Channels!$E$6)</f>
        <v/>
      </c>
      <c r="D196" s="72">
        <f>COUNTIFS(tblVideos[Day],"&gt;="&amp;$B196,tblVideos[Day],"&lt;"&amp;EDATE($B196,1),tblVideos[Channel ID],Channels!$E$7)</f>
        <v/>
      </c>
      <c r="E196" s="72">
        <f>COUNTIFS(tblVideos[Day],"&gt;="&amp;$B196,tblVideos[Day],"&lt;"&amp;EDATE($B196,1),tblVideos[Channel ID],Channels!$E$8)</f>
        <v/>
      </c>
      <c r="F196" s="72">
        <f>COUNTIFS(tblVideos[Day],"&gt;="&amp;$B196,tblVideos[Day],"&lt;"&amp;EDATE($B196,1),tblVideos[Channel ID],Channels!$E$9)</f>
        <v/>
      </c>
      <c r="G196" s="72">
        <f>COUNTIFS(tblVideos[Day],"&gt;="&amp;$B196,tblVideos[Day],"&lt;"&amp;EDATE($B196,1),tblVideos[Channel ID],Channels!$E$10)</f>
        <v/>
      </c>
      <c r="H196" s="72">
        <f>COUNTIFS(tblVideos[Day],"&gt;="&amp;$B196,tblVideos[Day],"&lt;"&amp;EDATE($B196,1),tblVideos[Channel ID],Channels!$E$11)</f>
        <v/>
      </c>
      <c r="I196" s="81">
        <f>SUM(C196:H196)</f>
        <v/>
      </c>
      <c r="J196" s="82">
        <f>SUMIFS(tblVideos[Length],tblVideos[Day],"&gt;="&amp;$B196,tblVideos[Day],"&lt;"&amp;EDATE($B196,1))</f>
        <v/>
      </c>
      <c r="K196" s="72">
        <f>COUNTIFS(tblVideos[Watched On],"&gt;="&amp;$B196,tblVideos[Watched On],"&lt;"&amp;EDATE($B196,1),tblVideos[Status],"Watched")</f>
        <v/>
      </c>
      <c r="L196" s="82">
        <f>SUMIFS(tblVideos[Length],tblVideos[Watched On],"&gt;="&amp;$B196,tblVideos[Watched On],"&lt;"&amp;EDATE($B196,1),tblVideos[Status],"Watched")</f>
        <v/>
      </c>
      <c r="M196" s="84">
        <f>IF(I196=0,"Gap",IF(I196&gt;AVERAGE($I$144:$I$317)+2*STDEV($I$144:$I$317),"High",""))</f>
        <v/>
      </c>
    </row>
    <row r="197">
      <c r="B197" s="83" t="n">
        <v>42644</v>
      </c>
      <c r="C197" s="72">
        <f>COUNTIFS(tblVideos[Day],"&gt;="&amp;$B197,tblVideos[Day],"&lt;"&amp;EDATE($B197,1),tblVideos[Channel ID],Channels!$E$6)</f>
        <v/>
      </c>
      <c r="D197" s="72">
        <f>COUNTIFS(tblVideos[Day],"&gt;="&amp;$B197,tblVideos[Day],"&lt;"&amp;EDATE($B197,1),tblVideos[Channel ID],Channels!$E$7)</f>
        <v/>
      </c>
      <c r="E197" s="72">
        <f>COUNTIFS(tblVideos[Day],"&gt;="&amp;$B197,tblVideos[Day],"&lt;"&amp;EDATE($B197,1),tblVideos[Channel ID],Channels!$E$8)</f>
        <v/>
      </c>
      <c r="F197" s="72">
        <f>COUNTIFS(tblVideos[Day],"&gt;="&amp;$B197,tblVideos[Day],"&lt;"&amp;EDATE($B197,1),tblVideos[Channel ID],Channels!$E$9)</f>
        <v/>
      </c>
      <c r="G197" s="72">
        <f>COUNTIFS(tblVideos[Day],"&gt;="&amp;$B197,tblVideos[Day],"&lt;"&amp;EDATE($B197,1),tblVideos[Channel ID],Channels!$E$10)</f>
        <v/>
      </c>
      <c r="H197" s="72">
        <f>COUNTIFS(tblVideos[Day],"&gt;="&amp;$B197,tblVideos[Day],"&lt;"&amp;EDATE($B197,1),tblVideos[Channel ID],Channels!$E$11)</f>
        <v/>
      </c>
      <c r="I197" s="81">
        <f>SUM(C197:H197)</f>
        <v/>
      </c>
      <c r="J197" s="82">
        <f>SUMIFS(tblVideos[Length],tblVideos[Day],"&gt;="&amp;$B197,tblVideos[Day],"&lt;"&amp;EDATE($B197,1))</f>
        <v/>
      </c>
      <c r="K197" s="72">
        <f>COUNTIFS(tblVideos[Watched On],"&gt;="&amp;$B197,tblVideos[Watched On],"&lt;"&amp;EDATE($B197,1),tblVideos[Status],"Watched")</f>
        <v/>
      </c>
      <c r="L197" s="82">
        <f>SUMIFS(tblVideos[Length],tblVideos[Watched On],"&gt;="&amp;$B197,tblVideos[Watched On],"&lt;"&amp;EDATE($B197,1),tblVideos[Status],"Watched")</f>
        <v/>
      </c>
      <c r="M197" s="84">
        <f>IF(I197=0,"Gap",IF(I197&gt;AVERAGE($I$144:$I$317)+2*STDEV($I$144:$I$317),"High",""))</f>
        <v/>
      </c>
    </row>
    <row r="198">
      <c r="B198" s="83" t="n">
        <v>42675</v>
      </c>
      <c r="C198" s="72">
        <f>COUNTIFS(tblVideos[Day],"&gt;="&amp;$B198,tblVideos[Day],"&lt;"&amp;EDATE($B198,1),tblVideos[Channel ID],Channels!$E$6)</f>
        <v/>
      </c>
      <c r="D198" s="72">
        <f>COUNTIFS(tblVideos[Day],"&gt;="&amp;$B198,tblVideos[Day],"&lt;"&amp;EDATE($B198,1),tblVideos[Channel ID],Channels!$E$7)</f>
        <v/>
      </c>
      <c r="E198" s="72">
        <f>COUNTIFS(tblVideos[Day],"&gt;="&amp;$B198,tblVideos[Day],"&lt;"&amp;EDATE($B198,1),tblVideos[Channel ID],Channels!$E$8)</f>
        <v/>
      </c>
      <c r="F198" s="72">
        <f>COUNTIFS(tblVideos[Day],"&gt;="&amp;$B198,tblVideos[Day],"&lt;"&amp;EDATE($B198,1),tblVideos[Channel ID],Channels!$E$9)</f>
        <v/>
      </c>
      <c r="G198" s="72">
        <f>COUNTIFS(tblVideos[Day],"&gt;="&amp;$B198,tblVideos[Day],"&lt;"&amp;EDATE($B198,1),tblVideos[Channel ID],Channels!$E$10)</f>
        <v/>
      </c>
      <c r="H198" s="72">
        <f>COUNTIFS(tblVideos[Day],"&gt;="&amp;$B198,tblVideos[Day],"&lt;"&amp;EDATE($B198,1),tblVideos[Channel ID],Channels!$E$11)</f>
        <v/>
      </c>
      <c r="I198" s="81">
        <f>SUM(C198:H198)</f>
        <v/>
      </c>
      <c r="J198" s="82">
        <f>SUMIFS(tblVideos[Length],tblVideos[Day],"&gt;="&amp;$B198,tblVideos[Day],"&lt;"&amp;EDATE($B198,1))</f>
        <v/>
      </c>
      <c r="K198" s="72">
        <f>COUNTIFS(tblVideos[Watched On],"&gt;="&amp;$B198,tblVideos[Watched On],"&lt;"&amp;EDATE($B198,1),tblVideos[Status],"Watched")</f>
        <v/>
      </c>
      <c r="L198" s="82">
        <f>SUMIFS(tblVideos[Length],tblVideos[Watched On],"&gt;="&amp;$B198,tblVideos[Watched On],"&lt;"&amp;EDATE($B198,1),tblVideos[Status],"Watched")</f>
        <v/>
      </c>
      <c r="M198" s="84">
        <f>IF(I198=0,"Gap",IF(I198&gt;AVERAGE($I$144:$I$317)+2*STDEV($I$144:$I$317),"High",""))</f>
        <v/>
      </c>
    </row>
    <row r="199">
      <c r="B199" s="83" t="n">
        <v>42705</v>
      </c>
      <c r="C199" s="72">
        <f>COUNTIFS(tblVideos[Day],"&gt;="&amp;$B199,tblVideos[Day],"&lt;"&amp;EDATE($B199,1),tblVideos[Channel ID],Channels!$E$6)</f>
        <v/>
      </c>
      <c r="D199" s="72">
        <f>COUNTIFS(tblVideos[Day],"&gt;="&amp;$B199,tblVideos[Day],"&lt;"&amp;EDATE($B199,1),tblVideos[Channel ID],Channels!$E$7)</f>
        <v/>
      </c>
      <c r="E199" s="72">
        <f>COUNTIFS(tblVideos[Day],"&gt;="&amp;$B199,tblVideos[Day],"&lt;"&amp;EDATE($B199,1),tblVideos[Channel ID],Channels!$E$8)</f>
        <v/>
      </c>
      <c r="F199" s="72">
        <f>COUNTIFS(tblVideos[Day],"&gt;="&amp;$B199,tblVideos[Day],"&lt;"&amp;EDATE($B199,1),tblVideos[Channel ID],Channels!$E$9)</f>
        <v/>
      </c>
      <c r="G199" s="72">
        <f>COUNTIFS(tblVideos[Day],"&gt;="&amp;$B199,tblVideos[Day],"&lt;"&amp;EDATE($B199,1),tblVideos[Channel ID],Channels!$E$10)</f>
        <v/>
      </c>
      <c r="H199" s="72">
        <f>COUNTIFS(tblVideos[Day],"&gt;="&amp;$B199,tblVideos[Day],"&lt;"&amp;EDATE($B199,1),tblVideos[Channel ID],Channels!$E$11)</f>
        <v/>
      </c>
      <c r="I199" s="81">
        <f>SUM(C199:H199)</f>
        <v/>
      </c>
      <c r="J199" s="82">
        <f>SUMIFS(tblVideos[Length],tblVideos[Day],"&gt;="&amp;$B199,tblVideos[Day],"&lt;"&amp;EDATE($B199,1))</f>
        <v/>
      </c>
      <c r="K199" s="72">
        <f>COUNTIFS(tblVideos[Watched On],"&gt;="&amp;$B199,tblVideos[Watched On],"&lt;"&amp;EDATE($B199,1),tblVideos[Status],"Watched")</f>
        <v/>
      </c>
      <c r="L199" s="82">
        <f>SUMIFS(tblVideos[Length],tblVideos[Watched On],"&gt;="&amp;$B199,tblVideos[Watched On],"&lt;"&amp;EDATE($B199,1),tblVideos[Status],"Watched")</f>
        <v/>
      </c>
      <c r="M199" s="84">
        <f>IF(I199=0,"Gap",IF(I199&gt;AVERAGE($I$144:$I$317)+2*STDEV($I$144:$I$317),"High",""))</f>
        <v/>
      </c>
    </row>
    <row r="200">
      <c r="B200" s="83" t="n">
        <v>42736</v>
      </c>
      <c r="C200" s="72">
        <f>COUNTIFS(tblVideos[Day],"&gt;="&amp;$B200,tblVideos[Day],"&lt;"&amp;EDATE($B200,1),tblVideos[Channel ID],Channels!$E$6)</f>
        <v/>
      </c>
      <c r="D200" s="72">
        <f>COUNTIFS(tblVideos[Day],"&gt;="&amp;$B200,tblVideos[Day],"&lt;"&amp;EDATE($B200,1),tblVideos[Channel ID],Channels!$E$7)</f>
        <v/>
      </c>
      <c r="E200" s="72">
        <f>COUNTIFS(tblVideos[Day],"&gt;="&amp;$B200,tblVideos[Day],"&lt;"&amp;EDATE($B200,1),tblVideos[Channel ID],Channels!$E$8)</f>
        <v/>
      </c>
      <c r="F200" s="72">
        <f>COUNTIFS(tblVideos[Day],"&gt;="&amp;$B200,tblVideos[Day],"&lt;"&amp;EDATE($B200,1),tblVideos[Channel ID],Channels!$E$9)</f>
        <v/>
      </c>
      <c r="G200" s="72">
        <f>COUNTIFS(tblVideos[Day],"&gt;="&amp;$B200,tblVideos[Day],"&lt;"&amp;EDATE($B200,1),tblVideos[Channel ID],Channels!$E$10)</f>
        <v/>
      </c>
      <c r="H200" s="72">
        <f>COUNTIFS(tblVideos[Day],"&gt;="&amp;$B200,tblVideos[Day],"&lt;"&amp;EDATE($B200,1),tblVideos[Channel ID],Channels!$E$11)</f>
        <v/>
      </c>
      <c r="I200" s="81">
        <f>SUM(C200:H200)</f>
        <v/>
      </c>
      <c r="J200" s="82">
        <f>SUMIFS(tblVideos[Length],tblVideos[Day],"&gt;="&amp;$B200,tblVideos[Day],"&lt;"&amp;EDATE($B200,1))</f>
        <v/>
      </c>
      <c r="K200" s="72">
        <f>COUNTIFS(tblVideos[Watched On],"&gt;="&amp;$B200,tblVideos[Watched On],"&lt;"&amp;EDATE($B200,1),tblVideos[Status],"Watched")</f>
        <v/>
      </c>
      <c r="L200" s="82">
        <f>SUMIFS(tblVideos[Length],tblVideos[Watched On],"&gt;="&amp;$B200,tblVideos[Watched On],"&lt;"&amp;EDATE($B200,1),tblVideos[Status],"Watched")</f>
        <v/>
      </c>
      <c r="M200" s="84">
        <f>IF(I200=0,"Gap",IF(I200&gt;AVERAGE($I$144:$I$317)+2*STDEV($I$144:$I$317),"High",""))</f>
        <v/>
      </c>
    </row>
    <row r="201">
      <c r="B201" s="83" t="n">
        <v>42767</v>
      </c>
      <c r="C201" s="72">
        <f>COUNTIFS(tblVideos[Day],"&gt;="&amp;$B201,tblVideos[Day],"&lt;"&amp;EDATE($B201,1),tblVideos[Channel ID],Channels!$E$6)</f>
        <v/>
      </c>
      <c r="D201" s="72">
        <f>COUNTIFS(tblVideos[Day],"&gt;="&amp;$B201,tblVideos[Day],"&lt;"&amp;EDATE($B201,1),tblVideos[Channel ID],Channels!$E$7)</f>
        <v/>
      </c>
      <c r="E201" s="72">
        <f>COUNTIFS(tblVideos[Day],"&gt;="&amp;$B201,tblVideos[Day],"&lt;"&amp;EDATE($B201,1),tblVideos[Channel ID],Channels!$E$8)</f>
        <v/>
      </c>
      <c r="F201" s="72">
        <f>COUNTIFS(tblVideos[Day],"&gt;="&amp;$B201,tblVideos[Day],"&lt;"&amp;EDATE($B201,1),tblVideos[Channel ID],Channels!$E$9)</f>
        <v/>
      </c>
      <c r="G201" s="72">
        <f>COUNTIFS(tblVideos[Day],"&gt;="&amp;$B201,tblVideos[Day],"&lt;"&amp;EDATE($B201,1),tblVideos[Channel ID],Channels!$E$10)</f>
        <v/>
      </c>
      <c r="H201" s="72">
        <f>COUNTIFS(tblVideos[Day],"&gt;="&amp;$B201,tblVideos[Day],"&lt;"&amp;EDATE($B201,1),tblVideos[Channel ID],Channels!$E$11)</f>
        <v/>
      </c>
      <c r="I201" s="81">
        <f>SUM(C201:H201)</f>
        <v/>
      </c>
      <c r="J201" s="82">
        <f>SUMIFS(tblVideos[Length],tblVideos[Day],"&gt;="&amp;$B201,tblVideos[Day],"&lt;"&amp;EDATE($B201,1))</f>
        <v/>
      </c>
      <c r="K201" s="72">
        <f>COUNTIFS(tblVideos[Watched On],"&gt;="&amp;$B201,tblVideos[Watched On],"&lt;"&amp;EDATE($B201,1),tblVideos[Status],"Watched")</f>
        <v/>
      </c>
      <c r="L201" s="82">
        <f>SUMIFS(tblVideos[Length],tblVideos[Watched On],"&gt;="&amp;$B201,tblVideos[Watched On],"&lt;"&amp;EDATE($B201,1),tblVideos[Status],"Watched")</f>
        <v/>
      </c>
      <c r="M201" s="84">
        <f>IF(I201=0,"Gap",IF(I201&gt;AVERAGE($I$144:$I$317)+2*STDEV($I$144:$I$317),"High",""))</f>
        <v/>
      </c>
    </row>
    <row r="202">
      <c r="B202" s="83" t="n">
        <v>42795</v>
      </c>
      <c r="C202" s="72">
        <f>COUNTIFS(tblVideos[Day],"&gt;="&amp;$B202,tblVideos[Day],"&lt;"&amp;EDATE($B202,1),tblVideos[Channel ID],Channels!$E$6)</f>
        <v/>
      </c>
      <c r="D202" s="72">
        <f>COUNTIFS(tblVideos[Day],"&gt;="&amp;$B202,tblVideos[Day],"&lt;"&amp;EDATE($B202,1),tblVideos[Channel ID],Channels!$E$7)</f>
        <v/>
      </c>
      <c r="E202" s="72">
        <f>COUNTIFS(tblVideos[Day],"&gt;="&amp;$B202,tblVideos[Day],"&lt;"&amp;EDATE($B202,1),tblVideos[Channel ID],Channels!$E$8)</f>
        <v/>
      </c>
      <c r="F202" s="72">
        <f>COUNTIFS(tblVideos[Day],"&gt;="&amp;$B202,tblVideos[Day],"&lt;"&amp;EDATE($B202,1),tblVideos[Channel ID],Channels!$E$9)</f>
        <v/>
      </c>
      <c r="G202" s="72">
        <f>COUNTIFS(tblVideos[Day],"&gt;="&amp;$B202,tblVideos[Day],"&lt;"&amp;EDATE($B202,1),tblVideos[Channel ID],Channels!$E$10)</f>
        <v/>
      </c>
      <c r="H202" s="72">
        <f>COUNTIFS(tblVideos[Day],"&gt;="&amp;$B202,tblVideos[Day],"&lt;"&amp;EDATE($B202,1),tblVideos[Channel ID],Channels!$E$11)</f>
        <v/>
      </c>
      <c r="I202" s="81">
        <f>SUM(C202:H202)</f>
        <v/>
      </c>
      <c r="J202" s="82">
        <f>SUMIFS(tblVideos[Length],tblVideos[Day],"&gt;="&amp;$B202,tblVideos[Day],"&lt;"&amp;EDATE($B202,1))</f>
        <v/>
      </c>
      <c r="K202" s="72">
        <f>COUNTIFS(tblVideos[Watched On],"&gt;="&amp;$B202,tblVideos[Watched On],"&lt;"&amp;EDATE($B202,1),tblVideos[Status],"Watched")</f>
        <v/>
      </c>
      <c r="L202" s="82">
        <f>SUMIFS(tblVideos[Length],tblVideos[Watched On],"&gt;="&amp;$B202,tblVideos[Watched On],"&lt;"&amp;EDATE($B202,1),tblVideos[Status],"Watched")</f>
        <v/>
      </c>
      <c r="M202" s="84">
        <f>IF(I202=0,"Gap",IF(I202&gt;AVERAGE($I$144:$I$317)+2*STDEV($I$144:$I$317),"High",""))</f>
        <v/>
      </c>
    </row>
    <row r="203">
      <c r="B203" s="83" t="n">
        <v>42826</v>
      </c>
      <c r="C203" s="72">
        <f>COUNTIFS(tblVideos[Day],"&gt;="&amp;$B203,tblVideos[Day],"&lt;"&amp;EDATE($B203,1),tblVideos[Channel ID],Channels!$E$6)</f>
        <v/>
      </c>
      <c r="D203" s="72">
        <f>COUNTIFS(tblVideos[Day],"&gt;="&amp;$B203,tblVideos[Day],"&lt;"&amp;EDATE($B203,1),tblVideos[Channel ID],Channels!$E$7)</f>
        <v/>
      </c>
      <c r="E203" s="72">
        <f>COUNTIFS(tblVideos[Day],"&gt;="&amp;$B203,tblVideos[Day],"&lt;"&amp;EDATE($B203,1),tblVideos[Channel ID],Channels!$E$8)</f>
        <v/>
      </c>
      <c r="F203" s="72">
        <f>COUNTIFS(tblVideos[Day],"&gt;="&amp;$B203,tblVideos[Day],"&lt;"&amp;EDATE($B203,1),tblVideos[Channel ID],Channels!$E$9)</f>
        <v/>
      </c>
      <c r="G203" s="72">
        <f>COUNTIFS(tblVideos[Day],"&gt;="&amp;$B203,tblVideos[Day],"&lt;"&amp;EDATE($B203,1),tblVideos[Channel ID],Channels!$E$10)</f>
        <v/>
      </c>
      <c r="H203" s="72">
        <f>COUNTIFS(tblVideos[Day],"&gt;="&amp;$B203,tblVideos[Day],"&lt;"&amp;EDATE($B203,1),tblVideos[Channel ID],Channels!$E$11)</f>
        <v/>
      </c>
      <c r="I203" s="81">
        <f>SUM(C203:H203)</f>
        <v/>
      </c>
      <c r="J203" s="82">
        <f>SUMIFS(tblVideos[Length],tblVideos[Day],"&gt;="&amp;$B203,tblVideos[Day],"&lt;"&amp;EDATE($B203,1))</f>
        <v/>
      </c>
      <c r="K203" s="72">
        <f>COUNTIFS(tblVideos[Watched On],"&gt;="&amp;$B203,tblVideos[Watched On],"&lt;"&amp;EDATE($B203,1),tblVideos[Status],"Watched")</f>
        <v/>
      </c>
      <c r="L203" s="82">
        <f>SUMIFS(tblVideos[Length],tblVideos[Watched On],"&gt;="&amp;$B203,tblVideos[Watched On],"&lt;"&amp;EDATE($B203,1),tblVideos[Status],"Watched")</f>
        <v/>
      </c>
      <c r="M203" s="84">
        <f>IF(I203=0,"Gap",IF(I203&gt;AVERAGE($I$144:$I$317)+2*STDEV($I$144:$I$317),"High",""))</f>
        <v/>
      </c>
    </row>
    <row r="204">
      <c r="B204" s="83" t="n">
        <v>42856</v>
      </c>
      <c r="C204" s="72">
        <f>COUNTIFS(tblVideos[Day],"&gt;="&amp;$B204,tblVideos[Day],"&lt;"&amp;EDATE($B204,1),tblVideos[Channel ID],Channels!$E$6)</f>
        <v/>
      </c>
      <c r="D204" s="72">
        <f>COUNTIFS(tblVideos[Day],"&gt;="&amp;$B204,tblVideos[Day],"&lt;"&amp;EDATE($B204,1),tblVideos[Channel ID],Channels!$E$7)</f>
        <v/>
      </c>
      <c r="E204" s="72">
        <f>COUNTIFS(tblVideos[Day],"&gt;="&amp;$B204,tblVideos[Day],"&lt;"&amp;EDATE($B204,1),tblVideos[Channel ID],Channels!$E$8)</f>
        <v/>
      </c>
      <c r="F204" s="72">
        <f>COUNTIFS(tblVideos[Day],"&gt;="&amp;$B204,tblVideos[Day],"&lt;"&amp;EDATE($B204,1),tblVideos[Channel ID],Channels!$E$9)</f>
        <v/>
      </c>
      <c r="G204" s="72">
        <f>COUNTIFS(tblVideos[Day],"&gt;="&amp;$B204,tblVideos[Day],"&lt;"&amp;EDATE($B204,1),tblVideos[Channel ID],Channels!$E$10)</f>
        <v/>
      </c>
      <c r="H204" s="72">
        <f>COUNTIFS(tblVideos[Day],"&gt;="&amp;$B204,tblVideos[Day],"&lt;"&amp;EDATE($B204,1),tblVideos[Channel ID],Channels!$E$11)</f>
        <v/>
      </c>
      <c r="I204" s="81">
        <f>SUM(C204:H204)</f>
        <v/>
      </c>
      <c r="J204" s="82">
        <f>SUMIFS(tblVideos[Length],tblVideos[Day],"&gt;="&amp;$B204,tblVideos[Day],"&lt;"&amp;EDATE($B204,1))</f>
        <v/>
      </c>
      <c r="K204" s="72">
        <f>COUNTIFS(tblVideos[Watched On],"&gt;="&amp;$B204,tblVideos[Watched On],"&lt;"&amp;EDATE($B204,1),tblVideos[Status],"Watched")</f>
        <v/>
      </c>
      <c r="L204" s="82">
        <f>SUMIFS(tblVideos[Length],tblVideos[Watched On],"&gt;="&amp;$B204,tblVideos[Watched On],"&lt;"&amp;EDATE($B204,1),tblVideos[Status],"Watched")</f>
        <v/>
      </c>
      <c r="M204" s="84">
        <f>IF(I204=0,"Gap",IF(I204&gt;AVERAGE($I$144:$I$317)+2*STDEV($I$144:$I$317),"High",""))</f>
        <v/>
      </c>
    </row>
    <row r="205">
      <c r="B205" s="83" t="n">
        <v>42887</v>
      </c>
      <c r="C205" s="72">
        <f>COUNTIFS(tblVideos[Day],"&gt;="&amp;$B205,tblVideos[Day],"&lt;"&amp;EDATE($B205,1),tblVideos[Channel ID],Channels!$E$6)</f>
        <v/>
      </c>
      <c r="D205" s="72">
        <f>COUNTIFS(tblVideos[Day],"&gt;="&amp;$B205,tblVideos[Day],"&lt;"&amp;EDATE($B205,1),tblVideos[Channel ID],Channels!$E$7)</f>
        <v/>
      </c>
      <c r="E205" s="72">
        <f>COUNTIFS(tblVideos[Day],"&gt;="&amp;$B205,tblVideos[Day],"&lt;"&amp;EDATE($B205,1),tblVideos[Channel ID],Channels!$E$8)</f>
        <v/>
      </c>
      <c r="F205" s="72">
        <f>COUNTIFS(tblVideos[Day],"&gt;="&amp;$B205,tblVideos[Day],"&lt;"&amp;EDATE($B205,1),tblVideos[Channel ID],Channels!$E$9)</f>
        <v/>
      </c>
      <c r="G205" s="72">
        <f>COUNTIFS(tblVideos[Day],"&gt;="&amp;$B205,tblVideos[Day],"&lt;"&amp;EDATE($B205,1),tblVideos[Channel ID],Channels!$E$10)</f>
        <v/>
      </c>
      <c r="H205" s="72">
        <f>COUNTIFS(tblVideos[Day],"&gt;="&amp;$B205,tblVideos[Day],"&lt;"&amp;EDATE($B205,1),tblVideos[Channel ID],Channels!$E$11)</f>
        <v/>
      </c>
      <c r="I205" s="81">
        <f>SUM(C205:H205)</f>
        <v/>
      </c>
      <c r="J205" s="82">
        <f>SUMIFS(tblVideos[Length],tblVideos[Day],"&gt;="&amp;$B205,tblVideos[Day],"&lt;"&amp;EDATE($B205,1))</f>
        <v/>
      </c>
      <c r="K205" s="72">
        <f>COUNTIFS(tblVideos[Watched On],"&gt;="&amp;$B205,tblVideos[Watched On],"&lt;"&amp;EDATE($B205,1),tblVideos[Status],"Watched")</f>
        <v/>
      </c>
      <c r="L205" s="82">
        <f>SUMIFS(tblVideos[Length],tblVideos[Watched On],"&gt;="&amp;$B205,tblVideos[Watched On],"&lt;"&amp;EDATE($B205,1),tblVideos[Status],"Watched")</f>
        <v/>
      </c>
      <c r="M205" s="84">
        <f>IF(I205=0,"Gap",IF(I205&gt;AVERAGE($I$144:$I$317)+2*STDEV($I$144:$I$317),"High",""))</f>
        <v/>
      </c>
    </row>
    <row r="206">
      <c r="B206" s="83" t="n">
        <v>42917</v>
      </c>
      <c r="C206" s="72">
        <f>COUNTIFS(tblVideos[Day],"&gt;="&amp;$B206,tblVideos[Day],"&lt;"&amp;EDATE($B206,1),tblVideos[Channel ID],Channels!$E$6)</f>
        <v/>
      </c>
      <c r="D206" s="72">
        <f>COUNTIFS(tblVideos[Day],"&gt;="&amp;$B206,tblVideos[Day],"&lt;"&amp;EDATE($B206,1),tblVideos[Channel ID],Channels!$E$7)</f>
        <v/>
      </c>
      <c r="E206" s="72">
        <f>COUNTIFS(tblVideos[Day],"&gt;="&amp;$B206,tblVideos[Day],"&lt;"&amp;EDATE($B206,1),tblVideos[Channel ID],Channels!$E$8)</f>
        <v/>
      </c>
      <c r="F206" s="72">
        <f>COUNTIFS(tblVideos[Day],"&gt;="&amp;$B206,tblVideos[Day],"&lt;"&amp;EDATE($B206,1),tblVideos[Channel ID],Channels!$E$9)</f>
        <v/>
      </c>
      <c r="G206" s="72">
        <f>COUNTIFS(tblVideos[Day],"&gt;="&amp;$B206,tblVideos[Day],"&lt;"&amp;EDATE($B206,1),tblVideos[Channel ID],Channels!$E$10)</f>
        <v/>
      </c>
      <c r="H206" s="72">
        <f>COUNTIFS(tblVideos[Day],"&gt;="&amp;$B206,tblVideos[Day],"&lt;"&amp;EDATE($B206,1),tblVideos[Channel ID],Channels!$E$11)</f>
        <v/>
      </c>
      <c r="I206" s="81">
        <f>SUM(C206:H206)</f>
        <v/>
      </c>
      <c r="J206" s="82">
        <f>SUMIFS(tblVideos[Length],tblVideos[Day],"&gt;="&amp;$B206,tblVideos[Day],"&lt;"&amp;EDATE($B206,1))</f>
        <v/>
      </c>
      <c r="K206" s="72">
        <f>COUNTIFS(tblVideos[Watched On],"&gt;="&amp;$B206,tblVideos[Watched On],"&lt;"&amp;EDATE($B206,1),tblVideos[Status],"Watched")</f>
        <v/>
      </c>
      <c r="L206" s="82">
        <f>SUMIFS(tblVideos[Length],tblVideos[Watched On],"&gt;="&amp;$B206,tblVideos[Watched On],"&lt;"&amp;EDATE($B206,1),tblVideos[Status],"Watched")</f>
        <v/>
      </c>
      <c r="M206" s="84">
        <f>IF(I206=0,"Gap",IF(I206&gt;AVERAGE($I$144:$I$317)+2*STDEV($I$144:$I$317),"High",""))</f>
        <v/>
      </c>
    </row>
    <row r="207">
      <c r="B207" s="83" t="n">
        <v>42948</v>
      </c>
      <c r="C207" s="72">
        <f>COUNTIFS(tblVideos[Day],"&gt;="&amp;$B207,tblVideos[Day],"&lt;"&amp;EDATE($B207,1),tblVideos[Channel ID],Channels!$E$6)</f>
        <v/>
      </c>
      <c r="D207" s="72">
        <f>COUNTIFS(tblVideos[Day],"&gt;="&amp;$B207,tblVideos[Day],"&lt;"&amp;EDATE($B207,1),tblVideos[Channel ID],Channels!$E$7)</f>
        <v/>
      </c>
      <c r="E207" s="72">
        <f>COUNTIFS(tblVideos[Day],"&gt;="&amp;$B207,tblVideos[Day],"&lt;"&amp;EDATE($B207,1),tblVideos[Channel ID],Channels!$E$8)</f>
        <v/>
      </c>
      <c r="F207" s="72">
        <f>COUNTIFS(tblVideos[Day],"&gt;="&amp;$B207,tblVideos[Day],"&lt;"&amp;EDATE($B207,1),tblVideos[Channel ID],Channels!$E$9)</f>
        <v/>
      </c>
      <c r="G207" s="72">
        <f>COUNTIFS(tblVideos[Day],"&gt;="&amp;$B207,tblVideos[Day],"&lt;"&amp;EDATE($B207,1),tblVideos[Channel ID],Channels!$E$10)</f>
        <v/>
      </c>
      <c r="H207" s="72">
        <f>COUNTIFS(tblVideos[Day],"&gt;="&amp;$B207,tblVideos[Day],"&lt;"&amp;EDATE($B207,1),tblVideos[Channel ID],Channels!$E$11)</f>
        <v/>
      </c>
      <c r="I207" s="81">
        <f>SUM(C207:H207)</f>
        <v/>
      </c>
      <c r="J207" s="82">
        <f>SUMIFS(tblVideos[Length],tblVideos[Day],"&gt;="&amp;$B207,tblVideos[Day],"&lt;"&amp;EDATE($B207,1))</f>
        <v/>
      </c>
      <c r="K207" s="72">
        <f>COUNTIFS(tblVideos[Watched On],"&gt;="&amp;$B207,tblVideos[Watched On],"&lt;"&amp;EDATE($B207,1),tblVideos[Status],"Watched")</f>
        <v/>
      </c>
      <c r="L207" s="82">
        <f>SUMIFS(tblVideos[Length],tblVideos[Watched On],"&gt;="&amp;$B207,tblVideos[Watched On],"&lt;"&amp;EDATE($B207,1),tblVideos[Status],"Watched")</f>
        <v/>
      </c>
      <c r="M207" s="84">
        <f>IF(I207=0,"Gap",IF(I207&gt;AVERAGE($I$144:$I$317)+2*STDEV($I$144:$I$317),"High",""))</f>
        <v/>
      </c>
    </row>
    <row r="208">
      <c r="B208" s="83" t="n">
        <v>42979</v>
      </c>
      <c r="C208" s="72">
        <f>COUNTIFS(tblVideos[Day],"&gt;="&amp;$B208,tblVideos[Day],"&lt;"&amp;EDATE($B208,1),tblVideos[Channel ID],Channels!$E$6)</f>
        <v/>
      </c>
      <c r="D208" s="72">
        <f>COUNTIFS(tblVideos[Day],"&gt;="&amp;$B208,tblVideos[Day],"&lt;"&amp;EDATE($B208,1),tblVideos[Channel ID],Channels!$E$7)</f>
        <v/>
      </c>
      <c r="E208" s="72">
        <f>COUNTIFS(tblVideos[Day],"&gt;="&amp;$B208,tblVideos[Day],"&lt;"&amp;EDATE($B208,1),tblVideos[Channel ID],Channels!$E$8)</f>
        <v/>
      </c>
      <c r="F208" s="72">
        <f>COUNTIFS(tblVideos[Day],"&gt;="&amp;$B208,tblVideos[Day],"&lt;"&amp;EDATE($B208,1),tblVideos[Channel ID],Channels!$E$9)</f>
        <v/>
      </c>
      <c r="G208" s="72">
        <f>COUNTIFS(tblVideos[Day],"&gt;="&amp;$B208,tblVideos[Day],"&lt;"&amp;EDATE($B208,1),tblVideos[Channel ID],Channels!$E$10)</f>
        <v/>
      </c>
      <c r="H208" s="72">
        <f>COUNTIFS(tblVideos[Day],"&gt;="&amp;$B208,tblVideos[Day],"&lt;"&amp;EDATE($B208,1),tblVideos[Channel ID],Channels!$E$11)</f>
        <v/>
      </c>
      <c r="I208" s="81">
        <f>SUM(C208:H208)</f>
        <v/>
      </c>
      <c r="J208" s="82">
        <f>SUMIFS(tblVideos[Length],tblVideos[Day],"&gt;="&amp;$B208,tblVideos[Day],"&lt;"&amp;EDATE($B208,1))</f>
        <v/>
      </c>
      <c r="K208" s="72">
        <f>COUNTIFS(tblVideos[Watched On],"&gt;="&amp;$B208,tblVideos[Watched On],"&lt;"&amp;EDATE($B208,1),tblVideos[Status],"Watched")</f>
        <v/>
      </c>
      <c r="L208" s="82">
        <f>SUMIFS(tblVideos[Length],tblVideos[Watched On],"&gt;="&amp;$B208,tblVideos[Watched On],"&lt;"&amp;EDATE($B208,1),tblVideos[Status],"Watched")</f>
        <v/>
      </c>
      <c r="M208" s="84">
        <f>IF(I208=0,"Gap",IF(I208&gt;AVERAGE($I$144:$I$317)+2*STDEV($I$144:$I$317),"High",""))</f>
        <v/>
      </c>
    </row>
    <row r="209">
      <c r="B209" s="83" t="n">
        <v>43009</v>
      </c>
      <c r="C209" s="72">
        <f>COUNTIFS(tblVideos[Day],"&gt;="&amp;$B209,tblVideos[Day],"&lt;"&amp;EDATE($B209,1),tblVideos[Channel ID],Channels!$E$6)</f>
        <v/>
      </c>
      <c r="D209" s="72">
        <f>COUNTIFS(tblVideos[Day],"&gt;="&amp;$B209,tblVideos[Day],"&lt;"&amp;EDATE($B209,1),tblVideos[Channel ID],Channels!$E$7)</f>
        <v/>
      </c>
      <c r="E209" s="72">
        <f>COUNTIFS(tblVideos[Day],"&gt;="&amp;$B209,tblVideos[Day],"&lt;"&amp;EDATE($B209,1),tblVideos[Channel ID],Channels!$E$8)</f>
        <v/>
      </c>
      <c r="F209" s="72">
        <f>COUNTIFS(tblVideos[Day],"&gt;="&amp;$B209,tblVideos[Day],"&lt;"&amp;EDATE($B209,1),tblVideos[Channel ID],Channels!$E$9)</f>
        <v/>
      </c>
      <c r="G209" s="72">
        <f>COUNTIFS(tblVideos[Day],"&gt;="&amp;$B209,tblVideos[Day],"&lt;"&amp;EDATE($B209,1),tblVideos[Channel ID],Channels!$E$10)</f>
        <v/>
      </c>
      <c r="H209" s="72">
        <f>COUNTIFS(tblVideos[Day],"&gt;="&amp;$B209,tblVideos[Day],"&lt;"&amp;EDATE($B209,1),tblVideos[Channel ID],Channels!$E$11)</f>
        <v/>
      </c>
      <c r="I209" s="81">
        <f>SUM(C209:H209)</f>
        <v/>
      </c>
      <c r="J209" s="82">
        <f>SUMIFS(tblVideos[Length],tblVideos[Day],"&gt;="&amp;$B209,tblVideos[Day],"&lt;"&amp;EDATE($B209,1))</f>
        <v/>
      </c>
      <c r="K209" s="72">
        <f>COUNTIFS(tblVideos[Watched On],"&gt;="&amp;$B209,tblVideos[Watched On],"&lt;"&amp;EDATE($B209,1),tblVideos[Status],"Watched")</f>
        <v/>
      </c>
      <c r="L209" s="82">
        <f>SUMIFS(tblVideos[Length],tblVideos[Watched On],"&gt;="&amp;$B209,tblVideos[Watched On],"&lt;"&amp;EDATE($B209,1),tblVideos[Status],"Watched")</f>
        <v/>
      </c>
      <c r="M209" s="84">
        <f>IF(I209=0,"Gap",IF(I209&gt;AVERAGE($I$144:$I$317)+2*STDEV($I$144:$I$317),"High",""))</f>
        <v/>
      </c>
    </row>
    <row r="210">
      <c r="B210" s="83" t="n">
        <v>43040</v>
      </c>
      <c r="C210" s="72">
        <f>COUNTIFS(tblVideos[Day],"&gt;="&amp;$B210,tblVideos[Day],"&lt;"&amp;EDATE($B210,1),tblVideos[Channel ID],Channels!$E$6)</f>
        <v/>
      </c>
      <c r="D210" s="72">
        <f>COUNTIFS(tblVideos[Day],"&gt;="&amp;$B210,tblVideos[Day],"&lt;"&amp;EDATE($B210,1),tblVideos[Channel ID],Channels!$E$7)</f>
        <v/>
      </c>
      <c r="E210" s="72">
        <f>COUNTIFS(tblVideos[Day],"&gt;="&amp;$B210,tblVideos[Day],"&lt;"&amp;EDATE($B210,1),tblVideos[Channel ID],Channels!$E$8)</f>
        <v/>
      </c>
      <c r="F210" s="72">
        <f>COUNTIFS(tblVideos[Day],"&gt;="&amp;$B210,tblVideos[Day],"&lt;"&amp;EDATE($B210,1),tblVideos[Channel ID],Channels!$E$9)</f>
        <v/>
      </c>
      <c r="G210" s="72">
        <f>COUNTIFS(tblVideos[Day],"&gt;="&amp;$B210,tblVideos[Day],"&lt;"&amp;EDATE($B210,1),tblVideos[Channel ID],Channels!$E$10)</f>
        <v/>
      </c>
      <c r="H210" s="72">
        <f>COUNTIFS(tblVideos[Day],"&gt;="&amp;$B210,tblVideos[Day],"&lt;"&amp;EDATE($B210,1),tblVideos[Channel ID],Channels!$E$11)</f>
        <v/>
      </c>
      <c r="I210" s="81">
        <f>SUM(C210:H210)</f>
        <v/>
      </c>
      <c r="J210" s="82">
        <f>SUMIFS(tblVideos[Length],tblVideos[Day],"&gt;="&amp;$B210,tblVideos[Day],"&lt;"&amp;EDATE($B210,1))</f>
        <v/>
      </c>
      <c r="K210" s="72">
        <f>COUNTIFS(tblVideos[Watched On],"&gt;="&amp;$B210,tblVideos[Watched On],"&lt;"&amp;EDATE($B210,1),tblVideos[Status],"Watched")</f>
        <v/>
      </c>
      <c r="L210" s="82">
        <f>SUMIFS(tblVideos[Length],tblVideos[Watched On],"&gt;="&amp;$B210,tblVideos[Watched On],"&lt;"&amp;EDATE($B210,1),tblVideos[Status],"Watched")</f>
        <v/>
      </c>
      <c r="M210" s="84">
        <f>IF(I210=0,"Gap",IF(I210&gt;AVERAGE($I$144:$I$317)+2*STDEV($I$144:$I$317),"High",""))</f>
        <v/>
      </c>
    </row>
    <row r="211">
      <c r="B211" s="83" t="n">
        <v>43070</v>
      </c>
      <c r="C211" s="72">
        <f>COUNTIFS(tblVideos[Day],"&gt;="&amp;$B211,tblVideos[Day],"&lt;"&amp;EDATE($B211,1),tblVideos[Channel ID],Channels!$E$6)</f>
        <v/>
      </c>
      <c r="D211" s="72">
        <f>COUNTIFS(tblVideos[Day],"&gt;="&amp;$B211,tblVideos[Day],"&lt;"&amp;EDATE($B211,1),tblVideos[Channel ID],Channels!$E$7)</f>
        <v/>
      </c>
      <c r="E211" s="72">
        <f>COUNTIFS(tblVideos[Day],"&gt;="&amp;$B211,tblVideos[Day],"&lt;"&amp;EDATE($B211,1),tblVideos[Channel ID],Channels!$E$8)</f>
        <v/>
      </c>
      <c r="F211" s="72">
        <f>COUNTIFS(tblVideos[Day],"&gt;="&amp;$B211,tblVideos[Day],"&lt;"&amp;EDATE($B211,1),tblVideos[Channel ID],Channels!$E$9)</f>
        <v/>
      </c>
      <c r="G211" s="72">
        <f>COUNTIFS(tblVideos[Day],"&gt;="&amp;$B211,tblVideos[Day],"&lt;"&amp;EDATE($B211,1),tblVideos[Channel ID],Channels!$E$10)</f>
        <v/>
      </c>
      <c r="H211" s="72">
        <f>COUNTIFS(tblVideos[Day],"&gt;="&amp;$B211,tblVideos[Day],"&lt;"&amp;EDATE($B211,1),tblVideos[Channel ID],Channels!$E$11)</f>
        <v/>
      </c>
      <c r="I211" s="81">
        <f>SUM(C211:H211)</f>
        <v/>
      </c>
      <c r="J211" s="82">
        <f>SUMIFS(tblVideos[Length],tblVideos[Day],"&gt;="&amp;$B211,tblVideos[Day],"&lt;"&amp;EDATE($B211,1))</f>
        <v/>
      </c>
      <c r="K211" s="72">
        <f>COUNTIFS(tblVideos[Watched On],"&gt;="&amp;$B211,tblVideos[Watched On],"&lt;"&amp;EDATE($B211,1),tblVideos[Status],"Watched")</f>
        <v/>
      </c>
      <c r="L211" s="82">
        <f>SUMIFS(tblVideos[Length],tblVideos[Watched On],"&gt;="&amp;$B211,tblVideos[Watched On],"&lt;"&amp;EDATE($B211,1),tblVideos[Status],"Watched")</f>
        <v/>
      </c>
      <c r="M211" s="84">
        <f>IF(I211=0,"Gap",IF(I211&gt;AVERAGE($I$144:$I$317)+2*STDEV($I$144:$I$317),"High",""))</f>
        <v/>
      </c>
    </row>
    <row r="212">
      <c r="B212" s="83" t="n">
        <v>43101</v>
      </c>
      <c r="C212" s="72">
        <f>COUNTIFS(tblVideos[Day],"&gt;="&amp;$B212,tblVideos[Day],"&lt;"&amp;EDATE($B212,1),tblVideos[Channel ID],Channels!$E$6)</f>
        <v/>
      </c>
      <c r="D212" s="72">
        <f>COUNTIFS(tblVideos[Day],"&gt;="&amp;$B212,tblVideos[Day],"&lt;"&amp;EDATE($B212,1),tblVideos[Channel ID],Channels!$E$7)</f>
        <v/>
      </c>
      <c r="E212" s="72">
        <f>COUNTIFS(tblVideos[Day],"&gt;="&amp;$B212,tblVideos[Day],"&lt;"&amp;EDATE($B212,1),tblVideos[Channel ID],Channels!$E$8)</f>
        <v/>
      </c>
      <c r="F212" s="72">
        <f>COUNTIFS(tblVideos[Day],"&gt;="&amp;$B212,tblVideos[Day],"&lt;"&amp;EDATE($B212,1),tblVideos[Channel ID],Channels!$E$9)</f>
        <v/>
      </c>
      <c r="G212" s="72">
        <f>COUNTIFS(tblVideos[Day],"&gt;="&amp;$B212,tblVideos[Day],"&lt;"&amp;EDATE($B212,1),tblVideos[Channel ID],Channels!$E$10)</f>
        <v/>
      </c>
      <c r="H212" s="72">
        <f>COUNTIFS(tblVideos[Day],"&gt;="&amp;$B212,tblVideos[Day],"&lt;"&amp;EDATE($B212,1),tblVideos[Channel ID],Channels!$E$11)</f>
        <v/>
      </c>
      <c r="I212" s="81">
        <f>SUM(C212:H212)</f>
        <v/>
      </c>
      <c r="J212" s="82">
        <f>SUMIFS(tblVideos[Length],tblVideos[Day],"&gt;="&amp;$B212,tblVideos[Day],"&lt;"&amp;EDATE($B212,1))</f>
        <v/>
      </c>
      <c r="K212" s="72">
        <f>COUNTIFS(tblVideos[Watched On],"&gt;="&amp;$B212,tblVideos[Watched On],"&lt;"&amp;EDATE($B212,1),tblVideos[Status],"Watched")</f>
        <v/>
      </c>
      <c r="L212" s="82">
        <f>SUMIFS(tblVideos[Length],tblVideos[Watched On],"&gt;="&amp;$B212,tblVideos[Watched On],"&lt;"&amp;EDATE($B212,1),tblVideos[Status],"Watched")</f>
        <v/>
      </c>
      <c r="M212" s="84">
        <f>IF(I212=0,"Gap",IF(I212&gt;AVERAGE($I$144:$I$317)+2*STDEV($I$144:$I$317),"High",""))</f>
        <v/>
      </c>
    </row>
    <row r="213">
      <c r="B213" s="83" t="n">
        <v>43132</v>
      </c>
      <c r="C213" s="72">
        <f>COUNTIFS(tblVideos[Day],"&gt;="&amp;$B213,tblVideos[Day],"&lt;"&amp;EDATE($B213,1),tblVideos[Channel ID],Channels!$E$6)</f>
        <v/>
      </c>
      <c r="D213" s="72">
        <f>COUNTIFS(tblVideos[Day],"&gt;="&amp;$B213,tblVideos[Day],"&lt;"&amp;EDATE($B213,1),tblVideos[Channel ID],Channels!$E$7)</f>
        <v/>
      </c>
      <c r="E213" s="72">
        <f>COUNTIFS(tblVideos[Day],"&gt;="&amp;$B213,tblVideos[Day],"&lt;"&amp;EDATE($B213,1),tblVideos[Channel ID],Channels!$E$8)</f>
        <v/>
      </c>
      <c r="F213" s="72">
        <f>COUNTIFS(tblVideos[Day],"&gt;="&amp;$B213,tblVideos[Day],"&lt;"&amp;EDATE($B213,1),tblVideos[Channel ID],Channels!$E$9)</f>
        <v/>
      </c>
      <c r="G213" s="72">
        <f>COUNTIFS(tblVideos[Day],"&gt;="&amp;$B213,tblVideos[Day],"&lt;"&amp;EDATE($B213,1),tblVideos[Channel ID],Channels!$E$10)</f>
        <v/>
      </c>
      <c r="H213" s="72">
        <f>COUNTIFS(tblVideos[Day],"&gt;="&amp;$B213,tblVideos[Day],"&lt;"&amp;EDATE($B213,1),tblVideos[Channel ID],Channels!$E$11)</f>
        <v/>
      </c>
      <c r="I213" s="81">
        <f>SUM(C213:H213)</f>
        <v/>
      </c>
      <c r="J213" s="82">
        <f>SUMIFS(tblVideos[Length],tblVideos[Day],"&gt;="&amp;$B213,tblVideos[Day],"&lt;"&amp;EDATE($B213,1))</f>
        <v/>
      </c>
      <c r="K213" s="72">
        <f>COUNTIFS(tblVideos[Watched On],"&gt;="&amp;$B213,tblVideos[Watched On],"&lt;"&amp;EDATE($B213,1),tblVideos[Status],"Watched")</f>
        <v/>
      </c>
      <c r="L213" s="82">
        <f>SUMIFS(tblVideos[Length],tblVideos[Watched On],"&gt;="&amp;$B213,tblVideos[Watched On],"&lt;"&amp;EDATE($B213,1),tblVideos[Status],"Watched")</f>
        <v/>
      </c>
      <c r="M213" s="84">
        <f>IF(I213=0,"Gap",IF(I213&gt;AVERAGE($I$144:$I$317)+2*STDEV($I$144:$I$317),"High",""))</f>
        <v/>
      </c>
    </row>
    <row r="214">
      <c r="B214" s="83" t="n">
        <v>43160</v>
      </c>
      <c r="C214" s="72">
        <f>COUNTIFS(tblVideos[Day],"&gt;="&amp;$B214,tblVideos[Day],"&lt;"&amp;EDATE($B214,1),tblVideos[Channel ID],Channels!$E$6)</f>
        <v/>
      </c>
      <c r="D214" s="72">
        <f>COUNTIFS(tblVideos[Day],"&gt;="&amp;$B214,tblVideos[Day],"&lt;"&amp;EDATE($B214,1),tblVideos[Channel ID],Channels!$E$7)</f>
        <v/>
      </c>
      <c r="E214" s="72">
        <f>COUNTIFS(tblVideos[Day],"&gt;="&amp;$B214,tblVideos[Day],"&lt;"&amp;EDATE($B214,1),tblVideos[Channel ID],Channels!$E$8)</f>
        <v/>
      </c>
      <c r="F214" s="72">
        <f>COUNTIFS(tblVideos[Day],"&gt;="&amp;$B214,tblVideos[Day],"&lt;"&amp;EDATE($B214,1),tblVideos[Channel ID],Channels!$E$9)</f>
        <v/>
      </c>
      <c r="G214" s="72">
        <f>COUNTIFS(tblVideos[Day],"&gt;="&amp;$B214,tblVideos[Day],"&lt;"&amp;EDATE($B214,1),tblVideos[Channel ID],Channels!$E$10)</f>
        <v/>
      </c>
      <c r="H214" s="72">
        <f>COUNTIFS(tblVideos[Day],"&gt;="&amp;$B214,tblVideos[Day],"&lt;"&amp;EDATE($B214,1),tblVideos[Channel ID],Channels!$E$11)</f>
        <v/>
      </c>
      <c r="I214" s="81">
        <f>SUM(C214:H214)</f>
        <v/>
      </c>
      <c r="J214" s="82">
        <f>SUMIFS(tblVideos[Length],tblVideos[Day],"&gt;="&amp;$B214,tblVideos[Day],"&lt;"&amp;EDATE($B214,1))</f>
        <v/>
      </c>
      <c r="K214" s="72">
        <f>COUNTIFS(tblVideos[Watched On],"&gt;="&amp;$B214,tblVideos[Watched On],"&lt;"&amp;EDATE($B214,1),tblVideos[Status],"Watched")</f>
        <v/>
      </c>
      <c r="L214" s="82">
        <f>SUMIFS(tblVideos[Length],tblVideos[Watched On],"&gt;="&amp;$B214,tblVideos[Watched On],"&lt;"&amp;EDATE($B214,1),tblVideos[Status],"Watched")</f>
        <v/>
      </c>
      <c r="M214" s="84">
        <f>IF(I214=0,"Gap",IF(I214&gt;AVERAGE($I$144:$I$317)+2*STDEV($I$144:$I$317),"High",""))</f>
        <v/>
      </c>
    </row>
    <row r="215">
      <c r="B215" s="83" t="n">
        <v>43191</v>
      </c>
      <c r="C215" s="72">
        <f>COUNTIFS(tblVideos[Day],"&gt;="&amp;$B215,tblVideos[Day],"&lt;"&amp;EDATE($B215,1),tblVideos[Channel ID],Channels!$E$6)</f>
        <v/>
      </c>
      <c r="D215" s="72">
        <f>COUNTIFS(tblVideos[Day],"&gt;="&amp;$B215,tblVideos[Day],"&lt;"&amp;EDATE($B215,1),tblVideos[Channel ID],Channels!$E$7)</f>
        <v/>
      </c>
      <c r="E215" s="72">
        <f>COUNTIFS(tblVideos[Day],"&gt;="&amp;$B215,tblVideos[Day],"&lt;"&amp;EDATE($B215,1),tblVideos[Channel ID],Channels!$E$8)</f>
        <v/>
      </c>
      <c r="F215" s="72">
        <f>COUNTIFS(tblVideos[Day],"&gt;="&amp;$B215,tblVideos[Day],"&lt;"&amp;EDATE($B215,1),tblVideos[Channel ID],Channels!$E$9)</f>
        <v/>
      </c>
      <c r="G215" s="72">
        <f>COUNTIFS(tblVideos[Day],"&gt;="&amp;$B215,tblVideos[Day],"&lt;"&amp;EDATE($B215,1),tblVideos[Channel ID],Channels!$E$10)</f>
        <v/>
      </c>
      <c r="H215" s="72">
        <f>COUNTIFS(tblVideos[Day],"&gt;="&amp;$B215,tblVideos[Day],"&lt;"&amp;EDATE($B215,1),tblVideos[Channel ID],Channels!$E$11)</f>
        <v/>
      </c>
      <c r="I215" s="81">
        <f>SUM(C215:H215)</f>
        <v/>
      </c>
      <c r="J215" s="82">
        <f>SUMIFS(tblVideos[Length],tblVideos[Day],"&gt;="&amp;$B215,tblVideos[Day],"&lt;"&amp;EDATE($B215,1))</f>
        <v/>
      </c>
      <c r="K215" s="72">
        <f>COUNTIFS(tblVideos[Watched On],"&gt;="&amp;$B215,tblVideos[Watched On],"&lt;"&amp;EDATE($B215,1),tblVideos[Status],"Watched")</f>
        <v/>
      </c>
      <c r="L215" s="82">
        <f>SUMIFS(tblVideos[Length],tblVideos[Watched On],"&gt;="&amp;$B215,tblVideos[Watched On],"&lt;"&amp;EDATE($B215,1),tblVideos[Status],"Watched")</f>
        <v/>
      </c>
      <c r="M215" s="84">
        <f>IF(I215=0,"Gap",IF(I215&gt;AVERAGE($I$144:$I$317)+2*STDEV($I$144:$I$317),"High",""))</f>
        <v/>
      </c>
    </row>
    <row r="216">
      <c r="B216" s="83" t="n">
        <v>43221</v>
      </c>
      <c r="C216" s="72">
        <f>COUNTIFS(tblVideos[Day],"&gt;="&amp;$B216,tblVideos[Day],"&lt;"&amp;EDATE($B216,1),tblVideos[Channel ID],Channels!$E$6)</f>
        <v/>
      </c>
      <c r="D216" s="72">
        <f>COUNTIFS(tblVideos[Day],"&gt;="&amp;$B216,tblVideos[Day],"&lt;"&amp;EDATE($B216,1),tblVideos[Channel ID],Channels!$E$7)</f>
        <v/>
      </c>
      <c r="E216" s="72">
        <f>COUNTIFS(tblVideos[Day],"&gt;="&amp;$B216,tblVideos[Day],"&lt;"&amp;EDATE($B216,1),tblVideos[Channel ID],Channels!$E$8)</f>
        <v/>
      </c>
      <c r="F216" s="72">
        <f>COUNTIFS(tblVideos[Day],"&gt;="&amp;$B216,tblVideos[Day],"&lt;"&amp;EDATE($B216,1),tblVideos[Channel ID],Channels!$E$9)</f>
        <v/>
      </c>
      <c r="G216" s="72">
        <f>COUNTIFS(tblVideos[Day],"&gt;="&amp;$B216,tblVideos[Day],"&lt;"&amp;EDATE($B216,1),tblVideos[Channel ID],Channels!$E$10)</f>
        <v/>
      </c>
      <c r="H216" s="72">
        <f>COUNTIFS(tblVideos[Day],"&gt;="&amp;$B216,tblVideos[Day],"&lt;"&amp;EDATE($B216,1),tblVideos[Channel ID],Channels!$E$11)</f>
        <v/>
      </c>
      <c r="I216" s="81">
        <f>SUM(C216:H216)</f>
        <v/>
      </c>
      <c r="J216" s="82">
        <f>SUMIFS(tblVideos[Length],tblVideos[Day],"&gt;="&amp;$B216,tblVideos[Day],"&lt;"&amp;EDATE($B216,1))</f>
        <v/>
      </c>
      <c r="K216" s="72">
        <f>COUNTIFS(tblVideos[Watched On],"&gt;="&amp;$B216,tblVideos[Watched On],"&lt;"&amp;EDATE($B216,1),tblVideos[Status],"Watched")</f>
        <v/>
      </c>
      <c r="L216" s="82">
        <f>SUMIFS(tblVideos[Length],tblVideos[Watched On],"&gt;="&amp;$B216,tblVideos[Watched On],"&lt;"&amp;EDATE($B216,1),tblVideos[Status],"Watched")</f>
        <v/>
      </c>
      <c r="M216" s="84">
        <f>IF(I216=0,"Gap",IF(I216&gt;AVERAGE($I$144:$I$317)+2*STDEV($I$144:$I$317),"High",""))</f>
        <v/>
      </c>
    </row>
    <row r="217">
      <c r="B217" s="83" t="n">
        <v>43252</v>
      </c>
      <c r="C217" s="72">
        <f>COUNTIFS(tblVideos[Day],"&gt;="&amp;$B217,tblVideos[Day],"&lt;"&amp;EDATE($B217,1),tblVideos[Channel ID],Channels!$E$6)</f>
        <v/>
      </c>
      <c r="D217" s="72">
        <f>COUNTIFS(tblVideos[Day],"&gt;="&amp;$B217,tblVideos[Day],"&lt;"&amp;EDATE($B217,1),tblVideos[Channel ID],Channels!$E$7)</f>
        <v/>
      </c>
      <c r="E217" s="72">
        <f>COUNTIFS(tblVideos[Day],"&gt;="&amp;$B217,tblVideos[Day],"&lt;"&amp;EDATE($B217,1),tblVideos[Channel ID],Channels!$E$8)</f>
        <v/>
      </c>
      <c r="F217" s="72">
        <f>COUNTIFS(tblVideos[Day],"&gt;="&amp;$B217,tblVideos[Day],"&lt;"&amp;EDATE($B217,1),tblVideos[Channel ID],Channels!$E$9)</f>
        <v/>
      </c>
      <c r="G217" s="72">
        <f>COUNTIFS(tblVideos[Day],"&gt;="&amp;$B217,tblVideos[Day],"&lt;"&amp;EDATE($B217,1),tblVideos[Channel ID],Channels!$E$10)</f>
        <v/>
      </c>
      <c r="H217" s="72">
        <f>COUNTIFS(tblVideos[Day],"&gt;="&amp;$B217,tblVideos[Day],"&lt;"&amp;EDATE($B217,1),tblVideos[Channel ID],Channels!$E$11)</f>
        <v/>
      </c>
      <c r="I217" s="81">
        <f>SUM(C217:H217)</f>
        <v/>
      </c>
      <c r="J217" s="82">
        <f>SUMIFS(tblVideos[Length],tblVideos[Day],"&gt;="&amp;$B217,tblVideos[Day],"&lt;"&amp;EDATE($B217,1))</f>
        <v/>
      </c>
      <c r="K217" s="72">
        <f>COUNTIFS(tblVideos[Watched On],"&gt;="&amp;$B217,tblVideos[Watched On],"&lt;"&amp;EDATE($B217,1),tblVideos[Status],"Watched")</f>
        <v/>
      </c>
      <c r="L217" s="82">
        <f>SUMIFS(tblVideos[Length],tblVideos[Watched On],"&gt;="&amp;$B217,tblVideos[Watched On],"&lt;"&amp;EDATE($B217,1),tblVideos[Status],"Watched")</f>
        <v/>
      </c>
      <c r="M217" s="84">
        <f>IF(I217=0,"Gap",IF(I217&gt;AVERAGE($I$144:$I$317)+2*STDEV($I$144:$I$317),"High",""))</f>
        <v/>
      </c>
    </row>
    <row r="218">
      <c r="B218" s="83" t="n">
        <v>43282</v>
      </c>
      <c r="C218" s="72">
        <f>COUNTIFS(tblVideos[Day],"&gt;="&amp;$B218,tblVideos[Day],"&lt;"&amp;EDATE($B218,1),tblVideos[Channel ID],Channels!$E$6)</f>
        <v/>
      </c>
      <c r="D218" s="72">
        <f>COUNTIFS(tblVideos[Day],"&gt;="&amp;$B218,tblVideos[Day],"&lt;"&amp;EDATE($B218,1),tblVideos[Channel ID],Channels!$E$7)</f>
        <v/>
      </c>
      <c r="E218" s="72">
        <f>COUNTIFS(tblVideos[Day],"&gt;="&amp;$B218,tblVideos[Day],"&lt;"&amp;EDATE($B218,1),tblVideos[Channel ID],Channels!$E$8)</f>
        <v/>
      </c>
      <c r="F218" s="72">
        <f>COUNTIFS(tblVideos[Day],"&gt;="&amp;$B218,tblVideos[Day],"&lt;"&amp;EDATE($B218,1),tblVideos[Channel ID],Channels!$E$9)</f>
        <v/>
      </c>
      <c r="G218" s="72">
        <f>COUNTIFS(tblVideos[Day],"&gt;="&amp;$B218,tblVideos[Day],"&lt;"&amp;EDATE($B218,1),tblVideos[Channel ID],Channels!$E$10)</f>
        <v/>
      </c>
      <c r="H218" s="72">
        <f>COUNTIFS(tblVideos[Day],"&gt;="&amp;$B218,tblVideos[Day],"&lt;"&amp;EDATE($B218,1),tblVideos[Channel ID],Channels!$E$11)</f>
        <v/>
      </c>
      <c r="I218" s="81">
        <f>SUM(C218:H218)</f>
        <v/>
      </c>
      <c r="J218" s="82">
        <f>SUMIFS(tblVideos[Length],tblVideos[Day],"&gt;="&amp;$B218,tblVideos[Day],"&lt;"&amp;EDATE($B218,1))</f>
        <v/>
      </c>
      <c r="K218" s="72">
        <f>COUNTIFS(tblVideos[Watched On],"&gt;="&amp;$B218,tblVideos[Watched On],"&lt;"&amp;EDATE($B218,1),tblVideos[Status],"Watched")</f>
        <v/>
      </c>
      <c r="L218" s="82">
        <f>SUMIFS(tblVideos[Length],tblVideos[Watched On],"&gt;="&amp;$B218,tblVideos[Watched On],"&lt;"&amp;EDATE($B218,1),tblVideos[Status],"Watched")</f>
        <v/>
      </c>
      <c r="M218" s="84">
        <f>IF(I218=0,"Gap",IF(I218&gt;AVERAGE($I$144:$I$317)+2*STDEV($I$144:$I$317),"High",""))</f>
        <v/>
      </c>
    </row>
    <row r="219">
      <c r="B219" s="83" t="n">
        <v>43313</v>
      </c>
      <c r="C219" s="72">
        <f>COUNTIFS(tblVideos[Day],"&gt;="&amp;$B219,tblVideos[Day],"&lt;"&amp;EDATE($B219,1),tblVideos[Channel ID],Channels!$E$6)</f>
        <v/>
      </c>
      <c r="D219" s="72">
        <f>COUNTIFS(tblVideos[Day],"&gt;="&amp;$B219,tblVideos[Day],"&lt;"&amp;EDATE($B219,1),tblVideos[Channel ID],Channels!$E$7)</f>
        <v/>
      </c>
      <c r="E219" s="72">
        <f>COUNTIFS(tblVideos[Day],"&gt;="&amp;$B219,tblVideos[Day],"&lt;"&amp;EDATE($B219,1),tblVideos[Channel ID],Channels!$E$8)</f>
        <v/>
      </c>
      <c r="F219" s="72">
        <f>COUNTIFS(tblVideos[Day],"&gt;="&amp;$B219,tblVideos[Day],"&lt;"&amp;EDATE($B219,1),tblVideos[Channel ID],Channels!$E$9)</f>
        <v/>
      </c>
      <c r="G219" s="72">
        <f>COUNTIFS(tblVideos[Day],"&gt;="&amp;$B219,tblVideos[Day],"&lt;"&amp;EDATE($B219,1),tblVideos[Channel ID],Channels!$E$10)</f>
        <v/>
      </c>
      <c r="H219" s="72">
        <f>COUNTIFS(tblVideos[Day],"&gt;="&amp;$B219,tblVideos[Day],"&lt;"&amp;EDATE($B219,1),tblVideos[Channel ID],Channels!$E$11)</f>
        <v/>
      </c>
      <c r="I219" s="81">
        <f>SUM(C219:H219)</f>
        <v/>
      </c>
      <c r="J219" s="82">
        <f>SUMIFS(tblVideos[Length],tblVideos[Day],"&gt;="&amp;$B219,tblVideos[Day],"&lt;"&amp;EDATE($B219,1))</f>
        <v/>
      </c>
      <c r="K219" s="72">
        <f>COUNTIFS(tblVideos[Watched On],"&gt;="&amp;$B219,tblVideos[Watched On],"&lt;"&amp;EDATE($B219,1),tblVideos[Status],"Watched")</f>
        <v/>
      </c>
      <c r="L219" s="82">
        <f>SUMIFS(tblVideos[Length],tblVideos[Watched On],"&gt;="&amp;$B219,tblVideos[Watched On],"&lt;"&amp;EDATE($B219,1),tblVideos[Status],"Watched")</f>
        <v/>
      </c>
      <c r="M219" s="84">
        <f>IF(I219=0,"Gap",IF(I219&gt;AVERAGE($I$144:$I$317)+2*STDEV($I$144:$I$317),"High",""))</f>
        <v/>
      </c>
    </row>
    <row r="220">
      <c r="B220" s="83" t="n">
        <v>43344</v>
      </c>
      <c r="C220" s="72">
        <f>COUNTIFS(tblVideos[Day],"&gt;="&amp;$B220,tblVideos[Day],"&lt;"&amp;EDATE($B220,1),tblVideos[Channel ID],Channels!$E$6)</f>
        <v/>
      </c>
      <c r="D220" s="72">
        <f>COUNTIFS(tblVideos[Day],"&gt;="&amp;$B220,tblVideos[Day],"&lt;"&amp;EDATE($B220,1),tblVideos[Channel ID],Channels!$E$7)</f>
        <v/>
      </c>
      <c r="E220" s="72">
        <f>COUNTIFS(tblVideos[Day],"&gt;="&amp;$B220,tblVideos[Day],"&lt;"&amp;EDATE($B220,1),tblVideos[Channel ID],Channels!$E$8)</f>
        <v/>
      </c>
      <c r="F220" s="72">
        <f>COUNTIFS(tblVideos[Day],"&gt;="&amp;$B220,tblVideos[Day],"&lt;"&amp;EDATE($B220,1),tblVideos[Channel ID],Channels!$E$9)</f>
        <v/>
      </c>
      <c r="G220" s="72">
        <f>COUNTIFS(tblVideos[Day],"&gt;="&amp;$B220,tblVideos[Day],"&lt;"&amp;EDATE($B220,1),tblVideos[Channel ID],Channels!$E$10)</f>
        <v/>
      </c>
      <c r="H220" s="72">
        <f>COUNTIFS(tblVideos[Day],"&gt;="&amp;$B220,tblVideos[Day],"&lt;"&amp;EDATE($B220,1),tblVideos[Channel ID],Channels!$E$11)</f>
        <v/>
      </c>
      <c r="I220" s="81">
        <f>SUM(C220:H220)</f>
        <v/>
      </c>
      <c r="J220" s="82">
        <f>SUMIFS(tblVideos[Length],tblVideos[Day],"&gt;="&amp;$B220,tblVideos[Day],"&lt;"&amp;EDATE($B220,1))</f>
        <v/>
      </c>
      <c r="K220" s="72">
        <f>COUNTIFS(tblVideos[Watched On],"&gt;="&amp;$B220,tblVideos[Watched On],"&lt;"&amp;EDATE($B220,1),tblVideos[Status],"Watched")</f>
        <v/>
      </c>
      <c r="L220" s="82">
        <f>SUMIFS(tblVideos[Length],tblVideos[Watched On],"&gt;="&amp;$B220,tblVideos[Watched On],"&lt;"&amp;EDATE($B220,1),tblVideos[Status],"Watched")</f>
        <v/>
      </c>
      <c r="M220" s="84">
        <f>IF(I220=0,"Gap",IF(I220&gt;AVERAGE($I$144:$I$317)+2*STDEV($I$144:$I$317),"High",""))</f>
        <v/>
      </c>
    </row>
    <row r="221">
      <c r="B221" s="83" t="n">
        <v>43374</v>
      </c>
      <c r="C221" s="72">
        <f>COUNTIFS(tblVideos[Day],"&gt;="&amp;$B221,tblVideos[Day],"&lt;"&amp;EDATE($B221,1),tblVideos[Channel ID],Channels!$E$6)</f>
        <v/>
      </c>
      <c r="D221" s="72">
        <f>COUNTIFS(tblVideos[Day],"&gt;="&amp;$B221,tblVideos[Day],"&lt;"&amp;EDATE($B221,1),tblVideos[Channel ID],Channels!$E$7)</f>
        <v/>
      </c>
      <c r="E221" s="72">
        <f>COUNTIFS(tblVideos[Day],"&gt;="&amp;$B221,tblVideos[Day],"&lt;"&amp;EDATE($B221,1),tblVideos[Channel ID],Channels!$E$8)</f>
        <v/>
      </c>
      <c r="F221" s="72">
        <f>COUNTIFS(tblVideos[Day],"&gt;="&amp;$B221,tblVideos[Day],"&lt;"&amp;EDATE($B221,1),tblVideos[Channel ID],Channels!$E$9)</f>
        <v/>
      </c>
      <c r="G221" s="72">
        <f>COUNTIFS(tblVideos[Day],"&gt;="&amp;$B221,tblVideos[Day],"&lt;"&amp;EDATE($B221,1),tblVideos[Channel ID],Channels!$E$10)</f>
        <v/>
      </c>
      <c r="H221" s="72">
        <f>COUNTIFS(tblVideos[Day],"&gt;="&amp;$B221,tblVideos[Day],"&lt;"&amp;EDATE($B221,1),tblVideos[Channel ID],Channels!$E$11)</f>
        <v/>
      </c>
      <c r="I221" s="81">
        <f>SUM(C221:H221)</f>
        <v/>
      </c>
      <c r="J221" s="82">
        <f>SUMIFS(tblVideos[Length],tblVideos[Day],"&gt;="&amp;$B221,tblVideos[Day],"&lt;"&amp;EDATE($B221,1))</f>
        <v/>
      </c>
      <c r="K221" s="72">
        <f>COUNTIFS(tblVideos[Watched On],"&gt;="&amp;$B221,tblVideos[Watched On],"&lt;"&amp;EDATE($B221,1),tblVideos[Status],"Watched")</f>
        <v/>
      </c>
      <c r="L221" s="82">
        <f>SUMIFS(tblVideos[Length],tblVideos[Watched On],"&gt;="&amp;$B221,tblVideos[Watched On],"&lt;"&amp;EDATE($B221,1),tblVideos[Status],"Watched")</f>
        <v/>
      </c>
      <c r="M221" s="84">
        <f>IF(I221=0,"Gap",IF(I221&gt;AVERAGE($I$144:$I$317)+2*STDEV($I$144:$I$317),"High",""))</f>
        <v/>
      </c>
    </row>
    <row r="222">
      <c r="B222" s="83" t="n">
        <v>43405</v>
      </c>
      <c r="C222" s="72">
        <f>COUNTIFS(tblVideos[Day],"&gt;="&amp;$B222,tblVideos[Day],"&lt;"&amp;EDATE($B222,1),tblVideos[Channel ID],Channels!$E$6)</f>
        <v/>
      </c>
      <c r="D222" s="72">
        <f>COUNTIFS(tblVideos[Day],"&gt;="&amp;$B222,tblVideos[Day],"&lt;"&amp;EDATE($B222,1),tblVideos[Channel ID],Channels!$E$7)</f>
        <v/>
      </c>
      <c r="E222" s="72">
        <f>COUNTIFS(tblVideos[Day],"&gt;="&amp;$B222,tblVideos[Day],"&lt;"&amp;EDATE($B222,1),tblVideos[Channel ID],Channels!$E$8)</f>
        <v/>
      </c>
      <c r="F222" s="72">
        <f>COUNTIFS(tblVideos[Day],"&gt;="&amp;$B222,tblVideos[Day],"&lt;"&amp;EDATE($B222,1),tblVideos[Channel ID],Channels!$E$9)</f>
        <v/>
      </c>
      <c r="G222" s="72">
        <f>COUNTIFS(tblVideos[Day],"&gt;="&amp;$B222,tblVideos[Day],"&lt;"&amp;EDATE($B222,1),tblVideos[Channel ID],Channels!$E$10)</f>
        <v/>
      </c>
      <c r="H222" s="72">
        <f>COUNTIFS(tblVideos[Day],"&gt;="&amp;$B222,tblVideos[Day],"&lt;"&amp;EDATE($B222,1),tblVideos[Channel ID],Channels!$E$11)</f>
        <v/>
      </c>
      <c r="I222" s="81">
        <f>SUM(C222:H222)</f>
        <v/>
      </c>
      <c r="J222" s="82">
        <f>SUMIFS(tblVideos[Length],tblVideos[Day],"&gt;="&amp;$B222,tblVideos[Day],"&lt;"&amp;EDATE($B222,1))</f>
        <v/>
      </c>
      <c r="K222" s="72">
        <f>COUNTIFS(tblVideos[Watched On],"&gt;="&amp;$B222,tblVideos[Watched On],"&lt;"&amp;EDATE($B222,1),tblVideos[Status],"Watched")</f>
        <v/>
      </c>
      <c r="L222" s="82">
        <f>SUMIFS(tblVideos[Length],tblVideos[Watched On],"&gt;="&amp;$B222,tblVideos[Watched On],"&lt;"&amp;EDATE($B222,1),tblVideos[Status],"Watched")</f>
        <v/>
      </c>
      <c r="M222" s="84">
        <f>IF(I222=0,"Gap",IF(I222&gt;AVERAGE($I$144:$I$317)+2*STDEV($I$144:$I$317),"High",""))</f>
        <v/>
      </c>
    </row>
    <row r="223">
      <c r="B223" s="83" t="n">
        <v>43435</v>
      </c>
      <c r="C223" s="72">
        <f>COUNTIFS(tblVideos[Day],"&gt;="&amp;$B223,tblVideos[Day],"&lt;"&amp;EDATE($B223,1),tblVideos[Channel ID],Channels!$E$6)</f>
        <v/>
      </c>
      <c r="D223" s="72">
        <f>COUNTIFS(tblVideos[Day],"&gt;="&amp;$B223,tblVideos[Day],"&lt;"&amp;EDATE($B223,1),tblVideos[Channel ID],Channels!$E$7)</f>
        <v/>
      </c>
      <c r="E223" s="72">
        <f>COUNTIFS(tblVideos[Day],"&gt;="&amp;$B223,tblVideos[Day],"&lt;"&amp;EDATE($B223,1),tblVideos[Channel ID],Channels!$E$8)</f>
        <v/>
      </c>
      <c r="F223" s="72">
        <f>COUNTIFS(tblVideos[Day],"&gt;="&amp;$B223,tblVideos[Day],"&lt;"&amp;EDATE($B223,1),tblVideos[Channel ID],Channels!$E$9)</f>
        <v/>
      </c>
      <c r="G223" s="72">
        <f>COUNTIFS(tblVideos[Day],"&gt;="&amp;$B223,tblVideos[Day],"&lt;"&amp;EDATE($B223,1),tblVideos[Channel ID],Channels!$E$10)</f>
        <v/>
      </c>
      <c r="H223" s="72">
        <f>COUNTIFS(tblVideos[Day],"&gt;="&amp;$B223,tblVideos[Day],"&lt;"&amp;EDATE($B223,1),tblVideos[Channel ID],Channels!$E$11)</f>
        <v/>
      </c>
      <c r="I223" s="81">
        <f>SUM(C223:H223)</f>
        <v/>
      </c>
      <c r="J223" s="82">
        <f>SUMIFS(tblVideos[Length],tblVideos[Day],"&gt;="&amp;$B223,tblVideos[Day],"&lt;"&amp;EDATE($B223,1))</f>
        <v/>
      </c>
      <c r="K223" s="72">
        <f>COUNTIFS(tblVideos[Watched On],"&gt;="&amp;$B223,tblVideos[Watched On],"&lt;"&amp;EDATE($B223,1),tblVideos[Status],"Watched")</f>
        <v/>
      </c>
      <c r="L223" s="82">
        <f>SUMIFS(tblVideos[Length],tblVideos[Watched On],"&gt;="&amp;$B223,tblVideos[Watched On],"&lt;"&amp;EDATE($B223,1),tblVideos[Status],"Watched")</f>
        <v/>
      </c>
      <c r="M223" s="84">
        <f>IF(I223=0,"Gap",IF(I223&gt;AVERAGE($I$144:$I$317)+2*STDEV($I$144:$I$317),"High",""))</f>
        <v/>
      </c>
    </row>
    <row r="224">
      <c r="B224" s="83" t="n">
        <v>43466</v>
      </c>
      <c r="C224" s="72">
        <f>COUNTIFS(tblVideos[Day],"&gt;="&amp;$B224,tblVideos[Day],"&lt;"&amp;EDATE($B224,1),tblVideos[Channel ID],Channels!$E$6)</f>
        <v/>
      </c>
      <c r="D224" s="72">
        <f>COUNTIFS(tblVideos[Day],"&gt;="&amp;$B224,tblVideos[Day],"&lt;"&amp;EDATE($B224,1),tblVideos[Channel ID],Channels!$E$7)</f>
        <v/>
      </c>
      <c r="E224" s="72">
        <f>COUNTIFS(tblVideos[Day],"&gt;="&amp;$B224,tblVideos[Day],"&lt;"&amp;EDATE($B224,1),tblVideos[Channel ID],Channels!$E$8)</f>
        <v/>
      </c>
      <c r="F224" s="72">
        <f>COUNTIFS(tblVideos[Day],"&gt;="&amp;$B224,tblVideos[Day],"&lt;"&amp;EDATE($B224,1),tblVideos[Channel ID],Channels!$E$9)</f>
        <v/>
      </c>
      <c r="G224" s="72">
        <f>COUNTIFS(tblVideos[Day],"&gt;="&amp;$B224,tblVideos[Day],"&lt;"&amp;EDATE($B224,1),tblVideos[Channel ID],Channels!$E$10)</f>
        <v/>
      </c>
      <c r="H224" s="72">
        <f>COUNTIFS(tblVideos[Day],"&gt;="&amp;$B224,tblVideos[Day],"&lt;"&amp;EDATE($B224,1),tblVideos[Channel ID],Channels!$E$11)</f>
        <v/>
      </c>
      <c r="I224" s="81">
        <f>SUM(C224:H224)</f>
        <v/>
      </c>
      <c r="J224" s="82">
        <f>SUMIFS(tblVideos[Length],tblVideos[Day],"&gt;="&amp;$B224,tblVideos[Day],"&lt;"&amp;EDATE($B224,1))</f>
        <v/>
      </c>
      <c r="K224" s="72">
        <f>COUNTIFS(tblVideos[Watched On],"&gt;="&amp;$B224,tblVideos[Watched On],"&lt;"&amp;EDATE($B224,1),tblVideos[Status],"Watched")</f>
        <v/>
      </c>
      <c r="L224" s="82">
        <f>SUMIFS(tblVideos[Length],tblVideos[Watched On],"&gt;="&amp;$B224,tblVideos[Watched On],"&lt;"&amp;EDATE($B224,1),tblVideos[Status],"Watched")</f>
        <v/>
      </c>
      <c r="M224" s="84">
        <f>IF(I224=0,"Gap",IF(I224&gt;AVERAGE($I$144:$I$317)+2*STDEV($I$144:$I$317),"High",""))</f>
        <v/>
      </c>
    </row>
    <row r="225">
      <c r="B225" s="83" t="n">
        <v>43497</v>
      </c>
      <c r="C225" s="72">
        <f>COUNTIFS(tblVideos[Day],"&gt;="&amp;$B225,tblVideos[Day],"&lt;"&amp;EDATE($B225,1),tblVideos[Channel ID],Channels!$E$6)</f>
        <v/>
      </c>
      <c r="D225" s="72">
        <f>COUNTIFS(tblVideos[Day],"&gt;="&amp;$B225,tblVideos[Day],"&lt;"&amp;EDATE($B225,1),tblVideos[Channel ID],Channels!$E$7)</f>
        <v/>
      </c>
      <c r="E225" s="72">
        <f>COUNTIFS(tblVideos[Day],"&gt;="&amp;$B225,tblVideos[Day],"&lt;"&amp;EDATE($B225,1),tblVideos[Channel ID],Channels!$E$8)</f>
        <v/>
      </c>
      <c r="F225" s="72">
        <f>COUNTIFS(tblVideos[Day],"&gt;="&amp;$B225,tblVideos[Day],"&lt;"&amp;EDATE($B225,1),tblVideos[Channel ID],Channels!$E$9)</f>
        <v/>
      </c>
      <c r="G225" s="72">
        <f>COUNTIFS(tblVideos[Day],"&gt;="&amp;$B225,tblVideos[Day],"&lt;"&amp;EDATE($B225,1),tblVideos[Channel ID],Channels!$E$10)</f>
        <v/>
      </c>
      <c r="H225" s="72">
        <f>COUNTIFS(tblVideos[Day],"&gt;="&amp;$B225,tblVideos[Day],"&lt;"&amp;EDATE($B225,1),tblVideos[Channel ID],Channels!$E$11)</f>
        <v/>
      </c>
      <c r="I225" s="81">
        <f>SUM(C225:H225)</f>
        <v/>
      </c>
      <c r="J225" s="82">
        <f>SUMIFS(tblVideos[Length],tblVideos[Day],"&gt;="&amp;$B225,tblVideos[Day],"&lt;"&amp;EDATE($B225,1))</f>
        <v/>
      </c>
      <c r="K225" s="72">
        <f>COUNTIFS(tblVideos[Watched On],"&gt;="&amp;$B225,tblVideos[Watched On],"&lt;"&amp;EDATE($B225,1),tblVideos[Status],"Watched")</f>
        <v/>
      </c>
      <c r="L225" s="82">
        <f>SUMIFS(tblVideos[Length],tblVideos[Watched On],"&gt;="&amp;$B225,tblVideos[Watched On],"&lt;"&amp;EDATE($B225,1),tblVideos[Status],"Watched")</f>
        <v/>
      </c>
      <c r="M225" s="84">
        <f>IF(I225=0,"Gap",IF(I225&gt;AVERAGE($I$144:$I$317)+2*STDEV($I$144:$I$317),"High",""))</f>
        <v/>
      </c>
    </row>
    <row r="226">
      <c r="B226" s="83" t="n">
        <v>43525</v>
      </c>
      <c r="C226" s="72">
        <f>COUNTIFS(tblVideos[Day],"&gt;="&amp;$B226,tblVideos[Day],"&lt;"&amp;EDATE($B226,1),tblVideos[Channel ID],Channels!$E$6)</f>
        <v/>
      </c>
      <c r="D226" s="72">
        <f>COUNTIFS(tblVideos[Day],"&gt;="&amp;$B226,tblVideos[Day],"&lt;"&amp;EDATE($B226,1),tblVideos[Channel ID],Channels!$E$7)</f>
        <v/>
      </c>
      <c r="E226" s="72">
        <f>COUNTIFS(tblVideos[Day],"&gt;="&amp;$B226,tblVideos[Day],"&lt;"&amp;EDATE($B226,1),tblVideos[Channel ID],Channels!$E$8)</f>
        <v/>
      </c>
      <c r="F226" s="72">
        <f>COUNTIFS(tblVideos[Day],"&gt;="&amp;$B226,tblVideos[Day],"&lt;"&amp;EDATE($B226,1),tblVideos[Channel ID],Channels!$E$9)</f>
        <v/>
      </c>
      <c r="G226" s="72">
        <f>COUNTIFS(tblVideos[Day],"&gt;="&amp;$B226,tblVideos[Day],"&lt;"&amp;EDATE($B226,1),tblVideos[Channel ID],Channels!$E$10)</f>
        <v/>
      </c>
      <c r="H226" s="72">
        <f>COUNTIFS(tblVideos[Day],"&gt;="&amp;$B226,tblVideos[Day],"&lt;"&amp;EDATE($B226,1),tblVideos[Channel ID],Channels!$E$11)</f>
        <v/>
      </c>
      <c r="I226" s="81">
        <f>SUM(C226:H226)</f>
        <v/>
      </c>
      <c r="J226" s="82">
        <f>SUMIFS(tblVideos[Length],tblVideos[Day],"&gt;="&amp;$B226,tblVideos[Day],"&lt;"&amp;EDATE($B226,1))</f>
        <v/>
      </c>
      <c r="K226" s="72">
        <f>COUNTIFS(tblVideos[Watched On],"&gt;="&amp;$B226,tblVideos[Watched On],"&lt;"&amp;EDATE($B226,1),tblVideos[Status],"Watched")</f>
        <v/>
      </c>
      <c r="L226" s="82">
        <f>SUMIFS(tblVideos[Length],tblVideos[Watched On],"&gt;="&amp;$B226,tblVideos[Watched On],"&lt;"&amp;EDATE($B226,1),tblVideos[Status],"Watched")</f>
        <v/>
      </c>
      <c r="M226" s="84">
        <f>IF(I226=0,"Gap",IF(I226&gt;AVERAGE($I$144:$I$317)+2*STDEV($I$144:$I$317),"High",""))</f>
        <v/>
      </c>
    </row>
    <row r="227">
      <c r="B227" s="83" t="n">
        <v>43556</v>
      </c>
      <c r="C227" s="72">
        <f>COUNTIFS(tblVideos[Day],"&gt;="&amp;$B227,tblVideos[Day],"&lt;"&amp;EDATE($B227,1),tblVideos[Channel ID],Channels!$E$6)</f>
        <v/>
      </c>
      <c r="D227" s="72">
        <f>COUNTIFS(tblVideos[Day],"&gt;="&amp;$B227,tblVideos[Day],"&lt;"&amp;EDATE($B227,1),tblVideos[Channel ID],Channels!$E$7)</f>
        <v/>
      </c>
      <c r="E227" s="72">
        <f>COUNTIFS(tblVideos[Day],"&gt;="&amp;$B227,tblVideos[Day],"&lt;"&amp;EDATE($B227,1),tblVideos[Channel ID],Channels!$E$8)</f>
        <v/>
      </c>
      <c r="F227" s="72">
        <f>COUNTIFS(tblVideos[Day],"&gt;="&amp;$B227,tblVideos[Day],"&lt;"&amp;EDATE($B227,1),tblVideos[Channel ID],Channels!$E$9)</f>
        <v/>
      </c>
      <c r="G227" s="72">
        <f>COUNTIFS(tblVideos[Day],"&gt;="&amp;$B227,tblVideos[Day],"&lt;"&amp;EDATE($B227,1),tblVideos[Channel ID],Channels!$E$10)</f>
        <v/>
      </c>
      <c r="H227" s="72">
        <f>COUNTIFS(tblVideos[Day],"&gt;="&amp;$B227,tblVideos[Day],"&lt;"&amp;EDATE($B227,1),tblVideos[Channel ID],Channels!$E$11)</f>
        <v/>
      </c>
      <c r="I227" s="81">
        <f>SUM(C227:H227)</f>
        <v/>
      </c>
      <c r="J227" s="82">
        <f>SUMIFS(tblVideos[Length],tblVideos[Day],"&gt;="&amp;$B227,tblVideos[Day],"&lt;"&amp;EDATE($B227,1))</f>
        <v/>
      </c>
      <c r="K227" s="72">
        <f>COUNTIFS(tblVideos[Watched On],"&gt;="&amp;$B227,tblVideos[Watched On],"&lt;"&amp;EDATE($B227,1),tblVideos[Status],"Watched")</f>
        <v/>
      </c>
      <c r="L227" s="82">
        <f>SUMIFS(tblVideos[Length],tblVideos[Watched On],"&gt;="&amp;$B227,tblVideos[Watched On],"&lt;"&amp;EDATE($B227,1),tblVideos[Status],"Watched")</f>
        <v/>
      </c>
      <c r="M227" s="84">
        <f>IF(I227=0,"Gap",IF(I227&gt;AVERAGE($I$144:$I$317)+2*STDEV($I$144:$I$317),"High",""))</f>
        <v/>
      </c>
    </row>
    <row r="228">
      <c r="B228" s="83" t="n">
        <v>43586</v>
      </c>
      <c r="C228" s="72">
        <f>COUNTIFS(tblVideos[Day],"&gt;="&amp;$B228,tblVideos[Day],"&lt;"&amp;EDATE($B228,1),tblVideos[Channel ID],Channels!$E$6)</f>
        <v/>
      </c>
      <c r="D228" s="72">
        <f>COUNTIFS(tblVideos[Day],"&gt;="&amp;$B228,tblVideos[Day],"&lt;"&amp;EDATE($B228,1),tblVideos[Channel ID],Channels!$E$7)</f>
        <v/>
      </c>
      <c r="E228" s="72">
        <f>COUNTIFS(tblVideos[Day],"&gt;="&amp;$B228,tblVideos[Day],"&lt;"&amp;EDATE($B228,1),tblVideos[Channel ID],Channels!$E$8)</f>
        <v/>
      </c>
      <c r="F228" s="72">
        <f>COUNTIFS(tblVideos[Day],"&gt;="&amp;$B228,tblVideos[Day],"&lt;"&amp;EDATE($B228,1),tblVideos[Channel ID],Channels!$E$9)</f>
        <v/>
      </c>
      <c r="G228" s="72">
        <f>COUNTIFS(tblVideos[Day],"&gt;="&amp;$B228,tblVideos[Day],"&lt;"&amp;EDATE($B228,1),tblVideos[Channel ID],Channels!$E$10)</f>
        <v/>
      </c>
      <c r="H228" s="72">
        <f>COUNTIFS(tblVideos[Day],"&gt;="&amp;$B228,tblVideos[Day],"&lt;"&amp;EDATE($B228,1),tblVideos[Channel ID],Channels!$E$11)</f>
        <v/>
      </c>
      <c r="I228" s="81">
        <f>SUM(C228:H228)</f>
        <v/>
      </c>
      <c r="J228" s="82">
        <f>SUMIFS(tblVideos[Length],tblVideos[Day],"&gt;="&amp;$B228,tblVideos[Day],"&lt;"&amp;EDATE($B228,1))</f>
        <v/>
      </c>
      <c r="K228" s="72">
        <f>COUNTIFS(tblVideos[Watched On],"&gt;="&amp;$B228,tblVideos[Watched On],"&lt;"&amp;EDATE($B228,1),tblVideos[Status],"Watched")</f>
        <v/>
      </c>
      <c r="L228" s="82">
        <f>SUMIFS(tblVideos[Length],tblVideos[Watched On],"&gt;="&amp;$B228,tblVideos[Watched On],"&lt;"&amp;EDATE($B228,1),tblVideos[Status],"Watched")</f>
        <v/>
      </c>
      <c r="M228" s="84">
        <f>IF(I228=0,"Gap",IF(I228&gt;AVERAGE($I$144:$I$317)+2*STDEV($I$144:$I$317),"High",""))</f>
        <v/>
      </c>
    </row>
    <row r="229">
      <c r="B229" s="83" t="n">
        <v>43617</v>
      </c>
      <c r="C229" s="72">
        <f>COUNTIFS(tblVideos[Day],"&gt;="&amp;$B229,tblVideos[Day],"&lt;"&amp;EDATE($B229,1),tblVideos[Channel ID],Channels!$E$6)</f>
        <v/>
      </c>
      <c r="D229" s="72">
        <f>COUNTIFS(tblVideos[Day],"&gt;="&amp;$B229,tblVideos[Day],"&lt;"&amp;EDATE($B229,1),tblVideos[Channel ID],Channels!$E$7)</f>
        <v/>
      </c>
      <c r="E229" s="72">
        <f>COUNTIFS(tblVideos[Day],"&gt;="&amp;$B229,tblVideos[Day],"&lt;"&amp;EDATE($B229,1),tblVideos[Channel ID],Channels!$E$8)</f>
        <v/>
      </c>
      <c r="F229" s="72">
        <f>COUNTIFS(tblVideos[Day],"&gt;="&amp;$B229,tblVideos[Day],"&lt;"&amp;EDATE($B229,1),tblVideos[Channel ID],Channels!$E$9)</f>
        <v/>
      </c>
      <c r="G229" s="72">
        <f>COUNTIFS(tblVideos[Day],"&gt;="&amp;$B229,tblVideos[Day],"&lt;"&amp;EDATE($B229,1),tblVideos[Channel ID],Channels!$E$10)</f>
        <v/>
      </c>
      <c r="H229" s="72">
        <f>COUNTIFS(tblVideos[Day],"&gt;="&amp;$B229,tblVideos[Day],"&lt;"&amp;EDATE($B229,1),tblVideos[Channel ID],Channels!$E$11)</f>
        <v/>
      </c>
      <c r="I229" s="81">
        <f>SUM(C229:H229)</f>
        <v/>
      </c>
      <c r="J229" s="82">
        <f>SUMIFS(tblVideos[Length],tblVideos[Day],"&gt;="&amp;$B229,tblVideos[Day],"&lt;"&amp;EDATE($B229,1))</f>
        <v/>
      </c>
      <c r="K229" s="72">
        <f>COUNTIFS(tblVideos[Watched On],"&gt;="&amp;$B229,tblVideos[Watched On],"&lt;"&amp;EDATE($B229,1),tblVideos[Status],"Watched")</f>
        <v/>
      </c>
      <c r="L229" s="82">
        <f>SUMIFS(tblVideos[Length],tblVideos[Watched On],"&gt;="&amp;$B229,tblVideos[Watched On],"&lt;"&amp;EDATE($B229,1),tblVideos[Status],"Watched")</f>
        <v/>
      </c>
      <c r="M229" s="84">
        <f>IF(I229=0,"Gap",IF(I229&gt;AVERAGE($I$144:$I$317)+2*STDEV($I$144:$I$317),"High",""))</f>
        <v/>
      </c>
    </row>
    <row r="230">
      <c r="B230" s="83" t="n">
        <v>43647</v>
      </c>
      <c r="C230" s="72">
        <f>COUNTIFS(tblVideos[Day],"&gt;="&amp;$B230,tblVideos[Day],"&lt;"&amp;EDATE($B230,1),tblVideos[Channel ID],Channels!$E$6)</f>
        <v/>
      </c>
      <c r="D230" s="72">
        <f>COUNTIFS(tblVideos[Day],"&gt;="&amp;$B230,tblVideos[Day],"&lt;"&amp;EDATE($B230,1),tblVideos[Channel ID],Channels!$E$7)</f>
        <v/>
      </c>
      <c r="E230" s="72">
        <f>COUNTIFS(tblVideos[Day],"&gt;="&amp;$B230,tblVideos[Day],"&lt;"&amp;EDATE($B230,1),tblVideos[Channel ID],Channels!$E$8)</f>
        <v/>
      </c>
      <c r="F230" s="72">
        <f>COUNTIFS(tblVideos[Day],"&gt;="&amp;$B230,tblVideos[Day],"&lt;"&amp;EDATE($B230,1),tblVideos[Channel ID],Channels!$E$9)</f>
        <v/>
      </c>
      <c r="G230" s="72">
        <f>COUNTIFS(tblVideos[Day],"&gt;="&amp;$B230,tblVideos[Day],"&lt;"&amp;EDATE($B230,1),tblVideos[Channel ID],Channels!$E$10)</f>
        <v/>
      </c>
      <c r="H230" s="72">
        <f>COUNTIFS(tblVideos[Day],"&gt;="&amp;$B230,tblVideos[Day],"&lt;"&amp;EDATE($B230,1),tblVideos[Channel ID],Channels!$E$11)</f>
        <v/>
      </c>
      <c r="I230" s="81">
        <f>SUM(C230:H230)</f>
        <v/>
      </c>
      <c r="J230" s="82">
        <f>SUMIFS(tblVideos[Length],tblVideos[Day],"&gt;="&amp;$B230,tblVideos[Day],"&lt;"&amp;EDATE($B230,1))</f>
        <v/>
      </c>
      <c r="K230" s="72">
        <f>COUNTIFS(tblVideos[Watched On],"&gt;="&amp;$B230,tblVideos[Watched On],"&lt;"&amp;EDATE($B230,1),tblVideos[Status],"Watched")</f>
        <v/>
      </c>
      <c r="L230" s="82">
        <f>SUMIFS(tblVideos[Length],tblVideos[Watched On],"&gt;="&amp;$B230,tblVideos[Watched On],"&lt;"&amp;EDATE($B230,1),tblVideos[Status],"Watched")</f>
        <v/>
      </c>
      <c r="M230" s="84">
        <f>IF(I230=0,"Gap",IF(I230&gt;AVERAGE($I$144:$I$317)+2*STDEV($I$144:$I$317),"High",""))</f>
        <v/>
      </c>
    </row>
    <row r="231">
      <c r="B231" s="83" t="n">
        <v>43678</v>
      </c>
      <c r="C231" s="72">
        <f>COUNTIFS(tblVideos[Day],"&gt;="&amp;$B231,tblVideos[Day],"&lt;"&amp;EDATE($B231,1),tblVideos[Channel ID],Channels!$E$6)</f>
        <v/>
      </c>
      <c r="D231" s="72">
        <f>COUNTIFS(tblVideos[Day],"&gt;="&amp;$B231,tblVideos[Day],"&lt;"&amp;EDATE($B231,1),tblVideos[Channel ID],Channels!$E$7)</f>
        <v/>
      </c>
      <c r="E231" s="72">
        <f>COUNTIFS(tblVideos[Day],"&gt;="&amp;$B231,tblVideos[Day],"&lt;"&amp;EDATE($B231,1),tblVideos[Channel ID],Channels!$E$8)</f>
        <v/>
      </c>
      <c r="F231" s="72">
        <f>COUNTIFS(tblVideos[Day],"&gt;="&amp;$B231,tblVideos[Day],"&lt;"&amp;EDATE($B231,1),tblVideos[Channel ID],Channels!$E$9)</f>
        <v/>
      </c>
      <c r="G231" s="72">
        <f>COUNTIFS(tblVideos[Day],"&gt;="&amp;$B231,tblVideos[Day],"&lt;"&amp;EDATE($B231,1),tblVideos[Channel ID],Channels!$E$10)</f>
        <v/>
      </c>
      <c r="H231" s="72">
        <f>COUNTIFS(tblVideos[Day],"&gt;="&amp;$B231,tblVideos[Day],"&lt;"&amp;EDATE($B231,1),tblVideos[Channel ID],Channels!$E$11)</f>
        <v/>
      </c>
      <c r="I231" s="81">
        <f>SUM(C231:H231)</f>
        <v/>
      </c>
      <c r="J231" s="82">
        <f>SUMIFS(tblVideos[Length],tblVideos[Day],"&gt;="&amp;$B231,tblVideos[Day],"&lt;"&amp;EDATE($B231,1))</f>
        <v/>
      </c>
      <c r="K231" s="72">
        <f>COUNTIFS(tblVideos[Watched On],"&gt;="&amp;$B231,tblVideos[Watched On],"&lt;"&amp;EDATE($B231,1),tblVideos[Status],"Watched")</f>
        <v/>
      </c>
      <c r="L231" s="82">
        <f>SUMIFS(tblVideos[Length],tblVideos[Watched On],"&gt;="&amp;$B231,tblVideos[Watched On],"&lt;"&amp;EDATE($B231,1),tblVideos[Status],"Watched")</f>
        <v/>
      </c>
      <c r="M231" s="84">
        <f>IF(I231=0,"Gap",IF(I231&gt;AVERAGE($I$144:$I$317)+2*STDEV($I$144:$I$317),"High",""))</f>
        <v/>
      </c>
    </row>
    <row r="232">
      <c r="B232" s="83" t="n">
        <v>43709</v>
      </c>
      <c r="C232" s="72">
        <f>COUNTIFS(tblVideos[Day],"&gt;="&amp;$B232,tblVideos[Day],"&lt;"&amp;EDATE($B232,1),tblVideos[Channel ID],Channels!$E$6)</f>
        <v/>
      </c>
      <c r="D232" s="72">
        <f>COUNTIFS(tblVideos[Day],"&gt;="&amp;$B232,tblVideos[Day],"&lt;"&amp;EDATE($B232,1),tblVideos[Channel ID],Channels!$E$7)</f>
        <v/>
      </c>
      <c r="E232" s="72">
        <f>COUNTIFS(tblVideos[Day],"&gt;="&amp;$B232,tblVideos[Day],"&lt;"&amp;EDATE($B232,1),tblVideos[Channel ID],Channels!$E$8)</f>
        <v/>
      </c>
      <c r="F232" s="72">
        <f>COUNTIFS(tblVideos[Day],"&gt;="&amp;$B232,tblVideos[Day],"&lt;"&amp;EDATE($B232,1),tblVideos[Channel ID],Channels!$E$9)</f>
        <v/>
      </c>
      <c r="G232" s="72">
        <f>COUNTIFS(tblVideos[Day],"&gt;="&amp;$B232,tblVideos[Day],"&lt;"&amp;EDATE($B232,1),tblVideos[Channel ID],Channels!$E$10)</f>
        <v/>
      </c>
      <c r="H232" s="72">
        <f>COUNTIFS(tblVideos[Day],"&gt;="&amp;$B232,tblVideos[Day],"&lt;"&amp;EDATE($B232,1),tblVideos[Channel ID],Channels!$E$11)</f>
        <v/>
      </c>
      <c r="I232" s="81">
        <f>SUM(C232:H232)</f>
        <v/>
      </c>
      <c r="J232" s="82">
        <f>SUMIFS(tblVideos[Length],tblVideos[Day],"&gt;="&amp;$B232,tblVideos[Day],"&lt;"&amp;EDATE($B232,1))</f>
        <v/>
      </c>
      <c r="K232" s="72">
        <f>COUNTIFS(tblVideos[Watched On],"&gt;="&amp;$B232,tblVideos[Watched On],"&lt;"&amp;EDATE($B232,1),tblVideos[Status],"Watched")</f>
        <v/>
      </c>
      <c r="L232" s="82">
        <f>SUMIFS(tblVideos[Length],tblVideos[Watched On],"&gt;="&amp;$B232,tblVideos[Watched On],"&lt;"&amp;EDATE($B232,1),tblVideos[Status],"Watched")</f>
        <v/>
      </c>
      <c r="M232" s="84">
        <f>IF(I232=0,"Gap",IF(I232&gt;AVERAGE($I$144:$I$317)+2*STDEV($I$144:$I$317),"High",""))</f>
        <v/>
      </c>
    </row>
    <row r="233">
      <c r="B233" s="83" t="n">
        <v>43739</v>
      </c>
      <c r="C233" s="72">
        <f>COUNTIFS(tblVideos[Day],"&gt;="&amp;$B233,tblVideos[Day],"&lt;"&amp;EDATE($B233,1),tblVideos[Channel ID],Channels!$E$6)</f>
        <v/>
      </c>
      <c r="D233" s="72">
        <f>COUNTIFS(tblVideos[Day],"&gt;="&amp;$B233,tblVideos[Day],"&lt;"&amp;EDATE($B233,1),tblVideos[Channel ID],Channels!$E$7)</f>
        <v/>
      </c>
      <c r="E233" s="72">
        <f>COUNTIFS(tblVideos[Day],"&gt;="&amp;$B233,tblVideos[Day],"&lt;"&amp;EDATE($B233,1),tblVideos[Channel ID],Channels!$E$8)</f>
        <v/>
      </c>
      <c r="F233" s="72">
        <f>COUNTIFS(tblVideos[Day],"&gt;="&amp;$B233,tblVideos[Day],"&lt;"&amp;EDATE($B233,1),tblVideos[Channel ID],Channels!$E$9)</f>
        <v/>
      </c>
      <c r="G233" s="72">
        <f>COUNTIFS(tblVideos[Day],"&gt;="&amp;$B233,tblVideos[Day],"&lt;"&amp;EDATE($B233,1),tblVideos[Channel ID],Channels!$E$10)</f>
        <v/>
      </c>
      <c r="H233" s="72">
        <f>COUNTIFS(tblVideos[Day],"&gt;="&amp;$B233,tblVideos[Day],"&lt;"&amp;EDATE($B233,1),tblVideos[Channel ID],Channels!$E$11)</f>
        <v/>
      </c>
      <c r="I233" s="81">
        <f>SUM(C233:H233)</f>
        <v/>
      </c>
      <c r="J233" s="82">
        <f>SUMIFS(tblVideos[Length],tblVideos[Day],"&gt;="&amp;$B233,tblVideos[Day],"&lt;"&amp;EDATE($B233,1))</f>
        <v/>
      </c>
      <c r="K233" s="72">
        <f>COUNTIFS(tblVideos[Watched On],"&gt;="&amp;$B233,tblVideos[Watched On],"&lt;"&amp;EDATE($B233,1),tblVideos[Status],"Watched")</f>
        <v/>
      </c>
      <c r="L233" s="82">
        <f>SUMIFS(tblVideos[Length],tblVideos[Watched On],"&gt;="&amp;$B233,tblVideos[Watched On],"&lt;"&amp;EDATE($B233,1),tblVideos[Status],"Watched")</f>
        <v/>
      </c>
      <c r="M233" s="84">
        <f>IF(I233=0,"Gap",IF(I233&gt;AVERAGE($I$144:$I$317)+2*STDEV($I$144:$I$317),"High",""))</f>
        <v/>
      </c>
    </row>
    <row r="234">
      <c r="B234" s="83" t="n">
        <v>43770</v>
      </c>
      <c r="C234" s="72">
        <f>COUNTIFS(tblVideos[Day],"&gt;="&amp;$B234,tblVideos[Day],"&lt;"&amp;EDATE($B234,1),tblVideos[Channel ID],Channels!$E$6)</f>
        <v/>
      </c>
      <c r="D234" s="72">
        <f>COUNTIFS(tblVideos[Day],"&gt;="&amp;$B234,tblVideos[Day],"&lt;"&amp;EDATE($B234,1),tblVideos[Channel ID],Channels!$E$7)</f>
        <v/>
      </c>
      <c r="E234" s="72">
        <f>COUNTIFS(tblVideos[Day],"&gt;="&amp;$B234,tblVideos[Day],"&lt;"&amp;EDATE($B234,1),tblVideos[Channel ID],Channels!$E$8)</f>
        <v/>
      </c>
      <c r="F234" s="72">
        <f>COUNTIFS(tblVideos[Day],"&gt;="&amp;$B234,tblVideos[Day],"&lt;"&amp;EDATE($B234,1),tblVideos[Channel ID],Channels!$E$9)</f>
        <v/>
      </c>
      <c r="G234" s="72">
        <f>COUNTIFS(tblVideos[Day],"&gt;="&amp;$B234,tblVideos[Day],"&lt;"&amp;EDATE($B234,1),tblVideos[Channel ID],Channels!$E$10)</f>
        <v/>
      </c>
      <c r="H234" s="72">
        <f>COUNTIFS(tblVideos[Day],"&gt;="&amp;$B234,tblVideos[Day],"&lt;"&amp;EDATE($B234,1),tblVideos[Channel ID],Channels!$E$11)</f>
        <v/>
      </c>
      <c r="I234" s="81">
        <f>SUM(C234:H234)</f>
        <v/>
      </c>
      <c r="J234" s="82">
        <f>SUMIFS(tblVideos[Length],tblVideos[Day],"&gt;="&amp;$B234,tblVideos[Day],"&lt;"&amp;EDATE($B234,1))</f>
        <v/>
      </c>
      <c r="K234" s="72">
        <f>COUNTIFS(tblVideos[Watched On],"&gt;="&amp;$B234,tblVideos[Watched On],"&lt;"&amp;EDATE($B234,1),tblVideos[Status],"Watched")</f>
        <v/>
      </c>
      <c r="L234" s="82">
        <f>SUMIFS(tblVideos[Length],tblVideos[Watched On],"&gt;="&amp;$B234,tblVideos[Watched On],"&lt;"&amp;EDATE($B234,1),tblVideos[Status],"Watched")</f>
        <v/>
      </c>
      <c r="M234" s="84">
        <f>IF(I234=0,"Gap",IF(I234&gt;AVERAGE($I$144:$I$317)+2*STDEV($I$144:$I$317),"High",""))</f>
        <v/>
      </c>
    </row>
    <row r="235">
      <c r="B235" s="83" t="n">
        <v>43800</v>
      </c>
      <c r="C235" s="72">
        <f>COUNTIFS(tblVideos[Day],"&gt;="&amp;$B235,tblVideos[Day],"&lt;"&amp;EDATE($B235,1),tblVideos[Channel ID],Channels!$E$6)</f>
        <v/>
      </c>
      <c r="D235" s="72">
        <f>COUNTIFS(tblVideos[Day],"&gt;="&amp;$B235,tblVideos[Day],"&lt;"&amp;EDATE($B235,1),tblVideos[Channel ID],Channels!$E$7)</f>
        <v/>
      </c>
      <c r="E235" s="72">
        <f>COUNTIFS(tblVideos[Day],"&gt;="&amp;$B235,tblVideos[Day],"&lt;"&amp;EDATE($B235,1),tblVideos[Channel ID],Channels!$E$8)</f>
        <v/>
      </c>
      <c r="F235" s="72">
        <f>COUNTIFS(tblVideos[Day],"&gt;="&amp;$B235,tblVideos[Day],"&lt;"&amp;EDATE($B235,1),tblVideos[Channel ID],Channels!$E$9)</f>
        <v/>
      </c>
      <c r="G235" s="72">
        <f>COUNTIFS(tblVideos[Day],"&gt;="&amp;$B235,tblVideos[Day],"&lt;"&amp;EDATE($B235,1),tblVideos[Channel ID],Channels!$E$10)</f>
        <v/>
      </c>
      <c r="H235" s="72">
        <f>COUNTIFS(tblVideos[Day],"&gt;="&amp;$B235,tblVideos[Day],"&lt;"&amp;EDATE($B235,1),tblVideos[Channel ID],Channels!$E$11)</f>
        <v/>
      </c>
      <c r="I235" s="81">
        <f>SUM(C235:H235)</f>
        <v/>
      </c>
      <c r="J235" s="82">
        <f>SUMIFS(tblVideos[Length],tblVideos[Day],"&gt;="&amp;$B235,tblVideos[Day],"&lt;"&amp;EDATE($B235,1))</f>
        <v/>
      </c>
      <c r="K235" s="72">
        <f>COUNTIFS(tblVideos[Watched On],"&gt;="&amp;$B235,tblVideos[Watched On],"&lt;"&amp;EDATE($B235,1),tblVideos[Status],"Watched")</f>
        <v/>
      </c>
      <c r="L235" s="82">
        <f>SUMIFS(tblVideos[Length],tblVideos[Watched On],"&gt;="&amp;$B235,tblVideos[Watched On],"&lt;"&amp;EDATE($B235,1),tblVideos[Status],"Watched")</f>
        <v/>
      </c>
      <c r="M235" s="84">
        <f>IF(I235=0,"Gap",IF(I235&gt;AVERAGE($I$144:$I$317)+2*STDEV($I$144:$I$317),"High",""))</f>
        <v/>
      </c>
    </row>
    <row r="236">
      <c r="B236" s="83" t="n">
        <v>43831</v>
      </c>
      <c r="C236" s="72">
        <f>COUNTIFS(tblVideos[Day],"&gt;="&amp;$B236,tblVideos[Day],"&lt;"&amp;EDATE($B236,1),tblVideos[Channel ID],Channels!$E$6)</f>
        <v/>
      </c>
      <c r="D236" s="72">
        <f>COUNTIFS(tblVideos[Day],"&gt;="&amp;$B236,tblVideos[Day],"&lt;"&amp;EDATE($B236,1),tblVideos[Channel ID],Channels!$E$7)</f>
        <v/>
      </c>
      <c r="E236" s="72">
        <f>COUNTIFS(tblVideos[Day],"&gt;="&amp;$B236,tblVideos[Day],"&lt;"&amp;EDATE($B236,1),tblVideos[Channel ID],Channels!$E$8)</f>
        <v/>
      </c>
      <c r="F236" s="72">
        <f>COUNTIFS(tblVideos[Day],"&gt;="&amp;$B236,tblVideos[Day],"&lt;"&amp;EDATE($B236,1),tblVideos[Channel ID],Channels!$E$9)</f>
        <v/>
      </c>
      <c r="G236" s="72">
        <f>COUNTIFS(tblVideos[Day],"&gt;="&amp;$B236,tblVideos[Day],"&lt;"&amp;EDATE($B236,1),tblVideos[Channel ID],Channels!$E$10)</f>
        <v/>
      </c>
      <c r="H236" s="72">
        <f>COUNTIFS(tblVideos[Day],"&gt;="&amp;$B236,tblVideos[Day],"&lt;"&amp;EDATE($B236,1),tblVideos[Channel ID],Channels!$E$11)</f>
        <v/>
      </c>
      <c r="I236" s="81">
        <f>SUM(C236:H236)</f>
        <v/>
      </c>
      <c r="J236" s="82">
        <f>SUMIFS(tblVideos[Length],tblVideos[Day],"&gt;="&amp;$B236,tblVideos[Day],"&lt;"&amp;EDATE($B236,1))</f>
        <v/>
      </c>
      <c r="K236" s="72">
        <f>COUNTIFS(tblVideos[Watched On],"&gt;="&amp;$B236,tblVideos[Watched On],"&lt;"&amp;EDATE($B236,1),tblVideos[Status],"Watched")</f>
        <v/>
      </c>
      <c r="L236" s="82">
        <f>SUMIFS(tblVideos[Length],tblVideos[Watched On],"&gt;="&amp;$B236,tblVideos[Watched On],"&lt;"&amp;EDATE($B236,1),tblVideos[Status],"Watched")</f>
        <v/>
      </c>
      <c r="M236" s="84">
        <f>IF(I236=0,"Gap",IF(I236&gt;AVERAGE($I$144:$I$317)+2*STDEV($I$144:$I$317),"High",""))</f>
        <v/>
      </c>
    </row>
    <row r="237">
      <c r="B237" s="83" t="n">
        <v>43862</v>
      </c>
      <c r="C237" s="72">
        <f>COUNTIFS(tblVideos[Day],"&gt;="&amp;$B237,tblVideos[Day],"&lt;"&amp;EDATE($B237,1),tblVideos[Channel ID],Channels!$E$6)</f>
        <v/>
      </c>
      <c r="D237" s="72">
        <f>COUNTIFS(tblVideos[Day],"&gt;="&amp;$B237,tblVideos[Day],"&lt;"&amp;EDATE($B237,1),tblVideos[Channel ID],Channels!$E$7)</f>
        <v/>
      </c>
      <c r="E237" s="72">
        <f>COUNTIFS(tblVideos[Day],"&gt;="&amp;$B237,tblVideos[Day],"&lt;"&amp;EDATE($B237,1),tblVideos[Channel ID],Channels!$E$8)</f>
        <v/>
      </c>
      <c r="F237" s="72">
        <f>COUNTIFS(tblVideos[Day],"&gt;="&amp;$B237,tblVideos[Day],"&lt;"&amp;EDATE($B237,1),tblVideos[Channel ID],Channels!$E$9)</f>
        <v/>
      </c>
      <c r="G237" s="72">
        <f>COUNTIFS(tblVideos[Day],"&gt;="&amp;$B237,tblVideos[Day],"&lt;"&amp;EDATE($B237,1),tblVideos[Channel ID],Channels!$E$10)</f>
        <v/>
      </c>
      <c r="H237" s="72">
        <f>COUNTIFS(tblVideos[Day],"&gt;="&amp;$B237,tblVideos[Day],"&lt;"&amp;EDATE($B237,1),tblVideos[Channel ID],Channels!$E$11)</f>
        <v/>
      </c>
      <c r="I237" s="81">
        <f>SUM(C237:H237)</f>
        <v/>
      </c>
      <c r="J237" s="82">
        <f>SUMIFS(tblVideos[Length],tblVideos[Day],"&gt;="&amp;$B237,tblVideos[Day],"&lt;"&amp;EDATE($B237,1))</f>
        <v/>
      </c>
      <c r="K237" s="72">
        <f>COUNTIFS(tblVideos[Watched On],"&gt;="&amp;$B237,tblVideos[Watched On],"&lt;"&amp;EDATE($B237,1),tblVideos[Status],"Watched")</f>
        <v/>
      </c>
      <c r="L237" s="82">
        <f>SUMIFS(tblVideos[Length],tblVideos[Watched On],"&gt;="&amp;$B237,tblVideos[Watched On],"&lt;"&amp;EDATE($B237,1),tblVideos[Status],"Watched")</f>
        <v/>
      </c>
      <c r="M237" s="84">
        <f>IF(I237=0,"Gap",IF(I237&gt;AVERAGE($I$144:$I$317)+2*STDEV($I$144:$I$317),"High",""))</f>
        <v/>
      </c>
    </row>
    <row r="238">
      <c r="B238" s="83" t="n">
        <v>43891</v>
      </c>
      <c r="C238" s="72">
        <f>COUNTIFS(tblVideos[Day],"&gt;="&amp;$B238,tblVideos[Day],"&lt;"&amp;EDATE($B238,1),tblVideos[Channel ID],Channels!$E$6)</f>
        <v/>
      </c>
      <c r="D238" s="72">
        <f>COUNTIFS(tblVideos[Day],"&gt;="&amp;$B238,tblVideos[Day],"&lt;"&amp;EDATE($B238,1),tblVideos[Channel ID],Channels!$E$7)</f>
        <v/>
      </c>
      <c r="E238" s="72">
        <f>COUNTIFS(tblVideos[Day],"&gt;="&amp;$B238,tblVideos[Day],"&lt;"&amp;EDATE($B238,1),tblVideos[Channel ID],Channels!$E$8)</f>
        <v/>
      </c>
      <c r="F238" s="72">
        <f>COUNTIFS(tblVideos[Day],"&gt;="&amp;$B238,tblVideos[Day],"&lt;"&amp;EDATE($B238,1),tblVideos[Channel ID],Channels!$E$9)</f>
        <v/>
      </c>
      <c r="G238" s="72">
        <f>COUNTIFS(tblVideos[Day],"&gt;="&amp;$B238,tblVideos[Day],"&lt;"&amp;EDATE($B238,1),tblVideos[Channel ID],Channels!$E$10)</f>
        <v/>
      </c>
      <c r="H238" s="72">
        <f>COUNTIFS(tblVideos[Day],"&gt;="&amp;$B238,tblVideos[Day],"&lt;"&amp;EDATE($B238,1),tblVideos[Channel ID],Channels!$E$11)</f>
        <v/>
      </c>
      <c r="I238" s="81">
        <f>SUM(C238:H238)</f>
        <v/>
      </c>
      <c r="J238" s="82">
        <f>SUMIFS(tblVideos[Length],tblVideos[Day],"&gt;="&amp;$B238,tblVideos[Day],"&lt;"&amp;EDATE($B238,1))</f>
        <v/>
      </c>
      <c r="K238" s="72">
        <f>COUNTIFS(tblVideos[Watched On],"&gt;="&amp;$B238,tblVideos[Watched On],"&lt;"&amp;EDATE($B238,1),tblVideos[Status],"Watched")</f>
        <v/>
      </c>
      <c r="L238" s="82">
        <f>SUMIFS(tblVideos[Length],tblVideos[Watched On],"&gt;="&amp;$B238,tblVideos[Watched On],"&lt;"&amp;EDATE($B238,1),tblVideos[Status],"Watched")</f>
        <v/>
      </c>
      <c r="M238" s="84">
        <f>IF(I238=0,"Gap",IF(I238&gt;AVERAGE($I$144:$I$317)+2*STDEV($I$144:$I$317),"High",""))</f>
        <v/>
      </c>
    </row>
    <row r="239">
      <c r="B239" s="83" t="n">
        <v>43922</v>
      </c>
      <c r="C239" s="72">
        <f>COUNTIFS(tblVideos[Day],"&gt;="&amp;$B239,tblVideos[Day],"&lt;"&amp;EDATE($B239,1),tblVideos[Channel ID],Channels!$E$6)</f>
        <v/>
      </c>
      <c r="D239" s="72">
        <f>COUNTIFS(tblVideos[Day],"&gt;="&amp;$B239,tblVideos[Day],"&lt;"&amp;EDATE($B239,1),tblVideos[Channel ID],Channels!$E$7)</f>
        <v/>
      </c>
      <c r="E239" s="72">
        <f>COUNTIFS(tblVideos[Day],"&gt;="&amp;$B239,tblVideos[Day],"&lt;"&amp;EDATE($B239,1),tblVideos[Channel ID],Channels!$E$8)</f>
        <v/>
      </c>
      <c r="F239" s="72">
        <f>COUNTIFS(tblVideos[Day],"&gt;="&amp;$B239,tblVideos[Day],"&lt;"&amp;EDATE($B239,1),tblVideos[Channel ID],Channels!$E$9)</f>
        <v/>
      </c>
      <c r="G239" s="72">
        <f>COUNTIFS(tblVideos[Day],"&gt;="&amp;$B239,tblVideos[Day],"&lt;"&amp;EDATE($B239,1),tblVideos[Channel ID],Channels!$E$10)</f>
        <v/>
      </c>
      <c r="H239" s="72">
        <f>COUNTIFS(tblVideos[Day],"&gt;="&amp;$B239,tblVideos[Day],"&lt;"&amp;EDATE($B239,1),tblVideos[Channel ID],Channels!$E$11)</f>
        <v/>
      </c>
      <c r="I239" s="81">
        <f>SUM(C239:H239)</f>
        <v/>
      </c>
      <c r="J239" s="82">
        <f>SUMIFS(tblVideos[Length],tblVideos[Day],"&gt;="&amp;$B239,tblVideos[Day],"&lt;"&amp;EDATE($B239,1))</f>
        <v/>
      </c>
      <c r="K239" s="72">
        <f>COUNTIFS(tblVideos[Watched On],"&gt;="&amp;$B239,tblVideos[Watched On],"&lt;"&amp;EDATE($B239,1),tblVideos[Status],"Watched")</f>
        <v/>
      </c>
      <c r="L239" s="82">
        <f>SUMIFS(tblVideos[Length],tblVideos[Watched On],"&gt;="&amp;$B239,tblVideos[Watched On],"&lt;"&amp;EDATE($B239,1),tblVideos[Status],"Watched")</f>
        <v/>
      </c>
      <c r="M239" s="84">
        <f>IF(I239=0,"Gap",IF(I239&gt;AVERAGE($I$144:$I$317)+2*STDEV($I$144:$I$317),"High",""))</f>
        <v/>
      </c>
    </row>
    <row r="240">
      <c r="B240" s="83" t="n">
        <v>43952</v>
      </c>
      <c r="C240" s="72">
        <f>COUNTIFS(tblVideos[Day],"&gt;="&amp;$B240,tblVideos[Day],"&lt;"&amp;EDATE($B240,1),tblVideos[Channel ID],Channels!$E$6)</f>
        <v/>
      </c>
      <c r="D240" s="72">
        <f>COUNTIFS(tblVideos[Day],"&gt;="&amp;$B240,tblVideos[Day],"&lt;"&amp;EDATE($B240,1),tblVideos[Channel ID],Channels!$E$7)</f>
        <v/>
      </c>
      <c r="E240" s="72">
        <f>COUNTIFS(tblVideos[Day],"&gt;="&amp;$B240,tblVideos[Day],"&lt;"&amp;EDATE($B240,1),tblVideos[Channel ID],Channels!$E$8)</f>
        <v/>
      </c>
      <c r="F240" s="72">
        <f>COUNTIFS(tblVideos[Day],"&gt;="&amp;$B240,tblVideos[Day],"&lt;"&amp;EDATE($B240,1),tblVideos[Channel ID],Channels!$E$9)</f>
        <v/>
      </c>
      <c r="G240" s="72">
        <f>COUNTIFS(tblVideos[Day],"&gt;="&amp;$B240,tblVideos[Day],"&lt;"&amp;EDATE($B240,1),tblVideos[Channel ID],Channels!$E$10)</f>
        <v/>
      </c>
      <c r="H240" s="72">
        <f>COUNTIFS(tblVideos[Day],"&gt;="&amp;$B240,tblVideos[Day],"&lt;"&amp;EDATE($B240,1),tblVideos[Channel ID],Channels!$E$11)</f>
        <v/>
      </c>
      <c r="I240" s="81">
        <f>SUM(C240:H240)</f>
        <v/>
      </c>
      <c r="J240" s="82">
        <f>SUMIFS(tblVideos[Length],tblVideos[Day],"&gt;="&amp;$B240,tblVideos[Day],"&lt;"&amp;EDATE($B240,1))</f>
        <v/>
      </c>
      <c r="K240" s="72">
        <f>COUNTIFS(tblVideos[Watched On],"&gt;="&amp;$B240,tblVideos[Watched On],"&lt;"&amp;EDATE($B240,1),tblVideos[Status],"Watched")</f>
        <v/>
      </c>
      <c r="L240" s="82">
        <f>SUMIFS(tblVideos[Length],tblVideos[Watched On],"&gt;="&amp;$B240,tblVideos[Watched On],"&lt;"&amp;EDATE($B240,1),tblVideos[Status],"Watched")</f>
        <v/>
      </c>
      <c r="M240" s="84">
        <f>IF(I240=0,"Gap",IF(I240&gt;AVERAGE($I$144:$I$317)+2*STDEV($I$144:$I$317),"High",""))</f>
        <v/>
      </c>
    </row>
    <row r="241">
      <c r="B241" s="83" t="n">
        <v>43983</v>
      </c>
      <c r="C241" s="72">
        <f>COUNTIFS(tblVideos[Day],"&gt;="&amp;$B241,tblVideos[Day],"&lt;"&amp;EDATE($B241,1),tblVideos[Channel ID],Channels!$E$6)</f>
        <v/>
      </c>
      <c r="D241" s="72">
        <f>COUNTIFS(tblVideos[Day],"&gt;="&amp;$B241,tblVideos[Day],"&lt;"&amp;EDATE($B241,1),tblVideos[Channel ID],Channels!$E$7)</f>
        <v/>
      </c>
      <c r="E241" s="72">
        <f>COUNTIFS(tblVideos[Day],"&gt;="&amp;$B241,tblVideos[Day],"&lt;"&amp;EDATE($B241,1),tblVideos[Channel ID],Channels!$E$8)</f>
        <v/>
      </c>
      <c r="F241" s="72">
        <f>COUNTIFS(tblVideos[Day],"&gt;="&amp;$B241,tblVideos[Day],"&lt;"&amp;EDATE($B241,1),tblVideos[Channel ID],Channels!$E$9)</f>
        <v/>
      </c>
      <c r="G241" s="72">
        <f>COUNTIFS(tblVideos[Day],"&gt;="&amp;$B241,tblVideos[Day],"&lt;"&amp;EDATE($B241,1),tblVideos[Channel ID],Channels!$E$10)</f>
        <v/>
      </c>
      <c r="H241" s="72">
        <f>COUNTIFS(tblVideos[Day],"&gt;="&amp;$B241,tblVideos[Day],"&lt;"&amp;EDATE($B241,1),tblVideos[Channel ID],Channels!$E$11)</f>
        <v/>
      </c>
      <c r="I241" s="81">
        <f>SUM(C241:H241)</f>
        <v/>
      </c>
      <c r="J241" s="82">
        <f>SUMIFS(tblVideos[Length],tblVideos[Day],"&gt;="&amp;$B241,tblVideos[Day],"&lt;"&amp;EDATE($B241,1))</f>
        <v/>
      </c>
      <c r="K241" s="72">
        <f>COUNTIFS(tblVideos[Watched On],"&gt;="&amp;$B241,tblVideos[Watched On],"&lt;"&amp;EDATE($B241,1),tblVideos[Status],"Watched")</f>
        <v/>
      </c>
      <c r="L241" s="82">
        <f>SUMIFS(tblVideos[Length],tblVideos[Watched On],"&gt;="&amp;$B241,tblVideos[Watched On],"&lt;"&amp;EDATE($B241,1),tblVideos[Status],"Watched")</f>
        <v/>
      </c>
      <c r="M241" s="84">
        <f>IF(I241=0,"Gap",IF(I241&gt;AVERAGE($I$144:$I$317)+2*STDEV($I$144:$I$317),"High",""))</f>
        <v/>
      </c>
    </row>
    <row r="242">
      <c r="B242" s="83" t="n">
        <v>44013</v>
      </c>
      <c r="C242" s="72">
        <f>COUNTIFS(tblVideos[Day],"&gt;="&amp;$B242,tblVideos[Day],"&lt;"&amp;EDATE($B242,1),tblVideos[Channel ID],Channels!$E$6)</f>
        <v/>
      </c>
      <c r="D242" s="72">
        <f>COUNTIFS(tblVideos[Day],"&gt;="&amp;$B242,tblVideos[Day],"&lt;"&amp;EDATE($B242,1),tblVideos[Channel ID],Channels!$E$7)</f>
        <v/>
      </c>
      <c r="E242" s="72">
        <f>COUNTIFS(tblVideos[Day],"&gt;="&amp;$B242,tblVideos[Day],"&lt;"&amp;EDATE($B242,1),tblVideos[Channel ID],Channels!$E$8)</f>
        <v/>
      </c>
      <c r="F242" s="72">
        <f>COUNTIFS(tblVideos[Day],"&gt;="&amp;$B242,tblVideos[Day],"&lt;"&amp;EDATE($B242,1),tblVideos[Channel ID],Channels!$E$9)</f>
        <v/>
      </c>
      <c r="G242" s="72">
        <f>COUNTIFS(tblVideos[Day],"&gt;="&amp;$B242,tblVideos[Day],"&lt;"&amp;EDATE($B242,1),tblVideos[Channel ID],Channels!$E$10)</f>
        <v/>
      </c>
      <c r="H242" s="72">
        <f>COUNTIFS(tblVideos[Day],"&gt;="&amp;$B242,tblVideos[Day],"&lt;"&amp;EDATE($B242,1),tblVideos[Channel ID],Channels!$E$11)</f>
        <v/>
      </c>
      <c r="I242" s="81">
        <f>SUM(C242:H242)</f>
        <v/>
      </c>
      <c r="J242" s="82">
        <f>SUMIFS(tblVideos[Length],tblVideos[Day],"&gt;="&amp;$B242,tblVideos[Day],"&lt;"&amp;EDATE($B242,1))</f>
        <v/>
      </c>
      <c r="K242" s="72">
        <f>COUNTIFS(tblVideos[Watched On],"&gt;="&amp;$B242,tblVideos[Watched On],"&lt;"&amp;EDATE($B242,1),tblVideos[Status],"Watched")</f>
        <v/>
      </c>
      <c r="L242" s="82">
        <f>SUMIFS(tblVideos[Length],tblVideos[Watched On],"&gt;="&amp;$B242,tblVideos[Watched On],"&lt;"&amp;EDATE($B242,1),tblVideos[Status],"Watched")</f>
        <v/>
      </c>
      <c r="M242" s="84">
        <f>IF(I242=0,"Gap",IF(I242&gt;AVERAGE($I$144:$I$317)+2*STDEV($I$144:$I$317),"High",""))</f>
        <v/>
      </c>
    </row>
    <row r="243">
      <c r="B243" s="83" t="n">
        <v>44044</v>
      </c>
      <c r="C243" s="72">
        <f>COUNTIFS(tblVideos[Day],"&gt;="&amp;$B243,tblVideos[Day],"&lt;"&amp;EDATE($B243,1),tblVideos[Channel ID],Channels!$E$6)</f>
        <v/>
      </c>
      <c r="D243" s="72">
        <f>COUNTIFS(tblVideos[Day],"&gt;="&amp;$B243,tblVideos[Day],"&lt;"&amp;EDATE($B243,1),tblVideos[Channel ID],Channels!$E$7)</f>
        <v/>
      </c>
      <c r="E243" s="72">
        <f>COUNTIFS(tblVideos[Day],"&gt;="&amp;$B243,tblVideos[Day],"&lt;"&amp;EDATE($B243,1),tblVideos[Channel ID],Channels!$E$8)</f>
        <v/>
      </c>
      <c r="F243" s="72">
        <f>COUNTIFS(tblVideos[Day],"&gt;="&amp;$B243,tblVideos[Day],"&lt;"&amp;EDATE($B243,1),tblVideos[Channel ID],Channels!$E$9)</f>
        <v/>
      </c>
      <c r="G243" s="72">
        <f>COUNTIFS(tblVideos[Day],"&gt;="&amp;$B243,tblVideos[Day],"&lt;"&amp;EDATE($B243,1),tblVideos[Channel ID],Channels!$E$10)</f>
        <v/>
      </c>
      <c r="H243" s="72">
        <f>COUNTIFS(tblVideos[Day],"&gt;="&amp;$B243,tblVideos[Day],"&lt;"&amp;EDATE($B243,1),tblVideos[Channel ID],Channels!$E$11)</f>
        <v/>
      </c>
      <c r="I243" s="81">
        <f>SUM(C243:H243)</f>
        <v/>
      </c>
      <c r="J243" s="82">
        <f>SUMIFS(tblVideos[Length],tblVideos[Day],"&gt;="&amp;$B243,tblVideos[Day],"&lt;"&amp;EDATE($B243,1))</f>
        <v/>
      </c>
      <c r="K243" s="72">
        <f>COUNTIFS(tblVideos[Watched On],"&gt;="&amp;$B243,tblVideos[Watched On],"&lt;"&amp;EDATE($B243,1),tblVideos[Status],"Watched")</f>
        <v/>
      </c>
      <c r="L243" s="82">
        <f>SUMIFS(tblVideos[Length],tblVideos[Watched On],"&gt;="&amp;$B243,tblVideos[Watched On],"&lt;"&amp;EDATE($B243,1),tblVideos[Status],"Watched")</f>
        <v/>
      </c>
      <c r="M243" s="84">
        <f>IF(I243=0,"Gap",IF(I243&gt;AVERAGE($I$144:$I$317)+2*STDEV($I$144:$I$317),"High",""))</f>
        <v/>
      </c>
    </row>
    <row r="244">
      <c r="B244" s="83" t="n">
        <v>44075</v>
      </c>
      <c r="C244" s="72">
        <f>COUNTIFS(tblVideos[Day],"&gt;="&amp;$B244,tblVideos[Day],"&lt;"&amp;EDATE($B244,1),tblVideos[Channel ID],Channels!$E$6)</f>
        <v/>
      </c>
      <c r="D244" s="72">
        <f>COUNTIFS(tblVideos[Day],"&gt;="&amp;$B244,tblVideos[Day],"&lt;"&amp;EDATE($B244,1),tblVideos[Channel ID],Channels!$E$7)</f>
        <v/>
      </c>
      <c r="E244" s="72">
        <f>COUNTIFS(tblVideos[Day],"&gt;="&amp;$B244,tblVideos[Day],"&lt;"&amp;EDATE($B244,1),tblVideos[Channel ID],Channels!$E$8)</f>
        <v/>
      </c>
      <c r="F244" s="72">
        <f>COUNTIFS(tblVideos[Day],"&gt;="&amp;$B244,tblVideos[Day],"&lt;"&amp;EDATE($B244,1),tblVideos[Channel ID],Channels!$E$9)</f>
        <v/>
      </c>
      <c r="G244" s="72">
        <f>COUNTIFS(tblVideos[Day],"&gt;="&amp;$B244,tblVideos[Day],"&lt;"&amp;EDATE($B244,1),tblVideos[Channel ID],Channels!$E$10)</f>
        <v/>
      </c>
      <c r="H244" s="72">
        <f>COUNTIFS(tblVideos[Day],"&gt;="&amp;$B244,tblVideos[Day],"&lt;"&amp;EDATE($B244,1),tblVideos[Channel ID],Channels!$E$11)</f>
        <v/>
      </c>
      <c r="I244" s="81">
        <f>SUM(C244:H244)</f>
        <v/>
      </c>
      <c r="J244" s="82">
        <f>SUMIFS(tblVideos[Length],tblVideos[Day],"&gt;="&amp;$B244,tblVideos[Day],"&lt;"&amp;EDATE($B244,1))</f>
        <v/>
      </c>
      <c r="K244" s="72">
        <f>COUNTIFS(tblVideos[Watched On],"&gt;="&amp;$B244,tblVideos[Watched On],"&lt;"&amp;EDATE($B244,1),tblVideos[Status],"Watched")</f>
        <v/>
      </c>
      <c r="L244" s="82">
        <f>SUMIFS(tblVideos[Length],tblVideos[Watched On],"&gt;="&amp;$B244,tblVideos[Watched On],"&lt;"&amp;EDATE($B244,1),tblVideos[Status],"Watched")</f>
        <v/>
      </c>
      <c r="M244" s="84">
        <f>IF(I244=0,"Gap",IF(I244&gt;AVERAGE($I$144:$I$317)+2*STDEV($I$144:$I$317),"High",""))</f>
        <v/>
      </c>
    </row>
    <row r="245">
      <c r="B245" s="83" t="n">
        <v>44105</v>
      </c>
      <c r="C245" s="72">
        <f>COUNTIFS(tblVideos[Day],"&gt;="&amp;$B245,tblVideos[Day],"&lt;"&amp;EDATE($B245,1),tblVideos[Channel ID],Channels!$E$6)</f>
        <v/>
      </c>
      <c r="D245" s="72">
        <f>COUNTIFS(tblVideos[Day],"&gt;="&amp;$B245,tblVideos[Day],"&lt;"&amp;EDATE($B245,1),tblVideos[Channel ID],Channels!$E$7)</f>
        <v/>
      </c>
      <c r="E245" s="72">
        <f>COUNTIFS(tblVideos[Day],"&gt;="&amp;$B245,tblVideos[Day],"&lt;"&amp;EDATE($B245,1),tblVideos[Channel ID],Channels!$E$8)</f>
        <v/>
      </c>
      <c r="F245" s="72">
        <f>COUNTIFS(tblVideos[Day],"&gt;="&amp;$B245,tblVideos[Day],"&lt;"&amp;EDATE($B245,1),tblVideos[Channel ID],Channels!$E$9)</f>
        <v/>
      </c>
      <c r="G245" s="72">
        <f>COUNTIFS(tblVideos[Day],"&gt;="&amp;$B245,tblVideos[Day],"&lt;"&amp;EDATE($B245,1),tblVideos[Channel ID],Channels!$E$10)</f>
        <v/>
      </c>
      <c r="H245" s="72">
        <f>COUNTIFS(tblVideos[Day],"&gt;="&amp;$B245,tblVideos[Day],"&lt;"&amp;EDATE($B245,1),tblVideos[Channel ID],Channels!$E$11)</f>
        <v/>
      </c>
      <c r="I245" s="81">
        <f>SUM(C245:H245)</f>
        <v/>
      </c>
      <c r="J245" s="82">
        <f>SUMIFS(tblVideos[Length],tblVideos[Day],"&gt;="&amp;$B245,tblVideos[Day],"&lt;"&amp;EDATE($B245,1))</f>
        <v/>
      </c>
      <c r="K245" s="72">
        <f>COUNTIFS(tblVideos[Watched On],"&gt;="&amp;$B245,tblVideos[Watched On],"&lt;"&amp;EDATE($B245,1),tblVideos[Status],"Watched")</f>
        <v/>
      </c>
      <c r="L245" s="82">
        <f>SUMIFS(tblVideos[Length],tblVideos[Watched On],"&gt;="&amp;$B245,tblVideos[Watched On],"&lt;"&amp;EDATE($B245,1),tblVideos[Status],"Watched")</f>
        <v/>
      </c>
      <c r="M245" s="84">
        <f>IF(I245=0,"Gap",IF(I245&gt;AVERAGE($I$144:$I$317)+2*STDEV($I$144:$I$317),"High",""))</f>
        <v/>
      </c>
    </row>
    <row r="246">
      <c r="B246" s="83" t="n">
        <v>44136</v>
      </c>
      <c r="C246" s="72">
        <f>COUNTIFS(tblVideos[Day],"&gt;="&amp;$B246,tblVideos[Day],"&lt;"&amp;EDATE($B246,1),tblVideos[Channel ID],Channels!$E$6)</f>
        <v/>
      </c>
      <c r="D246" s="72">
        <f>COUNTIFS(tblVideos[Day],"&gt;="&amp;$B246,tblVideos[Day],"&lt;"&amp;EDATE($B246,1),tblVideos[Channel ID],Channels!$E$7)</f>
        <v/>
      </c>
      <c r="E246" s="72">
        <f>COUNTIFS(tblVideos[Day],"&gt;="&amp;$B246,tblVideos[Day],"&lt;"&amp;EDATE($B246,1),tblVideos[Channel ID],Channels!$E$8)</f>
        <v/>
      </c>
      <c r="F246" s="72">
        <f>COUNTIFS(tblVideos[Day],"&gt;="&amp;$B246,tblVideos[Day],"&lt;"&amp;EDATE($B246,1),tblVideos[Channel ID],Channels!$E$9)</f>
        <v/>
      </c>
      <c r="G246" s="72">
        <f>COUNTIFS(tblVideos[Day],"&gt;="&amp;$B246,tblVideos[Day],"&lt;"&amp;EDATE($B246,1),tblVideos[Channel ID],Channels!$E$10)</f>
        <v/>
      </c>
      <c r="H246" s="72">
        <f>COUNTIFS(tblVideos[Day],"&gt;="&amp;$B246,tblVideos[Day],"&lt;"&amp;EDATE($B246,1),tblVideos[Channel ID],Channels!$E$11)</f>
        <v/>
      </c>
      <c r="I246" s="81">
        <f>SUM(C246:H246)</f>
        <v/>
      </c>
      <c r="J246" s="82">
        <f>SUMIFS(tblVideos[Length],tblVideos[Day],"&gt;="&amp;$B246,tblVideos[Day],"&lt;"&amp;EDATE($B246,1))</f>
        <v/>
      </c>
      <c r="K246" s="72">
        <f>COUNTIFS(tblVideos[Watched On],"&gt;="&amp;$B246,tblVideos[Watched On],"&lt;"&amp;EDATE($B246,1),tblVideos[Status],"Watched")</f>
        <v/>
      </c>
      <c r="L246" s="82">
        <f>SUMIFS(tblVideos[Length],tblVideos[Watched On],"&gt;="&amp;$B246,tblVideos[Watched On],"&lt;"&amp;EDATE($B246,1),tblVideos[Status],"Watched")</f>
        <v/>
      </c>
      <c r="M246" s="84">
        <f>IF(I246=0,"Gap",IF(I246&gt;AVERAGE($I$144:$I$317)+2*STDEV($I$144:$I$317),"High",""))</f>
        <v/>
      </c>
    </row>
    <row r="247">
      <c r="B247" s="83" t="n">
        <v>44166</v>
      </c>
      <c r="C247" s="72">
        <f>COUNTIFS(tblVideos[Day],"&gt;="&amp;$B247,tblVideos[Day],"&lt;"&amp;EDATE($B247,1),tblVideos[Channel ID],Channels!$E$6)</f>
        <v/>
      </c>
      <c r="D247" s="72">
        <f>COUNTIFS(tblVideos[Day],"&gt;="&amp;$B247,tblVideos[Day],"&lt;"&amp;EDATE($B247,1),tblVideos[Channel ID],Channels!$E$7)</f>
        <v/>
      </c>
      <c r="E247" s="72">
        <f>COUNTIFS(tblVideos[Day],"&gt;="&amp;$B247,tblVideos[Day],"&lt;"&amp;EDATE($B247,1),tblVideos[Channel ID],Channels!$E$8)</f>
        <v/>
      </c>
      <c r="F247" s="72">
        <f>COUNTIFS(tblVideos[Day],"&gt;="&amp;$B247,tblVideos[Day],"&lt;"&amp;EDATE($B247,1),tblVideos[Channel ID],Channels!$E$9)</f>
        <v/>
      </c>
      <c r="G247" s="72">
        <f>COUNTIFS(tblVideos[Day],"&gt;="&amp;$B247,tblVideos[Day],"&lt;"&amp;EDATE($B247,1),tblVideos[Channel ID],Channels!$E$10)</f>
        <v/>
      </c>
      <c r="H247" s="72">
        <f>COUNTIFS(tblVideos[Day],"&gt;="&amp;$B247,tblVideos[Day],"&lt;"&amp;EDATE($B247,1),tblVideos[Channel ID],Channels!$E$11)</f>
        <v/>
      </c>
      <c r="I247" s="81">
        <f>SUM(C247:H247)</f>
        <v/>
      </c>
      <c r="J247" s="82">
        <f>SUMIFS(tblVideos[Length],tblVideos[Day],"&gt;="&amp;$B247,tblVideos[Day],"&lt;"&amp;EDATE($B247,1))</f>
        <v/>
      </c>
      <c r="K247" s="72">
        <f>COUNTIFS(tblVideos[Watched On],"&gt;="&amp;$B247,tblVideos[Watched On],"&lt;"&amp;EDATE($B247,1),tblVideos[Status],"Watched")</f>
        <v/>
      </c>
      <c r="L247" s="82">
        <f>SUMIFS(tblVideos[Length],tblVideos[Watched On],"&gt;="&amp;$B247,tblVideos[Watched On],"&lt;"&amp;EDATE($B247,1),tblVideos[Status],"Watched")</f>
        <v/>
      </c>
      <c r="M247" s="84">
        <f>IF(I247=0,"Gap",IF(I247&gt;AVERAGE($I$144:$I$317)+2*STDEV($I$144:$I$317),"High",""))</f>
        <v/>
      </c>
    </row>
    <row r="248">
      <c r="B248" s="83" t="n">
        <v>44197</v>
      </c>
      <c r="C248" s="72">
        <f>COUNTIFS(tblVideos[Day],"&gt;="&amp;$B248,tblVideos[Day],"&lt;"&amp;EDATE($B248,1),tblVideos[Channel ID],Channels!$E$6)</f>
        <v/>
      </c>
      <c r="D248" s="72">
        <f>COUNTIFS(tblVideos[Day],"&gt;="&amp;$B248,tblVideos[Day],"&lt;"&amp;EDATE($B248,1),tblVideos[Channel ID],Channels!$E$7)</f>
        <v/>
      </c>
      <c r="E248" s="72">
        <f>COUNTIFS(tblVideos[Day],"&gt;="&amp;$B248,tblVideos[Day],"&lt;"&amp;EDATE($B248,1),tblVideos[Channel ID],Channels!$E$8)</f>
        <v/>
      </c>
      <c r="F248" s="72">
        <f>COUNTIFS(tblVideos[Day],"&gt;="&amp;$B248,tblVideos[Day],"&lt;"&amp;EDATE($B248,1),tblVideos[Channel ID],Channels!$E$9)</f>
        <v/>
      </c>
      <c r="G248" s="72">
        <f>COUNTIFS(tblVideos[Day],"&gt;="&amp;$B248,tblVideos[Day],"&lt;"&amp;EDATE($B248,1),tblVideos[Channel ID],Channels!$E$10)</f>
        <v/>
      </c>
      <c r="H248" s="72">
        <f>COUNTIFS(tblVideos[Day],"&gt;="&amp;$B248,tblVideos[Day],"&lt;"&amp;EDATE($B248,1),tblVideos[Channel ID],Channels!$E$11)</f>
        <v/>
      </c>
      <c r="I248" s="81">
        <f>SUM(C248:H248)</f>
        <v/>
      </c>
      <c r="J248" s="82">
        <f>SUMIFS(tblVideos[Length],tblVideos[Day],"&gt;="&amp;$B248,tblVideos[Day],"&lt;"&amp;EDATE($B248,1))</f>
        <v/>
      </c>
      <c r="K248" s="72">
        <f>COUNTIFS(tblVideos[Watched On],"&gt;="&amp;$B248,tblVideos[Watched On],"&lt;"&amp;EDATE($B248,1),tblVideos[Status],"Watched")</f>
        <v/>
      </c>
      <c r="L248" s="82">
        <f>SUMIFS(tblVideos[Length],tblVideos[Watched On],"&gt;="&amp;$B248,tblVideos[Watched On],"&lt;"&amp;EDATE($B248,1),tblVideos[Status],"Watched")</f>
        <v/>
      </c>
      <c r="M248" s="84">
        <f>IF(I248=0,"Gap",IF(I248&gt;AVERAGE($I$144:$I$317)+2*STDEV($I$144:$I$317),"High",""))</f>
        <v/>
      </c>
    </row>
    <row r="249">
      <c r="B249" s="83" t="n">
        <v>44228</v>
      </c>
      <c r="C249" s="72">
        <f>COUNTIFS(tblVideos[Day],"&gt;="&amp;$B249,tblVideos[Day],"&lt;"&amp;EDATE($B249,1),tblVideos[Channel ID],Channels!$E$6)</f>
        <v/>
      </c>
      <c r="D249" s="72">
        <f>COUNTIFS(tblVideos[Day],"&gt;="&amp;$B249,tblVideos[Day],"&lt;"&amp;EDATE($B249,1),tblVideos[Channel ID],Channels!$E$7)</f>
        <v/>
      </c>
      <c r="E249" s="72">
        <f>COUNTIFS(tblVideos[Day],"&gt;="&amp;$B249,tblVideos[Day],"&lt;"&amp;EDATE($B249,1),tblVideos[Channel ID],Channels!$E$8)</f>
        <v/>
      </c>
      <c r="F249" s="72">
        <f>COUNTIFS(tblVideos[Day],"&gt;="&amp;$B249,tblVideos[Day],"&lt;"&amp;EDATE($B249,1),tblVideos[Channel ID],Channels!$E$9)</f>
        <v/>
      </c>
      <c r="G249" s="72">
        <f>COUNTIFS(tblVideos[Day],"&gt;="&amp;$B249,tblVideos[Day],"&lt;"&amp;EDATE($B249,1),tblVideos[Channel ID],Channels!$E$10)</f>
        <v/>
      </c>
      <c r="H249" s="72">
        <f>COUNTIFS(tblVideos[Day],"&gt;="&amp;$B249,tblVideos[Day],"&lt;"&amp;EDATE($B249,1),tblVideos[Channel ID],Channels!$E$11)</f>
        <v/>
      </c>
      <c r="I249" s="81">
        <f>SUM(C249:H249)</f>
        <v/>
      </c>
      <c r="J249" s="82">
        <f>SUMIFS(tblVideos[Length],tblVideos[Day],"&gt;="&amp;$B249,tblVideos[Day],"&lt;"&amp;EDATE($B249,1))</f>
        <v/>
      </c>
      <c r="K249" s="72">
        <f>COUNTIFS(tblVideos[Watched On],"&gt;="&amp;$B249,tblVideos[Watched On],"&lt;"&amp;EDATE($B249,1),tblVideos[Status],"Watched")</f>
        <v/>
      </c>
      <c r="L249" s="82">
        <f>SUMIFS(tblVideos[Length],tblVideos[Watched On],"&gt;="&amp;$B249,tblVideos[Watched On],"&lt;"&amp;EDATE($B249,1),tblVideos[Status],"Watched")</f>
        <v/>
      </c>
      <c r="M249" s="84">
        <f>IF(I249=0,"Gap",IF(I249&gt;AVERAGE($I$144:$I$317)+2*STDEV($I$144:$I$317),"High",""))</f>
        <v/>
      </c>
    </row>
    <row r="250">
      <c r="B250" s="83" t="n">
        <v>44256</v>
      </c>
      <c r="C250" s="72">
        <f>COUNTIFS(tblVideos[Day],"&gt;="&amp;$B250,tblVideos[Day],"&lt;"&amp;EDATE($B250,1),tblVideos[Channel ID],Channels!$E$6)</f>
        <v/>
      </c>
      <c r="D250" s="72">
        <f>COUNTIFS(tblVideos[Day],"&gt;="&amp;$B250,tblVideos[Day],"&lt;"&amp;EDATE($B250,1),tblVideos[Channel ID],Channels!$E$7)</f>
        <v/>
      </c>
      <c r="E250" s="72">
        <f>COUNTIFS(tblVideos[Day],"&gt;="&amp;$B250,tblVideos[Day],"&lt;"&amp;EDATE($B250,1),tblVideos[Channel ID],Channels!$E$8)</f>
        <v/>
      </c>
      <c r="F250" s="72">
        <f>COUNTIFS(tblVideos[Day],"&gt;="&amp;$B250,tblVideos[Day],"&lt;"&amp;EDATE($B250,1),tblVideos[Channel ID],Channels!$E$9)</f>
        <v/>
      </c>
      <c r="G250" s="72">
        <f>COUNTIFS(tblVideos[Day],"&gt;="&amp;$B250,tblVideos[Day],"&lt;"&amp;EDATE($B250,1),tblVideos[Channel ID],Channels!$E$10)</f>
        <v/>
      </c>
      <c r="H250" s="72">
        <f>COUNTIFS(tblVideos[Day],"&gt;="&amp;$B250,tblVideos[Day],"&lt;"&amp;EDATE($B250,1),tblVideos[Channel ID],Channels!$E$11)</f>
        <v/>
      </c>
      <c r="I250" s="81">
        <f>SUM(C250:H250)</f>
        <v/>
      </c>
      <c r="J250" s="82">
        <f>SUMIFS(tblVideos[Length],tblVideos[Day],"&gt;="&amp;$B250,tblVideos[Day],"&lt;"&amp;EDATE($B250,1))</f>
        <v/>
      </c>
      <c r="K250" s="72">
        <f>COUNTIFS(tblVideos[Watched On],"&gt;="&amp;$B250,tblVideos[Watched On],"&lt;"&amp;EDATE($B250,1),tblVideos[Status],"Watched")</f>
        <v/>
      </c>
      <c r="L250" s="82">
        <f>SUMIFS(tblVideos[Length],tblVideos[Watched On],"&gt;="&amp;$B250,tblVideos[Watched On],"&lt;"&amp;EDATE($B250,1),tblVideos[Status],"Watched")</f>
        <v/>
      </c>
      <c r="M250" s="84">
        <f>IF(I250=0,"Gap",IF(I250&gt;AVERAGE($I$144:$I$317)+2*STDEV($I$144:$I$317),"High",""))</f>
        <v/>
      </c>
    </row>
    <row r="251">
      <c r="B251" s="83" t="n">
        <v>44287</v>
      </c>
      <c r="C251" s="72">
        <f>COUNTIFS(tblVideos[Day],"&gt;="&amp;$B251,tblVideos[Day],"&lt;"&amp;EDATE($B251,1),tblVideos[Channel ID],Channels!$E$6)</f>
        <v/>
      </c>
      <c r="D251" s="72">
        <f>COUNTIFS(tblVideos[Day],"&gt;="&amp;$B251,tblVideos[Day],"&lt;"&amp;EDATE($B251,1),tblVideos[Channel ID],Channels!$E$7)</f>
        <v/>
      </c>
      <c r="E251" s="72">
        <f>COUNTIFS(tblVideos[Day],"&gt;="&amp;$B251,tblVideos[Day],"&lt;"&amp;EDATE($B251,1),tblVideos[Channel ID],Channels!$E$8)</f>
        <v/>
      </c>
      <c r="F251" s="72">
        <f>COUNTIFS(tblVideos[Day],"&gt;="&amp;$B251,tblVideos[Day],"&lt;"&amp;EDATE($B251,1),tblVideos[Channel ID],Channels!$E$9)</f>
        <v/>
      </c>
      <c r="G251" s="72">
        <f>COUNTIFS(tblVideos[Day],"&gt;="&amp;$B251,tblVideos[Day],"&lt;"&amp;EDATE($B251,1),tblVideos[Channel ID],Channels!$E$10)</f>
        <v/>
      </c>
      <c r="H251" s="72">
        <f>COUNTIFS(tblVideos[Day],"&gt;="&amp;$B251,tblVideos[Day],"&lt;"&amp;EDATE($B251,1),tblVideos[Channel ID],Channels!$E$11)</f>
        <v/>
      </c>
      <c r="I251" s="81">
        <f>SUM(C251:H251)</f>
        <v/>
      </c>
      <c r="J251" s="82">
        <f>SUMIFS(tblVideos[Length],tblVideos[Day],"&gt;="&amp;$B251,tblVideos[Day],"&lt;"&amp;EDATE($B251,1))</f>
        <v/>
      </c>
      <c r="K251" s="72">
        <f>COUNTIFS(tblVideos[Watched On],"&gt;="&amp;$B251,tblVideos[Watched On],"&lt;"&amp;EDATE($B251,1),tblVideos[Status],"Watched")</f>
        <v/>
      </c>
      <c r="L251" s="82">
        <f>SUMIFS(tblVideos[Length],tblVideos[Watched On],"&gt;="&amp;$B251,tblVideos[Watched On],"&lt;"&amp;EDATE($B251,1),tblVideos[Status],"Watched")</f>
        <v/>
      </c>
      <c r="M251" s="84">
        <f>IF(I251=0,"Gap",IF(I251&gt;AVERAGE($I$144:$I$317)+2*STDEV($I$144:$I$317),"High",""))</f>
        <v/>
      </c>
    </row>
    <row r="252">
      <c r="B252" s="83" t="n">
        <v>44317</v>
      </c>
      <c r="C252" s="72">
        <f>COUNTIFS(tblVideos[Day],"&gt;="&amp;$B252,tblVideos[Day],"&lt;"&amp;EDATE($B252,1),tblVideos[Channel ID],Channels!$E$6)</f>
        <v/>
      </c>
      <c r="D252" s="72">
        <f>COUNTIFS(tblVideos[Day],"&gt;="&amp;$B252,tblVideos[Day],"&lt;"&amp;EDATE($B252,1),tblVideos[Channel ID],Channels!$E$7)</f>
        <v/>
      </c>
      <c r="E252" s="72">
        <f>COUNTIFS(tblVideos[Day],"&gt;="&amp;$B252,tblVideos[Day],"&lt;"&amp;EDATE($B252,1),tblVideos[Channel ID],Channels!$E$8)</f>
        <v/>
      </c>
      <c r="F252" s="72">
        <f>COUNTIFS(tblVideos[Day],"&gt;="&amp;$B252,tblVideos[Day],"&lt;"&amp;EDATE($B252,1),tblVideos[Channel ID],Channels!$E$9)</f>
        <v/>
      </c>
      <c r="G252" s="72">
        <f>COUNTIFS(tblVideos[Day],"&gt;="&amp;$B252,tblVideos[Day],"&lt;"&amp;EDATE($B252,1),tblVideos[Channel ID],Channels!$E$10)</f>
        <v/>
      </c>
      <c r="H252" s="72">
        <f>COUNTIFS(tblVideos[Day],"&gt;="&amp;$B252,tblVideos[Day],"&lt;"&amp;EDATE($B252,1),tblVideos[Channel ID],Channels!$E$11)</f>
        <v/>
      </c>
      <c r="I252" s="81">
        <f>SUM(C252:H252)</f>
        <v/>
      </c>
      <c r="J252" s="82">
        <f>SUMIFS(tblVideos[Length],tblVideos[Day],"&gt;="&amp;$B252,tblVideos[Day],"&lt;"&amp;EDATE($B252,1))</f>
        <v/>
      </c>
      <c r="K252" s="72">
        <f>COUNTIFS(tblVideos[Watched On],"&gt;="&amp;$B252,tblVideos[Watched On],"&lt;"&amp;EDATE($B252,1),tblVideos[Status],"Watched")</f>
        <v/>
      </c>
      <c r="L252" s="82">
        <f>SUMIFS(tblVideos[Length],tblVideos[Watched On],"&gt;="&amp;$B252,tblVideos[Watched On],"&lt;"&amp;EDATE($B252,1),tblVideos[Status],"Watched")</f>
        <v/>
      </c>
      <c r="M252" s="84">
        <f>IF(I252=0,"Gap",IF(I252&gt;AVERAGE($I$144:$I$317)+2*STDEV($I$144:$I$317),"High",""))</f>
        <v/>
      </c>
    </row>
    <row r="253">
      <c r="B253" s="83" t="n">
        <v>44348</v>
      </c>
      <c r="C253" s="72">
        <f>COUNTIFS(tblVideos[Day],"&gt;="&amp;$B253,tblVideos[Day],"&lt;"&amp;EDATE($B253,1),tblVideos[Channel ID],Channels!$E$6)</f>
        <v/>
      </c>
      <c r="D253" s="72">
        <f>COUNTIFS(tblVideos[Day],"&gt;="&amp;$B253,tblVideos[Day],"&lt;"&amp;EDATE($B253,1),tblVideos[Channel ID],Channels!$E$7)</f>
        <v/>
      </c>
      <c r="E253" s="72">
        <f>COUNTIFS(tblVideos[Day],"&gt;="&amp;$B253,tblVideos[Day],"&lt;"&amp;EDATE($B253,1),tblVideos[Channel ID],Channels!$E$8)</f>
        <v/>
      </c>
      <c r="F253" s="72">
        <f>COUNTIFS(tblVideos[Day],"&gt;="&amp;$B253,tblVideos[Day],"&lt;"&amp;EDATE($B253,1),tblVideos[Channel ID],Channels!$E$9)</f>
        <v/>
      </c>
      <c r="G253" s="72">
        <f>COUNTIFS(tblVideos[Day],"&gt;="&amp;$B253,tblVideos[Day],"&lt;"&amp;EDATE($B253,1),tblVideos[Channel ID],Channels!$E$10)</f>
        <v/>
      </c>
      <c r="H253" s="72">
        <f>COUNTIFS(tblVideos[Day],"&gt;="&amp;$B253,tblVideos[Day],"&lt;"&amp;EDATE($B253,1),tblVideos[Channel ID],Channels!$E$11)</f>
        <v/>
      </c>
      <c r="I253" s="81">
        <f>SUM(C253:H253)</f>
        <v/>
      </c>
      <c r="J253" s="82">
        <f>SUMIFS(tblVideos[Length],tblVideos[Day],"&gt;="&amp;$B253,tblVideos[Day],"&lt;"&amp;EDATE($B253,1))</f>
        <v/>
      </c>
      <c r="K253" s="72">
        <f>COUNTIFS(tblVideos[Watched On],"&gt;="&amp;$B253,tblVideos[Watched On],"&lt;"&amp;EDATE($B253,1),tblVideos[Status],"Watched")</f>
        <v/>
      </c>
      <c r="L253" s="82">
        <f>SUMIFS(tblVideos[Length],tblVideos[Watched On],"&gt;="&amp;$B253,tblVideos[Watched On],"&lt;"&amp;EDATE($B253,1),tblVideos[Status],"Watched")</f>
        <v/>
      </c>
      <c r="M253" s="84">
        <f>IF(I253=0,"Gap",IF(I253&gt;AVERAGE($I$144:$I$317)+2*STDEV($I$144:$I$317),"High",""))</f>
        <v/>
      </c>
    </row>
    <row r="254">
      <c r="B254" s="83" t="n">
        <v>44378</v>
      </c>
      <c r="C254" s="72">
        <f>COUNTIFS(tblVideos[Day],"&gt;="&amp;$B254,tblVideos[Day],"&lt;"&amp;EDATE($B254,1),tblVideos[Channel ID],Channels!$E$6)</f>
        <v/>
      </c>
      <c r="D254" s="72">
        <f>COUNTIFS(tblVideos[Day],"&gt;="&amp;$B254,tblVideos[Day],"&lt;"&amp;EDATE($B254,1),tblVideos[Channel ID],Channels!$E$7)</f>
        <v/>
      </c>
      <c r="E254" s="72">
        <f>COUNTIFS(tblVideos[Day],"&gt;="&amp;$B254,tblVideos[Day],"&lt;"&amp;EDATE($B254,1),tblVideos[Channel ID],Channels!$E$8)</f>
        <v/>
      </c>
      <c r="F254" s="72">
        <f>COUNTIFS(tblVideos[Day],"&gt;="&amp;$B254,tblVideos[Day],"&lt;"&amp;EDATE($B254,1),tblVideos[Channel ID],Channels!$E$9)</f>
        <v/>
      </c>
      <c r="G254" s="72">
        <f>COUNTIFS(tblVideos[Day],"&gt;="&amp;$B254,tblVideos[Day],"&lt;"&amp;EDATE($B254,1),tblVideos[Channel ID],Channels!$E$10)</f>
        <v/>
      </c>
      <c r="H254" s="72">
        <f>COUNTIFS(tblVideos[Day],"&gt;="&amp;$B254,tblVideos[Day],"&lt;"&amp;EDATE($B254,1),tblVideos[Channel ID],Channels!$E$11)</f>
        <v/>
      </c>
      <c r="I254" s="81">
        <f>SUM(C254:H254)</f>
        <v/>
      </c>
      <c r="J254" s="82">
        <f>SUMIFS(tblVideos[Length],tblVideos[Day],"&gt;="&amp;$B254,tblVideos[Day],"&lt;"&amp;EDATE($B254,1))</f>
        <v/>
      </c>
      <c r="K254" s="72">
        <f>COUNTIFS(tblVideos[Watched On],"&gt;="&amp;$B254,tblVideos[Watched On],"&lt;"&amp;EDATE($B254,1),tblVideos[Status],"Watched")</f>
        <v/>
      </c>
      <c r="L254" s="82">
        <f>SUMIFS(tblVideos[Length],tblVideos[Watched On],"&gt;="&amp;$B254,tblVideos[Watched On],"&lt;"&amp;EDATE($B254,1),tblVideos[Status],"Watched")</f>
        <v/>
      </c>
      <c r="M254" s="84">
        <f>IF(I254=0,"Gap",IF(I254&gt;AVERAGE($I$144:$I$317)+2*STDEV($I$144:$I$317),"High",""))</f>
        <v/>
      </c>
    </row>
    <row r="255">
      <c r="B255" s="83" t="n">
        <v>44409</v>
      </c>
      <c r="C255" s="72">
        <f>COUNTIFS(tblVideos[Day],"&gt;="&amp;$B255,tblVideos[Day],"&lt;"&amp;EDATE($B255,1),tblVideos[Channel ID],Channels!$E$6)</f>
        <v/>
      </c>
      <c r="D255" s="72">
        <f>COUNTIFS(tblVideos[Day],"&gt;="&amp;$B255,tblVideos[Day],"&lt;"&amp;EDATE($B255,1),tblVideos[Channel ID],Channels!$E$7)</f>
        <v/>
      </c>
      <c r="E255" s="72">
        <f>COUNTIFS(tblVideos[Day],"&gt;="&amp;$B255,tblVideos[Day],"&lt;"&amp;EDATE($B255,1),tblVideos[Channel ID],Channels!$E$8)</f>
        <v/>
      </c>
      <c r="F255" s="72">
        <f>COUNTIFS(tblVideos[Day],"&gt;="&amp;$B255,tblVideos[Day],"&lt;"&amp;EDATE($B255,1),tblVideos[Channel ID],Channels!$E$9)</f>
        <v/>
      </c>
      <c r="G255" s="72">
        <f>COUNTIFS(tblVideos[Day],"&gt;="&amp;$B255,tblVideos[Day],"&lt;"&amp;EDATE($B255,1),tblVideos[Channel ID],Channels!$E$10)</f>
        <v/>
      </c>
      <c r="H255" s="72">
        <f>COUNTIFS(tblVideos[Day],"&gt;="&amp;$B255,tblVideos[Day],"&lt;"&amp;EDATE($B255,1),tblVideos[Channel ID],Channels!$E$11)</f>
        <v/>
      </c>
      <c r="I255" s="81">
        <f>SUM(C255:H255)</f>
        <v/>
      </c>
      <c r="J255" s="82">
        <f>SUMIFS(tblVideos[Length],tblVideos[Day],"&gt;="&amp;$B255,tblVideos[Day],"&lt;"&amp;EDATE($B255,1))</f>
        <v/>
      </c>
      <c r="K255" s="72">
        <f>COUNTIFS(tblVideos[Watched On],"&gt;="&amp;$B255,tblVideos[Watched On],"&lt;"&amp;EDATE($B255,1),tblVideos[Status],"Watched")</f>
        <v/>
      </c>
      <c r="L255" s="82">
        <f>SUMIFS(tblVideos[Length],tblVideos[Watched On],"&gt;="&amp;$B255,tblVideos[Watched On],"&lt;"&amp;EDATE($B255,1),tblVideos[Status],"Watched")</f>
        <v/>
      </c>
      <c r="M255" s="84">
        <f>IF(I255=0,"Gap",IF(I255&gt;AVERAGE($I$144:$I$317)+2*STDEV($I$144:$I$317),"High",""))</f>
        <v/>
      </c>
    </row>
    <row r="256">
      <c r="B256" s="83" t="n">
        <v>44440</v>
      </c>
      <c r="C256" s="72">
        <f>COUNTIFS(tblVideos[Day],"&gt;="&amp;$B256,tblVideos[Day],"&lt;"&amp;EDATE($B256,1),tblVideos[Channel ID],Channels!$E$6)</f>
        <v/>
      </c>
      <c r="D256" s="72">
        <f>COUNTIFS(tblVideos[Day],"&gt;="&amp;$B256,tblVideos[Day],"&lt;"&amp;EDATE($B256,1),tblVideos[Channel ID],Channels!$E$7)</f>
        <v/>
      </c>
      <c r="E256" s="72">
        <f>COUNTIFS(tblVideos[Day],"&gt;="&amp;$B256,tblVideos[Day],"&lt;"&amp;EDATE($B256,1),tblVideos[Channel ID],Channels!$E$8)</f>
        <v/>
      </c>
      <c r="F256" s="72">
        <f>COUNTIFS(tblVideos[Day],"&gt;="&amp;$B256,tblVideos[Day],"&lt;"&amp;EDATE($B256,1),tblVideos[Channel ID],Channels!$E$9)</f>
        <v/>
      </c>
      <c r="G256" s="72">
        <f>COUNTIFS(tblVideos[Day],"&gt;="&amp;$B256,tblVideos[Day],"&lt;"&amp;EDATE($B256,1),tblVideos[Channel ID],Channels!$E$10)</f>
        <v/>
      </c>
      <c r="H256" s="72">
        <f>COUNTIFS(tblVideos[Day],"&gt;="&amp;$B256,tblVideos[Day],"&lt;"&amp;EDATE($B256,1),tblVideos[Channel ID],Channels!$E$11)</f>
        <v/>
      </c>
      <c r="I256" s="81">
        <f>SUM(C256:H256)</f>
        <v/>
      </c>
      <c r="J256" s="82">
        <f>SUMIFS(tblVideos[Length],tblVideos[Day],"&gt;="&amp;$B256,tblVideos[Day],"&lt;"&amp;EDATE($B256,1))</f>
        <v/>
      </c>
      <c r="K256" s="72">
        <f>COUNTIFS(tblVideos[Watched On],"&gt;="&amp;$B256,tblVideos[Watched On],"&lt;"&amp;EDATE($B256,1),tblVideos[Status],"Watched")</f>
        <v/>
      </c>
      <c r="L256" s="82">
        <f>SUMIFS(tblVideos[Length],tblVideos[Watched On],"&gt;="&amp;$B256,tblVideos[Watched On],"&lt;"&amp;EDATE($B256,1),tblVideos[Status],"Watched")</f>
        <v/>
      </c>
      <c r="M256" s="84">
        <f>IF(I256=0,"Gap",IF(I256&gt;AVERAGE($I$144:$I$317)+2*STDEV($I$144:$I$317),"High",""))</f>
        <v/>
      </c>
    </row>
    <row r="257">
      <c r="B257" s="83" t="n">
        <v>44470</v>
      </c>
      <c r="C257" s="72">
        <f>COUNTIFS(tblVideos[Day],"&gt;="&amp;$B257,tblVideos[Day],"&lt;"&amp;EDATE($B257,1),tblVideos[Channel ID],Channels!$E$6)</f>
        <v/>
      </c>
      <c r="D257" s="72">
        <f>COUNTIFS(tblVideos[Day],"&gt;="&amp;$B257,tblVideos[Day],"&lt;"&amp;EDATE($B257,1),tblVideos[Channel ID],Channels!$E$7)</f>
        <v/>
      </c>
      <c r="E257" s="72">
        <f>COUNTIFS(tblVideos[Day],"&gt;="&amp;$B257,tblVideos[Day],"&lt;"&amp;EDATE($B257,1),tblVideos[Channel ID],Channels!$E$8)</f>
        <v/>
      </c>
      <c r="F257" s="72">
        <f>COUNTIFS(tblVideos[Day],"&gt;="&amp;$B257,tblVideos[Day],"&lt;"&amp;EDATE($B257,1),tblVideos[Channel ID],Channels!$E$9)</f>
        <v/>
      </c>
      <c r="G257" s="72">
        <f>COUNTIFS(tblVideos[Day],"&gt;="&amp;$B257,tblVideos[Day],"&lt;"&amp;EDATE($B257,1),tblVideos[Channel ID],Channels!$E$10)</f>
        <v/>
      </c>
      <c r="H257" s="72">
        <f>COUNTIFS(tblVideos[Day],"&gt;="&amp;$B257,tblVideos[Day],"&lt;"&amp;EDATE($B257,1),tblVideos[Channel ID],Channels!$E$11)</f>
        <v/>
      </c>
      <c r="I257" s="81">
        <f>SUM(C257:H257)</f>
        <v/>
      </c>
      <c r="J257" s="82">
        <f>SUMIFS(tblVideos[Length],tblVideos[Day],"&gt;="&amp;$B257,tblVideos[Day],"&lt;"&amp;EDATE($B257,1))</f>
        <v/>
      </c>
      <c r="K257" s="72">
        <f>COUNTIFS(tblVideos[Watched On],"&gt;="&amp;$B257,tblVideos[Watched On],"&lt;"&amp;EDATE($B257,1),tblVideos[Status],"Watched")</f>
        <v/>
      </c>
      <c r="L257" s="82">
        <f>SUMIFS(tblVideos[Length],tblVideos[Watched On],"&gt;="&amp;$B257,tblVideos[Watched On],"&lt;"&amp;EDATE($B257,1),tblVideos[Status],"Watched")</f>
        <v/>
      </c>
      <c r="M257" s="84">
        <f>IF(I257=0,"Gap",IF(I257&gt;AVERAGE($I$144:$I$317)+2*STDEV($I$144:$I$317),"High",""))</f>
        <v/>
      </c>
    </row>
    <row r="258">
      <c r="B258" s="83" t="n">
        <v>44501</v>
      </c>
      <c r="C258" s="72">
        <f>COUNTIFS(tblVideos[Day],"&gt;="&amp;$B258,tblVideos[Day],"&lt;"&amp;EDATE($B258,1),tblVideos[Channel ID],Channels!$E$6)</f>
        <v/>
      </c>
      <c r="D258" s="72">
        <f>COUNTIFS(tblVideos[Day],"&gt;="&amp;$B258,tblVideos[Day],"&lt;"&amp;EDATE($B258,1),tblVideos[Channel ID],Channels!$E$7)</f>
        <v/>
      </c>
      <c r="E258" s="72">
        <f>COUNTIFS(tblVideos[Day],"&gt;="&amp;$B258,tblVideos[Day],"&lt;"&amp;EDATE($B258,1),tblVideos[Channel ID],Channels!$E$8)</f>
        <v/>
      </c>
      <c r="F258" s="72">
        <f>COUNTIFS(tblVideos[Day],"&gt;="&amp;$B258,tblVideos[Day],"&lt;"&amp;EDATE($B258,1),tblVideos[Channel ID],Channels!$E$9)</f>
        <v/>
      </c>
      <c r="G258" s="72">
        <f>COUNTIFS(tblVideos[Day],"&gt;="&amp;$B258,tblVideos[Day],"&lt;"&amp;EDATE($B258,1),tblVideos[Channel ID],Channels!$E$10)</f>
        <v/>
      </c>
      <c r="H258" s="72">
        <f>COUNTIFS(tblVideos[Day],"&gt;="&amp;$B258,tblVideos[Day],"&lt;"&amp;EDATE($B258,1),tblVideos[Channel ID],Channels!$E$11)</f>
        <v/>
      </c>
      <c r="I258" s="81">
        <f>SUM(C258:H258)</f>
        <v/>
      </c>
      <c r="J258" s="82">
        <f>SUMIFS(tblVideos[Length],tblVideos[Day],"&gt;="&amp;$B258,tblVideos[Day],"&lt;"&amp;EDATE($B258,1))</f>
        <v/>
      </c>
      <c r="K258" s="72">
        <f>COUNTIFS(tblVideos[Watched On],"&gt;="&amp;$B258,tblVideos[Watched On],"&lt;"&amp;EDATE($B258,1),tblVideos[Status],"Watched")</f>
        <v/>
      </c>
      <c r="L258" s="82">
        <f>SUMIFS(tblVideos[Length],tblVideos[Watched On],"&gt;="&amp;$B258,tblVideos[Watched On],"&lt;"&amp;EDATE($B258,1),tblVideos[Status],"Watched")</f>
        <v/>
      </c>
      <c r="M258" s="84">
        <f>IF(I258=0,"Gap",IF(I258&gt;AVERAGE($I$144:$I$317)+2*STDEV($I$144:$I$317),"High",""))</f>
        <v/>
      </c>
    </row>
    <row r="259">
      <c r="B259" s="83" t="n">
        <v>44531</v>
      </c>
      <c r="C259" s="72">
        <f>COUNTIFS(tblVideos[Day],"&gt;="&amp;$B259,tblVideos[Day],"&lt;"&amp;EDATE($B259,1),tblVideos[Channel ID],Channels!$E$6)</f>
        <v/>
      </c>
      <c r="D259" s="72">
        <f>COUNTIFS(tblVideos[Day],"&gt;="&amp;$B259,tblVideos[Day],"&lt;"&amp;EDATE($B259,1),tblVideos[Channel ID],Channels!$E$7)</f>
        <v/>
      </c>
      <c r="E259" s="72">
        <f>COUNTIFS(tblVideos[Day],"&gt;="&amp;$B259,tblVideos[Day],"&lt;"&amp;EDATE($B259,1),tblVideos[Channel ID],Channels!$E$8)</f>
        <v/>
      </c>
      <c r="F259" s="72">
        <f>COUNTIFS(tblVideos[Day],"&gt;="&amp;$B259,tblVideos[Day],"&lt;"&amp;EDATE($B259,1),tblVideos[Channel ID],Channels!$E$9)</f>
        <v/>
      </c>
      <c r="G259" s="72">
        <f>COUNTIFS(tblVideos[Day],"&gt;="&amp;$B259,tblVideos[Day],"&lt;"&amp;EDATE($B259,1),tblVideos[Channel ID],Channels!$E$10)</f>
        <v/>
      </c>
      <c r="H259" s="72">
        <f>COUNTIFS(tblVideos[Day],"&gt;="&amp;$B259,tblVideos[Day],"&lt;"&amp;EDATE($B259,1),tblVideos[Channel ID],Channels!$E$11)</f>
        <v/>
      </c>
      <c r="I259" s="81">
        <f>SUM(C259:H259)</f>
        <v/>
      </c>
      <c r="J259" s="82">
        <f>SUMIFS(tblVideos[Length],tblVideos[Day],"&gt;="&amp;$B259,tblVideos[Day],"&lt;"&amp;EDATE($B259,1))</f>
        <v/>
      </c>
      <c r="K259" s="72">
        <f>COUNTIFS(tblVideos[Watched On],"&gt;="&amp;$B259,tblVideos[Watched On],"&lt;"&amp;EDATE($B259,1),tblVideos[Status],"Watched")</f>
        <v/>
      </c>
      <c r="L259" s="82">
        <f>SUMIFS(tblVideos[Length],tblVideos[Watched On],"&gt;="&amp;$B259,tblVideos[Watched On],"&lt;"&amp;EDATE($B259,1),tblVideos[Status],"Watched")</f>
        <v/>
      </c>
      <c r="M259" s="84">
        <f>IF(I259=0,"Gap",IF(I259&gt;AVERAGE($I$144:$I$317)+2*STDEV($I$144:$I$317),"High",""))</f>
        <v/>
      </c>
    </row>
    <row r="260">
      <c r="B260" s="83" t="n">
        <v>44562</v>
      </c>
      <c r="C260" s="72">
        <f>COUNTIFS(tblVideos[Day],"&gt;="&amp;$B260,tblVideos[Day],"&lt;"&amp;EDATE($B260,1),tblVideos[Channel ID],Channels!$E$6)</f>
        <v/>
      </c>
      <c r="D260" s="72">
        <f>COUNTIFS(tblVideos[Day],"&gt;="&amp;$B260,tblVideos[Day],"&lt;"&amp;EDATE($B260,1),tblVideos[Channel ID],Channels!$E$7)</f>
        <v/>
      </c>
      <c r="E260" s="72">
        <f>COUNTIFS(tblVideos[Day],"&gt;="&amp;$B260,tblVideos[Day],"&lt;"&amp;EDATE($B260,1),tblVideos[Channel ID],Channels!$E$8)</f>
        <v/>
      </c>
      <c r="F260" s="72">
        <f>COUNTIFS(tblVideos[Day],"&gt;="&amp;$B260,tblVideos[Day],"&lt;"&amp;EDATE($B260,1),tblVideos[Channel ID],Channels!$E$9)</f>
        <v/>
      </c>
      <c r="G260" s="72">
        <f>COUNTIFS(tblVideos[Day],"&gt;="&amp;$B260,tblVideos[Day],"&lt;"&amp;EDATE($B260,1),tblVideos[Channel ID],Channels!$E$10)</f>
        <v/>
      </c>
      <c r="H260" s="72">
        <f>COUNTIFS(tblVideos[Day],"&gt;="&amp;$B260,tblVideos[Day],"&lt;"&amp;EDATE($B260,1),tblVideos[Channel ID],Channels!$E$11)</f>
        <v/>
      </c>
      <c r="I260" s="81">
        <f>SUM(C260:H260)</f>
        <v/>
      </c>
      <c r="J260" s="82">
        <f>SUMIFS(tblVideos[Length],tblVideos[Day],"&gt;="&amp;$B260,tblVideos[Day],"&lt;"&amp;EDATE($B260,1))</f>
        <v/>
      </c>
      <c r="K260" s="72">
        <f>COUNTIFS(tblVideos[Watched On],"&gt;="&amp;$B260,tblVideos[Watched On],"&lt;"&amp;EDATE($B260,1),tblVideos[Status],"Watched")</f>
        <v/>
      </c>
      <c r="L260" s="82">
        <f>SUMIFS(tblVideos[Length],tblVideos[Watched On],"&gt;="&amp;$B260,tblVideos[Watched On],"&lt;"&amp;EDATE($B260,1),tblVideos[Status],"Watched")</f>
        <v/>
      </c>
      <c r="M260" s="84">
        <f>IF(I260=0,"Gap",IF(I260&gt;AVERAGE($I$144:$I$317)+2*STDEV($I$144:$I$317),"High",""))</f>
        <v/>
      </c>
    </row>
    <row r="261">
      <c r="B261" s="83" t="n">
        <v>44593</v>
      </c>
      <c r="C261" s="72">
        <f>COUNTIFS(tblVideos[Day],"&gt;="&amp;$B261,tblVideos[Day],"&lt;"&amp;EDATE($B261,1),tblVideos[Channel ID],Channels!$E$6)</f>
        <v/>
      </c>
      <c r="D261" s="72">
        <f>COUNTIFS(tblVideos[Day],"&gt;="&amp;$B261,tblVideos[Day],"&lt;"&amp;EDATE($B261,1),tblVideos[Channel ID],Channels!$E$7)</f>
        <v/>
      </c>
      <c r="E261" s="72">
        <f>COUNTIFS(tblVideos[Day],"&gt;="&amp;$B261,tblVideos[Day],"&lt;"&amp;EDATE($B261,1),tblVideos[Channel ID],Channels!$E$8)</f>
        <v/>
      </c>
      <c r="F261" s="72">
        <f>COUNTIFS(tblVideos[Day],"&gt;="&amp;$B261,tblVideos[Day],"&lt;"&amp;EDATE($B261,1),tblVideos[Channel ID],Channels!$E$9)</f>
        <v/>
      </c>
      <c r="G261" s="72">
        <f>COUNTIFS(tblVideos[Day],"&gt;="&amp;$B261,tblVideos[Day],"&lt;"&amp;EDATE($B261,1),tblVideos[Channel ID],Channels!$E$10)</f>
        <v/>
      </c>
      <c r="H261" s="72">
        <f>COUNTIFS(tblVideos[Day],"&gt;="&amp;$B261,tblVideos[Day],"&lt;"&amp;EDATE($B261,1),tblVideos[Channel ID],Channels!$E$11)</f>
        <v/>
      </c>
      <c r="I261" s="81">
        <f>SUM(C261:H261)</f>
        <v/>
      </c>
      <c r="J261" s="82">
        <f>SUMIFS(tblVideos[Length],tblVideos[Day],"&gt;="&amp;$B261,tblVideos[Day],"&lt;"&amp;EDATE($B261,1))</f>
        <v/>
      </c>
      <c r="K261" s="72">
        <f>COUNTIFS(tblVideos[Watched On],"&gt;="&amp;$B261,tblVideos[Watched On],"&lt;"&amp;EDATE($B261,1),tblVideos[Status],"Watched")</f>
        <v/>
      </c>
      <c r="L261" s="82">
        <f>SUMIFS(tblVideos[Length],tblVideos[Watched On],"&gt;="&amp;$B261,tblVideos[Watched On],"&lt;"&amp;EDATE($B261,1),tblVideos[Status],"Watched")</f>
        <v/>
      </c>
      <c r="M261" s="84">
        <f>IF(I261=0,"Gap",IF(I261&gt;AVERAGE($I$144:$I$317)+2*STDEV($I$144:$I$317),"High",""))</f>
        <v/>
      </c>
    </row>
    <row r="262">
      <c r="B262" s="83" t="n">
        <v>44621</v>
      </c>
      <c r="C262" s="72">
        <f>COUNTIFS(tblVideos[Day],"&gt;="&amp;$B262,tblVideos[Day],"&lt;"&amp;EDATE($B262,1),tblVideos[Channel ID],Channels!$E$6)</f>
        <v/>
      </c>
      <c r="D262" s="72">
        <f>COUNTIFS(tblVideos[Day],"&gt;="&amp;$B262,tblVideos[Day],"&lt;"&amp;EDATE($B262,1),tblVideos[Channel ID],Channels!$E$7)</f>
        <v/>
      </c>
      <c r="E262" s="72">
        <f>COUNTIFS(tblVideos[Day],"&gt;="&amp;$B262,tblVideos[Day],"&lt;"&amp;EDATE($B262,1),tblVideos[Channel ID],Channels!$E$8)</f>
        <v/>
      </c>
      <c r="F262" s="72">
        <f>COUNTIFS(tblVideos[Day],"&gt;="&amp;$B262,tblVideos[Day],"&lt;"&amp;EDATE($B262,1),tblVideos[Channel ID],Channels!$E$9)</f>
        <v/>
      </c>
      <c r="G262" s="72">
        <f>COUNTIFS(tblVideos[Day],"&gt;="&amp;$B262,tblVideos[Day],"&lt;"&amp;EDATE($B262,1),tblVideos[Channel ID],Channels!$E$10)</f>
        <v/>
      </c>
      <c r="H262" s="72">
        <f>COUNTIFS(tblVideos[Day],"&gt;="&amp;$B262,tblVideos[Day],"&lt;"&amp;EDATE($B262,1),tblVideos[Channel ID],Channels!$E$11)</f>
        <v/>
      </c>
      <c r="I262" s="81">
        <f>SUM(C262:H262)</f>
        <v/>
      </c>
      <c r="J262" s="82">
        <f>SUMIFS(tblVideos[Length],tblVideos[Day],"&gt;="&amp;$B262,tblVideos[Day],"&lt;"&amp;EDATE($B262,1))</f>
        <v/>
      </c>
      <c r="K262" s="72">
        <f>COUNTIFS(tblVideos[Watched On],"&gt;="&amp;$B262,tblVideos[Watched On],"&lt;"&amp;EDATE($B262,1),tblVideos[Status],"Watched")</f>
        <v/>
      </c>
      <c r="L262" s="82">
        <f>SUMIFS(tblVideos[Length],tblVideos[Watched On],"&gt;="&amp;$B262,tblVideos[Watched On],"&lt;"&amp;EDATE($B262,1),tblVideos[Status],"Watched")</f>
        <v/>
      </c>
      <c r="M262" s="84">
        <f>IF(I262=0,"Gap",IF(I262&gt;AVERAGE($I$144:$I$317)+2*STDEV($I$144:$I$317),"High",""))</f>
        <v/>
      </c>
    </row>
    <row r="263">
      <c r="B263" s="83" t="n">
        <v>44652</v>
      </c>
      <c r="C263" s="72">
        <f>COUNTIFS(tblVideos[Day],"&gt;="&amp;$B263,tblVideos[Day],"&lt;"&amp;EDATE($B263,1),tblVideos[Channel ID],Channels!$E$6)</f>
        <v/>
      </c>
      <c r="D263" s="72">
        <f>COUNTIFS(tblVideos[Day],"&gt;="&amp;$B263,tblVideos[Day],"&lt;"&amp;EDATE($B263,1),tblVideos[Channel ID],Channels!$E$7)</f>
        <v/>
      </c>
      <c r="E263" s="72">
        <f>COUNTIFS(tblVideos[Day],"&gt;="&amp;$B263,tblVideos[Day],"&lt;"&amp;EDATE($B263,1),tblVideos[Channel ID],Channels!$E$8)</f>
        <v/>
      </c>
      <c r="F263" s="72">
        <f>COUNTIFS(tblVideos[Day],"&gt;="&amp;$B263,tblVideos[Day],"&lt;"&amp;EDATE($B263,1),tblVideos[Channel ID],Channels!$E$9)</f>
        <v/>
      </c>
      <c r="G263" s="72">
        <f>COUNTIFS(tblVideos[Day],"&gt;="&amp;$B263,tblVideos[Day],"&lt;"&amp;EDATE($B263,1),tblVideos[Channel ID],Channels!$E$10)</f>
        <v/>
      </c>
      <c r="H263" s="72">
        <f>COUNTIFS(tblVideos[Day],"&gt;="&amp;$B263,tblVideos[Day],"&lt;"&amp;EDATE($B263,1),tblVideos[Channel ID],Channels!$E$11)</f>
        <v/>
      </c>
      <c r="I263" s="81">
        <f>SUM(C263:H263)</f>
        <v/>
      </c>
      <c r="J263" s="82">
        <f>SUMIFS(tblVideos[Length],tblVideos[Day],"&gt;="&amp;$B263,tblVideos[Day],"&lt;"&amp;EDATE($B263,1))</f>
        <v/>
      </c>
      <c r="K263" s="72">
        <f>COUNTIFS(tblVideos[Watched On],"&gt;="&amp;$B263,tblVideos[Watched On],"&lt;"&amp;EDATE($B263,1),tblVideos[Status],"Watched")</f>
        <v/>
      </c>
      <c r="L263" s="82">
        <f>SUMIFS(tblVideos[Length],tblVideos[Watched On],"&gt;="&amp;$B263,tblVideos[Watched On],"&lt;"&amp;EDATE($B263,1),tblVideos[Status],"Watched")</f>
        <v/>
      </c>
      <c r="M263" s="84">
        <f>IF(I263=0,"Gap",IF(I263&gt;AVERAGE($I$144:$I$317)+2*STDEV($I$144:$I$317),"High",""))</f>
        <v/>
      </c>
    </row>
    <row r="264">
      <c r="B264" s="83" t="n">
        <v>44682</v>
      </c>
      <c r="C264" s="72">
        <f>COUNTIFS(tblVideos[Day],"&gt;="&amp;$B264,tblVideos[Day],"&lt;"&amp;EDATE($B264,1),tblVideos[Channel ID],Channels!$E$6)</f>
        <v/>
      </c>
      <c r="D264" s="72">
        <f>COUNTIFS(tblVideos[Day],"&gt;="&amp;$B264,tblVideos[Day],"&lt;"&amp;EDATE($B264,1),tblVideos[Channel ID],Channels!$E$7)</f>
        <v/>
      </c>
      <c r="E264" s="72">
        <f>COUNTIFS(tblVideos[Day],"&gt;="&amp;$B264,tblVideos[Day],"&lt;"&amp;EDATE($B264,1),tblVideos[Channel ID],Channels!$E$8)</f>
        <v/>
      </c>
      <c r="F264" s="72">
        <f>COUNTIFS(tblVideos[Day],"&gt;="&amp;$B264,tblVideos[Day],"&lt;"&amp;EDATE($B264,1),tblVideos[Channel ID],Channels!$E$9)</f>
        <v/>
      </c>
      <c r="G264" s="72">
        <f>COUNTIFS(tblVideos[Day],"&gt;="&amp;$B264,tblVideos[Day],"&lt;"&amp;EDATE($B264,1),tblVideos[Channel ID],Channels!$E$10)</f>
        <v/>
      </c>
      <c r="H264" s="72">
        <f>COUNTIFS(tblVideos[Day],"&gt;="&amp;$B264,tblVideos[Day],"&lt;"&amp;EDATE($B264,1),tblVideos[Channel ID],Channels!$E$11)</f>
        <v/>
      </c>
      <c r="I264" s="81">
        <f>SUM(C264:H264)</f>
        <v/>
      </c>
      <c r="J264" s="82">
        <f>SUMIFS(tblVideos[Length],tblVideos[Day],"&gt;="&amp;$B264,tblVideos[Day],"&lt;"&amp;EDATE($B264,1))</f>
        <v/>
      </c>
      <c r="K264" s="72">
        <f>COUNTIFS(tblVideos[Watched On],"&gt;="&amp;$B264,tblVideos[Watched On],"&lt;"&amp;EDATE($B264,1),tblVideos[Status],"Watched")</f>
        <v/>
      </c>
      <c r="L264" s="82">
        <f>SUMIFS(tblVideos[Length],tblVideos[Watched On],"&gt;="&amp;$B264,tblVideos[Watched On],"&lt;"&amp;EDATE($B264,1),tblVideos[Status],"Watched")</f>
        <v/>
      </c>
      <c r="M264" s="84">
        <f>IF(I264=0,"Gap",IF(I264&gt;AVERAGE($I$144:$I$317)+2*STDEV($I$144:$I$317),"High",""))</f>
        <v/>
      </c>
    </row>
    <row r="265">
      <c r="B265" s="83" t="n">
        <v>44713</v>
      </c>
      <c r="C265" s="72">
        <f>COUNTIFS(tblVideos[Day],"&gt;="&amp;$B265,tblVideos[Day],"&lt;"&amp;EDATE($B265,1),tblVideos[Channel ID],Channels!$E$6)</f>
        <v/>
      </c>
      <c r="D265" s="72">
        <f>COUNTIFS(tblVideos[Day],"&gt;="&amp;$B265,tblVideos[Day],"&lt;"&amp;EDATE($B265,1),tblVideos[Channel ID],Channels!$E$7)</f>
        <v/>
      </c>
      <c r="E265" s="72">
        <f>COUNTIFS(tblVideos[Day],"&gt;="&amp;$B265,tblVideos[Day],"&lt;"&amp;EDATE($B265,1),tblVideos[Channel ID],Channels!$E$8)</f>
        <v/>
      </c>
      <c r="F265" s="72">
        <f>COUNTIFS(tblVideos[Day],"&gt;="&amp;$B265,tblVideos[Day],"&lt;"&amp;EDATE($B265,1),tblVideos[Channel ID],Channels!$E$9)</f>
        <v/>
      </c>
      <c r="G265" s="72">
        <f>COUNTIFS(tblVideos[Day],"&gt;="&amp;$B265,tblVideos[Day],"&lt;"&amp;EDATE($B265,1),tblVideos[Channel ID],Channels!$E$10)</f>
        <v/>
      </c>
      <c r="H265" s="72">
        <f>COUNTIFS(tblVideos[Day],"&gt;="&amp;$B265,tblVideos[Day],"&lt;"&amp;EDATE($B265,1),tblVideos[Channel ID],Channels!$E$11)</f>
        <v/>
      </c>
      <c r="I265" s="81">
        <f>SUM(C265:H265)</f>
        <v/>
      </c>
      <c r="J265" s="82">
        <f>SUMIFS(tblVideos[Length],tblVideos[Day],"&gt;="&amp;$B265,tblVideos[Day],"&lt;"&amp;EDATE($B265,1))</f>
        <v/>
      </c>
      <c r="K265" s="72">
        <f>COUNTIFS(tblVideos[Watched On],"&gt;="&amp;$B265,tblVideos[Watched On],"&lt;"&amp;EDATE($B265,1),tblVideos[Status],"Watched")</f>
        <v/>
      </c>
      <c r="L265" s="82">
        <f>SUMIFS(tblVideos[Length],tblVideos[Watched On],"&gt;="&amp;$B265,tblVideos[Watched On],"&lt;"&amp;EDATE($B265,1),tblVideos[Status],"Watched")</f>
        <v/>
      </c>
      <c r="M265" s="84">
        <f>IF(I265=0,"Gap",IF(I265&gt;AVERAGE($I$144:$I$317)+2*STDEV($I$144:$I$317),"High",""))</f>
        <v/>
      </c>
    </row>
    <row r="266">
      <c r="B266" s="83" t="n">
        <v>44743</v>
      </c>
      <c r="C266" s="72">
        <f>COUNTIFS(tblVideos[Day],"&gt;="&amp;$B266,tblVideos[Day],"&lt;"&amp;EDATE($B266,1),tblVideos[Channel ID],Channels!$E$6)</f>
        <v/>
      </c>
      <c r="D266" s="72">
        <f>COUNTIFS(tblVideos[Day],"&gt;="&amp;$B266,tblVideos[Day],"&lt;"&amp;EDATE($B266,1),tblVideos[Channel ID],Channels!$E$7)</f>
        <v/>
      </c>
      <c r="E266" s="72">
        <f>COUNTIFS(tblVideos[Day],"&gt;="&amp;$B266,tblVideos[Day],"&lt;"&amp;EDATE($B266,1),tblVideos[Channel ID],Channels!$E$8)</f>
        <v/>
      </c>
      <c r="F266" s="72">
        <f>COUNTIFS(tblVideos[Day],"&gt;="&amp;$B266,tblVideos[Day],"&lt;"&amp;EDATE($B266,1),tblVideos[Channel ID],Channels!$E$9)</f>
        <v/>
      </c>
      <c r="G266" s="72">
        <f>COUNTIFS(tblVideos[Day],"&gt;="&amp;$B266,tblVideos[Day],"&lt;"&amp;EDATE($B266,1),tblVideos[Channel ID],Channels!$E$10)</f>
        <v/>
      </c>
      <c r="H266" s="72">
        <f>COUNTIFS(tblVideos[Day],"&gt;="&amp;$B266,tblVideos[Day],"&lt;"&amp;EDATE($B266,1),tblVideos[Channel ID],Channels!$E$11)</f>
        <v/>
      </c>
      <c r="I266" s="81">
        <f>SUM(C266:H266)</f>
        <v/>
      </c>
      <c r="J266" s="82">
        <f>SUMIFS(tblVideos[Length],tblVideos[Day],"&gt;="&amp;$B266,tblVideos[Day],"&lt;"&amp;EDATE($B266,1))</f>
        <v/>
      </c>
      <c r="K266" s="72">
        <f>COUNTIFS(tblVideos[Watched On],"&gt;="&amp;$B266,tblVideos[Watched On],"&lt;"&amp;EDATE($B266,1),tblVideos[Status],"Watched")</f>
        <v/>
      </c>
      <c r="L266" s="82">
        <f>SUMIFS(tblVideos[Length],tblVideos[Watched On],"&gt;="&amp;$B266,tblVideos[Watched On],"&lt;"&amp;EDATE($B266,1),tblVideos[Status],"Watched")</f>
        <v/>
      </c>
      <c r="M266" s="84">
        <f>IF(I266=0,"Gap",IF(I266&gt;AVERAGE($I$144:$I$317)+2*STDEV($I$144:$I$317),"High",""))</f>
        <v/>
      </c>
    </row>
    <row r="267">
      <c r="B267" s="83" t="n">
        <v>44774</v>
      </c>
      <c r="C267" s="72">
        <f>COUNTIFS(tblVideos[Day],"&gt;="&amp;$B267,tblVideos[Day],"&lt;"&amp;EDATE($B267,1),tblVideos[Channel ID],Channels!$E$6)</f>
        <v/>
      </c>
      <c r="D267" s="72">
        <f>COUNTIFS(tblVideos[Day],"&gt;="&amp;$B267,tblVideos[Day],"&lt;"&amp;EDATE($B267,1),tblVideos[Channel ID],Channels!$E$7)</f>
        <v/>
      </c>
      <c r="E267" s="72">
        <f>COUNTIFS(tblVideos[Day],"&gt;="&amp;$B267,tblVideos[Day],"&lt;"&amp;EDATE($B267,1),tblVideos[Channel ID],Channels!$E$8)</f>
        <v/>
      </c>
      <c r="F267" s="72">
        <f>COUNTIFS(tblVideos[Day],"&gt;="&amp;$B267,tblVideos[Day],"&lt;"&amp;EDATE($B267,1),tblVideos[Channel ID],Channels!$E$9)</f>
        <v/>
      </c>
      <c r="G267" s="72">
        <f>COUNTIFS(tblVideos[Day],"&gt;="&amp;$B267,tblVideos[Day],"&lt;"&amp;EDATE($B267,1),tblVideos[Channel ID],Channels!$E$10)</f>
        <v/>
      </c>
      <c r="H267" s="72">
        <f>COUNTIFS(tblVideos[Day],"&gt;="&amp;$B267,tblVideos[Day],"&lt;"&amp;EDATE($B267,1),tblVideos[Channel ID],Channels!$E$11)</f>
        <v/>
      </c>
      <c r="I267" s="81">
        <f>SUM(C267:H267)</f>
        <v/>
      </c>
      <c r="J267" s="82">
        <f>SUMIFS(tblVideos[Length],tblVideos[Day],"&gt;="&amp;$B267,tblVideos[Day],"&lt;"&amp;EDATE($B267,1))</f>
        <v/>
      </c>
      <c r="K267" s="72">
        <f>COUNTIFS(tblVideos[Watched On],"&gt;="&amp;$B267,tblVideos[Watched On],"&lt;"&amp;EDATE($B267,1),tblVideos[Status],"Watched")</f>
        <v/>
      </c>
      <c r="L267" s="82">
        <f>SUMIFS(tblVideos[Length],tblVideos[Watched On],"&gt;="&amp;$B267,tblVideos[Watched On],"&lt;"&amp;EDATE($B267,1),tblVideos[Status],"Watched")</f>
        <v/>
      </c>
      <c r="M267" s="84">
        <f>IF(I267=0,"Gap",IF(I267&gt;AVERAGE($I$144:$I$317)+2*STDEV($I$144:$I$317),"High",""))</f>
        <v/>
      </c>
    </row>
    <row r="268">
      <c r="B268" s="83" t="n">
        <v>44805</v>
      </c>
      <c r="C268" s="72">
        <f>COUNTIFS(tblVideos[Day],"&gt;="&amp;$B268,tblVideos[Day],"&lt;"&amp;EDATE($B268,1),tblVideos[Channel ID],Channels!$E$6)</f>
        <v/>
      </c>
      <c r="D268" s="72">
        <f>COUNTIFS(tblVideos[Day],"&gt;="&amp;$B268,tblVideos[Day],"&lt;"&amp;EDATE($B268,1),tblVideos[Channel ID],Channels!$E$7)</f>
        <v/>
      </c>
      <c r="E268" s="72">
        <f>COUNTIFS(tblVideos[Day],"&gt;="&amp;$B268,tblVideos[Day],"&lt;"&amp;EDATE($B268,1),tblVideos[Channel ID],Channels!$E$8)</f>
        <v/>
      </c>
      <c r="F268" s="72">
        <f>COUNTIFS(tblVideos[Day],"&gt;="&amp;$B268,tblVideos[Day],"&lt;"&amp;EDATE($B268,1),tblVideos[Channel ID],Channels!$E$9)</f>
        <v/>
      </c>
      <c r="G268" s="72">
        <f>COUNTIFS(tblVideos[Day],"&gt;="&amp;$B268,tblVideos[Day],"&lt;"&amp;EDATE($B268,1),tblVideos[Channel ID],Channels!$E$10)</f>
        <v/>
      </c>
      <c r="H268" s="72">
        <f>COUNTIFS(tblVideos[Day],"&gt;="&amp;$B268,tblVideos[Day],"&lt;"&amp;EDATE($B268,1),tblVideos[Channel ID],Channels!$E$11)</f>
        <v/>
      </c>
      <c r="I268" s="81">
        <f>SUM(C268:H268)</f>
        <v/>
      </c>
      <c r="J268" s="82">
        <f>SUMIFS(tblVideos[Length],tblVideos[Day],"&gt;="&amp;$B268,tblVideos[Day],"&lt;"&amp;EDATE($B268,1))</f>
        <v/>
      </c>
      <c r="K268" s="72">
        <f>COUNTIFS(tblVideos[Watched On],"&gt;="&amp;$B268,tblVideos[Watched On],"&lt;"&amp;EDATE($B268,1),tblVideos[Status],"Watched")</f>
        <v/>
      </c>
      <c r="L268" s="82">
        <f>SUMIFS(tblVideos[Length],tblVideos[Watched On],"&gt;="&amp;$B268,tblVideos[Watched On],"&lt;"&amp;EDATE($B268,1),tblVideos[Status],"Watched")</f>
        <v/>
      </c>
      <c r="M268" s="84">
        <f>IF(I268=0,"Gap",IF(I268&gt;AVERAGE($I$144:$I$317)+2*STDEV($I$144:$I$317),"High",""))</f>
        <v/>
      </c>
    </row>
    <row r="269">
      <c r="B269" s="83" t="n">
        <v>44835</v>
      </c>
      <c r="C269" s="72">
        <f>COUNTIFS(tblVideos[Day],"&gt;="&amp;$B269,tblVideos[Day],"&lt;"&amp;EDATE($B269,1),tblVideos[Channel ID],Channels!$E$6)</f>
        <v/>
      </c>
      <c r="D269" s="72">
        <f>COUNTIFS(tblVideos[Day],"&gt;="&amp;$B269,tblVideos[Day],"&lt;"&amp;EDATE($B269,1),tblVideos[Channel ID],Channels!$E$7)</f>
        <v/>
      </c>
      <c r="E269" s="72">
        <f>COUNTIFS(tblVideos[Day],"&gt;="&amp;$B269,tblVideos[Day],"&lt;"&amp;EDATE($B269,1),tblVideos[Channel ID],Channels!$E$8)</f>
        <v/>
      </c>
      <c r="F269" s="72">
        <f>COUNTIFS(tblVideos[Day],"&gt;="&amp;$B269,tblVideos[Day],"&lt;"&amp;EDATE($B269,1),tblVideos[Channel ID],Channels!$E$9)</f>
        <v/>
      </c>
      <c r="G269" s="72">
        <f>COUNTIFS(tblVideos[Day],"&gt;="&amp;$B269,tblVideos[Day],"&lt;"&amp;EDATE($B269,1),tblVideos[Channel ID],Channels!$E$10)</f>
        <v/>
      </c>
      <c r="H269" s="72">
        <f>COUNTIFS(tblVideos[Day],"&gt;="&amp;$B269,tblVideos[Day],"&lt;"&amp;EDATE($B269,1),tblVideos[Channel ID],Channels!$E$11)</f>
        <v/>
      </c>
      <c r="I269" s="81">
        <f>SUM(C269:H269)</f>
        <v/>
      </c>
      <c r="J269" s="82">
        <f>SUMIFS(tblVideos[Length],tblVideos[Day],"&gt;="&amp;$B269,tblVideos[Day],"&lt;"&amp;EDATE($B269,1))</f>
        <v/>
      </c>
      <c r="K269" s="72">
        <f>COUNTIFS(tblVideos[Watched On],"&gt;="&amp;$B269,tblVideos[Watched On],"&lt;"&amp;EDATE($B269,1),tblVideos[Status],"Watched")</f>
        <v/>
      </c>
      <c r="L269" s="82">
        <f>SUMIFS(tblVideos[Length],tblVideos[Watched On],"&gt;="&amp;$B269,tblVideos[Watched On],"&lt;"&amp;EDATE($B269,1),tblVideos[Status],"Watched")</f>
        <v/>
      </c>
      <c r="M269" s="84">
        <f>IF(I269=0,"Gap",IF(I269&gt;AVERAGE($I$144:$I$317)+2*STDEV($I$144:$I$317),"High",""))</f>
        <v/>
      </c>
    </row>
    <row r="270">
      <c r="B270" s="83" t="n">
        <v>44866</v>
      </c>
      <c r="C270" s="72">
        <f>COUNTIFS(tblVideos[Day],"&gt;="&amp;$B270,tblVideos[Day],"&lt;"&amp;EDATE($B270,1),tblVideos[Channel ID],Channels!$E$6)</f>
        <v/>
      </c>
      <c r="D270" s="72">
        <f>COUNTIFS(tblVideos[Day],"&gt;="&amp;$B270,tblVideos[Day],"&lt;"&amp;EDATE($B270,1),tblVideos[Channel ID],Channels!$E$7)</f>
        <v/>
      </c>
      <c r="E270" s="72">
        <f>COUNTIFS(tblVideos[Day],"&gt;="&amp;$B270,tblVideos[Day],"&lt;"&amp;EDATE($B270,1),tblVideos[Channel ID],Channels!$E$8)</f>
        <v/>
      </c>
      <c r="F270" s="72">
        <f>COUNTIFS(tblVideos[Day],"&gt;="&amp;$B270,tblVideos[Day],"&lt;"&amp;EDATE($B270,1),tblVideos[Channel ID],Channels!$E$9)</f>
        <v/>
      </c>
      <c r="G270" s="72">
        <f>COUNTIFS(tblVideos[Day],"&gt;="&amp;$B270,tblVideos[Day],"&lt;"&amp;EDATE($B270,1),tblVideos[Channel ID],Channels!$E$10)</f>
        <v/>
      </c>
      <c r="H270" s="72">
        <f>COUNTIFS(tblVideos[Day],"&gt;="&amp;$B270,tblVideos[Day],"&lt;"&amp;EDATE($B270,1),tblVideos[Channel ID],Channels!$E$11)</f>
        <v/>
      </c>
      <c r="I270" s="81">
        <f>SUM(C270:H270)</f>
        <v/>
      </c>
      <c r="J270" s="82">
        <f>SUMIFS(tblVideos[Length],tblVideos[Day],"&gt;="&amp;$B270,tblVideos[Day],"&lt;"&amp;EDATE($B270,1))</f>
        <v/>
      </c>
      <c r="K270" s="72">
        <f>COUNTIFS(tblVideos[Watched On],"&gt;="&amp;$B270,tblVideos[Watched On],"&lt;"&amp;EDATE($B270,1),tblVideos[Status],"Watched")</f>
        <v/>
      </c>
      <c r="L270" s="82">
        <f>SUMIFS(tblVideos[Length],tblVideos[Watched On],"&gt;="&amp;$B270,tblVideos[Watched On],"&lt;"&amp;EDATE($B270,1),tblVideos[Status],"Watched")</f>
        <v/>
      </c>
      <c r="M270" s="84">
        <f>IF(I270=0,"Gap",IF(I270&gt;AVERAGE($I$144:$I$317)+2*STDEV($I$144:$I$317),"High",""))</f>
        <v/>
      </c>
    </row>
    <row r="271">
      <c r="B271" s="83" t="n">
        <v>44896</v>
      </c>
      <c r="C271" s="72">
        <f>COUNTIFS(tblVideos[Day],"&gt;="&amp;$B271,tblVideos[Day],"&lt;"&amp;EDATE($B271,1),tblVideos[Channel ID],Channels!$E$6)</f>
        <v/>
      </c>
      <c r="D271" s="72">
        <f>COUNTIFS(tblVideos[Day],"&gt;="&amp;$B271,tblVideos[Day],"&lt;"&amp;EDATE($B271,1),tblVideos[Channel ID],Channels!$E$7)</f>
        <v/>
      </c>
      <c r="E271" s="72">
        <f>COUNTIFS(tblVideos[Day],"&gt;="&amp;$B271,tblVideos[Day],"&lt;"&amp;EDATE($B271,1),tblVideos[Channel ID],Channels!$E$8)</f>
        <v/>
      </c>
      <c r="F271" s="72">
        <f>COUNTIFS(tblVideos[Day],"&gt;="&amp;$B271,tblVideos[Day],"&lt;"&amp;EDATE($B271,1),tblVideos[Channel ID],Channels!$E$9)</f>
        <v/>
      </c>
      <c r="G271" s="72">
        <f>COUNTIFS(tblVideos[Day],"&gt;="&amp;$B271,tblVideos[Day],"&lt;"&amp;EDATE($B271,1),tblVideos[Channel ID],Channels!$E$10)</f>
        <v/>
      </c>
      <c r="H271" s="72">
        <f>COUNTIFS(tblVideos[Day],"&gt;="&amp;$B271,tblVideos[Day],"&lt;"&amp;EDATE($B271,1),tblVideos[Channel ID],Channels!$E$11)</f>
        <v/>
      </c>
      <c r="I271" s="81">
        <f>SUM(C271:H271)</f>
        <v/>
      </c>
      <c r="J271" s="82">
        <f>SUMIFS(tblVideos[Length],tblVideos[Day],"&gt;="&amp;$B271,tblVideos[Day],"&lt;"&amp;EDATE($B271,1))</f>
        <v/>
      </c>
      <c r="K271" s="72">
        <f>COUNTIFS(tblVideos[Watched On],"&gt;="&amp;$B271,tblVideos[Watched On],"&lt;"&amp;EDATE($B271,1),tblVideos[Status],"Watched")</f>
        <v/>
      </c>
      <c r="L271" s="82">
        <f>SUMIFS(tblVideos[Length],tblVideos[Watched On],"&gt;="&amp;$B271,tblVideos[Watched On],"&lt;"&amp;EDATE($B271,1),tblVideos[Status],"Watched")</f>
        <v/>
      </c>
      <c r="M271" s="84">
        <f>IF(I271=0,"Gap",IF(I271&gt;AVERAGE($I$144:$I$317)+2*STDEV($I$144:$I$317),"High",""))</f>
        <v/>
      </c>
    </row>
    <row r="272">
      <c r="B272" s="83" t="n">
        <v>44927</v>
      </c>
      <c r="C272" s="72">
        <f>COUNTIFS(tblVideos[Day],"&gt;="&amp;$B272,tblVideos[Day],"&lt;"&amp;EDATE($B272,1),tblVideos[Channel ID],Channels!$E$6)</f>
        <v/>
      </c>
      <c r="D272" s="72">
        <f>COUNTIFS(tblVideos[Day],"&gt;="&amp;$B272,tblVideos[Day],"&lt;"&amp;EDATE($B272,1),tblVideos[Channel ID],Channels!$E$7)</f>
        <v/>
      </c>
      <c r="E272" s="72">
        <f>COUNTIFS(tblVideos[Day],"&gt;="&amp;$B272,tblVideos[Day],"&lt;"&amp;EDATE($B272,1),tblVideos[Channel ID],Channels!$E$8)</f>
        <v/>
      </c>
      <c r="F272" s="72">
        <f>COUNTIFS(tblVideos[Day],"&gt;="&amp;$B272,tblVideos[Day],"&lt;"&amp;EDATE($B272,1),tblVideos[Channel ID],Channels!$E$9)</f>
        <v/>
      </c>
      <c r="G272" s="72">
        <f>COUNTIFS(tblVideos[Day],"&gt;="&amp;$B272,tblVideos[Day],"&lt;"&amp;EDATE($B272,1),tblVideos[Channel ID],Channels!$E$10)</f>
        <v/>
      </c>
      <c r="H272" s="72">
        <f>COUNTIFS(tblVideos[Day],"&gt;="&amp;$B272,tblVideos[Day],"&lt;"&amp;EDATE($B272,1),tblVideos[Channel ID],Channels!$E$11)</f>
        <v/>
      </c>
      <c r="I272" s="81">
        <f>SUM(C272:H272)</f>
        <v/>
      </c>
      <c r="J272" s="82">
        <f>SUMIFS(tblVideos[Length],tblVideos[Day],"&gt;="&amp;$B272,tblVideos[Day],"&lt;"&amp;EDATE($B272,1))</f>
        <v/>
      </c>
      <c r="K272" s="72">
        <f>COUNTIFS(tblVideos[Watched On],"&gt;="&amp;$B272,tblVideos[Watched On],"&lt;"&amp;EDATE($B272,1),tblVideos[Status],"Watched")</f>
        <v/>
      </c>
      <c r="L272" s="82">
        <f>SUMIFS(tblVideos[Length],tblVideos[Watched On],"&gt;="&amp;$B272,tblVideos[Watched On],"&lt;"&amp;EDATE($B272,1),tblVideos[Status],"Watched")</f>
        <v/>
      </c>
      <c r="M272" s="84">
        <f>IF(I272=0,"Gap",IF(I272&gt;AVERAGE($I$144:$I$317)+2*STDEV($I$144:$I$317),"High",""))</f>
        <v/>
      </c>
    </row>
    <row r="273">
      <c r="B273" s="83" t="n">
        <v>44958</v>
      </c>
      <c r="C273" s="72">
        <f>COUNTIFS(tblVideos[Day],"&gt;="&amp;$B273,tblVideos[Day],"&lt;"&amp;EDATE($B273,1),tblVideos[Channel ID],Channels!$E$6)</f>
        <v/>
      </c>
      <c r="D273" s="72">
        <f>COUNTIFS(tblVideos[Day],"&gt;="&amp;$B273,tblVideos[Day],"&lt;"&amp;EDATE($B273,1),tblVideos[Channel ID],Channels!$E$7)</f>
        <v/>
      </c>
      <c r="E273" s="72">
        <f>COUNTIFS(tblVideos[Day],"&gt;="&amp;$B273,tblVideos[Day],"&lt;"&amp;EDATE($B273,1),tblVideos[Channel ID],Channels!$E$8)</f>
        <v/>
      </c>
      <c r="F273" s="72">
        <f>COUNTIFS(tblVideos[Day],"&gt;="&amp;$B273,tblVideos[Day],"&lt;"&amp;EDATE($B273,1),tblVideos[Channel ID],Channels!$E$9)</f>
        <v/>
      </c>
      <c r="G273" s="72">
        <f>COUNTIFS(tblVideos[Day],"&gt;="&amp;$B273,tblVideos[Day],"&lt;"&amp;EDATE($B273,1),tblVideos[Channel ID],Channels!$E$10)</f>
        <v/>
      </c>
      <c r="H273" s="72">
        <f>COUNTIFS(tblVideos[Day],"&gt;="&amp;$B273,tblVideos[Day],"&lt;"&amp;EDATE($B273,1),tblVideos[Channel ID],Channels!$E$11)</f>
        <v/>
      </c>
      <c r="I273" s="81">
        <f>SUM(C273:H273)</f>
        <v/>
      </c>
      <c r="J273" s="82">
        <f>SUMIFS(tblVideos[Length],tblVideos[Day],"&gt;="&amp;$B273,tblVideos[Day],"&lt;"&amp;EDATE($B273,1))</f>
        <v/>
      </c>
      <c r="K273" s="72">
        <f>COUNTIFS(tblVideos[Watched On],"&gt;="&amp;$B273,tblVideos[Watched On],"&lt;"&amp;EDATE($B273,1),tblVideos[Status],"Watched")</f>
        <v/>
      </c>
      <c r="L273" s="82">
        <f>SUMIFS(tblVideos[Length],tblVideos[Watched On],"&gt;="&amp;$B273,tblVideos[Watched On],"&lt;"&amp;EDATE($B273,1),tblVideos[Status],"Watched")</f>
        <v/>
      </c>
      <c r="M273" s="84">
        <f>IF(I273=0,"Gap",IF(I273&gt;AVERAGE($I$144:$I$317)+2*STDEV($I$144:$I$317),"High",""))</f>
        <v/>
      </c>
    </row>
    <row r="274">
      <c r="B274" s="83" t="n">
        <v>44986</v>
      </c>
      <c r="C274" s="72">
        <f>COUNTIFS(tblVideos[Day],"&gt;="&amp;$B274,tblVideos[Day],"&lt;"&amp;EDATE($B274,1),tblVideos[Channel ID],Channels!$E$6)</f>
        <v/>
      </c>
      <c r="D274" s="72">
        <f>COUNTIFS(tblVideos[Day],"&gt;="&amp;$B274,tblVideos[Day],"&lt;"&amp;EDATE($B274,1),tblVideos[Channel ID],Channels!$E$7)</f>
        <v/>
      </c>
      <c r="E274" s="72">
        <f>COUNTIFS(tblVideos[Day],"&gt;="&amp;$B274,tblVideos[Day],"&lt;"&amp;EDATE($B274,1),tblVideos[Channel ID],Channels!$E$8)</f>
        <v/>
      </c>
      <c r="F274" s="72">
        <f>COUNTIFS(tblVideos[Day],"&gt;="&amp;$B274,tblVideos[Day],"&lt;"&amp;EDATE($B274,1),tblVideos[Channel ID],Channels!$E$9)</f>
        <v/>
      </c>
      <c r="G274" s="72">
        <f>COUNTIFS(tblVideos[Day],"&gt;="&amp;$B274,tblVideos[Day],"&lt;"&amp;EDATE($B274,1),tblVideos[Channel ID],Channels!$E$10)</f>
        <v/>
      </c>
      <c r="H274" s="72">
        <f>COUNTIFS(tblVideos[Day],"&gt;="&amp;$B274,tblVideos[Day],"&lt;"&amp;EDATE($B274,1),tblVideos[Channel ID],Channels!$E$11)</f>
        <v/>
      </c>
      <c r="I274" s="81">
        <f>SUM(C274:H274)</f>
        <v/>
      </c>
      <c r="J274" s="82">
        <f>SUMIFS(tblVideos[Length],tblVideos[Day],"&gt;="&amp;$B274,tblVideos[Day],"&lt;"&amp;EDATE($B274,1))</f>
        <v/>
      </c>
      <c r="K274" s="72">
        <f>COUNTIFS(tblVideos[Watched On],"&gt;="&amp;$B274,tblVideos[Watched On],"&lt;"&amp;EDATE($B274,1),tblVideos[Status],"Watched")</f>
        <v/>
      </c>
      <c r="L274" s="82">
        <f>SUMIFS(tblVideos[Length],tblVideos[Watched On],"&gt;="&amp;$B274,tblVideos[Watched On],"&lt;"&amp;EDATE($B274,1),tblVideos[Status],"Watched")</f>
        <v/>
      </c>
      <c r="M274" s="84">
        <f>IF(I274=0,"Gap",IF(I274&gt;AVERAGE($I$144:$I$317)+2*STDEV($I$144:$I$317),"High",""))</f>
        <v/>
      </c>
    </row>
    <row r="275">
      <c r="B275" s="83" t="n">
        <v>45017</v>
      </c>
      <c r="C275" s="72">
        <f>COUNTIFS(tblVideos[Day],"&gt;="&amp;$B275,tblVideos[Day],"&lt;"&amp;EDATE($B275,1),tblVideos[Channel ID],Channels!$E$6)</f>
        <v/>
      </c>
      <c r="D275" s="72">
        <f>COUNTIFS(tblVideos[Day],"&gt;="&amp;$B275,tblVideos[Day],"&lt;"&amp;EDATE($B275,1),tblVideos[Channel ID],Channels!$E$7)</f>
        <v/>
      </c>
      <c r="E275" s="72">
        <f>COUNTIFS(tblVideos[Day],"&gt;="&amp;$B275,tblVideos[Day],"&lt;"&amp;EDATE($B275,1),tblVideos[Channel ID],Channels!$E$8)</f>
        <v/>
      </c>
      <c r="F275" s="72">
        <f>COUNTIFS(tblVideos[Day],"&gt;="&amp;$B275,tblVideos[Day],"&lt;"&amp;EDATE($B275,1),tblVideos[Channel ID],Channels!$E$9)</f>
        <v/>
      </c>
      <c r="G275" s="72">
        <f>COUNTIFS(tblVideos[Day],"&gt;="&amp;$B275,tblVideos[Day],"&lt;"&amp;EDATE($B275,1),tblVideos[Channel ID],Channels!$E$10)</f>
        <v/>
      </c>
      <c r="H275" s="72">
        <f>COUNTIFS(tblVideos[Day],"&gt;="&amp;$B275,tblVideos[Day],"&lt;"&amp;EDATE($B275,1),tblVideos[Channel ID],Channels!$E$11)</f>
        <v/>
      </c>
      <c r="I275" s="81">
        <f>SUM(C275:H275)</f>
        <v/>
      </c>
      <c r="J275" s="82">
        <f>SUMIFS(tblVideos[Length],tblVideos[Day],"&gt;="&amp;$B275,tblVideos[Day],"&lt;"&amp;EDATE($B275,1))</f>
        <v/>
      </c>
      <c r="K275" s="72">
        <f>COUNTIFS(tblVideos[Watched On],"&gt;="&amp;$B275,tblVideos[Watched On],"&lt;"&amp;EDATE($B275,1),tblVideos[Status],"Watched")</f>
        <v/>
      </c>
      <c r="L275" s="82">
        <f>SUMIFS(tblVideos[Length],tblVideos[Watched On],"&gt;="&amp;$B275,tblVideos[Watched On],"&lt;"&amp;EDATE($B275,1),tblVideos[Status],"Watched")</f>
        <v/>
      </c>
      <c r="M275" s="84">
        <f>IF(I275=0,"Gap",IF(I275&gt;AVERAGE($I$144:$I$317)+2*STDEV($I$144:$I$317),"High",""))</f>
        <v/>
      </c>
    </row>
    <row r="276">
      <c r="B276" s="83" t="n">
        <v>45047</v>
      </c>
      <c r="C276" s="72">
        <f>COUNTIFS(tblVideos[Day],"&gt;="&amp;$B276,tblVideos[Day],"&lt;"&amp;EDATE($B276,1),tblVideos[Channel ID],Channels!$E$6)</f>
        <v/>
      </c>
      <c r="D276" s="72">
        <f>COUNTIFS(tblVideos[Day],"&gt;="&amp;$B276,tblVideos[Day],"&lt;"&amp;EDATE($B276,1),tblVideos[Channel ID],Channels!$E$7)</f>
        <v/>
      </c>
      <c r="E276" s="72">
        <f>COUNTIFS(tblVideos[Day],"&gt;="&amp;$B276,tblVideos[Day],"&lt;"&amp;EDATE($B276,1),tblVideos[Channel ID],Channels!$E$8)</f>
        <v/>
      </c>
      <c r="F276" s="72">
        <f>COUNTIFS(tblVideos[Day],"&gt;="&amp;$B276,tblVideos[Day],"&lt;"&amp;EDATE($B276,1),tblVideos[Channel ID],Channels!$E$9)</f>
        <v/>
      </c>
      <c r="G276" s="72">
        <f>COUNTIFS(tblVideos[Day],"&gt;="&amp;$B276,tblVideos[Day],"&lt;"&amp;EDATE($B276,1),tblVideos[Channel ID],Channels!$E$10)</f>
        <v/>
      </c>
      <c r="H276" s="72">
        <f>COUNTIFS(tblVideos[Day],"&gt;="&amp;$B276,tblVideos[Day],"&lt;"&amp;EDATE($B276,1),tblVideos[Channel ID],Channels!$E$11)</f>
        <v/>
      </c>
      <c r="I276" s="81">
        <f>SUM(C276:H276)</f>
        <v/>
      </c>
      <c r="J276" s="82">
        <f>SUMIFS(tblVideos[Length],tblVideos[Day],"&gt;="&amp;$B276,tblVideos[Day],"&lt;"&amp;EDATE($B276,1))</f>
        <v/>
      </c>
      <c r="K276" s="72">
        <f>COUNTIFS(tblVideos[Watched On],"&gt;="&amp;$B276,tblVideos[Watched On],"&lt;"&amp;EDATE($B276,1),tblVideos[Status],"Watched")</f>
        <v/>
      </c>
      <c r="L276" s="82">
        <f>SUMIFS(tblVideos[Length],tblVideos[Watched On],"&gt;="&amp;$B276,tblVideos[Watched On],"&lt;"&amp;EDATE($B276,1),tblVideos[Status],"Watched")</f>
        <v/>
      </c>
      <c r="M276" s="84">
        <f>IF(I276=0,"Gap",IF(I276&gt;AVERAGE($I$144:$I$317)+2*STDEV($I$144:$I$317),"High",""))</f>
        <v/>
      </c>
    </row>
    <row r="277">
      <c r="B277" s="83" t="n">
        <v>45078</v>
      </c>
      <c r="C277" s="72">
        <f>COUNTIFS(tblVideos[Day],"&gt;="&amp;$B277,tblVideos[Day],"&lt;"&amp;EDATE($B277,1),tblVideos[Channel ID],Channels!$E$6)</f>
        <v/>
      </c>
      <c r="D277" s="72">
        <f>COUNTIFS(tblVideos[Day],"&gt;="&amp;$B277,tblVideos[Day],"&lt;"&amp;EDATE($B277,1),tblVideos[Channel ID],Channels!$E$7)</f>
        <v/>
      </c>
      <c r="E277" s="72">
        <f>COUNTIFS(tblVideos[Day],"&gt;="&amp;$B277,tblVideos[Day],"&lt;"&amp;EDATE($B277,1),tblVideos[Channel ID],Channels!$E$8)</f>
        <v/>
      </c>
      <c r="F277" s="72">
        <f>COUNTIFS(tblVideos[Day],"&gt;="&amp;$B277,tblVideos[Day],"&lt;"&amp;EDATE($B277,1),tblVideos[Channel ID],Channels!$E$9)</f>
        <v/>
      </c>
      <c r="G277" s="72">
        <f>COUNTIFS(tblVideos[Day],"&gt;="&amp;$B277,tblVideos[Day],"&lt;"&amp;EDATE($B277,1),tblVideos[Channel ID],Channels!$E$10)</f>
        <v/>
      </c>
      <c r="H277" s="72">
        <f>COUNTIFS(tblVideos[Day],"&gt;="&amp;$B277,tblVideos[Day],"&lt;"&amp;EDATE($B277,1),tblVideos[Channel ID],Channels!$E$11)</f>
        <v/>
      </c>
      <c r="I277" s="81">
        <f>SUM(C277:H277)</f>
        <v/>
      </c>
      <c r="J277" s="82">
        <f>SUMIFS(tblVideos[Length],tblVideos[Day],"&gt;="&amp;$B277,tblVideos[Day],"&lt;"&amp;EDATE($B277,1))</f>
        <v/>
      </c>
      <c r="K277" s="72">
        <f>COUNTIFS(tblVideos[Watched On],"&gt;="&amp;$B277,tblVideos[Watched On],"&lt;"&amp;EDATE($B277,1),tblVideos[Status],"Watched")</f>
        <v/>
      </c>
      <c r="L277" s="82">
        <f>SUMIFS(tblVideos[Length],tblVideos[Watched On],"&gt;="&amp;$B277,tblVideos[Watched On],"&lt;"&amp;EDATE($B277,1),tblVideos[Status],"Watched")</f>
        <v/>
      </c>
      <c r="M277" s="84">
        <f>IF(I277=0,"Gap",IF(I277&gt;AVERAGE($I$144:$I$317)+2*STDEV($I$144:$I$317),"High",""))</f>
        <v/>
      </c>
    </row>
    <row r="278">
      <c r="B278" s="83" t="n">
        <v>45108</v>
      </c>
      <c r="C278" s="72">
        <f>COUNTIFS(tblVideos[Day],"&gt;="&amp;$B278,tblVideos[Day],"&lt;"&amp;EDATE($B278,1),tblVideos[Channel ID],Channels!$E$6)</f>
        <v/>
      </c>
      <c r="D278" s="72">
        <f>COUNTIFS(tblVideos[Day],"&gt;="&amp;$B278,tblVideos[Day],"&lt;"&amp;EDATE($B278,1),tblVideos[Channel ID],Channels!$E$7)</f>
        <v/>
      </c>
      <c r="E278" s="72">
        <f>COUNTIFS(tblVideos[Day],"&gt;="&amp;$B278,tblVideos[Day],"&lt;"&amp;EDATE($B278,1),tblVideos[Channel ID],Channels!$E$8)</f>
        <v/>
      </c>
      <c r="F278" s="72">
        <f>COUNTIFS(tblVideos[Day],"&gt;="&amp;$B278,tblVideos[Day],"&lt;"&amp;EDATE($B278,1),tblVideos[Channel ID],Channels!$E$9)</f>
        <v/>
      </c>
      <c r="G278" s="72">
        <f>COUNTIFS(tblVideos[Day],"&gt;="&amp;$B278,tblVideos[Day],"&lt;"&amp;EDATE($B278,1),tblVideos[Channel ID],Channels!$E$10)</f>
        <v/>
      </c>
      <c r="H278" s="72">
        <f>COUNTIFS(tblVideos[Day],"&gt;="&amp;$B278,tblVideos[Day],"&lt;"&amp;EDATE($B278,1),tblVideos[Channel ID],Channels!$E$11)</f>
        <v/>
      </c>
      <c r="I278" s="81">
        <f>SUM(C278:H278)</f>
        <v/>
      </c>
      <c r="J278" s="82">
        <f>SUMIFS(tblVideos[Length],tblVideos[Day],"&gt;="&amp;$B278,tblVideos[Day],"&lt;"&amp;EDATE($B278,1))</f>
        <v/>
      </c>
      <c r="K278" s="72">
        <f>COUNTIFS(tblVideos[Watched On],"&gt;="&amp;$B278,tblVideos[Watched On],"&lt;"&amp;EDATE($B278,1),tblVideos[Status],"Watched")</f>
        <v/>
      </c>
      <c r="L278" s="82">
        <f>SUMIFS(tblVideos[Length],tblVideos[Watched On],"&gt;="&amp;$B278,tblVideos[Watched On],"&lt;"&amp;EDATE($B278,1),tblVideos[Status],"Watched")</f>
        <v/>
      </c>
      <c r="M278" s="84">
        <f>IF(I278=0,"Gap",IF(I278&gt;AVERAGE($I$144:$I$317)+2*STDEV($I$144:$I$317),"High",""))</f>
        <v/>
      </c>
    </row>
    <row r="279">
      <c r="B279" s="83" t="n">
        <v>45139</v>
      </c>
      <c r="C279" s="72">
        <f>COUNTIFS(tblVideos[Day],"&gt;="&amp;$B279,tblVideos[Day],"&lt;"&amp;EDATE($B279,1),tblVideos[Channel ID],Channels!$E$6)</f>
        <v/>
      </c>
      <c r="D279" s="72">
        <f>COUNTIFS(tblVideos[Day],"&gt;="&amp;$B279,tblVideos[Day],"&lt;"&amp;EDATE($B279,1),tblVideos[Channel ID],Channels!$E$7)</f>
        <v/>
      </c>
      <c r="E279" s="72">
        <f>COUNTIFS(tblVideos[Day],"&gt;="&amp;$B279,tblVideos[Day],"&lt;"&amp;EDATE($B279,1),tblVideos[Channel ID],Channels!$E$8)</f>
        <v/>
      </c>
      <c r="F279" s="72">
        <f>COUNTIFS(tblVideos[Day],"&gt;="&amp;$B279,tblVideos[Day],"&lt;"&amp;EDATE($B279,1),tblVideos[Channel ID],Channels!$E$9)</f>
        <v/>
      </c>
      <c r="G279" s="72">
        <f>COUNTIFS(tblVideos[Day],"&gt;="&amp;$B279,tblVideos[Day],"&lt;"&amp;EDATE($B279,1),tblVideos[Channel ID],Channels!$E$10)</f>
        <v/>
      </c>
      <c r="H279" s="72">
        <f>COUNTIFS(tblVideos[Day],"&gt;="&amp;$B279,tblVideos[Day],"&lt;"&amp;EDATE($B279,1),tblVideos[Channel ID],Channels!$E$11)</f>
        <v/>
      </c>
      <c r="I279" s="81">
        <f>SUM(C279:H279)</f>
        <v/>
      </c>
      <c r="J279" s="82">
        <f>SUMIFS(tblVideos[Length],tblVideos[Day],"&gt;="&amp;$B279,tblVideos[Day],"&lt;"&amp;EDATE($B279,1))</f>
        <v/>
      </c>
      <c r="K279" s="72">
        <f>COUNTIFS(tblVideos[Watched On],"&gt;="&amp;$B279,tblVideos[Watched On],"&lt;"&amp;EDATE($B279,1),tblVideos[Status],"Watched")</f>
        <v/>
      </c>
      <c r="L279" s="82">
        <f>SUMIFS(tblVideos[Length],tblVideos[Watched On],"&gt;="&amp;$B279,tblVideos[Watched On],"&lt;"&amp;EDATE($B279,1),tblVideos[Status],"Watched")</f>
        <v/>
      </c>
      <c r="M279" s="84">
        <f>IF(I279=0,"Gap",IF(I279&gt;AVERAGE($I$144:$I$317)+2*STDEV($I$144:$I$317),"High",""))</f>
        <v/>
      </c>
    </row>
    <row r="280">
      <c r="B280" s="83" t="n">
        <v>45170</v>
      </c>
      <c r="C280" s="72">
        <f>COUNTIFS(tblVideos[Day],"&gt;="&amp;$B280,tblVideos[Day],"&lt;"&amp;EDATE($B280,1),tblVideos[Channel ID],Channels!$E$6)</f>
        <v/>
      </c>
      <c r="D280" s="72">
        <f>COUNTIFS(tblVideos[Day],"&gt;="&amp;$B280,tblVideos[Day],"&lt;"&amp;EDATE($B280,1),tblVideos[Channel ID],Channels!$E$7)</f>
        <v/>
      </c>
      <c r="E280" s="72">
        <f>COUNTIFS(tblVideos[Day],"&gt;="&amp;$B280,tblVideos[Day],"&lt;"&amp;EDATE($B280,1),tblVideos[Channel ID],Channels!$E$8)</f>
        <v/>
      </c>
      <c r="F280" s="72">
        <f>COUNTIFS(tblVideos[Day],"&gt;="&amp;$B280,tblVideos[Day],"&lt;"&amp;EDATE($B280,1),tblVideos[Channel ID],Channels!$E$9)</f>
        <v/>
      </c>
      <c r="G280" s="72">
        <f>COUNTIFS(tblVideos[Day],"&gt;="&amp;$B280,tblVideos[Day],"&lt;"&amp;EDATE($B280,1),tblVideos[Channel ID],Channels!$E$10)</f>
        <v/>
      </c>
      <c r="H280" s="72">
        <f>COUNTIFS(tblVideos[Day],"&gt;="&amp;$B280,tblVideos[Day],"&lt;"&amp;EDATE($B280,1),tblVideos[Channel ID],Channels!$E$11)</f>
        <v/>
      </c>
      <c r="I280" s="81">
        <f>SUM(C280:H280)</f>
        <v/>
      </c>
      <c r="J280" s="82">
        <f>SUMIFS(tblVideos[Length],tblVideos[Day],"&gt;="&amp;$B280,tblVideos[Day],"&lt;"&amp;EDATE($B280,1))</f>
        <v/>
      </c>
      <c r="K280" s="72">
        <f>COUNTIFS(tblVideos[Watched On],"&gt;="&amp;$B280,tblVideos[Watched On],"&lt;"&amp;EDATE($B280,1),tblVideos[Status],"Watched")</f>
        <v/>
      </c>
      <c r="L280" s="82">
        <f>SUMIFS(tblVideos[Length],tblVideos[Watched On],"&gt;="&amp;$B280,tblVideos[Watched On],"&lt;"&amp;EDATE($B280,1),tblVideos[Status],"Watched")</f>
        <v/>
      </c>
      <c r="M280" s="84">
        <f>IF(I280=0,"Gap",IF(I280&gt;AVERAGE($I$144:$I$317)+2*STDEV($I$144:$I$317),"High",""))</f>
        <v/>
      </c>
    </row>
    <row r="281">
      <c r="B281" s="83" t="n">
        <v>45200</v>
      </c>
      <c r="C281" s="72">
        <f>COUNTIFS(tblVideos[Day],"&gt;="&amp;$B281,tblVideos[Day],"&lt;"&amp;EDATE($B281,1),tblVideos[Channel ID],Channels!$E$6)</f>
        <v/>
      </c>
      <c r="D281" s="72">
        <f>COUNTIFS(tblVideos[Day],"&gt;="&amp;$B281,tblVideos[Day],"&lt;"&amp;EDATE($B281,1),tblVideos[Channel ID],Channels!$E$7)</f>
        <v/>
      </c>
      <c r="E281" s="72">
        <f>COUNTIFS(tblVideos[Day],"&gt;="&amp;$B281,tblVideos[Day],"&lt;"&amp;EDATE($B281,1),tblVideos[Channel ID],Channels!$E$8)</f>
        <v/>
      </c>
      <c r="F281" s="72">
        <f>COUNTIFS(tblVideos[Day],"&gt;="&amp;$B281,tblVideos[Day],"&lt;"&amp;EDATE($B281,1),tblVideos[Channel ID],Channels!$E$9)</f>
        <v/>
      </c>
      <c r="G281" s="72">
        <f>COUNTIFS(tblVideos[Day],"&gt;="&amp;$B281,tblVideos[Day],"&lt;"&amp;EDATE($B281,1),tblVideos[Channel ID],Channels!$E$10)</f>
        <v/>
      </c>
      <c r="H281" s="72">
        <f>COUNTIFS(tblVideos[Day],"&gt;="&amp;$B281,tblVideos[Day],"&lt;"&amp;EDATE($B281,1),tblVideos[Channel ID],Channels!$E$11)</f>
        <v/>
      </c>
      <c r="I281" s="81">
        <f>SUM(C281:H281)</f>
        <v/>
      </c>
      <c r="J281" s="82">
        <f>SUMIFS(tblVideos[Length],tblVideos[Day],"&gt;="&amp;$B281,tblVideos[Day],"&lt;"&amp;EDATE($B281,1))</f>
        <v/>
      </c>
      <c r="K281" s="72">
        <f>COUNTIFS(tblVideos[Watched On],"&gt;="&amp;$B281,tblVideos[Watched On],"&lt;"&amp;EDATE($B281,1),tblVideos[Status],"Watched")</f>
        <v/>
      </c>
      <c r="L281" s="82">
        <f>SUMIFS(tblVideos[Length],tblVideos[Watched On],"&gt;="&amp;$B281,tblVideos[Watched On],"&lt;"&amp;EDATE($B281,1),tblVideos[Status],"Watched")</f>
        <v/>
      </c>
      <c r="M281" s="84">
        <f>IF(I281=0,"Gap",IF(I281&gt;AVERAGE($I$144:$I$317)+2*STDEV($I$144:$I$317),"High",""))</f>
        <v/>
      </c>
    </row>
    <row r="282">
      <c r="B282" s="83" t="n">
        <v>45231</v>
      </c>
      <c r="C282" s="72">
        <f>COUNTIFS(tblVideos[Day],"&gt;="&amp;$B282,tblVideos[Day],"&lt;"&amp;EDATE($B282,1),tblVideos[Channel ID],Channels!$E$6)</f>
        <v/>
      </c>
      <c r="D282" s="72">
        <f>COUNTIFS(tblVideos[Day],"&gt;="&amp;$B282,tblVideos[Day],"&lt;"&amp;EDATE($B282,1),tblVideos[Channel ID],Channels!$E$7)</f>
        <v/>
      </c>
      <c r="E282" s="72">
        <f>COUNTIFS(tblVideos[Day],"&gt;="&amp;$B282,tblVideos[Day],"&lt;"&amp;EDATE($B282,1),tblVideos[Channel ID],Channels!$E$8)</f>
        <v/>
      </c>
      <c r="F282" s="72">
        <f>COUNTIFS(tblVideos[Day],"&gt;="&amp;$B282,tblVideos[Day],"&lt;"&amp;EDATE($B282,1),tblVideos[Channel ID],Channels!$E$9)</f>
        <v/>
      </c>
      <c r="G282" s="72">
        <f>COUNTIFS(tblVideos[Day],"&gt;="&amp;$B282,tblVideos[Day],"&lt;"&amp;EDATE($B282,1),tblVideos[Channel ID],Channels!$E$10)</f>
        <v/>
      </c>
      <c r="H282" s="72">
        <f>COUNTIFS(tblVideos[Day],"&gt;="&amp;$B282,tblVideos[Day],"&lt;"&amp;EDATE($B282,1),tblVideos[Channel ID],Channels!$E$11)</f>
        <v/>
      </c>
      <c r="I282" s="81">
        <f>SUM(C282:H282)</f>
        <v/>
      </c>
      <c r="J282" s="82">
        <f>SUMIFS(tblVideos[Length],tblVideos[Day],"&gt;="&amp;$B282,tblVideos[Day],"&lt;"&amp;EDATE($B282,1))</f>
        <v/>
      </c>
      <c r="K282" s="72">
        <f>COUNTIFS(tblVideos[Watched On],"&gt;="&amp;$B282,tblVideos[Watched On],"&lt;"&amp;EDATE($B282,1),tblVideos[Status],"Watched")</f>
        <v/>
      </c>
      <c r="L282" s="82">
        <f>SUMIFS(tblVideos[Length],tblVideos[Watched On],"&gt;="&amp;$B282,tblVideos[Watched On],"&lt;"&amp;EDATE($B282,1),tblVideos[Status],"Watched")</f>
        <v/>
      </c>
      <c r="M282" s="84">
        <f>IF(I282=0,"Gap",IF(I282&gt;AVERAGE($I$144:$I$317)+2*STDEV($I$144:$I$317),"High",""))</f>
        <v/>
      </c>
    </row>
    <row r="283">
      <c r="B283" s="83" t="n">
        <v>45261</v>
      </c>
      <c r="C283" s="72">
        <f>COUNTIFS(tblVideos[Day],"&gt;="&amp;$B283,tblVideos[Day],"&lt;"&amp;EDATE($B283,1),tblVideos[Channel ID],Channels!$E$6)</f>
        <v/>
      </c>
      <c r="D283" s="72">
        <f>COUNTIFS(tblVideos[Day],"&gt;="&amp;$B283,tblVideos[Day],"&lt;"&amp;EDATE($B283,1),tblVideos[Channel ID],Channels!$E$7)</f>
        <v/>
      </c>
      <c r="E283" s="72">
        <f>COUNTIFS(tblVideos[Day],"&gt;="&amp;$B283,tblVideos[Day],"&lt;"&amp;EDATE($B283,1),tblVideos[Channel ID],Channels!$E$8)</f>
        <v/>
      </c>
      <c r="F283" s="72">
        <f>COUNTIFS(tblVideos[Day],"&gt;="&amp;$B283,tblVideos[Day],"&lt;"&amp;EDATE($B283,1),tblVideos[Channel ID],Channels!$E$9)</f>
        <v/>
      </c>
      <c r="G283" s="72">
        <f>COUNTIFS(tblVideos[Day],"&gt;="&amp;$B283,tblVideos[Day],"&lt;"&amp;EDATE($B283,1),tblVideos[Channel ID],Channels!$E$10)</f>
        <v/>
      </c>
      <c r="H283" s="72">
        <f>COUNTIFS(tblVideos[Day],"&gt;="&amp;$B283,tblVideos[Day],"&lt;"&amp;EDATE($B283,1),tblVideos[Channel ID],Channels!$E$11)</f>
        <v/>
      </c>
      <c r="I283" s="81">
        <f>SUM(C283:H283)</f>
        <v/>
      </c>
      <c r="J283" s="82">
        <f>SUMIFS(tblVideos[Length],tblVideos[Day],"&gt;="&amp;$B283,tblVideos[Day],"&lt;"&amp;EDATE($B283,1))</f>
        <v/>
      </c>
      <c r="K283" s="72">
        <f>COUNTIFS(tblVideos[Watched On],"&gt;="&amp;$B283,tblVideos[Watched On],"&lt;"&amp;EDATE($B283,1),tblVideos[Status],"Watched")</f>
        <v/>
      </c>
      <c r="L283" s="82">
        <f>SUMIFS(tblVideos[Length],tblVideos[Watched On],"&gt;="&amp;$B283,tblVideos[Watched On],"&lt;"&amp;EDATE($B283,1),tblVideos[Status],"Watched")</f>
        <v/>
      </c>
      <c r="M283" s="84">
        <f>IF(I283=0,"Gap",IF(I283&gt;AVERAGE($I$144:$I$317)+2*STDEV($I$144:$I$317),"High",""))</f>
        <v/>
      </c>
    </row>
    <row r="284">
      <c r="B284" s="83" t="n">
        <v>45292</v>
      </c>
      <c r="C284" s="72">
        <f>COUNTIFS(tblVideos[Day],"&gt;="&amp;$B284,tblVideos[Day],"&lt;"&amp;EDATE($B284,1),tblVideos[Channel ID],Channels!$E$6)</f>
        <v/>
      </c>
      <c r="D284" s="72">
        <f>COUNTIFS(tblVideos[Day],"&gt;="&amp;$B284,tblVideos[Day],"&lt;"&amp;EDATE($B284,1),tblVideos[Channel ID],Channels!$E$7)</f>
        <v/>
      </c>
      <c r="E284" s="72">
        <f>COUNTIFS(tblVideos[Day],"&gt;="&amp;$B284,tblVideos[Day],"&lt;"&amp;EDATE($B284,1),tblVideos[Channel ID],Channels!$E$8)</f>
        <v/>
      </c>
      <c r="F284" s="72">
        <f>COUNTIFS(tblVideos[Day],"&gt;="&amp;$B284,tblVideos[Day],"&lt;"&amp;EDATE($B284,1),tblVideos[Channel ID],Channels!$E$9)</f>
        <v/>
      </c>
      <c r="G284" s="72">
        <f>COUNTIFS(tblVideos[Day],"&gt;="&amp;$B284,tblVideos[Day],"&lt;"&amp;EDATE($B284,1),tblVideos[Channel ID],Channels!$E$10)</f>
        <v/>
      </c>
      <c r="H284" s="72">
        <f>COUNTIFS(tblVideos[Day],"&gt;="&amp;$B284,tblVideos[Day],"&lt;"&amp;EDATE($B284,1),tblVideos[Channel ID],Channels!$E$11)</f>
        <v/>
      </c>
      <c r="I284" s="81">
        <f>SUM(C284:H284)</f>
        <v/>
      </c>
      <c r="J284" s="82">
        <f>SUMIFS(tblVideos[Length],tblVideos[Day],"&gt;="&amp;$B284,tblVideos[Day],"&lt;"&amp;EDATE($B284,1))</f>
        <v/>
      </c>
      <c r="K284" s="72">
        <f>COUNTIFS(tblVideos[Watched On],"&gt;="&amp;$B284,tblVideos[Watched On],"&lt;"&amp;EDATE($B284,1),tblVideos[Status],"Watched")</f>
        <v/>
      </c>
      <c r="L284" s="82">
        <f>SUMIFS(tblVideos[Length],tblVideos[Watched On],"&gt;="&amp;$B284,tblVideos[Watched On],"&lt;"&amp;EDATE($B284,1),tblVideos[Status],"Watched")</f>
        <v/>
      </c>
      <c r="M284" s="84">
        <f>IF(I284=0,"Gap",IF(I284&gt;AVERAGE($I$144:$I$317)+2*STDEV($I$144:$I$317),"High",""))</f>
        <v/>
      </c>
    </row>
    <row r="285">
      <c r="B285" s="83" t="n">
        <v>45323</v>
      </c>
      <c r="C285" s="72">
        <f>COUNTIFS(tblVideos[Day],"&gt;="&amp;$B285,tblVideos[Day],"&lt;"&amp;EDATE($B285,1),tblVideos[Channel ID],Channels!$E$6)</f>
        <v/>
      </c>
      <c r="D285" s="72">
        <f>COUNTIFS(tblVideos[Day],"&gt;="&amp;$B285,tblVideos[Day],"&lt;"&amp;EDATE($B285,1),tblVideos[Channel ID],Channels!$E$7)</f>
        <v/>
      </c>
      <c r="E285" s="72">
        <f>COUNTIFS(tblVideos[Day],"&gt;="&amp;$B285,tblVideos[Day],"&lt;"&amp;EDATE($B285,1),tblVideos[Channel ID],Channels!$E$8)</f>
        <v/>
      </c>
      <c r="F285" s="72">
        <f>COUNTIFS(tblVideos[Day],"&gt;="&amp;$B285,tblVideos[Day],"&lt;"&amp;EDATE($B285,1),tblVideos[Channel ID],Channels!$E$9)</f>
        <v/>
      </c>
      <c r="G285" s="72">
        <f>COUNTIFS(tblVideos[Day],"&gt;="&amp;$B285,tblVideos[Day],"&lt;"&amp;EDATE($B285,1),tblVideos[Channel ID],Channels!$E$10)</f>
        <v/>
      </c>
      <c r="H285" s="72">
        <f>COUNTIFS(tblVideos[Day],"&gt;="&amp;$B285,tblVideos[Day],"&lt;"&amp;EDATE($B285,1),tblVideos[Channel ID],Channels!$E$11)</f>
        <v/>
      </c>
      <c r="I285" s="81">
        <f>SUM(C285:H285)</f>
        <v/>
      </c>
      <c r="J285" s="82">
        <f>SUMIFS(tblVideos[Length],tblVideos[Day],"&gt;="&amp;$B285,tblVideos[Day],"&lt;"&amp;EDATE($B285,1))</f>
        <v/>
      </c>
      <c r="K285" s="72">
        <f>COUNTIFS(tblVideos[Watched On],"&gt;="&amp;$B285,tblVideos[Watched On],"&lt;"&amp;EDATE($B285,1),tblVideos[Status],"Watched")</f>
        <v/>
      </c>
      <c r="L285" s="82">
        <f>SUMIFS(tblVideos[Length],tblVideos[Watched On],"&gt;="&amp;$B285,tblVideos[Watched On],"&lt;"&amp;EDATE($B285,1),tblVideos[Status],"Watched")</f>
        <v/>
      </c>
      <c r="M285" s="84">
        <f>IF(I285=0,"Gap",IF(I285&gt;AVERAGE($I$144:$I$317)+2*STDEV($I$144:$I$317),"High",""))</f>
        <v/>
      </c>
    </row>
    <row r="286">
      <c r="B286" s="83" t="n">
        <v>45352</v>
      </c>
      <c r="C286" s="72">
        <f>COUNTIFS(tblVideos[Day],"&gt;="&amp;$B286,tblVideos[Day],"&lt;"&amp;EDATE($B286,1),tblVideos[Channel ID],Channels!$E$6)</f>
        <v/>
      </c>
      <c r="D286" s="72">
        <f>COUNTIFS(tblVideos[Day],"&gt;="&amp;$B286,tblVideos[Day],"&lt;"&amp;EDATE($B286,1),tblVideos[Channel ID],Channels!$E$7)</f>
        <v/>
      </c>
      <c r="E286" s="72">
        <f>COUNTIFS(tblVideos[Day],"&gt;="&amp;$B286,tblVideos[Day],"&lt;"&amp;EDATE($B286,1),tblVideos[Channel ID],Channels!$E$8)</f>
        <v/>
      </c>
      <c r="F286" s="72">
        <f>COUNTIFS(tblVideos[Day],"&gt;="&amp;$B286,tblVideos[Day],"&lt;"&amp;EDATE($B286,1),tblVideos[Channel ID],Channels!$E$9)</f>
        <v/>
      </c>
      <c r="G286" s="72">
        <f>COUNTIFS(tblVideos[Day],"&gt;="&amp;$B286,tblVideos[Day],"&lt;"&amp;EDATE($B286,1),tblVideos[Channel ID],Channels!$E$10)</f>
        <v/>
      </c>
      <c r="H286" s="72">
        <f>COUNTIFS(tblVideos[Day],"&gt;="&amp;$B286,tblVideos[Day],"&lt;"&amp;EDATE($B286,1),tblVideos[Channel ID],Channels!$E$11)</f>
        <v/>
      </c>
      <c r="I286" s="81">
        <f>SUM(C286:H286)</f>
        <v/>
      </c>
      <c r="J286" s="82">
        <f>SUMIFS(tblVideos[Length],tblVideos[Day],"&gt;="&amp;$B286,tblVideos[Day],"&lt;"&amp;EDATE($B286,1))</f>
        <v/>
      </c>
      <c r="K286" s="72">
        <f>COUNTIFS(tblVideos[Watched On],"&gt;="&amp;$B286,tblVideos[Watched On],"&lt;"&amp;EDATE($B286,1),tblVideos[Status],"Watched")</f>
        <v/>
      </c>
      <c r="L286" s="82">
        <f>SUMIFS(tblVideos[Length],tblVideos[Watched On],"&gt;="&amp;$B286,tblVideos[Watched On],"&lt;"&amp;EDATE($B286,1),tblVideos[Status],"Watched")</f>
        <v/>
      </c>
      <c r="M286" s="84">
        <f>IF(I286=0,"Gap",IF(I286&gt;AVERAGE($I$144:$I$317)+2*STDEV($I$144:$I$317),"High",""))</f>
        <v/>
      </c>
    </row>
    <row r="287">
      <c r="B287" s="83" t="n">
        <v>45383</v>
      </c>
      <c r="C287" s="72">
        <f>COUNTIFS(tblVideos[Day],"&gt;="&amp;$B287,tblVideos[Day],"&lt;"&amp;EDATE($B287,1),tblVideos[Channel ID],Channels!$E$6)</f>
        <v/>
      </c>
      <c r="D287" s="72">
        <f>COUNTIFS(tblVideos[Day],"&gt;="&amp;$B287,tblVideos[Day],"&lt;"&amp;EDATE($B287,1),tblVideos[Channel ID],Channels!$E$7)</f>
        <v/>
      </c>
      <c r="E287" s="72">
        <f>COUNTIFS(tblVideos[Day],"&gt;="&amp;$B287,tblVideos[Day],"&lt;"&amp;EDATE($B287,1),tblVideos[Channel ID],Channels!$E$8)</f>
        <v/>
      </c>
      <c r="F287" s="72">
        <f>COUNTIFS(tblVideos[Day],"&gt;="&amp;$B287,tblVideos[Day],"&lt;"&amp;EDATE($B287,1),tblVideos[Channel ID],Channels!$E$9)</f>
        <v/>
      </c>
      <c r="G287" s="72">
        <f>COUNTIFS(tblVideos[Day],"&gt;="&amp;$B287,tblVideos[Day],"&lt;"&amp;EDATE($B287,1),tblVideos[Channel ID],Channels!$E$10)</f>
        <v/>
      </c>
      <c r="H287" s="72">
        <f>COUNTIFS(tblVideos[Day],"&gt;="&amp;$B287,tblVideos[Day],"&lt;"&amp;EDATE($B287,1),tblVideos[Channel ID],Channels!$E$11)</f>
        <v/>
      </c>
      <c r="I287" s="81">
        <f>SUM(C287:H287)</f>
        <v/>
      </c>
      <c r="J287" s="82">
        <f>SUMIFS(tblVideos[Length],tblVideos[Day],"&gt;="&amp;$B287,tblVideos[Day],"&lt;"&amp;EDATE($B287,1))</f>
        <v/>
      </c>
      <c r="K287" s="72">
        <f>COUNTIFS(tblVideos[Watched On],"&gt;="&amp;$B287,tblVideos[Watched On],"&lt;"&amp;EDATE($B287,1),tblVideos[Status],"Watched")</f>
        <v/>
      </c>
      <c r="L287" s="82">
        <f>SUMIFS(tblVideos[Length],tblVideos[Watched On],"&gt;="&amp;$B287,tblVideos[Watched On],"&lt;"&amp;EDATE($B287,1),tblVideos[Status],"Watched")</f>
        <v/>
      </c>
      <c r="M287" s="84">
        <f>IF(I287=0,"Gap",IF(I287&gt;AVERAGE($I$144:$I$317)+2*STDEV($I$144:$I$317),"High",""))</f>
        <v/>
      </c>
    </row>
    <row r="288">
      <c r="B288" s="83" t="n">
        <v>45413</v>
      </c>
      <c r="C288" s="72">
        <f>COUNTIFS(tblVideos[Day],"&gt;="&amp;$B288,tblVideos[Day],"&lt;"&amp;EDATE($B288,1),tblVideos[Channel ID],Channels!$E$6)</f>
        <v/>
      </c>
      <c r="D288" s="72">
        <f>COUNTIFS(tblVideos[Day],"&gt;="&amp;$B288,tblVideos[Day],"&lt;"&amp;EDATE($B288,1),tblVideos[Channel ID],Channels!$E$7)</f>
        <v/>
      </c>
      <c r="E288" s="72">
        <f>COUNTIFS(tblVideos[Day],"&gt;="&amp;$B288,tblVideos[Day],"&lt;"&amp;EDATE($B288,1),tblVideos[Channel ID],Channels!$E$8)</f>
        <v/>
      </c>
      <c r="F288" s="72">
        <f>COUNTIFS(tblVideos[Day],"&gt;="&amp;$B288,tblVideos[Day],"&lt;"&amp;EDATE($B288,1),tblVideos[Channel ID],Channels!$E$9)</f>
        <v/>
      </c>
      <c r="G288" s="72">
        <f>COUNTIFS(tblVideos[Day],"&gt;="&amp;$B288,tblVideos[Day],"&lt;"&amp;EDATE($B288,1),tblVideos[Channel ID],Channels!$E$10)</f>
        <v/>
      </c>
      <c r="H288" s="72">
        <f>COUNTIFS(tblVideos[Day],"&gt;="&amp;$B288,tblVideos[Day],"&lt;"&amp;EDATE($B288,1),tblVideos[Channel ID],Channels!$E$11)</f>
        <v/>
      </c>
      <c r="I288" s="81">
        <f>SUM(C288:H288)</f>
        <v/>
      </c>
      <c r="J288" s="82">
        <f>SUMIFS(tblVideos[Length],tblVideos[Day],"&gt;="&amp;$B288,tblVideos[Day],"&lt;"&amp;EDATE($B288,1))</f>
        <v/>
      </c>
      <c r="K288" s="72">
        <f>COUNTIFS(tblVideos[Watched On],"&gt;="&amp;$B288,tblVideos[Watched On],"&lt;"&amp;EDATE($B288,1),tblVideos[Status],"Watched")</f>
        <v/>
      </c>
      <c r="L288" s="82">
        <f>SUMIFS(tblVideos[Length],tblVideos[Watched On],"&gt;="&amp;$B288,tblVideos[Watched On],"&lt;"&amp;EDATE($B288,1),tblVideos[Status],"Watched")</f>
        <v/>
      </c>
      <c r="M288" s="84">
        <f>IF(I288=0,"Gap",IF(I288&gt;AVERAGE($I$144:$I$317)+2*STDEV($I$144:$I$317),"High",""))</f>
        <v/>
      </c>
    </row>
    <row r="289">
      <c r="B289" s="83" t="n">
        <v>45444</v>
      </c>
      <c r="C289" s="72">
        <f>COUNTIFS(tblVideos[Day],"&gt;="&amp;$B289,tblVideos[Day],"&lt;"&amp;EDATE($B289,1),tblVideos[Channel ID],Channels!$E$6)</f>
        <v/>
      </c>
      <c r="D289" s="72">
        <f>COUNTIFS(tblVideos[Day],"&gt;="&amp;$B289,tblVideos[Day],"&lt;"&amp;EDATE($B289,1),tblVideos[Channel ID],Channels!$E$7)</f>
        <v/>
      </c>
      <c r="E289" s="72">
        <f>COUNTIFS(tblVideos[Day],"&gt;="&amp;$B289,tblVideos[Day],"&lt;"&amp;EDATE($B289,1),tblVideos[Channel ID],Channels!$E$8)</f>
        <v/>
      </c>
      <c r="F289" s="72">
        <f>COUNTIFS(tblVideos[Day],"&gt;="&amp;$B289,tblVideos[Day],"&lt;"&amp;EDATE($B289,1),tblVideos[Channel ID],Channels!$E$9)</f>
        <v/>
      </c>
      <c r="G289" s="72">
        <f>COUNTIFS(tblVideos[Day],"&gt;="&amp;$B289,tblVideos[Day],"&lt;"&amp;EDATE($B289,1),tblVideos[Channel ID],Channels!$E$10)</f>
        <v/>
      </c>
      <c r="H289" s="72">
        <f>COUNTIFS(tblVideos[Day],"&gt;="&amp;$B289,tblVideos[Day],"&lt;"&amp;EDATE($B289,1),tblVideos[Channel ID],Channels!$E$11)</f>
        <v/>
      </c>
      <c r="I289" s="81">
        <f>SUM(C289:H289)</f>
        <v/>
      </c>
      <c r="J289" s="82">
        <f>SUMIFS(tblVideos[Length],tblVideos[Day],"&gt;="&amp;$B289,tblVideos[Day],"&lt;"&amp;EDATE($B289,1))</f>
        <v/>
      </c>
      <c r="K289" s="72">
        <f>COUNTIFS(tblVideos[Watched On],"&gt;="&amp;$B289,tblVideos[Watched On],"&lt;"&amp;EDATE($B289,1),tblVideos[Status],"Watched")</f>
        <v/>
      </c>
      <c r="L289" s="82">
        <f>SUMIFS(tblVideos[Length],tblVideos[Watched On],"&gt;="&amp;$B289,tblVideos[Watched On],"&lt;"&amp;EDATE($B289,1),tblVideos[Status],"Watched")</f>
        <v/>
      </c>
      <c r="M289" s="84">
        <f>IF(I289=0,"Gap",IF(I289&gt;AVERAGE($I$144:$I$317)+2*STDEV($I$144:$I$317),"High",""))</f>
        <v/>
      </c>
    </row>
    <row r="290">
      <c r="B290" s="83" t="n">
        <v>45474</v>
      </c>
      <c r="C290" s="72">
        <f>COUNTIFS(tblVideos[Day],"&gt;="&amp;$B290,tblVideos[Day],"&lt;"&amp;EDATE($B290,1),tblVideos[Channel ID],Channels!$E$6)</f>
        <v/>
      </c>
      <c r="D290" s="72">
        <f>COUNTIFS(tblVideos[Day],"&gt;="&amp;$B290,tblVideos[Day],"&lt;"&amp;EDATE($B290,1),tblVideos[Channel ID],Channels!$E$7)</f>
        <v/>
      </c>
      <c r="E290" s="72">
        <f>COUNTIFS(tblVideos[Day],"&gt;="&amp;$B290,tblVideos[Day],"&lt;"&amp;EDATE($B290,1),tblVideos[Channel ID],Channels!$E$8)</f>
        <v/>
      </c>
      <c r="F290" s="72">
        <f>COUNTIFS(tblVideos[Day],"&gt;="&amp;$B290,tblVideos[Day],"&lt;"&amp;EDATE($B290,1),tblVideos[Channel ID],Channels!$E$9)</f>
        <v/>
      </c>
      <c r="G290" s="72">
        <f>COUNTIFS(tblVideos[Day],"&gt;="&amp;$B290,tblVideos[Day],"&lt;"&amp;EDATE($B290,1),tblVideos[Channel ID],Channels!$E$10)</f>
        <v/>
      </c>
      <c r="H290" s="72">
        <f>COUNTIFS(tblVideos[Day],"&gt;="&amp;$B290,tblVideos[Day],"&lt;"&amp;EDATE($B290,1),tblVideos[Channel ID],Channels!$E$11)</f>
        <v/>
      </c>
      <c r="I290" s="81">
        <f>SUM(C290:H290)</f>
        <v/>
      </c>
      <c r="J290" s="82">
        <f>SUMIFS(tblVideos[Length],tblVideos[Day],"&gt;="&amp;$B290,tblVideos[Day],"&lt;"&amp;EDATE($B290,1))</f>
        <v/>
      </c>
      <c r="K290" s="72">
        <f>COUNTIFS(tblVideos[Watched On],"&gt;="&amp;$B290,tblVideos[Watched On],"&lt;"&amp;EDATE($B290,1),tblVideos[Status],"Watched")</f>
        <v/>
      </c>
      <c r="L290" s="82">
        <f>SUMIFS(tblVideos[Length],tblVideos[Watched On],"&gt;="&amp;$B290,tblVideos[Watched On],"&lt;"&amp;EDATE($B290,1),tblVideos[Status],"Watched")</f>
        <v/>
      </c>
      <c r="M290" s="84">
        <f>IF(I290=0,"Gap",IF(I290&gt;AVERAGE($I$144:$I$317)+2*STDEV($I$144:$I$317),"High",""))</f>
        <v/>
      </c>
    </row>
    <row r="291">
      <c r="B291" s="83" t="n">
        <v>45505</v>
      </c>
      <c r="C291" s="72">
        <f>COUNTIFS(tblVideos[Day],"&gt;="&amp;$B291,tblVideos[Day],"&lt;"&amp;EDATE($B291,1),tblVideos[Channel ID],Channels!$E$6)</f>
        <v/>
      </c>
      <c r="D291" s="72">
        <f>COUNTIFS(tblVideos[Day],"&gt;="&amp;$B291,tblVideos[Day],"&lt;"&amp;EDATE($B291,1),tblVideos[Channel ID],Channels!$E$7)</f>
        <v/>
      </c>
      <c r="E291" s="72">
        <f>COUNTIFS(tblVideos[Day],"&gt;="&amp;$B291,tblVideos[Day],"&lt;"&amp;EDATE($B291,1),tblVideos[Channel ID],Channels!$E$8)</f>
        <v/>
      </c>
      <c r="F291" s="72">
        <f>COUNTIFS(tblVideos[Day],"&gt;="&amp;$B291,tblVideos[Day],"&lt;"&amp;EDATE($B291,1),tblVideos[Channel ID],Channels!$E$9)</f>
        <v/>
      </c>
      <c r="G291" s="72">
        <f>COUNTIFS(tblVideos[Day],"&gt;="&amp;$B291,tblVideos[Day],"&lt;"&amp;EDATE($B291,1),tblVideos[Channel ID],Channels!$E$10)</f>
        <v/>
      </c>
      <c r="H291" s="72">
        <f>COUNTIFS(tblVideos[Day],"&gt;="&amp;$B291,tblVideos[Day],"&lt;"&amp;EDATE($B291,1),tblVideos[Channel ID],Channels!$E$11)</f>
        <v/>
      </c>
      <c r="I291" s="81">
        <f>SUM(C291:H291)</f>
        <v/>
      </c>
      <c r="J291" s="82">
        <f>SUMIFS(tblVideos[Length],tblVideos[Day],"&gt;="&amp;$B291,tblVideos[Day],"&lt;"&amp;EDATE($B291,1))</f>
        <v/>
      </c>
      <c r="K291" s="72">
        <f>COUNTIFS(tblVideos[Watched On],"&gt;="&amp;$B291,tblVideos[Watched On],"&lt;"&amp;EDATE($B291,1),tblVideos[Status],"Watched")</f>
        <v/>
      </c>
      <c r="L291" s="82">
        <f>SUMIFS(tblVideos[Length],tblVideos[Watched On],"&gt;="&amp;$B291,tblVideos[Watched On],"&lt;"&amp;EDATE($B291,1),tblVideos[Status],"Watched")</f>
        <v/>
      </c>
      <c r="M291" s="84">
        <f>IF(I291=0,"Gap",IF(I291&gt;AVERAGE($I$144:$I$317)+2*STDEV($I$144:$I$317),"High",""))</f>
        <v/>
      </c>
    </row>
    <row r="292">
      <c r="B292" s="83" t="n">
        <v>45536</v>
      </c>
      <c r="C292" s="72">
        <f>COUNTIFS(tblVideos[Day],"&gt;="&amp;$B292,tblVideos[Day],"&lt;"&amp;EDATE($B292,1),tblVideos[Channel ID],Channels!$E$6)</f>
        <v/>
      </c>
      <c r="D292" s="72">
        <f>COUNTIFS(tblVideos[Day],"&gt;="&amp;$B292,tblVideos[Day],"&lt;"&amp;EDATE($B292,1),tblVideos[Channel ID],Channels!$E$7)</f>
        <v/>
      </c>
      <c r="E292" s="72">
        <f>COUNTIFS(tblVideos[Day],"&gt;="&amp;$B292,tblVideos[Day],"&lt;"&amp;EDATE($B292,1),tblVideos[Channel ID],Channels!$E$8)</f>
        <v/>
      </c>
      <c r="F292" s="72">
        <f>COUNTIFS(tblVideos[Day],"&gt;="&amp;$B292,tblVideos[Day],"&lt;"&amp;EDATE($B292,1),tblVideos[Channel ID],Channels!$E$9)</f>
        <v/>
      </c>
      <c r="G292" s="72">
        <f>COUNTIFS(tblVideos[Day],"&gt;="&amp;$B292,tblVideos[Day],"&lt;"&amp;EDATE($B292,1),tblVideos[Channel ID],Channels!$E$10)</f>
        <v/>
      </c>
      <c r="H292" s="72">
        <f>COUNTIFS(tblVideos[Day],"&gt;="&amp;$B292,tblVideos[Day],"&lt;"&amp;EDATE($B292,1),tblVideos[Channel ID],Channels!$E$11)</f>
        <v/>
      </c>
      <c r="I292" s="81">
        <f>SUM(C292:H292)</f>
        <v/>
      </c>
      <c r="J292" s="82">
        <f>SUMIFS(tblVideos[Length],tblVideos[Day],"&gt;="&amp;$B292,tblVideos[Day],"&lt;"&amp;EDATE($B292,1))</f>
        <v/>
      </c>
      <c r="K292" s="72">
        <f>COUNTIFS(tblVideos[Watched On],"&gt;="&amp;$B292,tblVideos[Watched On],"&lt;"&amp;EDATE($B292,1),tblVideos[Status],"Watched")</f>
        <v/>
      </c>
      <c r="L292" s="82">
        <f>SUMIFS(tblVideos[Length],tblVideos[Watched On],"&gt;="&amp;$B292,tblVideos[Watched On],"&lt;"&amp;EDATE($B292,1),tblVideos[Status],"Watched")</f>
        <v/>
      </c>
      <c r="M292" s="84">
        <f>IF(I292=0,"Gap",IF(I292&gt;AVERAGE($I$144:$I$317)+2*STDEV($I$144:$I$317),"High",""))</f>
        <v/>
      </c>
    </row>
    <row r="293">
      <c r="B293" s="83" t="n">
        <v>45566</v>
      </c>
      <c r="C293" s="72">
        <f>COUNTIFS(tblVideos[Day],"&gt;="&amp;$B293,tblVideos[Day],"&lt;"&amp;EDATE($B293,1),tblVideos[Channel ID],Channels!$E$6)</f>
        <v/>
      </c>
      <c r="D293" s="72">
        <f>COUNTIFS(tblVideos[Day],"&gt;="&amp;$B293,tblVideos[Day],"&lt;"&amp;EDATE($B293,1),tblVideos[Channel ID],Channels!$E$7)</f>
        <v/>
      </c>
      <c r="E293" s="72">
        <f>COUNTIFS(tblVideos[Day],"&gt;="&amp;$B293,tblVideos[Day],"&lt;"&amp;EDATE($B293,1),tblVideos[Channel ID],Channels!$E$8)</f>
        <v/>
      </c>
      <c r="F293" s="72">
        <f>COUNTIFS(tblVideos[Day],"&gt;="&amp;$B293,tblVideos[Day],"&lt;"&amp;EDATE($B293,1),tblVideos[Channel ID],Channels!$E$9)</f>
        <v/>
      </c>
      <c r="G293" s="72">
        <f>COUNTIFS(tblVideos[Day],"&gt;="&amp;$B293,tblVideos[Day],"&lt;"&amp;EDATE($B293,1),tblVideos[Channel ID],Channels!$E$10)</f>
        <v/>
      </c>
      <c r="H293" s="72">
        <f>COUNTIFS(tblVideos[Day],"&gt;="&amp;$B293,tblVideos[Day],"&lt;"&amp;EDATE($B293,1),tblVideos[Channel ID],Channels!$E$11)</f>
        <v/>
      </c>
      <c r="I293" s="81">
        <f>SUM(C293:H293)</f>
        <v/>
      </c>
      <c r="J293" s="82">
        <f>SUMIFS(tblVideos[Length],tblVideos[Day],"&gt;="&amp;$B293,tblVideos[Day],"&lt;"&amp;EDATE($B293,1))</f>
        <v/>
      </c>
      <c r="K293" s="72">
        <f>COUNTIFS(tblVideos[Watched On],"&gt;="&amp;$B293,tblVideos[Watched On],"&lt;"&amp;EDATE($B293,1),tblVideos[Status],"Watched")</f>
        <v/>
      </c>
      <c r="L293" s="82">
        <f>SUMIFS(tblVideos[Length],tblVideos[Watched On],"&gt;="&amp;$B293,tblVideos[Watched On],"&lt;"&amp;EDATE($B293,1),tblVideos[Status],"Watched")</f>
        <v/>
      </c>
      <c r="M293" s="84">
        <f>IF(I293=0,"Gap",IF(I293&gt;AVERAGE($I$144:$I$317)+2*STDEV($I$144:$I$317),"High",""))</f>
        <v/>
      </c>
    </row>
    <row r="294">
      <c r="B294" s="83" t="n">
        <v>45597</v>
      </c>
      <c r="C294" s="72">
        <f>COUNTIFS(tblVideos[Day],"&gt;="&amp;$B294,tblVideos[Day],"&lt;"&amp;EDATE($B294,1),tblVideos[Channel ID],Channels!$E$6)</f>
        <v/>
      </c>
      <c r="D294" s="72">
        <f>COUNTIFS(tblVideos[Day],"&gt;="&amp;$B294,tblVideos[Day],"&lt;"&amp;EDATE($B294,1),tblVideos[Channel ID],Channels!$E$7)</f>
        <v/>
      </c>
      <c r="E294" s="72">
        <f>COUNTIFS(tblVideos[Day],"&gt;="&amp;$B294,tblVideos[Day],"&lt;"&amp;EDATE($B294,1),tblVideos[Channel ID],Channels!$E$8)</f>
        <v/>
      </c>
      <c r="F294" s="72">
        <f>COUNTIFS(tblVideos[Day],"&gt;="&amp;$B294,tblVideos[Day],"&lt;"&amp;EDATE($B294,1),tblVideos[Channel ID],Channels!$E$9)</f>
        <v/>
      </c>
      <c r="G294" s="72">
        <f>COUNTIFS(tblVideos[Day],"&gt;="&amp;$B294,tblVideos[Day],"&lt;"&amp;EDATE($B294,1),tblVideos[Channel ID],Channels!$E$10)</f>
        <v/>
      </c>
      <c r="H294" s="72">
        <f>COUNTIFS(tblVideos[Day],"&gt;="&amp;$B294,tblVideos[Day],"&lt;"&amp;EDATE($B294,1),tblVideos[Channel ID],Channels!$E$11)</f>
        <v/>
      </c>
      <c r="I294" s="81">
        <f>SUM(C294:H294)</f>
        <v/>
      </c>
      <c r="J294" s="82">
        <f>SUMIFS(tblVideos[Length],tblVideos[Day],"&gt;="&amp;$B294,tblVideos[Day],"&lt;"&amp;EDATE($B294,1))</f>
        <v/>
      </c>
      <c r="K294" s="72">
        <f>COUNTIFS(tblVideos[Watched On],"&gt;="&amp;$B294,tblVideos[Watched On],"&lt;"&amp;EDATE($B294,1),tblVideos[Status],"Watched")</f>
        <v/>
      </c>
      <c r="L294" s="82">
        <f>SUMIFS(tblVideos[Length],tblVideos[Watched On],"&gt;="&amp;$B294,tblVideos[Watched On],"&lt;"&amp;EDATE($B294,1),tblVideos[Status],"Watched")</f>
        <v/>
      </c>
      <c r="M294" s="84">
        <f>IF(I294=0,"Gap",IF(I294&gt;AVERAGE($I$144:$I$317)+2*STDEV($I$144:$I$317),"High",""))</f>
        <v/>
      </c>
    </row>
    <row r="295">
      <c r="B295" s="83" t="n">
        <v>45627</v>
      </c>
      <c r="C295" s="72">
        <f>COUNTIFS(tblVideos[Day],"&gt;="&amp;$B295,tblVideos[Day],"&lt;"&amp;EDATE($B295,1),tblVideos[Channel ID],Channels!$E$6)</f>
        <v/>
      </c>
      <c r="D295" s="72">
        <f>COUNTIFS(tblVideos[Day],"&gt;="&amp;$B295,tblVideos[Day],"&lt;"&amp;EDATE($B295,1),tblVideos[Channel ID],Channels!$E$7)</f>
        <v/>
      </c>
      <c r="E295" s="72">
        <f>COUNTIFS(tblVideos[Day],"&gt;="&amp;$B295,tblVideos[Day],"&lt;"&amp;EDATE($B295,1),tblVideos[Channel ID],Channels!$E$8)</f>
        <v/>
      </c>
      <c r="F295" s="72">
        <f>COUNTIFS(tblVideos[Day],"&gt;="&amp;$B295,tblVideos[Day],"&lt;"&amp;EDATE($B295,1),tblVideos[Channel ID],Channels!$E$9)</f>
        <v/>
      </c>
      <c r="G295" s="72">
        <f>COUNTIFS(tblVideos[Day],"&gt;="&amp;$B295,tblVideos[Day],"&lt;"&amp;EDATE($B295,1),tblVideos[Channel ID],Channels!$E$10)</f>
        <v/>
      </c>
      <c r="H295" s="72">
        <f>COUNTIFS(tblVideos[Day],"&gt;="&amp;$B295,tblVideos[Day],"&lt;"&amp;EDATE($B295,1),tblVideos[Channel ID],Channels!$E$11)</f>
        <v/>
      </c>
      <c r="I295" s="81">
        <f>SUM(C295:H295)</f>
        <v/>
      </c>
      <c r="J295" s="82">
        <f>SUMIFS(tblVideos[Length],tblVideos[Day],"&gt;="&amp;$B295,tblVideos[Day],"&lt;"&amp;EDATE($B295,1))</f>
        <v/>
      </c>
      <c r="K295" s="72">
        <f>COUNTIFS(tblVideos[Watched On],"&gt;="&amp;$B295,tblVideos[Watched On],"&lt;"&amp;EDATE($B295,1),tblVideos[Status],"Watched")</f>
        <v/>
      </c>
      <c r="L295" s="82">
        <f>SUMIFS(tblVideos[Length],tblVideos[Watched On],"&gt;="&amp;$B295,tblVideos[Watched On],"&lt;"&amp;EDATE($B295,1),tblVideos[Status],"Watched")</f>
        <v/>
      </c>
      <c r="M295" s="84">
        <f>IF(I295=0,"Gap",IF(I295&gt;AVERAGE($I$144:$I$317)+2*STDEV($I$144:$I$317),"High",""))</f>
        <v/>
      </c>
    </row>
    <row r="296">
      <c r="B296" s="83" t="n">
        <v>45658</v>
      </c>
      <c r="C296" s="72">
        <f>COUNTIFS(tblVideos[Day],"&gt;="&amp;$B296,tblVideos[Day],"&lt;"&amp;EDATE($B296,1),tblVideos[Channel ID],Channels!$E$6)</f>
        <v/>
      </c>
      <c r="D296" s="72">
        <f>COUNTIFS(tblVideos[Day],"&gt;="&amp;$B296,tblVideos[Day],"&lt;"&amp;EDATE($B296,1),tblVideos[Channel ID],Channels!$E$7)</f>
        <v/>
      </c>
      <c r="E296" s="72">
        <f>COUNTIFS(tblVideos[Day],"&gt;="&amp;$B296,tblVideos[Day],"&lt;"&amp;EDATE($B296,1),tblVideos[Channel ID],Channels!$E$8)</f>
        <v/>
      </c>
      <c r="F296" s="72">
        <f>COUNTIFS(tblVideos[Day],"&gt;="&amp;$B296,tblVideos[Day],"&lt;"&amp;EDATE($B296,1),tblVideos[Channel ID],Channels!$E$9)</f>
        <v/>
      </c>
      <c r="G296" s="72">
        <f>COUNTIFS(tblVideos[Day],"&gt;="&amp;$B296,tblVideos[Day],"&lt;"&amp;EDATE($B296,1),tblVideos[Channel ID],Channels!$E$10)</f>
        <v/>
      </c>
      <c r="H296" s="72">
        <f>COUNTIFS(tblVideos[Day],"&gt;="&amp;$B296,tblVideos[Day],"&lt;"&amp;EDATE($B296,1),tblVideos[Channel ID],Channels!$E$11)</f>
        <v/>
      </c>
      <c r="I296" s="81">
        <f>SUM(C296:H296)</f>
        <v/>
      </c>
      <c r="J296" s="82">
        <f>SUMIFS(tblVideos[Length],tblVideos[Day],"&gt;="&amp;$B296,tblVideos[Day],"&lt;"&amp;EDATE($B296,1))</f>
        <v/>
      </c>
      <c r="K296" s="72">
        <f>COUNTIFS(tblVideos[Watched On],"&gt;="&amp;$B296,tblVideos[Watched On],"&lt;"&amp;EDATE($B296,1),tblVideos[Status],"Watched")</f>
        <v/>
      </c>
      <c r="L296" s="82">
        <f>SUMIFS(tblVideos[Length],tblVideos[Watched On],"&gt;="&amp;$B296,tblVideos[Watched On],"&lt;"&amp;EDATE($B296,1),tblVideos[Status],"Watched")</f>
        <v/>
      </c>
      <c r="M296" s="84">
        <f>IF(I296=0,"Gap",IF(I296&gt;AVERAGE($I$144:$I$317)+2*STDEV($I$144:$I$317),"High",""))</f>
        <v/>
      </c>
    </row>
    <row r="297">
      <c r="B297" s="83" t="n">
        <v>45689</v>
      </c>
      <c r="C297" s="72">
        <f>COUNTIFS(tblVideos[Day],"&gt;="&amp;$B297,tblVideos[Day],"&lt;"&amp;EDATE($B297,1),tblVideos[Channel ID],Channels!$E$6)</f>
        <v/>
      </c>
      <c r="D297" s="72">
        <f>COUNTIFS(tblVideos[Day],"&gt;="&amp;$B297,tblVideos[Day],"&lt;"&amp;EDATE($B297,1),tblVideos[Channel ID],Channels!$E$7)</f>
        <v/>
      </c>
      <c r="E297" s="72">
        <f>COUNTIFS(tblVideos[Day],"&gt;="&amp;$B297,tblVideos[Day],"&lt;"&amp;EDATE($B297,1),tblVideos[Channel ID],Channels!$E$8)</f>
        <v/>
      </c>
      <c r="F297" s="72">
        <f>COUNTIFS(tblVideos[Day],"&gt;="&amp;$B297,tblVideos[Day],"&lt;"&amp;EDATE($B297,1),tblVideos[Channel ID],Channels!$E$9)</f>
        <v/>
      </c>
      <c r="G297" s="72">
        <f>COUNTIFS(tblVideos[Day],"&gt;="&amp;$B297,tblVideos[Day],"&lt;"&amp;EDATE($B297,1),tblVideos[Channel ID],Channels!$E$10)</f>
        <v/>
      </c>
      <c r="H297" s="72">
        <f>COUNTIFS(tblVideos[Day],"&gt;="&amp;$B297,tblVideos[Day],"&lt;"&amp;EDATE($B297,1),tblVideos[Channel ID],Channels!$E$11)</f>
        <v/>
      </c>
      <c r="I297" s="81">
        <f>SUM(C297:H297)</f>
        <v/>
      </c>
      <c r="J297" s="82">
        <f>SUMIFS(tblVideos[Length],tblVideos[Day],"&gt;="&amp;$B297,tblVideos[Day],"&lt;"&amp;EDATE($B297,1))</f>
        <v/>
      </c>
      <c r="K297" s="72">
        <f>COUNTIFS(tblVideos[Watched On],"&gt;="&amp;$B297,tblVideos[Watched On],"&lt;"&amp;EDATE($B297,1),tblVideos[Status],"Watched")</f>
        <v/>
      </c>
      <c r="L297" s="82">
        <f>SUMIFS(tblVideos[Length],tblVideos[Watched On],"&gt;="&amp;$B297,tblVideos[Watched On],"&lt;"&amp;EDATE($B297,1),tblVideos[Status],"Watched")</f>
        <v/>
      </c>
      <c r="M297" s="84">
        <f>IF(I297=0,"Gap",IF(I297&gt;AVERAGE($I$144:$I$317)+2*STDEV($I$144:$I$317),"High",""))</f>
        <v/>
      </c>
    </row>
    <row r="298">
      <c r="B298" s="83" t="n">
        <v>45717</v>
      </c>
      <c r="C298" s="72">
        <f>COUNTIFS(tblVideos[Day],"&gt;="&amp;$B298,tblVideos[Day],"&lt;"&amp;EDATE($B298,1),tblVideos[Channel ID],Channels!$E$6)</f>
        <v/>
      </c>
      <c r="D298" s="72">
        <f>COUNTIFS(tblVideos[Day],"&gt;="&amp;$B298,tblVideos[Day],"&lt;"&amp;EDATE($B298,1),tblVideos[Channel ID],Channels!$E$7)</f>
        <v/>
      </c>
      <c r="E298" s="72">
        <f>COUNTIFS(tblVideos[Day],"&gt;="&amp;$B298,tblVideos[Day],"&lt;"&amp;EDATE($B298,1),tblVideos[Channel ID],Channels!$E$8)</f>
        <v/>
      </c>
      <c r="F298" s="72">
        <f>COUNTIFS(tblVideos[Day],"&gt;="&amp;$B298,tblVideos[Day],"&lt;"&amp;EDATE($B298,1),tblVideos[Channel ID],Channels!$E$9)</f>
        <v/>
      </c>
      <c r="G298" s="72">
        <f>COUNTIFS(tblVideos[Day],"&gt;="&amp;$B298,tblVideos[Day],"&lt;"&amp;EDATE($B298,1),tblVideos[Channel ID],Channels!$E$10)</f>
        <v/>
      </c>
      <c r="H298" s="72">
        <f>COUNTIFS(tblVideos[Day],"&gt;="&amp;$B298,tblVideos[Day],"&lt;"&amp;EDATE($B298,1),tblVideos[Channel ID],Channels!$E$11)</f>
        <v/>
      </c>
      <c r="I298" s="81">
        <f>SUM(C298:H298)</f>
        <v/>
      </c>
      <c r="J298" s="82">
        <f>SUMIFS(tblVideos[Length],tblVideos[Day],"&gt;="&amp;$B298,tblVideos[Day],"&lt;"&amp;EDATE($B298,1))</f>
        <v/>
      </c>
      <c r="K298" s="72">
        <f>COUNTIFS(tblVideos[Watched On],"&gt;="&amp;$B298,tblVideos[Watched On],"&lt;"&amp;EDATE($B298,1),tblVideos[Status],"Watched")</f>
        <v/>
      </c>
      <c r="L298" s="82">
        <f>SUMIFS(tblVideos[Length],tblVideos[Watched On],"&gt;="&amp;$B298,tblVideos[Watched On],"&lt;"&amp;EDATE($B298,1),tblVideos[Status],"Watched")</f>
        <v/>
      </c>
      <c r="M298" s="84">
        <f>IF(I298=0,"Gap",IF(I298&gt;AVERAGE($I$144:$I$317)+2*STDEV($I$144:$I$317),"High",""))</f>
        <v/>
      </c>
    </row>
    <row r="299">
      <c r="B299" s="83" t="n">
        <v>45748</v>
      </c>
      <c r="C299" s="72">
        <f>COUNTIFS(tblVideos[Day],"&gt;="&amp;$B299,tblVideos[Day],"&lt;"&amp;EDATE($B299,1),tblVideos[Channel ID],Channels!$E$6)</f>
        <v/>
      </c>
      <c r="D299" s="72">
        <f>COUNTIFS(tblVideos[Day],"&gt;="&amp;$B299,tblVideos[Day],"&lt;"&amp;EDATE($B299,1),tblVideos[Channel ID],Channels!$E$7)</f>
        <v/>
      </c>
      <c r="E299" s="72">
        <f>COUNTIFS(tblVideos[Day],"&gt;="&amp;$B299,tblVideos[Day],"&lt;"&amp;EDATE($B299,1),tblVideos[Channel ID],Channels!$E$8)</f>
        <v/>
      </c>
      <c r="F299" s="72">
        <f>COUNTIFS(tblVideos[Day],"&gt;="&amp;$B299,tblVideos[Day],"&lt;"&amp;EDATE($B299,1),tblVideos[Channel ID],Channels!$E$9)</f>
        <v/>
      </c>
      <c r="G299" s="72">
        <f>COUNTIFS(tblVideos[Day],"&gt;="&amp;$B299,tblVideos[Day],"&lt;"&amp;EDATE($B299,1),tblVideos[Channel ID],Channels!$E$10)</f>
        <v/>
      </c>
      <c r="H299" s="72">
        <f>COUNTIFS(tblVideos[Day],"&gt;="&amp;$B299,tblVideos[Day],"&lt;"&amp;EDATE($B299,1),tblVideos[Channel ID],Channels!$E$11)</f>
        <v/>
      </c>
      <c r="I299" s="81">
        <f>SUM(C299:H299)</f>
        <v/>
      </c>
      <c r="J299" s="82">
        <f>SUMIFS(tblVideos[Length],tblVideos[Day],"&gt;="&amp;$B299,tblVideos[Day],"&lt;"&amp;EDATE($B299,1))</f>
        <v/>
      </c>
      <c r="K299" s="72">
        <f>COUNTIFS(tblVideos[Watched On],"&gt;="&amp;$B299,tblVideos[Watched On],"&lt;"&amp;EDATE($B299,1),tblVideos[Status],"Watched")</f>
        <v/>
      </c>
      <c r="L299" s="82">
        <f>SUMIFS(tblVideos[Length],tblVideos[Watched On],"&gt;="&amp;$B299,tblVideos[Watched On],"&lt;"&amp;EDATE($B299,1),tblVideos[Status],"Watched")</f>
        <v/>
      </c>
      <c r="M299" s="84">
        <f>IF(I299=0,"Gap",IF(I299&gt;AVERAGE($I$144:$I$317)+2*STDEV($I$144:$I$317),"High",""))</f>
        <v/>
      </c>
    </row>
    <row r="300">
      <c r="B300" s="83" t="n">
        <v>45778</v>
      </c>
      <c r="C300" s="72">
        <f>COUNTIFS(tblVideos[Day],"&gt;="&amp;$B300,tblVideos[Day],"&lt;"&amp;EDATE($B300,1),tblVideos[Channel ID],Channels!$E$6)</f>
        <v/>
      </c>
      <c r="D300" s="72">
        <f>COUNTIFS(tblVideos[Day],"&gt;="&amp;$B300,tblVideos[Day],"&lt;"&amp;EDATE($B300,1),tblVideos[Channel ID],Channels!$E$7)</f>
        <v/>
      </c>
      <c r="E300" s="72">
        <f>COUNTIFS(tblVideos[Day],"&gt;="&amp;$B300,tblVideos[Day],"&lt;"&amp;EDATE($B300,1),tblVideos[Channel ID],Channels!$E$8)</f>
        <v/>
      </c>
      <c r="F300" s="72">
        <f>COUNTIFS(tblVideos[Day],"&gt;="&amp;$B300,tblVideos[Day],"&lt;"&amp;EDATE($B300,1),tblVideos[Channel ID],Channels!$E$9)</f>
        <v/>
      </c>
      <c r="G300" s="72">
        <f>COUNTIFS(tblVideos[Day],"&gt;="&amp;$B300,tblVideos[Day],"&lt;"&amp;EDATE($B300,1),tblVideos[Channel ID],Channels!$E$10)</f>
        <v/>
      </c>
      <c r="H300" s="72">
        <f>COUNTIFS(tblVideos[Day],"&gt;="&amp;$B300,tblVideos[Day],"&lt;"&amp;EDATE($B300,1),tblVideos[Channel ID],Channels!$E$11)</f>
        <v/>
      </c>
      <c r="I300" s="81">
        <f>SUM(C300:H300)</f>
        <v/>
      </c>
      <c r="J300" s="82">
        <f>SUMIFS(tblVideos[Length],tblVideos[Day],"&gt;="&amp;$B300,tblVideos[Day],"&lt;"&amp;EDATE($B300,1))</f>
        <v/>
      </c>
      <c r="K300" s="72">
        <f>COUNTIFS(tblVideos[Watched On],"&gt;="&amp;$B300,tblVideos[Watched On],"&lt;"&amp;EDATE($B300,1),tblVideos[Status],"Watched")</f>
        <v/>
      </c>
      <c r="L300" s="82">
        <f>SUMIFS(tblVideos[Length],tblVideos[Watched On],"&gt;="&amp;$B300,tblVideos[Watched On],"&lt;"&amp;EDATE($B300,1),tblVideos[Status],"Watched")</f>
        <v/>
      </c>
      <c r="M300" s="84">
        <f>IF(I300=0,"Gap",IF(I300&gt;AVERAGE($I$144:$I$317)+2*STDEV($I$144:$I$317),"High",""))</f>
        <v/>
      </c>
    </row>
    <row r="301">
      <c r="B301" s="83" t="n">
        <v>45809</v>
      </c>
      <c r="C301" s="72">
        <f>COUNTIFS(tblVideos[Day],"&gt;="&amp;$B301,tblVideos[Day],"&lt;"&amp;EDATE($B301,1),tblVideos[Channel ID],Channels!$E$6)</f>
        <v/>
      </c>
      <c r="D301" s="72">
        <f>COUNTIFS(tblVideos[Day],"&gt;="&amp;$B301,tblVideos[Day],"&lt;"&amp;EDATE($B301,1),tblVideos[Channel ID],Channels!$E$7)</f>
        <v/>
      </c>
      <c r="E301" s="72">
        <f>COUNTIFS(tblVideos[Day],"&gt;="&amp;$B301,tblVideos[Day],"&lt;"&amp;EDATE($B301,1),tblVideos[Channel ID],Channels!$E$8)</f>
        <v/>
      </c>
      <c r="F301" s="72">
        <f>COUNTIFS(tblVideos[Day],"&gt;="&amp;$B301,tblVideos[Day],"&lt;"&amp;EDATE($B301,1),tblVideos[Channel ID],Channels!$E$9)</f>
        <v/>
      </c>
      <c r="G301" s="72">
        <f>COUNTIFS(tblVideos[Day],"&gt;="&amp;$B301,tblVideos[Day],"&lt;"&amp;EDATE($B301,1),tblVideos[Channel ID],Channels!$E$10)</f>
        <v/>
      </c>
      <c r="H301" s="72">
        <f>COUNTIFS(tblVideos[Day],"&gt;="&amp;$B301,tblVideos[Day],"&lt;"&amp;EDATE($B301,1),tblVideos[Channel ID],Channels!$E$11)</f>
        <v/>
      </c>
      <c r="I301" s="81">
        <f>SUM(C301:H301)</f>
        <v/>
      </c>
      <c r="J301" s="82">
        <f>SUMIFS(tblVideos[Length],tblVideos[Day],"&gt;="&amp;$B301,tblVideos[Day],"&lt;"&amp;EDATE($B301,1))</f>
        <v/>
      </c>
      <c r="K301" s="72">
        <f>COUNTIFS(tblVideos[Watched On],"&gt;="&amp;$B301,tblVideos[Watched On],"&lt;"&amp;EDATE($B301,1),tblVideos[Status],"Watched")</f>
        <v/>
      </c>
      <c r="L301" s="82">
        <f>SUMIFS(tblVideos[Length],tblVideos[Watched On],"&gt;="&amp;$B301,tblVideos[Watched On],"&lt;"&amp;EDATE($B301,1),tblVideos[Status],"Watched")</f>
        <v/>
      </c>
      <c r="M301" s="84">
        <f>IF(I301=0,"Gap",IF(I301&gt;AVERAGE($I$144:$I$317)+2*STDEV($I$144:$I$317),"High",""))</f>
        <v/>
      </c>
    </row>
    <row r="302">
      <c r="B302" s="83" t="n">
        <v>45839</v>
      </c>
      <c r="C302" s="72">
        <f>COUNTIFS(tblVideos[Day],"&gt;="&amp;$B302,tblVideos[Day],"&lt;"&amp;EDATE($B302,1),tblVideos[Channel ID],Channels!$E$6)</f>
        <v/>
      </c>
      <c r="D302" s="72">
        <f>COUNTIFS(tblVideos[Day],"&gt;="&amp;$B302,tblVideos[Day],"&lt;"&amp;EDATE($B302,1),tblVideos[Channel ID],Channels!$E$7)</f>
        <v/>
      </c>
      <c r="E302" s="72">
        <f>COUNTIFS(tblVideos[Day],"&gt;="&amp;$B302,tblVideos[Day],"&lt;"&amp;EDATE($B302,1),tblVideos[Channel ID],Channels!$E$8)</f>
        <v/>
      </c>
      <c r="F302" s="72">
        <f>COUNTIFS(tblVideos[Day],"&gt;="&amp;$B302,tblVideos[Day],"&lt;"&amp;EDATE($B302,1),tblVideos[Channel ID],Channels!$E$9)</f>
        <v/>
      </c>
      <c r="G302" s="72">
        <f>COUNTIFS(tblVideos[Day],"&gt;="&amp;$B302,tblVideos[Day],"&lt;"&amp;EDATE($B302,1),tblVideos[Channel ID],Channels!$E$10)</f>
        <v/>
      </c>
      <c r="H302" s="72">
        <f>COUNTIFS(tblVideos[Day],"&gt;="&amp;$B302,tblVideos[Day],"&lt;"&amp;EDATE($B302,1),tblVideos[Channel ID],Channels!$E$11)</f>
        <v/>
      </c>
      <c r="I302" s="81">
        <f>SUM(C302:H302)</f>
        <v/>
      </c>
      <c r="J302" s="82">
        <f>SUMIFS(tblVideos[Length],tblVideos[Day],"&gt;="&amp;$B302,tblVideos[Day],"&lt;"&amp;EDATE($B302,1))</f>
        <v/>
      </c>
      <c r="K302" s="72">
        <f>COUNTIFS(tblVideos[Watched On],"&gt;="&amp;$B302,tblVideos[Watched On],"&lt;"&amp;EDATE($B302,1),tblVideos[Status],"Watched")</f>
        <v/>
      </c>
      <c r="L302" s="82">
        <f>SUMIFS(tblVideos[Length],tblVideos[Watched On],"&gt;="&amp;$B302,tblVideos[Watched On],"&lt;"&amp;EDATE($B302,1),tblVideos[Status],"Watched")</f>
        <v/>
      </c>
      <c r="M302" s="84">
        <f>IF(I302=0,"Gap",IF(I302&gt;AVERAGE($I$144:$I$317)+2*STDEV($I$144:$I$317),"High",""))</f>
        <v/>
      </c>
    </row>
    <row r="303">
      <c r="B303" s="83" t="n">
        <v>45870</v>
      </c>
      <c r="C303" s="72">
        <f>COUNTIFS(tblVideos[Day],"&gt;="&amp;$B303,tblVideos[Day],"&lt;"&amp;EDATE($B303,1),tblVideos[Channel ID],Channels!$E$6)</f>
        <v/>
      </c>
      <c r="D303" s="72">
        <f>COUNTIFS(tblVideos[Day],"&gt;="&amp;$B303,tblVideos[Day],"&lt;"&amp;EDATE($B303,1),tblVideos[Channel ID],Channels!$E$7)</f>
        <v/>
      </c>
      <c r="E303" s="72">
        <f>COUNTIFS(tblVideos[Day],"&gt;="&amp;$B303,tblVideos[Day],"&lt;"&amp;EDATE($B303,1),tblVideos[Channel ID],Channels!$E$8)</f>
        <v/>
      </c>
      <c r="F303" s="72">
        <f>COUNTIFS(tblVideos[Day],"&gt;="&amp;$B303,tblVideos[Day],"&lt;"&amp;EDATE($B303,1),tblVideos[Channel ID],Channels!$E$9)</f>
        <v/>
      </c>
      <c r="G303" s="72">
        <f>COUNTIFS(tblVideos[Day],"&gt;="&amp;$B303,tblVideos[Day],"&lt;"&amp;EDATE($B303,1),tblVideos[Channel ID],Channels!$E$10)</f>
        <v/>
      </c>
      <c r="H303" s="72">
        <f>COUNTIFS(tblVideos[Day],"&gt;="&amp;$B303,tblVideos[Day],"&lt;"&amp;EDATE($B303,1),tblVideos[Channel ID],Channels!$E$11)</f>
        <v/>
      </c>
      <c r="I303" s="81">
        <f>SUM(C303:H303)</f>
        <v/>
      </c>
      <c r="J303" s="82">
        <f>SUMIFS(tblVideos[Length],tblVideos[Day],"&gt;="&amp;$B303,tblVideos[Day],"&lt;"&amp;EDATE($B303,1))</f>
        <v/>
      </c>
      <c r="K303" s="72">
        <f>COUNTIFS(tblVideos[Watched On],"&gt;="&amp;$B303,tblVideos[Watched On],"&lt;"&amp;EDATE($B303,1),tblVideos[Status],"Watched")</f>
        <v/>
      </c>
      <c r="L303" s="82">
        <f>SUMIFS(tblVideos[Length],tblVideos[Watched On],"&gt;="&amp;$B303,tblVideos[Watched On],"&lt;"&amp;EDATE($B303,1),tblVideos[Status],"Watched")</f>
        <v/>
      </c>
      <c r="M303" s="84">
        <f>IF(I303=0,"Gap",IF(I303&gt;AVERAGE($I$144:$I$317)+2*STDEV($I$144:$I$317),"High",""))</f>
        <v/>
      </c>
    </row>
    <row r="304">
      <c r="B304" s="83" t="n">
        <v>45901</v>
      </c>
      <c r="C304" s="72">
        <f>COUNTIFS(tblVideos[Day],"&gt;="&amp;$B304,tblVideos[Day],"&lt;"&amp;EDATE($B304,1),tblVideos[Channel ID],Channels!$E$6)</f>
        <v/>
      </c>
      <c r="D304" s="72">
        <f>COUNTIFS(tblVideos[Day],"&gt;="&amp;$B304,tblVideos[Day],"&lt;"&amp;EDATE($B304,1),tblVideos[Channel ID],Channels!$E$7)</f>
        <v/>
      </c>
      <c r="E304" s="72">
        <f>COUNTIFS(tblVideos[Day],"&gt;="&amp;$B304,tblVideos[Day],"&lt;"&amp;EDATE($B304,1),tblVideos[Channel ID],Channels!$E$8)</f>
        <v/>
      </c>
      <c r="F304" s="72">
        <f>COUNTIFS(tblVideos[Day],"&gt;="&amp;$B304,tblVideos[Day],"&lt;"&amp;EDATE($B304,1),tblVideos[Channel ID],Channels!$E$9)</f>
        <v/>
      </c>
      <c r="G304" s="72">
        <f>COUNTIFS(tblVideos[Day],"&gt;="&amp;$B304,tblVideos[Day],"&lt;"&amp;EDATE($B304,1),tblVideos[Channel ID],Channels!$E$10)</f>
        <v/>
      </c>
      <c r="H304" s="72">
        <f>COUNTIFS(tblVideos[Day],"&gt;="&amp;$B304,tblVideos[Day],"&lt;"&amp;EDATE($B304,1),tblVideos[Channel ID],Channels!$E$11)</f>
        <v/>
      </c>
      <c r="I304" s="81">
        <f>SUM(C304:H304)</f>
        <v/>
      </c>
      <c r="J304" s="82">
        <f>SUMIFS(tblVideos[Length],tblVideos[Day],"&gt;="&amp;$B304,tblVideos[Day],"&lt;"&amp;EDATE($B304,1))</f>
        <v/>
      </c>
      <c r="K304" s="72">
        <f>COUNTIFS(tblVideos[Watched On],"&gt;="&amp;$B304,tblVideos[Watched On],"&lt;"&amp;EDATE($B304,1),tblVideos[Status],"Watched")</f>
        <v/>
      </c>
      <c r="L304" s="82">
        <f>SUMIFS(tblVideos[Length],tblVideos[Watched On],"&gt;="&amp;$B304,tblVideos[Watched On],"&lt;"&amp;EDATE($B304,1),tblVideos[Status],"Watched")</f>
        <v/>
      </c>
      <c r="M304" s="84">
        <f>IF(I304=0,"Gap",IF(I304&gt;AVERAGE($I$144:$I$317)+2*STDEV($I$144:$I$317),"High",""))</f>
        <v/>
      </c>
    </row>
    <row r="305">
      <c r="B305" s="83" t="n">
        <v>45931</v>
      </c>
      <c r="C305" s="72">
        <f>COUNTIFS(tblVideos[Day],"&gt;="&amp;$B305,tblVideos[Day],"&lt;"&amp;EDATE($B305,1),tblVideos[Channel ID],Channels!$E$6)</f>
        <v/>
      </c>
      <c r="D305" s="72">
        <f>COUNTIFS(tblVideos[Day],"&gt;="&amp;$B305,tblVideos[Day],"&lt;"&amp;EDATE($B305,1),tblVideos[Channel ID],Channels!$E$7)</f>
        <v/>
      </c>
      <c r="E305" s="72">
        <f>COUNTIFS(tblVideos[Day],"&gt;="&amp;$B305,tblVideos[Day],"&lt;"&amp;EDATE($B305,1),tblVideos[Channel ID],Channels!$E$8)</f>
        <v/>
      </c>
      <c r="F305" s="72">
        <f>COUNTIFS(tblVideos[Day],"&gt;="&amp;$B305,tblVideos[Day],"&lt;"&amp;EDATE($B305,1),tblVideos[Channel ID],Channels!$E$9)</f>
        <v/>
      </c>
      <c r="G305" s="72">
        <f>COUNTIFS(tblVideos[Day],"&gt;="&amp;$B305,tblVideos[Day],"&lt;"&amp;EDATE($B305,1),tblVideos[Channel ID],Channels!$E$10)</f>
        <v/>
      </c>
      <c r="H305" s="72">
        <f>COUNTIFS(tblVideos[Day],"&gt;="&amp;$B305,tblVideos[Day],"&lt;"&amp;EDATE($B305,1),tblVideos[Channel ID],Channels!$E$11)</f>
        <v/>
      </c>
      <c r="I305" s="81">
        <f>SUM(C305:H305)</f>
        <v/>
      </c>
      <c r="J305" s="82">
        <f>SUMIFS(tblVideos[Length],tblVideos[Day],"&gt;="&amp;$B305,tblVideos[Day],"&lt;"&amp;EDATE($B305,1))</f>
        <v/>
      </c>
      <c r="K305" s="72">
        <f>COUNTIFS(tblVideos[Watched On],"&gt;="&amp;$B305,tblVideos[Watched On],"&lt;"&amp;EDATE($B305,1),tblVideos[Status],"Watched")</f>
        <v/>
      </c>
      <c r="L305" s="82">
        <f>SUMIFS(tblVideos[Length],tblVideos[Watched On],"&gt;="&amp;$B305,tblVideos[Watched On],"&lt;"&amp;EDATE($B305,1),tblVideos[Status],"Watched")</f>
        <v/>
      </c>
      <c r="M305" s="84">
        <f>IF(I305=0,"Gap",IF(I305&gt;AVERAGE($I$144:$I$317)+2*STDEV($I$144:$I$317),"High",""))</f>
        <v/>
      </c>
    </row>
    <row r="306">
      <c r="B306" s="83" t="n">
        <v>45962</v>
      </c>
      <c r="C306" s="72">
        <f>COUNTIFS(tblVideos[Day],"&gt;="&amp;$B306,tblVideos[Day],"&lt;"&amp;EDATE($B306,1),tblVideos[Channel ID],Channels!$E$6)</f>
        <v/>
      </c>
      <c r="D306" s="72">
        <f>COUNTIFS(tblVideos[Day],"&gt;="&amp;$B306,tblVideos[Day],"&lt;"&amp;EDATE($B306,1),tblVideos[Channel ID],Channels!$E$7)</f>
        <v/>
      </c>
      <c r="E306" s="72">
        <f>COUNTIFS(tblVideos[Day],"&gt;="&amp;$B306,tblVideos[Day],"&lt;"&amp;EDATE($B306,1),tblVideos[Channel ID],Channels!$E$8)</f>
        <v/>
      </c>
      <c r="F306" s="72">
        <f>COUNTIFS(tblVideos[Day],"&gt;="&amp;$B306,tblVideos[Day],"&lt;"&amp;EDATE($B306,1),tblVideos[Channel ID],Channels!$E$9)</f>
        <v/>
      </c>
      <c r="G306" s="72">
        <f>COUNTIFS(tblVideos[Day],"&gt;="&amp;$B306,tblVideos[Day],"&lt;"&amp;EDATE($B306,1),tblVideos[Channel ID],Channels!$E$10)</f>
        <v/>
      </c>
      <c r="H306" s="72">
        <f>COUNTIFS(tblVideos[Day],"&gt;="&amp;$B306,tblVideos[Day],"&lt;"&amp;EDATE($B306,1),tblVideos[Channel ID],Channels!$E$11)</f>
        <v/>
      </c>
      <c r="I306" s="81">
        <f>SUM(C306:H306)</f>
        <v/>
      </c>
      <c r="J306" s="82">
        <f>SUMIFS(tblVideos[Length],tblVideos[Day],"&gt;="&amp;$B306,tblVideos[Day],"&lt;"&amp;EDATE($B306,1))</f>
        <v/>
      </c>
      <c r="K306" s="72">
        <f>COUNTIFS(tblVideos[Watched On],"&gt;="&amp;$B306,tblVideos[Watched On],"&lt;"&amp;EDATE($B306,1),tblVideos[Status],"Watched")</f>
        <v/>
      </c>
      <c r="L306" s="82">
        <f>SUMIFS(tblVideos[Length],tblVideos[Watched On],"&gt;="&amp;$B306,tblVideos[Watched On],"&lt;"&amp;EDATE($B306,1),tblVideos[Status],"Watched")</f>
        <v/>
      </c>
      <c r="M306" s="84">
        <f>IF(I306=0,"Gap",IF(I306&gt;AVERAGE($I$144:$I$317)+2*STDEV($I$144:$I$317),"High",""))</f>
        <v/>
      </c>
    </row>
    <row r="307">
      <c r="B307" s="83" t="n">
        <v>45992</v>
      </c>
      <c r="C307" s="72">
        <f>COUNTIFS(tblVideos[Day],"&gt;="&amp;$B307,tblVideos[Day],"&lt;"&amp;EDATE($B307,1),tblVideos[Channel ID],Channels!$E$6)</f>
        <v/>
      </c>
      <c r="D307" s="72">
        <f>COUNTIFS(tblVideos[Day],"&gt;="&amp;$B307,tblVideos[Day],"&lt;"&amp;EDATE($B307,1),tblVideos[Channel ID],Channels!$E$7)</f>
        <v/>
      </c>
      <c r="E307" s="72">
        <f>COUNTIFS(tblVideos[Day],"&gt;="&amp;$B307,tblVideos[Day],"&lt;"&amp;EDATE($B307,1),tblVideos[Channel ID],Channels!$E$8)</f>
        <v/>
      </c>
      <c r="F307" s="72">
        <f>COUNTIFS(tblVideos[Day],"&gt;="&amp;$B307,tblVideos[Day],"&lt;"&amp;EDATE($B307,1),tblVideos[Channel ID],Channels!$E$9)</f>
        <v/>
      </c>
      <c r="G307" s="72">
        <f>COUNTIFS(tblVideos[Day],"&gt;="&amp;$B307,tblVideos[Day],"&lt;"&amp;EDATE($B307,1),tblVideos[Channel ID],Channels!$E$10)</f>
        <v/>
      </c>
      <c r="H307" s="72">
        <f>COUNTIFS(tblVideos[Day],"&gt;="&amp;$B307,tblVideos[Day],"&lt;"&amp;EDATE($B307,1),tblVideos[Channel ID],Channels!$E$11)</f>
        <v/>
      </c>
      <c r="I307" s="81">
        <f>SUM(C307:H307)</f>
        <v/>
      </c>
      <c r="J307" s="82">
        <f>SUMIFS(tblVideos[Length],tblVideos[Day],"&gt;="&amp;$B307,tblVideos[Day],"&lt;"&amp;EDATE($B307,1))</f>
        <v/>
      </c>
      <c r="K307" s="72">
        <f>COUNTIFS(tblVideos[Watched On],"&gt;="&amp;$B307,tblVideos[Watched On],"&lt;"&amp;EDATE($B307,1),tblVideos[Status],"Watched")</f>
        <v/>
      </c>
      <c r="L307" s="82">
        <f>SUMIFS(tblVideos[Length],tblVideos[Watched On],"&gt;="&amp;$B307,tblVideos[Watched On],"&lt;"&amp;EDATE($B307,1),tblVideos[Status],"Watched")</f>
        <v/>
      </c>
      <c r="M307" s="84">
        <f>IF(I307=0,"Gap",IF(I307&gt;AVERAGE($I$144:$I$317)+2*STDEV($I$144:$I$317),"High",""))</f>
        <v/>
      </c>
    </row>
    <row r="308">
      <c r="B308" s="83" t="n">
        <v>46023</v>
      </c>
      <c r="C308" s="72">
        <f>COUNTIFS(tblVideos[Day],"&gt;="&amp;$B308,tblVideos[Day],"&lt;"&amp;EDATE($B308,1),tblVideos[Channel ID],Channels!$E$6)</f>
        <v/>
      </c>
      <c r="D308" s="72">
        <f>COUNTIFS(tblVideos[Day],"&gt;="&amp;$B308,tblVideos[Day],"&lt;"&amp;EDATE($B308,1),tblVideos[Channel ID],Channels!$E$7)</f>
        <v/>
      </c>
      <c r="E308" s="72">
        <f>COUNTIFS(tblVideos[Day],"&gt;="&amp;$B308,tblVideos[Day],"&lt;"&amp;EDATE($B308,1),tblVideos[Channel ID],Channels!$E$8)</f>
        <v/>
      </c>
      <c r="F308" s="72">
        <f>COUNTIFS(tblVideos[Day],"&gt;="&amp;$B308,tblVideos[Day],"&lt;"&amp;EDATE($B308,1),tblVideos[Channel ID],Channels!$E$9)</f>
        <v/>
      </c>
      <c r="G308" s="72">
        <f>COUNTIFS(tblVideos[Day],"&gt;="&amp;$B308,tblVideos[Day],"&lt;"&amp;EDATE($B308,1),tblVideos[Channel ID],Channels!$E$10)</f>
        <v/>
      </c>
      <c r="H308" s="72">
        <f>COUNTIFS(tblVideos[Day],"&gt;="&amp;$B308,tblVideos[Day],"&lt;"&amp;EDATE($B308,1),tblVideos[Channel ID],Channels!$E$11)</f>
        <v/>
      </c>
      <c r="I308" s="81">
        <f>SUM(C308:H308)</f>
        <v/>
      </c>
      <c r="J308" s="82">
        <f>SUMIFS(tblVideos[Length],tblVideos[Day],"&gt;="&amp;$B308,tblVideos[Day],"&lt;"&amp;EDATE($B308,1))</f>
        <v/>
      </c>
      <c r="K308" s="72">
        <f>COUNTIFS(tblVideos[Watched On],"&gt;="&amp;$B308,tblVideos[Watched On],"&lt;"&amp;EDATE($B308,1),tblVideos[Status],"Watched")</f>
        <v/>
      </c>
      <c r="L308" s="82">
        <f>SUMIFS(tblVideos[Length],tblVideos[Watched On],"&gt;="&amp;$B308,tblVideos[Watched On],"&lt;"&amp;EDATE($B308,1),tblVideos[Status],"Watched")</f>
        <v/>
      </c>
      <c r="M308" s="84">
        <f>IF(I308=0,"Gap",IF(I308&gt;AVERAGE($I$144:$I$317)+2*STDEV($I$144:$I$317),"High",""))</f>
        <v/>
      </c>
    </row>
    <row r="309">
      <c r="B309" s="83" t="n">
        <v>46054</v>
      </c>
      <c r="C309" s="72">
        <f>COUNTIFS(tblVideos[Day],"&gt;="&amp;$B309,tblVideos[Day],"&lt;"&amp;EDATE($B309,1),tblVideos[Channel ID],Channels!$E$6)</f>
        <v/>
      </c>
      <c r="D309" s="72">
        <f>COUNTIFS(tblVideos[Day],"&gt;="&amp;$B309,tblVideos[Day],"&lt;"&amp;EDATE($B309,1),tblVideos[Channel ID],Channels!$E$7)</f>
        <v/>
      </c>
      <c r="E309" s="72">
        <f>COUNTIFS(tblVideos[Day],"&gt;="&amp;$B309,tblVideos[Day],"&lt;"&amp;EDATE($B309,1),tblVideos[Channel ID],Channels!$E$8)</f>
        <v/>
      </c>
      <c r="F309" s="72">
        <f>COUNTIFS(tblVideos[Day],"&gt;="&amp;$B309,tblVideos[Day],"&lt;"&amp;EDATE($B309,1),tblVideos[Channel ID],Channels!$E$9)</f>
        <v/>
      </c>
      <c r="G309" s="72">
        <f>COUNTIFS(tblVideos[Day],"&gt;="&amp;$B309,tblVideos[Day],"&lt;"&amp;EDATE($B309,1),tblVideos[Channel ID],Channels!$E$10)</f>
        <v/>
      </c>
      <c r="H309" s="72">
        <f>COUNTIFS(tblVideos[Day],"&gt;="&amp;$B309,tblVideos[Day],"&lt;"&amp;EDATE($B309,1),tblVideos[Channel ID],Channels!$E$11)</f>
        <v/>
      </c>
      <c r="I309" s="81">
        <f>SUM(C309:H309)</f>
        <v/>
      </c>
      <c r="J309" s="82">
        <f>SUMIFS(tblVideos[Length],tblVideos[Day],"&gt;="&amp;$B309,tblVideos[Day],"&lt;"&amp;EDATE($B309,1))</f>
        <v/>
      </c>
      <c r="K309" s="72">
        <f>COUNTIFS(tblVideos[Watched On],"&gt;="&amp;$B309,tblVideos[Watched On],"&lt;"&amp;EDATE($B309,1),tblVideos[Status],"Watched")</f>
        <v/>
      </c>
      <c r="L309" s="82">
        <f>SUMIFS(tblVideos[Length],tblVideos[Watched On],"&gt;="&amp;$B309,tblVideos[Watched On],"&lt;"&amp;EDATE($B309,1),tblVideos[Status],"Watched")</f>
        <v/>
      </c>
      <c r="M309" s="84">
        <f>IF(I309=0,"Gap",IF(I309&gt;AVERAGE($I$144:$I$317)+2*STDEV($I$144:$I$317),"High",""))</f>
        <v/>
      </c>
    </row>
    <row r="310">
      <c r="B310" s="83" t="n">
        <v>46082</v>
      </c>
      <c r="C310" s="72">
        <f>COUNTIFS(tblVideos[Day],"&gt;="&amp;$B310,tblVideos[Day],"&lt;"&amp;EDATE($B310,1),tblVideos[Channel ID],Channels!$E$6)</f>
        <v/>
      </c>
      <c r="D310" s="72">
        <f>COUNTIFS(tblVideos[Day],"&gt;="&amp;$B310,tblVideos[Day],"&lt;"&amp;EDATE($B310,1),tblVideos[Channel ID],Channels!$E$7)</f>
        <v/>
      </c>
      <c r="E310" s="72">
        <f>COUNTIFS(tblVideos[Day],"&gt;="&amp;$B310,tblVideos[Day],"&lt;"&amp;EDATE($B310,1),tblVideos[Channel ID],Channels!$E$8)</f>
        <v/>
      </c>
      <c r="F310" s="72">
        <f>COUNTIFS(tblVideos[Day],"&gt;="&amp;$B310,tblVideos[Day],"&lt;"&amp;EDATE($B310,1),tblVideos[Channel ID],Channels!$E$9)</f>
        <v/>
      </c>
      <c r="G310" s="72">
        <f>COUNTIFS(tblVideos[Day],"&gt;="&amp;$B310,tblVideos[Day],"&lt;"&amp;EDATE($B310,1),tblVideos[Channel ID],Channels!$E$10)</f>
        <v/>
      </c>
      <c r="H310" s="72">
        <f>COUNTIFS(tblVideos[Day],"&gt;="&amp;$B310,tblVideos[Day],"&lt;"&amp;EDATE($B310,1),tblVideos[Channel ID],Channels!$E$11)</f>
        <v/>
      </c>
      <c r="I310" s="81">
        <f>SUM(C310:H310)</f>
        <v/>
      </c>
      <c r="J310" s="82">
        <f>SUMIFS(tblVideos[Length],tblVideos[Day],"&gt;="&amp;$B310,tblVideos[Day],"&lt;"&amp;EDATE($B310,1))</f>
        <v/>
      </c>
      <c r="K310" s="72">
        <f>COUNTIFS(tblVideos[Watched On],"&gt;="&amp;$B310,tblVideos[Watched On],"&lt;"&amp;EDATE($B310,1),tblVideos[Status],"Watched")</f>
        <v/>
      </c>
      <c r="L310" s="82">
        <f>SUMIFS(tblVideos[Length],tblVideos[Watched On],"&gt;="&amp;$B310,tblVideos[Watched On],"&lt;"&amp;EDATE($B310,1),tblVideos[Status],"Watched")</f>
        <v/>
      </c>
      <c r="M310" s="84">
        <f>IF(I310=0,"Gap",IF(I310&gt;AVERAGE($I$144:$I$317)+2*STDEV($I$144:$I$317),"High",""))</f>
        <v/>
      </c>
    </row>
    <row r="311">
      <c r="B311" s="83" t="n">
        <v>46113</v>
      </c>
      <c r="C311" s="72">
        <f>COUNTIFS(tblVideos[Day],"&gt;="&amp;$B311,tblVideos[Day],"&lt;"&amp;EDATE($B311,1),tblVideos[Channel ID],Channels!$E$6)</f>
        <v/>
      </c>
      <c r="D311" s="72">
        <f>COUNTIFS(tblVideos[Day],"&gt;="&amp;$B311,tblVideos[Day],"&lt;"&amp;EDATE($B311,1),tblVideos[Channel ID],Channels!$E$7)</f>
        <v/>
      </c>
      <c r="E311" s="72">
        <f>COUNTIFS(tblVideos[Day],"&gt;="&amp;$B311,tblVideos[Day],"&lt;"&amp;EDATE($B311,1),tblVideos[Channel ID],Channels!$E$8)</f>
        <v/>
      </c>
      <c r="F311" s="72">
        <f>COUNTIFS(tblVideos[Day],"&gt;="&amp;$B311,tblVideos[Day],"&lt;"&amp;EDATE($B311,1),tblVideos[Channel ID],Channels!$E$9)</f>
        <v/>
      </c>
      <c r="G311" s="72">
        <f>COUNTIFS(tblVideos[Day],"&gt;="&amp;$B311,tblVideos[Day],"&lt;"&amp;EDATE($B311,1),tblVideos[Channel ID],Channels!$E$10)</f>
        <v/>
      </c>
      <c r="H311" s="72">
        <f>COUNTIFS(tblVideos[Day],"&gt;="&amp;$B311,tblVideos[Day],"&lt;"&amp;EDATE($B311,1),tblVideos[Channel ID],Channels!$E$11)</f>
        <v/>
      </c>
      <c r="I311" s="81">
        <f>SUM(C311:H311)</f>
        <v/>
      </c>
      <c r="J311" s="82">
        <f>SUMIFS(tblVideos[Length],tblVideos[Day],"&gt;="&amp;$B311,tblVideos[Day],"&lt;"&amp;EDATE($B311,1))</f>
        <v/>
      </c>
      <c r="K311" s="72">
        <f>COUNTIFS(tblVideos[Watched On],"&gt;="&amp;$B311,tblVideos[Watched On],"&lt;"&amp;EDATE($B311,1),tblVideos[Status],"Watched")</f>
        <v/>
      </c>
      <c r="L311" s="82">
        <f>SUMIFS(tblVideos[Length],tblVideos[Watched On],"&gt;="&amp;$B311,tblVideos[Watched On],"&lt;"&amp;EDATE($B311,1),tblVideos[Status],"Watched")</f>
        <v/>
      </c>
      <c r="M311" s="84">
        <f>IF(I311=0,"Gap",IF(I311&gt;AVERAGE($I$144:$I$317)+2*STDEV($I$144:$I$317),"High",""))</f>
        <v/>
      </c>
    </row>
    <row r="312">
      <c r="B312" s="83" t="n">
        <v>46143</v>
      </c>
      <c r="C312" s="72">
        <f>COUNTIFS(tblVideos[Day],"&gt;="&amp;$B312,tblVideos[Day],"&lt;"&amp;EDATE($B312,1),tblVideos[Channel ID],Channels!$E$6)</f>
        <v/>
      </c>
      <c r="D312" s="72">
        <f>COUNTIFS(tblVideos[Day],"&gt;="&amp;$B312,tblVideos[Day],"&lt;"&amp;EDATE($B312,1),tblVideos[Channel ID],Channels!$E$7)</f>
        <v/>
      </c>
      <c r="E312" s="72">
        <f>COUNTIFS(tblVideos[Day],"&gt;="&amp;$B312,tblVideos[Day],"&lt;"&amp;EDATE($B312,1),tblVideos[Channel ID],Channels!$E$8)</f>
        <v/>
      </c>
      <c r="F312" s="72">
        <f>COUNTIFS(tblVideos[Day],"&gt;="&amp;$B312,tblVideos[Day],"&lt;"&amp;EDATE($B312,1),tblVideos[Channel ID],Channels!$E$9)</f>
        <v/>
      </c>
      <c r="G312" s="72">
        <f>COUNTIFS(tblVideos[Day],"&gt;="&amp;$B312,tblVideos[Day],"&lt;"&amp;EDATE($B312,1),tblVideos[Channel ID],Channels!$E$10)</f>
        <v/>
      </c>
      <c r="H312" s="72">
        <f>COUNTIFS(tblVideos[Day],"&gt;="&amp;$B312,tblVideos[Day],"&lt;"&amp;EDATE($B312,1),tblVideos[Channel ID],Channels!$E$11)</f>
        <v/>
      </c>
      <c r="I312" s="81">
        <f>SUM(C312:H312)</f>
        <v/>
      </c>
      <c r="J312" s="82">
        <f>SUMIFS(tblVideos[Length],tblVideos[Day],"&gt;="&amp;$B312,tblVideos[Day],"&lt;"&amp;EDATE($B312,1))</f>
        <v/>
      </c>
      <c r="K312" s="72">
        <f>COUNTIFS(tblVideos[Watched On],"&gt;="&amp;$B312,tblVideos[Watched On],"&lt;"&amp;EDATE($B312,1),tblVideos[Status],"Watched")</f>
        <v/>
      </c>
      <c r="L312" s="82">
        <f>SUMIFS(tblVideos[Length],tblVideos[Watched On],"&gt;="&amp;$B312,tblVideos[Watched On],"&lt;"&amp;EDATE($B312,1),tblVideos[Status],"Watched")</f>
        <v/>
      </c>
      <c r="M312" s="84">
        <f>IF(I312=0,"Gap",IF(I312&gt;AVERAGE($I$144:$I$317)+2*STDEV($I$144:$I$317),"High",""))</f>
        <v/>
      </c>
    </row>
    <row r="313">
      <c r="B313" s="83" t="n">
        <v>46174</v>
      </c>
      <c r="C313" s="72">
        <f>COUNTIFS(tblVideos[Day],"&gt;="&amp;$B313,tblVideos[Day],"&lt;"&amp;EDATE($B313,1),tblVideos[Channel ID],Channels!$E$6)</f>
        <v/>
      </c>
      <c r="D313" s="72">
        <f>COUNTIFS(tblVideos[Day],"&gt;="&amp;$B313,tblVideos[Day],"&lt;"&amp;EDATE($B313,1),tblVideos[Channel ID],Channels!$E$7)</f>
        <v/>
      </c>
      <c r="E313" s="72">
        <f>COUNTIFS(tblVideos[Day],"&gt;="&amp;$B313,tblVideos[Day],"&lt;"&amp;EDATE($B313,1),tblVideos[Channel ID],Channels!$E$8)</f>
        <v/>
      </c>
      <c r="F313" s="72">
        <f>COUNTIFS(tblVideos[Day],"&gt;="&amp;$B313,tblVideos[Day],"&lt;"&amp;EDATE($B313,1),tblVideos[Channel ID],Channels!$E$9)</f>
        <v/>
      </c>
      <c r="G313" s="72">
        <f>COUNTIFS(tblVideos[Day],"&gt;="&amp;$B313,tblVideos[Day],"&lt;"&amp;EDATE($B313,1),tblVideos[Channel ID],Channels!$E$10)</f>
        <v/>
      </c>
      <c r="H313" s="72">
        <f>COUNTIFS(tblVideos[Day],"&gt;="&amp;$B313,tblVideos[Day],"&lt;"&amp;EDATE($B313,1),tblVideos[Channel ID],Channels!$E$11)</f>
        <v/>
      </c>
      <c r="I313" s="81">
        <f>SUM(C313:H313)</f>
        <v/>
      </c>
      <c r="J313" s="82">
        <f>SUMIFS(tblVideos[Length],tblVideos[Day],"&gt;="&amp;$B313,tblVideos[Day],"&lt;"&amp;EDATE($B313,1))</f>
        <v/>
      </c>
      <c r="K313" s="72">
        <f>COUNTIFS(tblVideos[Watched On],"&gt;="&amp;$B313,tblVideos[Watched On],"&lt;"&amp;EDATE($B313,1),tblVideos[Status],"Watched")</f>
        <v/>
      </c>
      <c r="L313" s="82">
        <f>SUMIFS(tblVideos[Length],tblVideos[Watched On],"&gt;="&amp;$B313,tblVideos[Watched On],"&lt;"&amp;EDATE($B313,1),tblVideos[Status],"Watched")</f>
        <v/>
      </c>
      <c r="M313" s="84">
        <f>IF(I313=0,"Gap",IF(I313&gt;AVERAGE($I$144:$I$317)+2*STDEV($I$144:$I$317),"High",""))</f>
        <v/>
      </c>
    </row>
    <row r="314">
      <c r="B314" s="83" t="n">
        <v>46204</v>
      </c>
      <c r="C314" s="72">
        <f>COUNTIFS(tblVideos[Day],"&gt;="&amp;$B314,tblVideos[Day],"&lt;"&amp;EDATE($B314,1),tblVideos[Channel ID],Channels!$E$6)</f>
        <v/>
      </c>
      <c r="D314" s="72">
        <f>COUNTIFS(tblVideos[Day],"&gt;="&amp;$B314,tblVideos[Day],"&lt;"&amp;EDATE($B314,1),tblVideos[Channel ID],Channels!$E$7)</f>
        <v/>
      </c>
      <c r="E314" s="72">
        <f>COUNTIFS(tblVideos[Day],"&gt;="&amp;$B314,tblVideos[Day],"&lt;"&amp;EDATE($B314,1),tblVideos[Channel ID],Channels!$E$8)</f>
        <v/>
      </c>
      <c r="F314" s="72">
        <f>COUNTIFS(tblVideos[Day],"&gt;="&amp;$B314,tblVideos[Day],"&lt;"&amp;EDATE($B314,1),tblVideos[Channel ID],Channels!$E$9)</f>
        <v/>
      </c>
      <c r="G314" s="72">
        <f>COUNTIFS(tblVideos[Day],"&gt;="&amp;$B314,tblVideos[Day],"&lt;"&amp;EDATE($B314,1),tblVideos[Channel ID],Channels!$E$10)</f>
        <v/>
      </c>
      <c r="H314" s="72">
        <f>COUNTIFS(tblVideos[Day],"&gt;="&amp;$B314,tblVideos[Day],"&lt;"&amp;EDATE($B314,1),tblVideos[Channel ID],Channels!$E$11)</f>
        <v/>
      </c>
      <c r="I314" s="81">
        <f>SUM(C314:H314)</f>
        <v/>
      </c>
      <c r="J314" s="82">
        <f>SUMIFS(tblVideos[Length],tblVideos[Day],"&gt;="&amp;$B314,tblVideos[Day],"&lt;"&amp;EDATE($B314,1))</f>
        <v/>
      </c>
      <c r="K314" s="72">
        <f>COUNTIFS(tblVideos[Watched On],"&gt;="&amp;$B314,tblVideos[Watched On],"&lt;"&amp;EDATE($B314,1),tblVideos[Status],"Watched")</f>
        <v/>
      </c>
      <c r="L314" s="82">
        <f>SUMIFS(tblVideos[Length],tblVideos[Watched On],"&gt;="&amp;$B314,tblVideos[Watched On],"&lt;"&amp;EDATE($B314,1),tblVideos[Status],"Watched")</f>
        <v/>
      </c>
      <c r="M314" s="84">
        <f>IF(I314=0,"Gap",IF(I314&gt;AVERAGE($I$144:$I$317)+2*STDEV($I$144:$I$317),"High",""))</f>
        <v/>
      </c>
    </row>
    <row r="315">
      <c r="B315" s="83" t="n">
        <v>46235</v>
      </c>
      <c r="C315" s="72">
        <f>COUNTIFS(tblVideos[Day],"&gt;="&amp;$B315,tblVideos[Day],"&lt;"&amp;EDATE($B315,1),tblVideos[Channel ID],Channels!$E$6)</f>
        <v/>
      </c>
      <c r="D315" s="72">
        <f>COUNTIFS(tblVideos[Day],"&gt;="&amp;$B315,tblVideos[Day],"&lt;"&amp;EDATE($B315,1),tblVideos[Channel ID],Channels!$E$7)</f>
        <v/>
      </c>
      <c r="E315" s="72">
        <f>COUNTIFS(tblVideos[Day],"&gt;="&amp;$B315,tblVideos[Day],"&lt;"&amp;EDATE($B315,1),tblVideos[Channel ID],Channels!$E$8)</f>
        <v/>
      </c>
      <c r="F315" s="72">
        <f>COUNTIFS(tblVideos[Day],"&gt;="&amp;$B315,tblVideos[Day],"&lt;"&amp;EDATE($B315,1),tblVideos[Channel ID],Channels!$E$9)</f>
        <v/>
      </c>
      <c r="G315" s="72">
        <f>COUNTIFS(tblVideos[Day],"&gt;="&amp;$B315,tblVideos[Day],"&lt;"&amp;EDATE($B315,1),tblVideos[Channel ID],Channels!$E$10)</f>
        <v/>
      </c>
      <c r="H315" s="72">
        <f>COUNTIFS(tblVideos[Day],"&gt;="&amp;$B315,tblVideos[Day],"&lt;"&amp;EDATE($B315,1),tblVideos[Channel ID],Channels!$E$11)</f>
        <v/>
      </c>
      <c r="I315" s="81">
        <f>SUM(C315:H315)</f>
        <v/>
      </c>
      <c r="J315" s="82">
        <f>SUMIFS(tblVideos[Length],tblVideos[Day],"&gt;="&amp;$B315,tblVideos[Day],"&lt;"&amp;EDATE($B315,1))</f>
        <v/>
      </c>
      <c r="K315" s="72">
        <f>COUNTIFS(tblVideos[Watched On],"&gt;="&amp;$B315,tblVideos[Watched On],"&lt;"&amp;EDATE($B315,1),tblVideos[Status],"Watched")</f>
        <v/>
      </c>
      <c r="L315" s="82">
        <f>SUMIFS(tblVideos[Length],tblVideos[Watched On],"&gt;="&amp;$B315,tblVideos[Watched On],"&lt;"&amp;EDATE($B315,1),tblVideos[Status],"Watched")</f>
        <v/>
      </c>
      <c r="M315" s="84">
        <f>IF(I315=0,"Gap",IF(I315&gt;AVERAGE($I$144:$I$317)+2*STDEV($I$144:$I$317),"High",""))</f>
        <v/>
      </c>
    </row>
    <row r="316">
      <c r="B316" s="83" t="n">
        <v>46266</v>
      </c>
      <c r="C316" s="72">
        <f>COUNTIFS(tblVideos[Day],"&gt;="&amp;$B316,tblVideos[Day],"&lt;"&amp;EDATE($B316,1),tblVideos[Channel ID],Channels!$E$6)</f>
        <v/>
      </c>
      <c r="D316" s="72">
        <f>COUNTIFS(tblVideos[Day],"&gt;="&amp;$B316,tblVideos[Day],"&lt;"&amp;EDATE($B316,1),tblVideos[Channel ID],Channels!$E$7)</f>
        <v/>
      </c>
      <c r="E316" s="72">
        <f>COUNTIFS(tblVideos[Day],"&gt;="&amp;$B316,tblVideos[Day],"&lt;"&amp;EDATE($B316,1),tblVideos[Channel ID],Channels!$E$8)</f>
        <v/>
      </c>
      <c r="F316" s="72">
        <f>COUNTIFS(tblVideos[Day],"&gt;="&amp;$B316,tblVideos[Day],"&lt;"&amp;EDATE($B316,1),tblVideos[Channel ID],Channels!$E$9)</f>
        <v/>
      </c>
      <c r="G316" s="72">
        <f>COUNTIFS(tblVideos[Day],"&gt;="&amp;$B316,tblVideos[Day],"&lt;"&amp;EDATE($B316,1),tblVideos[Channel ID],Channels!$E$10)</f>
        <v/>
      </c>
      <c r="H316" s="72">
        <f>COUNTIFS(tblVideos[Day],"&gt;="&amp;$B316,tblVideos[Day],"&lt;"&amp;EDATE($B316,1),tblVideos[Channel ID],Channels!$E$11)</f>
        <v/>
      </c>
      <c r="I316" s="81">
        <f>SUM(C316:H316)</f>
        <v/>
      </c>
      <c r="J316" s="82">
        <f>SUMIFS(tblVideos[Length],tblVideos[Day],"&gt;="&amp;$B316,tblVideos[Day],"&lt;"&amp;EDATE($B316,1))</f>
        <v/>
      </c>
      <c r="K316" s="72">
        <f>COUNTIFS(tblVideos[Watched On],"&gt;="&amp;$B316,tblVideos[Watched On],"&lt;"&amp;EDATE($B316,1),tblVideos[Status],"Watched")</f>
        <v/>
      </c>
      <c r="L316" s="82">
        <f>SUMIFS(tblVideos[Length],tblVideos[Watched On],"&gt;="&amp;$B316,tblVideos[Watched On],"&lt;"&amp;EDATE($B316,1),tblVideos[Status],"Watched")</f>
        <v/>
      </c>
      <c r="M316" s="84">
        <f>IF(I316=0,"Gap",IF(I316&gt;AVERAGE($I$144:$I$317)+2*STDEV($I$144:$I$317),"High",""))</f>
        <v/>
      </c>
    </row>
    <row r="317">
      <c r="B317" s="83" t="n">
        <v>46296</v>
      </c>
      <c r="C317" s="72">
        <f>COUNTIFS(tblVideos[Day],"&gt;="&amp;$B317,tblVideos[Day],"&lt;"&amp;EDATE($B317,1),tblVideos[Channel ID],Channels!$E$6)</f>
        <v/>
      </c>
      <c r="D317" s="72">
        <f>COUNTIFS(tblVideos[Day],"&gt;="&amp;$B317,tblVideos[Day],"&lt;"&amp;EDATE($B317,1),tblVideos[Channel ID],Channels!$E$7)</f>
        <v/>
      </c>
      <c r="E317" s="72">
        <f>COUNTIFS(tblVideos[Day],"&gt;="&amp;$B317,tblVideos[Day],"&lt;"&amp;EDATE($B317,1),tblVideos[Channel ID],Channels!$E$8)</f>
        <v/>
      </c>
      <c r="F317" s="72">
        <f>COUNTIFS(tblVideos[Day],"&gt;="&amp;$B317,tblVideos[Day],"&lt;"&amp;EDATE($B317,1),tblVideos[Channel ID],Channels!$E$9)</f>
        <v/>
      </c>
      <c r="G317" s="72">
        <f>COUNTIFS(tblVideos[Day],"&gt;="&amp;$B317,tblVideos[Day],"&lt;"&amp;EDATE($B317,1),tblVideos[Channel ID],Channels!$E$10)</f>
        <v/>
      </c>
      <c r="H317" s="72">
        <f>COUNTIFS(tblVideos[Day],"&gt;="&amp;$B317,tblVideos[Day],"&lt;"&amp;EDATE($B317,1),tblVideos[Channel ID],Channels!$E$11)</f>
        <v/>
      </c>
      <c r="I317" s="81">
        <f>SUM(C317:H317)</f>
        <v/>
      </c>
      <c r="J317" s="82">
        <f>SUMIFS(tblVideos[Length],tblVideos[Day],"&gt;="&amp;$B317,tblVideos[Day],"&lt;"&amp;EDATE($B317,1))</f>
        <v/>
      </c>
      <c r="K317" s="72">
        <f>COUNTIFS(tblVideos[Watched On],"&gt;="&amp;$B317,tblVideos[Watched On],"&lt;"&amp;EDATE($B317,1),tblVideos[Status],"Watched")</f>
        <v/>
      </c>
      <c r="L317" s="82">
        <f>SUMIFS(tblVideos[Length],tblVideos[Watched On],"&gt;="&amp;$B317,tblVideos[Watched On],"&lt;"&amp;EDATE($B317,1),tblVideos[Status],"Watched")</f>
        <v/>
      </c>
      <c r="M317" s="84">
        <f>IF(I317=0,"Gap",IF(I317&gt;AVERAGE($I$144:$I$317)+2*STDEV($I$144:$I$317),"High",""))</f>
        <v/>
      </c>
    </row>
  </sheetData>
  <sheetProtection selectLockedCells="0" selectUnlockedCells="0" sheet="1" objects="0" insertRows="1" insertHyperlinks="1" autoFilter="1" scenarios="0" formatColumns="1" deleteColumns="1" insertColumns="1" pivotTables="1" deleteRows="1" formatCells="1" formatRows="1" sort="1"/>
  <mergeCells count="3">
    <mergeCell ref="K4:L4"/>
    <mergeCell ref="C4:E4"/>
    <mergeCell ref="G4:H4"/>
  </mergeCells>
  <conditionalFormatting sqref="C8:N22">
    <cfRule type="colorScale" priority="1">
      <colorScale>
        <cfvo type="num" val="0"/>
        <cfvo type="max"/>
        <color rgb="00FFFFFF"/>
        <color rgb="000F7B8A"/>
      </colorScale>
    </cfRule>
  </conditionalFormatting>
  <conditionalFormatting sqref="M144:M317">
    <cfRule type="cellIs" priority="2" operator="equal" dxfId="21">
      <formula>"High"</formula>
    </cfRule>
    <cfRule type="cellIs" priority="3" operator="equal" dxfId="22">
      <formula>"Gap"</formula>
    </cfRule>
  </conditionalFormatting>
  <dataValidations count="3">
    <dataValidation sqref="C4" showDropDown="0" showInputMessage="0" showErrorMessage="1" allowBlank="0" type="list">
      <formula1>=ChannelList</formula1>
    </dataValidation>
    <dataValidation sqref="G4" showDropDown="0" showInputMessage="0" showErrorMessage="1" allowBlank="0" type="list">
      <formula1>"Videos,Hours"</formula1>
    </dataValidation>
    <dataValidation sqref="K4" showDropDown="0" showInputMessage="0" showErrorMessage="1" allowBlank="0" type="list">
      <formula1>=YearList</formula1>
    </dataValidation>
  </dataValidation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2E9E6B"/>
    <outlinePr summaryBelow="1" summaryRight="1"/>
    <pageSetUpPr fitToPage="1"/>
  </sheetPr>
  <dimension ref="B1:Q46"/>
  <sheetViews>
    <sheetView showGridLines="0" workbookViewId="0">
      <pane ySplit="4" topLeftCell="A5" activePane="bottomLeft" state="frozen"/>
      <selection pane="bottomLeft" activeCell="A1" sqref="A1"/>
    </sheetView>
  </sheetViews>
  <sheetFormatPr baseColWidth="8" defaultRowHeight="15"/>
  <cols>
    <col width="2" customWidth="1" min="1" max="1"/>
    <col width="4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row r="2" ht="30" customHeight="1">
      <c r="B2" s="55" t="inlineStr">
        <is>
          <t>Stats</t>
        </is>
      </c>
    </row>
    <row r="4">
      <c r="B4" s="35">
        <f>HYPERLINK("#Dashboard!A1","◄ Dashboard")</f>
        <v/>
      </c>
    </row>
    <row r="6" ht="20" customHeight="1">
      <c r="B6" s="10" t="inlineStr">
        <is>
          <t>Library progress</t>
        </is>
      </c>
      <c r="C6" s="11" t="n"/>
      <c r="D6" s="11" t="n"/>
      <c r="E6" s="11" t="n"/>
      <c r="F6" s="11" t="n"/>
      <c r="G6" s="11" t="n"/>
      <c r="H6" s="11" t="n"/>
      <c r="I6" s="11" t="n"/>
      <c r="J6" s="11" t="n"/>
      <c r="K6" s="11" t="n"/>
      <c r="L6" s="11" t="n"/>
      <c r="M6" s="11" t="n"/>
      <c r="N6" s="11" t="n"/>
    </row>
    <row r="7" ht="36" customHeight="1">
      <c r="B7" s="12" t="inlineStr">
        <is>
          <t>Channel</t>
        </is>
      </c>
      <c r="C7" s="12" t="inlineStr">
        <is>
          <t>Videos</t>
        </is>
      </c>
      <c r="D7" s="12" t="inlineStr">
        <is>
          <t>Watched</t>
        </is>
      </c>
      <c r="E7" s="12" t="inlineStr">
        <is>
          <t>Watch Later</t>
        </is>
      </c>
      <c r="F7" s="12" t="inlineStr">
        <is>
          <t>Unwatched</t>
        </is>
      </c>
      <c r="G7" s="12" t="inlineStr">
        <is>
          <t>Skipped</t>
        </is>
      </c>
      <c r="H7" s="12" t="inlineStr">
        <is>
          <t>% Watched</t>
        </is>
      </c>
      <c r="I7" s="12" t="inlineStr">
        <is>
          <t>Runtime</t>
        </is>
      </c>
      <c r="J7" s="12" t="inlineStr">
        <is>
          <t>Time watched</t>
        </is>
      </c>
      <c r="K7" s="12" t="inlineStr">
        <is>
          <t>Time remaining</t>
        </is>
      </c>
      <c r="L7" s="12" t="inlineStr">
        <is>
          <t>% Runtime Watched</t>
        </is>
      </c>
      <c r="M7" s="12" t="inlineStr">
        <is>
          <t>Average length</t>
        </is>
      </c>
      <c r="N7" s="12" t="inlineStr">
        <is>
          <t>Median length</t>
        </is>
      </c>
    </row>
    <row r="8">
      <c r="B8" s="15">
        <f>Channels!$C$6</f>
        <v/>
      </c>
      <c r="C8" s="16">
        <f>COUNTIFS(tblVideos[Channel ID],Channels!$E$6)</f>
        <v/>
      </c>
      <c r="D8" s="16">
        <f>COUNTIFS(tblVideos[Channel ID],Channels!$E$6,tblVideos[Status],"Watched")</f>
        <v/>
      </c>
      <c r="E8" s="16">
        <f>COUNTIFS(tblVideos[Channel ID],Channels!$E$6,tblVideos[Status],"Watch Later")</f>
        <v/>
      </c>
      <c r="F8" s="16">
        <f>COUNTIFS(tblVideos[Channel ID],Channels!$E$6,tblVideos[Status],"Unwatched")</f>
        <v/>
      </c>
      <c r="G8" s="16">
        <f>COUNTIFS(tblVideos[Channel ID],Channels!$E$6,tblVideos[Status],"Skipped")</f>
        <v/>
      </c>
      <c r="H8" s="17">
        <f>IFERROR(D8/(C8-G8),0)</f>
        <v/>
      </c>
      <c r="I8" s="18">
        <f>SUMIFS(tblVideos[Length],tblVideos[Channel ID],Channels!$E$6)</f>
        <v/>
      </c>
      <c r="J8" s="18">
        <f>SUMIFS(tblVideos[Length],tblVideos[Channel ID],Channels!$E$6,tblVideos[Status],"Watched")</f>
        <v/>
      </c>
      <c r="K8" s="18">
        <f>(SUMIFS(tblVideos[Length],tblVideos[Channel ID],Channels!$E$6,tblVideos[Status],"Unwatched")+SUMIFS(tblVideos[Length],tblVideos[Channel ID],Channels!$E$6,tblVideos[Status],"Watch Later"))</f>
        <v/>
      </c>
      <c r="L8" s="17">
        <f>IFERROR(J8/(I8-SUMIFS(tblVideos[Length],tblVideos[Channel ID],Channels!$E$6,tblVideos[Status],"Skipped")),0)</f>
        <v/>
      </c>
      <c r="M8" s="30">
        <f>IFERROR(AVERAGEIFS(tblVideos[Length],tblVideos[Channel ID],Channels!$E$6),0)</f>
        <v/>
      </c>
      <c r="N8" s="85">
        <f t="array" ref="N8">IFERROR(MEDIAN(IF(tblVideos[Channel ID]=Channels!$E$6,tblVideos[Length])),0)</f>
        <v/>
      </c>
    </row>
    <row r="9">
      <c r="B9" s="20">
        <f>Channels!$C$7</f>
        <v/>
      </c>
      <c r="C9" s="16">
        <f>COUNTIFS(tblVideos[Channel ID],Channels!$E$7)</f>
        <v/>
      </c>
      <c r="D9" s="16">
        <f>COUNTIFS(tblVideos[Channel ID],Channels!$E$7,tblVideos[Status],"Watched")</f>
        <v/>
      </c>
      <c r="E9" s="16">
        <f>COUNTIFS(tblVideos[Channel ID],Channels!$E$7,tblVideos[Status],"Watch Later")</f>
        <v/>
      </c>
      <c r="F9" s="16">
        <f>COUNTIFS(tblVideos[Channel ID],Channels!$E$7,tblVideos[Status],"Unwatched")</f>
        <v/>
      </c>
      <c r="G9" s="16">
        <f>COUNTIFS(tblVideos[Channel ID],Channels!$E$7,tblVideos[Status],"Skipped")</f>
        <v/>
      </c>
      <c r="H9" s="17">
        <f>IFERROR(D9/(C9-G9),0)</f>
        <v/>
      </c>
      <c r="I9" s="18">
        <f>SUMIFS(tblVideos[Length],tblVideos[Channel ID],Channels!$E$7)</f>
        <v/>
      </c>
      <c r="J9" s="18">
        <f>SUMIFS(tblVideos[Length],tblVideos[Channel ID],Channels!$E$7,tblVideos[Status],"Watched")</f>
        <v/>
      </c>
      <c r="K9" s="18">
        <f>(SUMIFS(tblVideos[Length],tblVideos[Channel ID],Channels!$E$7,tblVideos[Status],"Unwatched")+SUMIFS(tblVideos[Length],tblVideos[Channel ID],Channels!$E$7,tblVideos[Status],"Watch Later"))</f>
        <v/>
      </c>
      <c r="L9" s="17">
        <f>IFERROR(J9/(I9-SUMIFS(tblVideos[Length],tblVideos[Channel ID],Channels!$E$7,tblVideos[Status],"Skipped")),0)</f>
        <v/>
      </c>
      <c r="M9" s="30">
        <f>IFERROR(AVERAGEIFS(tblVideos[Length],tblVideos[Channel ID],Channels!$E$7),0)</f>
        <v/>
      </c>
      <c r="N9" s="85">
        <f t="array" ref="N9">IFERROR(MEDIAN(IF(tblVideos[Channel ID]=Channels!$E$7,tblVideos[Length])),0)</f>
        <v/>
      </c>
    </row>
    <row r="10">
      <c r="B10" s="21">
        <f>Channels!$C$8</f>
        <v/>
      </c>
      <c r="C10" s="16">
        <f>COUNTIFS(tblVideos[Channel ID],Channels!$E$8)</f>
        <v/>
      </c>
      <c r="D10" s="16">
        <f>COUNTIFS(tblVideos[Channel ID],Channels!$E$8,tblVideos[Status],"Watched")</f>
        <v/>
      </c>
      <c r="E10" s="16">
        <f>COUNTIFS(tblVideos[Channel ID],Channels!$E$8,tblVideos[Status],"Watch Later")</f>
        <v/>
      </c>
      <c r="F10" s="16">
        <f>COUNTIFS(tblVideos[Channel ID],Channels!$E$8,tblVideos[Status],"Unwatched")</f>
        <v/>
      </c>
      <c r="G10" s="16">
        <f>COUNTIFS(tblVideos[Channel ID],Channels!$E$8,tblVideos[Status],"Skipped")</f>
        <v/>
      </c>
      <c r="H10" s="17">
        <f>IFERROR(D10/(C10-G10),0)</f>
        <v/>
      </c>
      <c r="I10" s="18">
        <f>SUMIFS(tblVideos[Length],tblVideos[Channel ID],Channels!$E$8)</f>
        <v/>
      </c>
      <c r="J10" s="18">
        <f>SUMIFS(tblVideos[Length],tblVideos[Channel ID],Channels!$E$8,tblVideos[Status],"Watched")</f>
        <v/>
      </c>
      <c r="K10" s="18">
        <f>(SUMIFS(tblVideos[Length],tblVideos[Channel ID],Channels!$E$8,tblVideos[Status],"Unwatched")+SUMIFS(tblVideos[Length],tblVideos[Channel ID],Channels!$E$8,tblVideos[Status],"Watch Later"))</f>
        <v/>
      </c>
      <c r="L10" s="17">
        <f>IFERROR(J10/(I10-SUMIFS(tblVideos[Length],tblVideos[Channel ID],Channels!$E$8,tblVideos[Status],"Skipped")),0)</f>
        <v/>
      </c>
      <c r="M10" s="30">
        <f>IFERROR(AVERAGEIFS(tblVideos[Length],tblVideos[Channel ID],Channels!$E$8),0)</f>
        <v/>
      </c>
      <c r="N10" s="85">
        <f t="array" ref="N10">IFERROR(MEDIAN(IF(tblVideos[Channel ID]=Channels!$E$8,tblVideos[Length])),0)</f>
        <v/>
      </c>
    </row>
    <row r="11">
      <c r="B11" s="22">
        <f>Channels!$C$9</f>
        <v/>
      </c>
      <c r="C11" s="16">
        <f>COUNTIFS(tblVideos[Channel ID],Channels!$E$9)</f>
        <v/>
      </c>
      <c r="D11" s="16">
        <f>COUNTIFS(tblVideos[Channel ID],Channels!$E$9,tblVideos[Status],"Watched")</f>
        <v/>
      </c>
      <c r="E11" s="16">
        <f>COUNTIFS(tblVideos[Channel ID],Channels!$E$9,tblVideos[Status],"Watch Later")</f>
        <v/>
      </c>
      <c r="F11" s="16">
        <f>COUNTIFS(tblVideos[Channel ID],Channels!$E$9,tblVideos[Status],"Unwatched")</f>
        <v/>
      </c>
      <c r="G11" s="16">
        <f>COUNTIFS(tblVideos[Channel ID],Channels!$E$9,tblVideos[Status],"Skipped")</f>
        <v/>
      </c>
      <c r="H11" s="17">
        <f>IFERROR(D11/(C11-G11),0)</f>
        <v/>
      </c>
      <c r="I11" s="18">
        <f>SUMIFS(tblVideos[Length],tblVideos[Channel ID],Channels!$E$9)</f>
        <v/>
      </c>
      <c r="J11" s="18">
        <f>SUMIFS(tblVideos[Length],tblVideos[Channel ID],Channels!$E$9,tblVideos[Status],"Watched")</f>
        <v/>
      </c>
      <c r="K11" s="18">
        <f>(SUMIFS(tblVideos[Length],tblVideos[Channel ID],Channels!$E$9,tblVideos[Status],"Unwatched")+SUMIFS(tblVideos[Length],tblVideos[Channel ID],Channels!$E$9,tblVideos[Status],"Watch Later"))</f>
        <v/>
      </c>
      <c r="L11" s="17">
        <f>IFERROR(J11/(I11-SUMIFS(tblVideos[Length],tblVideos[Channel ID],Channels!$E$9,tblVideos[Status],"Skipped")),0)</f>
        <v/>
      </c>
      <c r="M11" s="30">
        <f>IFERROR(AVERAGEIFS(tblVideos[Length],tblVideos[Channel ID],Channels!$E$9),0)</f>
        <v/>
      </c>
      <c r="N11" s="85">
        <f t="array" ref="N11">IFERROR(MEDIAN(IF(tblVideos[Channel ID]=Channels!$E$9,tblVideos[Length])),0)</f>
        <v/>
      </c>
    </row>
    <row r="12">
      <c r="B12" s="23">
        <f>Channels!$C$10</f>
        <v/>
      </c>
      <c r="C12" s="16">
        <f>COUNTIFS(tblVideos[Channel ID],Channels!$E$10)</f>
        <v/>
      </c>
      <c r="D12" s="16">
        <f>COUNTIFS(tblVideos[Channel ID],Channels!$E$10,tblVideos[Status],"Watched")</f>
        <v/>
      </c>
      <c r="E12" s="16">
        <f>COUNTIFS(tblVideos[Channel ID],Channels!$E$10,tblVideos[Status],"Watch Later")</f>
        <v/>
      </c>
      <c r="F12" s="16">
        <f>COUNTIFS(tblVideos[Channel ID],Channels!$E$10,tblVideos[Status],"Unwatched")</f>
        <v/>
      </c>
      <c r="G12" s="16">
        <f>COUNTIFS(tblVideos[Channel ID],Channels!$E$10,tblVideos[Status],"Skipped")</f>
        <v/>
      </c>
      <c r="H12" s="17">
        <f>IFERROR(D12/(C12-G12),0)</f>
        <v/>
      </c>
      <c r="I12" s="18">
        <f>SUMIFS(tblVideos[Length],tblVideos[Channel ID],Channels!$E$10)</f>
        <v/>
      </c>
      <c r="J12" s="18">
        <f>SUMIFS(tblVideos[Length],tblVideos[Channel ID],Channels!$E$10,tblVideos[Status],"Watched")</f>
        <v/>
      </c>
      <c r="K12" s="18">
        <f>(SUMIFS(tblVideos[Length],tblVideos[Channel ID],Channels!$E$10,tblVideos[Status],"Unwatched")+SUMIFS(tblVideos[Length],tblVideos[Channel ID],Channels!$E$10,tblVideos[Status],"Watch Later"))</f>
        <v/>
      </c>
      <c r="L12" s="17">
        <f>IFERROR(J12/(I12-SUMIFS(tblVideos[Length],tblVideos[Channel ID],Channels!$E$10,tblVideos[Status],"Skipped")),0)</f>
        <v/>
      </c>
      <c r="M12" s="30">
        <f>IFERROR(AVERAGEIFS(tblVideos[Length],tblVideos[Channel ID],Channels!$E$10),0)</f>
        <v/>
      </c>
      <c r="N12" s="85">
        <f t="array" ref="N12">IFERROR(MEDIAN(IF(tblVideos[Channel ID]=Channels!$E$10,tblVideos[Length])),0)</f>
        <v/>
      </c>
    </row>
    <row r="13">
      <c r="B13" s="24">
        <f>Channels!$C$11</f>
        <v/>
      </c>
      <c r="C13" s="16">
        <f>COUNTIFS(tblVideos[Channel ID],Channels!$E$11)</f>
        <v/>
      </c>
      <c r="D13" s="16">
        <f>COUNTIFS(tblVideos[Channel ID],Channels!$E$11,tblVideos[Status],"Watched")</f>
        <v/>
      </c>
      <c r="E13" s="16">
        <f>COUNTIFS(tblVideos[Channel ID],Channels!$E$11,tblVideos[Status],"Watch Later")</f>
        <v/>
      </c>
      <c r="F13" s="16">
        <f>COUNTIFS(tblVideos[Channel ID],Channels!$E$11,tblVideos[Status],"Unwatched")</f>
        <v/>
      </c>
      <c r="G13" s="16">
        <f>COUNTIFS(tblVideos[Channel ID],Channels!$E$11,tblVideos[Status],"Skipped")</f>
        <v/>
      </c>
      <c r="H13" s="17">
        <f>IFERROR(D13/(C13-G13),0)</f>
        <v/>
      </c>
      <c r="I13" s="18">
        <f>SUMIFS(tblVideos[Length],tblVideos[Channel ID],Channels!$E$11)</f>
        <v/>
      </c>
      <c r="J13" s="18">
        <f>SUMIFS(tblVideos[Length],tblVideos[Channel ID],Channels!$E$11,tblVideos[Status],"Watched")</f>
        <v/>
      </c>
      <c r="K13" s="18">
        <f>(SUMIFS(tblVideos[Length],tblVideos[Channel ID],Channels!$E$11,tblVideos[Status],"Unwatched")+SUMIFS(tblVideos[Length],tblVideos[Channel ID],Channels!$E$11,tblVideos[Status],"Watch Later"))</f>
        <v/>
      </c>
      <c r="L13" s="17">
        <f>IFERROR(J13/(I13-SUMIFS(tblVideos[Length],tblVideos[Channel ID],Channels!$E$11,tblVideos[Status],"Skipped")),0)</f>
        <v/>
      </c>
      <c r="M13" s="30">
        <f>IFERROR(AVERAGEIFS(tblVideos[Length],tblVideos[Channel ID],Channels!$E$11),0)</f>
        <v/>
      </c>
      <c r="N13" s="85">
        <f t="array" ref="N13">IFERROR(MEDIAN(IF(tblVideos[Channel ID]=Channels!$E$11,tblVideos[Length])),0)</f>
        <v/>
      </c>
    </row>
    <row r="14">
      <c r="B14" s="25" t="inlineStr">
        <is>
          <t>All channels</t>
        </is>
      </c>
      <c r="C14" s="26">
        <f>SUM(C8:C13)</f>
        <v/>
      </c>
      <c r="D14" s="26">
        <f>SUM(D8:D13)</f>
        <v/>
      </c>
      <c r="E14" s="26">
        <f>SUM(E8:E13)</f>
        <v/>
      </c>
      <c r="F14" s="26">
        <f>SUM(F8:F13)</f>
        <v/>
      </c>
      <c r="G14" s="26">
        <f>SUM(G8:G13)</f>
        <v/>
      </c>
      <c r="H14" s="27">
        <f>IFERROR(D14/(C14-G14),0)</f>
        <v/>
      </c>
      <c r="I14" s="28">
        <f>SUM(I8:I13)</f>
        <v/>
      </c>
      <c r="J14" s="28">
        <f>SUM(J8:J13)</f>
        <v/>
      </c>
      <c r="K14" s="28">
        <f>SUM(K8:K13)</f>
        <v/>
      </c>
      <c r="L14" s="27">
        <f>IFERROR(J14/(I14-SUMIFS(tblVideos[Length],tblVideos[Status],"Skipped")),0)</f>
        <v/>
      </c>
      <c r="M14" s="86">
        <f>IFERROR(AVERAGE(tblVideos[Length]),0)</f>
        <v/>
      </c>
      <c r="N14" s="86">
        <f>IFERROR(MEDIAN(tblVideos[Length]),0)</f>
        <v/>
      </c>
    </row>
    <row r="15">
      <c r="B15" s="87" t="inlineStr">
        <is>
          <t>% Watched = Watched / (Videos - Skipped).  Remaining = Unwatched + Watch Later.</t>
        </is>
      </c>
    </row>
    <row r="18" ht="20" customHeight="1">
      <c r="B18" s="10" t="inlineStr">
        <is>
          <t>Upload profile</t>
        </is>
      </c>
      <c r="C18" s="11" t="n"/>
      <c r="D18" s="11" t="n"/>
      <c r="E18" s="11" t="n"/>
      <c r="F18" s="11" t="n"/>
      <c r="G18" s="11" t="n"/>
      <c r="H18" s="11" t="n"/>
      <c r="I18" s="11" t="n"/>
      <c r="J18" s="11" t="n"/>
      <c r="K18" s="11" t="n"/>
      <c r="L18" s="11" t="n"/>
      <c r="M18" s="11" t="n"/>
      <c r="N18" s="11" t="n"/>
      <c r="O18" s="11" t="n"/>
      <c r="P18" s="11" t="n"/>
      <c r="Q18" s="11" t="n"/>
    </row>
    <row r="19" ht="36" customHeight="1">
      <c r="B19" s="12" t="inlineStr">
        <is>
          <t>Channel</t>
        </is>
      </c>
      <c r="C19" s="12" t="inlineStr">
        <is>
          <t>First upload</t>
        </is>
      </c>
      <c r="D19" s="12" t="inlineStr">
        <is>
          <t>Latest upload</t>
        </is>
      </c>
      <c r="E19" s="12" t="inlineStr">
        <is>
          <t>Active span (yrs)</t>
        </is>
      </c>
      <c r="F19" s="12" t="inlineStr">
        <is>
          <t>Videos / month</t>
        </is>
      </c>
      <c r="G19" s="12" t="inlineStr">
        <is>
          <t>Avg days between</t>
        </is>
      </c>
      <c r="H19" s="12" t="inlineStr">
        <is>
          <t>Busiest year</t>
        </is>
      </c>
      <c r="I19" s="12" t="inlineStr">
        <is>
          <t>Videos that year</t>
        </is>
      </c>
      <c r="J19" s="12" t="inlineStr">
        <is>
          <t>Longest</t>
        </is>
      </c>
      <c r="K19" s="12" t="inlineStr">
        <is>
          <t>Shortest (&gt;0)</t>
        </is>
      </c>
      <c r="L19" s="12" t="inlineStr">
        <is>
          <t>Total views</t>
        </is>
      </c>
      <c r="M19" s="12" t="inlineStr">
        <is>
          <t>Avg views / video</t>
        </is>
      </c>
      <c r="N19" s="12" t="inlineStr">
        <is>
          <t>Most viewed video</t>
        </is>
      </c>
      <c r="O19" s="13" t="n"/>
      <c r="P19" s="13" t="n"/>
      <c r="Q19" s="14" t="n"/>
    </row>
    <row r="20">
      <c r="B20" s="15">
        <f>Channels!$C$6</f>
        <v/>
      </c>
      <c r="C20" s="88">
        <f>IF(C8=0,"",_xlfn.MINIFS(tblVideos[Day],tblVideos[Channel ID],Channels!$E$6))</f>
        <v/>
      </c>
      <c r="D20" s="88">
        <f>IF(C8=0,"",_xlfn.MAXIFS(tblVideos[Day],tblVideos[Channel ID],Channels!$E$6))</f>
        <v/>
      </c>
      <c r="E20" s="89">
        <f>IF(C8=0,"",(D20-C20)/365.25)</f>
        <v/>
      </c>
      <c r="F20" s="89">
        <f>IF(C8=0,"",C8/MAX(1,(D20-C20)/30.4375))</f>
        <v/>
      </c>
      <c r="G20" s="89">
        <f>IF(C8&lt;2,"",(D20-C20)/(C8-1))</f>
        <v/>
      </c>
      <c r="H20" s="90">
        <f>IF(C8=0,"",INDEX(History!$B$64:$B$78,MATCH(MAX(History!$C$64:$C$78),History!$C$64:$C$78,0)))</f>
        <v/>
      </c>
      <c r="I20" s="16">
        <f>MAX(History!$C$64:$C$78)</f>
        <v/>
      </c>
      <c r="J20" s="30">
        <f>IF(C8=0,"",_xlfn.MAXIFS(tblVideos[Length],tblVideos[Channel ID],Channels!$E$6))</f>
        <v/>
      </c>
      <c r="K20" s="30">
        <f>IF(C8=0,"",_xlfn.MINIFS(tblVideos[Length],tblVideos[Channel ID],Channels!$E$6,tblVideos[Length],"&gt;0"))</f>
        <v/>
      </c>
      <c r="L20" s="16">
        <f>SUMIFS(tblVideos[Views],tblVideos[Channel ID],Channels!$E$6)</f>
        <v/>
      </c>
      <c r="M20" s="16">
        <f>IFERROR(L20/C8,0)</f>
        <v/>
      </c>
      <c r="N20" s="91">
        <f>IF(C8=0,"",IFERROR(INDEX(tblVideos[Title],MATCH(_xlfn.MAXIFS(tblVideos[Seq],tblVideos[Channel ID],Channels!$E$6,tblVideos[Views],_xlfn.MAXIFS(tblVideos[Views],tblVideos[Channel ID],Channels!$E$6)),tblVideos[Seq],0)),""))</f>
        <v/>
      </c>
      <c r="O20" s="13" t="n"/>
      <c r="P20" s="13" t="n"/>
      <c r="Q20" s="14" t="n"/>
    </row>
    <row r="21">
      <c r="B21" s="20">
        <f>Channels!$C$7</f>
        <v/>
      </c>
      <c r="C21" s="88">
        <f>IF(C9=0,"",_xlfn.MINIFS(tblVideos[Day],tblVideos[Channel ID],Channels!$E$7))</f>
        <v/>
      </c>
      <c r="D21" s="88">
        <f>IF(C9=0,"",_xlfn.MAXIFS(tblVideos[Day],tblVideos[Channel ID],Channels!$E$7))</f>
        <v/>
      </c>
      <c r="E21" s="89">
        <f>IF(C9=0,"",(D21-C21)/365.25)</f>
        <v/>
      </c>
      <c r="F21" s="89">
        <f>IF(C9=0,"",C9/MAX(1,(D21-C21)/30.4375))</f>
        <v/>
      </c>
      <c r="G21" s="89">
        <f>IF(C9&lt;2,"",(D21-C21)/(C9-1))</f>
        <v/>
      </c>
      <c r="H21" s="90">
        <f>IF(C9=0,"",INDEX(History!$B$64:$B$78,MATCH(MAX(History!$D$64:$D$78),History!$D$64:$D$78,0)))</f>
        <v/>
      </c>
      <c r="I21" s="16">
        <f>MAX(History!$D$64:$D$78)</f>
        <v/>
      </c>
      <c r="J21" s="30">
        <f>IF(C9=0,"",_xlfn.MAXIFS(tblVideos[Length],tblVideos[Channel ID],Channels!$E$7))</f>
        <v/>
      </c>
      <c r="K21" s="30">
        <f>IF(C9=0,"",_xlfn.MINIFS(tblVideos[Length],tblVideos[Channel ID],Channels!$E$7,tblVideos[Length],"&gt;0"))</f>
        <v/>
      </c>
      <c r="L21" s="16">
        <f>SUMIFS(tblVideos[Views],tblVideos[Channel ID],Channels!$E$7)</f>
        <v/>
      </c>
      <c r="M21" s="16">
        <f>IFERROR(L21/C9,0)</f>
        <v/>
      </c>
      <c r="N21" s="91">
        <f>IF(C9=0,"",IFERROR(INDEX(tblVideos[Title],MATCH(_xlfn.MAXIFS(tblVideos[Seq],tblVideos[Channel ID],Channels!$E$7,tblVideos[Views],_xlfn.MAXIFS(tblVideos[Views],tblVideos[Channel ID],Channels!$E$7)),tblVideos[Seq],0)),""))</f>
        <v/>
      </c>
      <c r="O21" s="13" t="n"/>
      <c r="P21" s="13" t="n"/>
      <c r="Q21" s="14" t="n"/>
    </row>
    <row r="22">
      <c r="B22" s="21">
        <f>Channels!$C$8</f>
        <v/>
      </c>
      <c r="C22" s="88">
        <f>IF(C10=0,"",_xlfn.MINIFS(tblVideos[Day],tblVideos[Channel ID],Channels!$E$8))</f>
        <v/>
      </c>
      <c r="D22" s="88">
        <f>IF(C10=0,"",_xlfn.MAXIFS(tblVideos[Day],tblVideos[Channel ID],Channels!$E$8))</f>
        <v/>
      </c>
      <c r="E22" s="89">
        <f>IF(C10=0,"",(D22-C22)/365.25)</f>
        <v/>
      </c>
      <c r="F22" s="89">
        <f>IF(C10=0,"",C10/MAX(1,(D22-C22)/30.4375))</f>
        <v/>
      </c>
      <c r="G22" s="89">
        <f>IF(C10&lt;2,"",(D22-C22)/(C10-1))</f>
        <v/>
      </c>
      <c r="H22" s="90">
        <f>IF(C10=0,"",INDEX(History!$B$64:$B$78,MATCH(MAX(History!$E$64:$E$78),History!$E$64:$E$78,0)))</f>
        <v/>
      </c>
      <c r="I22" s="16">
        <f>MAX(History!$E$64:$E$78)</f>
        <v/>
      </c>
      <c r="J22" s="30">
        <f>IF(C10=0,"",_xlfn.MAXIFS(tblVideos[Length],tblVideos[Channel ID],Channels!$E$8))</f>
        <v/>
      </c>
      <c r="K22" s="30">
        <f>IF(C10=0,"",_xlfn.MINIFS(tblVideos[Length],tblVideos[Channel ID],Channels!$E$8,tblVideos[Length],"&gt;0"))</f>
        <v/>
      </c>
      <c r="L22" s="16">
        <f>SUMIFS(tblVideos[Views],tblVideos[Channel ID],Channels!$E$8)</f>
        <v/>
      </c>
      <c r="M22" s="16">
        <f>IFERROR(L22/C10,0)</f>
        <v/>
      </c>
      <c r="N22" s="91">
        <f>IF(C10=0,"",IFERROR(INDEX(tblVideos[Title],MATCH(_xlfn.MAXIFS(tblVideos[Seq],tblVideos[Channel ID],Channels!$E$8,tblVideos[Views],_xlfn.MAXIFS(tblVideos[Views],tblVideos[Channel ID],Channels!$E$8)),tblVideos[Seq],0)),""))</f>
        <v/>
      </c>
      <c r="O22" s="13" t="n"/>
      <c r="P22" s="13" t="n"/>
      <c r="Q22" s="14" t="n"/>
    </row>
    <row r="23">
      <c r="B23" s="22">
        <f>Channels!$C$9</f>
        <v/>
      </c>
      <c r="C23" s="88">
        <f>IF(C11=0,"",_xlfn.MINIFS(tblVideos[Day],tblVideos[Channel ID],Channels!$E$9))</f>
        <v/>
      </c>
      <c r="D23" s="88">
        <f>IF(C11=0,"",_xlfn.MAXIFS(tblVideos[Day],tblVideos[Channel ID],Channels!$E$9))</f>
        <v/>
      </c>
      <c r="E23" s="89">
        <f>IF(C11=0,"",(D23-C23)/365.25)</f>
        <v/>
      </c>
      <c r="F23" s="89">
        <f>IF(C11=0,"",C11/MAX(1,(D23-C23)/30.4375))</f>
        <v/>
      </c>
      <c r="G23" s="89">
        <f>IF(C11&lt;2,"",(D23-C23)/(C11-1))</f>
        <v/>
      </c>
      <c r="H23" s="90">
        <f>IF(C11=0,"",INDEX(History!$B$64:$B$78,MATCH(MAX(History!$F$64:$F$78),History!$F$64:$F$78,0)))</f>
        <v/>
      </c>
      <c r="I23" s="16">
        <f>MAX(History!$F$64:$F$78)</f>
        <v/>
      </c>
      <c r="J23" s="30">
        <f>IF(C11=0,"",_xlfn.MAXIFS(tblVideos[Length],tblVideos[Channel ID],Channels!$E$9))</f>
        <v/>
      </c>
      <c r="K23" s="30">
        <f>IF(C11=0,"",_xlfn.MINIFS(tblVideos[Length],tblVideos[Channel ID],Channels!$E$9,tblVideos[Length],"&gt;0"))</f>
        <v/>
      </c>
      <c r="L23" s="16">
        <f>SUMIFS(tblVideos[Views],tblVideos[Channel ID],Channels!$E$9)</f>
        <v/>
      </c>
      <c r="M23" s="16">
        <f>IFERROR(L23/C11,0)</f>
        <v/>
      </c>
      <c r="N23" s="91">
        <f>IF(C11=0,"",IFERROR(INDEX(tblVideos[Title],MATCH(_xlfn.MAXIFS(tblVideos[Seq],tblVideos[Channel ID],Channels!$E$9,tblVideos[Views],_xlfn.MAXIFS(tblVideos[Views],tblVideos[Channel ID],Channels!$E$9)),tblVideos[Seq],0)),""))</f>
        <v/>
      </c>
      <c r="O23" s="13" t="n"/>
      <c r="P23" s="13" t="n"/>
      <c r="Q23" s="14" t="n"/>
    </row>
    <row r="24">
      <c r="B24" s="23">
        <f>Channels!$C$10</f>
        <v/>
      </c>
      <c r="C24" s="88">
        <f>IF(C12=0,"",_xlfn.MINIFS(tblVideos[Day],tblVideos[Channel ID],Channels!$E$10))</f>
        <v/>
      </c>
      <c r="D24" s="88">
        <f>IF(C12=0,"",_xlfn.MAXIFS(tblVideos[Day],tblVideos[Channel ID],Channels!$E$10))</f>
        <v/>
      </c>
      <c r="E24" s="89">
        <f>IF(C12=0,"",(D24-C24)/365.25)</f>
        <v/>
      </c>
      <c r="F24" s="89">
        <f>IF(C12=0,"",C12/MAX(1,(D24-C24)/30.4375))</f>
        <v/>
      </c>
      <c r="G24" s="89">
        <f>IF(C12&lt;2,"",(D24-C24)/(C12-1))</f>
        <v/>
      </c>
      <c r="H24" s="90">
        <f>IF(C12=0,"",INDEX(History!$B$64:$B$78,MATCH(MAX(History!$G$64:$G$78),History!$G$64:$G$78,0)))</f>
        <v/>
      </c>
      <c r="I24" s="16">
        <f>MAX(History!$G$64:$G$78)</f>
        <v/>
      </c>
      <c r="J24" s="30">
        <f>IF(C12=0,"",_xlfn.MAXIFS(tblVideos[Length],tblVideos[Channel ID],Channels!$E$10))</f>
        <v/>
      </c>
      <c r="K24" s="30">
        <f>IF(C12=0,"",_xlfn.MINIFS(tblVideos[Length],tblVideos[Channel ID],Channels!$E$10,tblVideos[Length],"&gt;0"))</f>
        <v/>
      </c>
      <c r="L24" s="16">
        <f>SUMIFS(tblVideos[Views],tblVideos[Channel ID],Channels!$E$10)</f>
        <v/>
      </c>
      <c r="M24" s="16">
        <f>IFERROR(L24/C12,0)</f>
        <v/>
      </c>
      <c r="N24" s="91">
        <f>IF(C12=0,"",IFERROR(INDEX(tblVideos[Title],MATCH(_xlfn.MAXIFS(tblVideos[Seq],tblVideos[Channel ID],Channels!$E$10,tblVideos[Views],_xlfn.MAXIFS(tblVideos[Views],tblVideos[Channel ID],Channels!$E$10)),tblVideos[Seq],0)),""))</f>
        <v/>
      </c>
      <c r="O24" s="13" t="n"/>
      <c r="P24" s="13" t="n"/>
      <c r="Q24" s="14" t="n"/>
    </row>
    <row r="25">
      <c r="B25" s="24">
        <f>Channels!$C$11</f>
        <v/>
      </c>
      <c r="C25" s="88">
        <f>IF(C13=0,"",_xlfn.MINIFS(tblVideos[Day],tblVideos[Channel ID],Channels!$E$11))</f>
        <v/>
      </c>
      <c r="D25" s="88">
        <f>IF(C13=0,"",_xlfn.MAXIFS(tblVideos[Day],tblVideos[Channel ID],Channels!$E$11))</f>
        <v/>
      </c>
      <c r="E25" s="89">
        <f>IF(C13=0,"",(D25-C25)/365.25)</f>
        <v/>
      </c>
      <c r="F25" s="89">
        <f>IF(C13=0,"",C13/MAX(1,(D25-C25)/30.4375))</f>
        <v/>
      </c>
      <c r="G25" s="89">
        <f>IF(C13&lt;2,"",(D25-C25)/(C13-1))</f>
        <v/>
      </c>
      <c r="H25" s="90">
        <f>IF(C13=0,"",INDEX(History!$B$64:$B$78,MATCH(MAX(History!$H$64:$H$78),History!$H$64:$H$78,0)))</f>
        <v/>
      </c>
      <c r="I25" s="16">
        <f>MAX(History!$H$64:$H$78)</f>
        <v/>
      </c>
      <c r="J25" s="30">
        <f>IF(C13=0,"",_xlfn.MAXIFS(tblVideos[Length],tblVideos[Channel ID],Channels!$E$11))</f>
        <v/>
      </c>
      <c r="K25" s="30">
        <f>IF(C13=0,"",_xlfn.MINIFS(tblVideos[Length],tblVideos[Channel ID],Channels!$E$11,tblVideos[Length],"&gt;0"))</f>
        <v/>
      </c>
      <c r="L25" s="16">
        <f>SUMIFS(tblVideos[Views],tblVideos[Channel ID],Channels!$E$11)</f>
        <v/>
      </c>
      <c r="M25" s="16">
        <f>IFERROR(L25/C13,0)</f>
        <v/>
      </c>
      <c r="N25" s="91">
        <f>IF(C13=0,"",IFERROR(INDEX(tblVideos[Title],MATCH(_xlfn.MAXIFS(tblVideos[Seq],tblVideos[Channel ID],Channels!$E$11,tblVideos[Views],_xlfn.MAXIFS(tblVideos[Views],tblVideos[Channel ID],Channels!$E$11)),tblVideos[Seq],0)),""))</f>
        <v/>
      </c>
      <c r="O25" s="13" t="n"/>
      <c r="P25" s="13" t="n"/>
      <c r="Q25" s="14" t="n"/>
    </row>
    <row r="26">
      <c r="B26" s="25" t="inlineStr">
        <is>
          <t>All channels</t>
        </is>
      </c>
      <c r="C26" s="92">
        <f>MIN(tblVideos[Day])</f>
        <v/>
      </c>
      <c r="D26" s="92">
        <f>MAX(tblVideos[Day])</f>
        <v/>
      </c>
      <c r="E26" s="93">
        <f>(D26-C26)/365.25</f>
        <v/>
      </c>
      <c r="F26" s="93">
        <f>C14/MAX(1,(D26-C26)/30.4375)</f>
        <v/>
      </c>
      <c r="G26" s="93">
        <f>(D26-C26)/MAX(1,C14-1)</f>
        <v/>
      </c>
      <c r="H26" s="94">
        <f>INDEX(History!$B$64:$B$78,MATCH(MAX(History!$I$64:$I$78),History!$I$64:$I$78,0))</f>
        <v/>
      </c>
      <c r="I26" s="95">
        <f>MAX(History!$I$64:$I$78)</f>
        <v/>
      </c>
      <c r="J26" s="96">
        <f>MAX(tblVideos[Length])</f>
        <v/>
      </c>
      <c r="K26" s="96">
        <f>IFERROR(_xlfn.MINIFS(tblVideos[Length],tblVideos[Length],"&gt;0"),"")</f>
        <v/>
      </c>
      <c r="L26" s="95">
        <f>SUM(tblVideos[Views])</f>
        <v/>
      </c>
      <c r="M26" s="95">
        <f>IFERROR(L26/C14,0)</f>
        <v/>
      </c>
      <c r="N26" s="97">
        <f>IFERROR(INDEX(tblVideos[Title],MATCH(MAX(tblVideos[Views]),tblVideos[Views],0)),"")</f>
        <v/>
      </c>
      <c r="O26" s="13" t="n"/>
      <c r="P26" s="13" t="n"/>
      <c r="Q26" s="14" t="n"/>
    </row>
    <row r="27">
      <c r="B27" s="87" t="inlineStr">
        <is>
          <t>Views accumulate with age, so older videos are not directly comparable to recent ones.</t>
        </is>
      </c>
    </row>
    <row r="30" ht="20" customHeight="1">
      <c r="B30" s="10" t="inlineStr">
        <is>
          <t>Pace: uploading vs. watching</t>
        </is>
      </c>
      <c r="C30" s="11" t="n"/>
      <c r="D30" s="11" t="n"/>
      <c r="E30" s="11" t="n"/>
      <c r="F30" s="11" t="n"/>
      <c r="G30" s="11" t="n"/>
      <c r="H30" s="11" t="n"/>
      <c r="I30" s="11" t="n"/>
      <c r="J30" s="11" t="n"/>
      <c r="K30" s="11" t="n"/>
      <c r="L30" s="11" t="n"/>
      <c r="M30" s="11" t="n"/>
      <c r="N30" s="11" t="n"/>
    </row>
    <row r="31" ht="22" customHeight="1">
      <c r="B31" s="12" t="inlineStr"/>
      <c r="C31" s="12" t="inlineStr">
        <is>
          <t>Last 30 days</t>
        </is>
      </c>
      <c r="D31" s="12" t="inlineStr">
        <is>
          <t>Last 90 days</t>
        </is>
      </c>
      <c r="E31" s="12" t="inlineStr">
        <is>
          <t>Last 365 days</t>
        </is>
      </c>
    </row>
    <row r="32">
      <c r="B32" s="80" t="inlineStr">
        <is>
          <t>Videos uploaded</t>
        </is>
      </c>
      <c r="C32" s="16">
        <f>COUNTIFS(tblVideos[Day],"&gt;"&amp;TODAY()-30)</f>
        <v/>
      </c>
      <c r="D32" s="16">
        <f>COUNTIFS(tblVideos[Day],"&gt;"&amp;TODAY()-90)</f>
        <v/>
      </c>
      <c r="E32" s="16">
        <f>COUNTIFS(tblVideos[Day],"&gt;"&amp;TODAY()-365)</f>
        <v/>
      </c>
    </row>
    <row r="33">
      <c r="B33" s="80" t="inlineStr">
        <is>
          <t>Time uploaded</t>
        </is>
      </c>
      <c r="C33" s="18">
        <f>SUMIFS(tblVideos[Length],tblVideos[Day],"&gt;"&amp;TODAY()-30)</f>
        <v/>
      </c>
      <c r="D33" s="18">
        <f>SUMIFS(tblVideos[Length],tblVideos[Day],"&gt;"&amp;TODAY()-90)</f>
        <v/>
      </c>
      <c r="E33" s="18">
        <f>SUMIFS(tblVideos[Length],tblVideos[Day],"&gt;"&amp;TODAY()-365)</f>
        <v/>
      </c>
    </row>
    <row r="34">
      <c r="B34" s="80" t="inlineStr">
        <is>
          <t>Videos watched *</t>
        </is>
      </c>
      <c r="C34" s="16">
        <f>COUNTIFS(tblVideos[Watched On],"&gt;"&amp;TODAY()-30,tblVideos[Status],"Watched")</f>
        <v/>
      </c>
      <c r="D34" s="16">
        <f>COUNTIFS(tblVideos[Watched On],"&gt;"&amp;TODAY()-90,tblVideos[Status],"Watched")</f>
        <v/>
      </c>
      <c r="E34" s="16">
        <f>COUNTIFS(tblVideos[Watched On],"&gt;"&amp;TODAY()-365,tblVideos[Status],"Watched")</f>
        <v/>
      </c>
    </row>
    <row r="35">
      <c r="B35" s="80" t="inlineStr">
        <is>
          <t>Time watched *</t>
        </is>
      </c>
      <c r="C35" s="18">
        <f>SUMIFS(tblVideos[Length],tblVideos[Watched On],"&gt;"&amp;TODAY()-30,tblVideos[Status],"Watched")</f>
        <v/>
      </c>
      <c r="D35" s="18">
        <f>SUMIFS(tblVideos[Length],tblVideos[Watched On],"&gt;"&amp;TODAY()-90,tblVideos[Status],"Watched")</f>
        <v/>
      </c>
      <c r="E35" s="18">
        <f>SUMIFS(tblVideos[Length],tblVideos[Watched On],"&gt;"&amp;TODAY()-365,tblVideos[Status],"Watched")</f>
        <v/>
      </c>
    </row>
    <row r="36">
      <c r="B36" s="80" t="inlineStr">
        <is>
          <t>Backlog change (videos)</t>
        </is>
      </c>
      <c r="C36" s="98">
        <f>C32-C34</f>
        <v/>
      </c>
      <c r="D36" s="98">
        <f>D32-D34</f>
        <v/>
      </c>
      <c r="E36" s="98">
        <f>E32-E34</f>
        <v/>
      </c>
    </row>
    <row r="37">
      <c r="B37" s="80" t="inlineStr">
        <is>
          <t>Backlog change (time)</t>
        </is>
      </c>
      <c r="C37" s="99">
        <f>ROUND((C33-C35)*24,0)</f>
        <v/>
      </c>
      <c r="D37" s="99">
        <f>ROUND((D33-D35)*24,0)</f>
        <v/>
      </c>
      <c r="E37" s="99">
        <f>ROUND((E33-E35)*24,0)</f>
        <v/>
      </c>
    </row>
    <row r="38">
      <c r="B38" s="80" t="inlineStr">
        <is>
          <t>Estimated days to clear backlog</t>
        </is>
      </c>
      <c r="C38" s="16">
        <f>IF(D35/90-D33/90&lt;=0,"Backlog is growing",K14/(D35/90-D33/90))</f>
        <v/>
      </c>
      <c r="D38" s="14" t="n"/>
      <c r="F38" s="87" t="inlineStr">
        <is>
          <t>Uses the last-90-day watch rate minus the upload rate.</t>
        </is>
      </c>
    </row>
    <row r="39">
      <c r="B39" s="87" t="inlineStr">
        <is>
          <t>* Counts only videos with a 'Watched On' date.</t>
        </is>
      </c>
    </row>
    <row r="42" ht="20" customHeight="1">
      <c r="B42" s="10" t="inlineStr">
        <is>
          <t>Records</t>
        </is>
      </c>
      <c r="C42" s="11" t="n"/>
      <c r="D42" s="11" t="n"/>
      <c r="E42" s="11" t="n"/>
      <c r="F42" s="11" t="n"/>
      <c r="G42" s="11" t="n"/>
      <c r="H42" s="11" t="n"/>
      <c r="I42" s="11" t="n"/>
      <c r="J42" s="11" t="n"/>
      <c r="K42" s="11" t="n"/>
      <c r="L42" s="11" t="n"/>
      <c r="M42" s="11" t="n"/>
      <c r="N42" s="11" t="n"/>
    </row>
    <row r="43">
      <c r="B43" s="80" t="inlineStr">
        <is>
          <t>Longest video</t>
        </is>
      </c>
      <c r="C43" s="30">
        <f>MAX(tblVideos[Length])</f>
        <v/>
      </c>
      <c r="D43" s="100">
        <f>INDEX(tblVideos[Title],MATCH(MAX(tblVideos[Length]),tblVideos[Length],0))</f>
        <v/>
      </c>
    </row>
    <row r="44">
      <c r="B44" s="80" t="inlineStr">
        <is>
          <t>Shortest video (&gt;0)</t>
        </is>
      </c>
      <c r="C44" s="30">
        <f>IFERROR(_xlfn.MINIFS(tblVideos[Length],tblVideos[Length],"&gt;0"),"")</f>
        <v/>
      </c>
      <c r="D44" s="100">
        <f>IFERROR(INDEX(tblVideos[Title],MATCH(C44,tblVideos[Length],0)),"")</f>
        <v/>
      </c>
    </row>
    <row r="45">
      <c r="B45" s="80" t="inlineStr">
        <is>
          <t>Most viewed video</t>
        </is>
      </c>
      <c r="C45" s="16">
        <f>MAX(tblVideos[Views])</f>
        <v/>
      </c>
      <c r="D45" s="100">
        <f>INDEX(tblVideos[Title],MATCH(MAX(tblVideos[Views]),tblVideos[Views],0))</f>
        <v/>
      </c>
    </row>
    <row r="46">
      <c r="B46" s="80" t="inlineStr">
        <is>
          <t>Busiest month (videos)</t>
        </is>
      </c>
      <c r="C46" s="16">
        <f>MAX(History!$I$144:$I$317)</f>
        <v/>
      </c>
      <c r="D46" s="100">
        <f>TEXT(INDEX(History!$B$144:$B$317,MATCH(C46,History!$I$144:$I$317,0)),"mmmm yyyy")</f>
        <v/>
      </c>
    </row>
  </sheetData>
  <sheetProtection selectLockedCells="0" selectUnlockedCells="0" sheet="1" objects="0" insertRows="1" insertHyperlinks="1" autoFilter="1" scenarios="0" formatColumns="1" deleteColumns="1" insertColumns="1" pivotTables="1" deleteRows="1" formatCells="1" formatRows="1" sort="1"/>
  <mergeCells count="9">
    <mergeCell ref="N23:Q23"/>
    <mergeCell ref="N22:Q22"/>
    <mergeCell ref="C38:D38"/>
    <mergeCell ref="N26:Q26"/>
    <mergeCell ref="N21:Q21"/>
    <mergeCell ref="N20:Q20"/>
    <mergeCell ref="N24:Q24"/>
    <mergeCell ref="N25:Q25"/>
    <mergeCell ref="N19:Q19"/>
  </mergeCells>
  <conditionalFormatting sqref="H8:H14">
    <cfRule type="dataBar" priority="1">
      <dataBar>
        <cfvo type="num" val="0"/>
        <cfvo type="num" val="1"/>
        <color rgb="002E9E6B"/>
      </dataBar>
    </cfRule>
  </conditionalFormatting>
  <conditionalFormatting sqref="C36:E37">
    <cfRule type="cellIs" priority="2" operator="greaterThan" dxfId="6">
      <formula>0</formula>
    </cfRule>
    <cfRule type="cellIs" priority="3" operator="lessThan" dxfId="23">
      <formula>0</formula>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tabColor rgb="00B7791F"/>
    <outlinePr summaryBelow="1" summaryRight="1"/>
    <pageSetUpPr fitToPage="1"/>
  </sheetPr>
  <dimension ref="A2:L20"/>
  <sheetViews>
    <sheetView showGridLines="0" workbookViewId="0">
      <pane ySplit="5" topLeftCell="A6" activePane="bottomLeft" state="frozen"/>
      <selection pane="bottomLeft" activeCell="A1" sqref="A1"/>
    </sheetView>
  </sheetViews>
  <sheetFormatPr baseColWidth="8" defaultRowHeight="15"/>
  <cols>
    <col width="7" customWidth="1" min="1" max="1"/>
    <col width="9" customWidth="1" min="2" max="2"/>
    <col width="28" customWidth="1" min="3" max="3"/>
    <col width="44" customWidth="1" min="4" max="4"/>
    <col width="28" customWidth="1" min="5" max="5"/>
    <col width="17" customWidth="1" min="6" max="6"/>
    <col width="26" customWidth="1" min="7" max="7"/>
    <col width="10" customWidth="1" min="8" max="8"/>
    <col width="10" customWidth="1" min="9" max="9"/>
    <col width="10" customWidth="1" min="10" max="10"/>
    <col width="15" customWidth="1" min="11" max="11"/>
    <col width="18" customWidth="1" min="12" max="12"/>
  </cols>
  <sheetData>
    <row r="2" ht="30" customHeight="1">
      <c r="B2" s="55" t="inlineStr">
        <is>
          <t>Channels</t>
        </is>
      </c>
    </row>
    <row r="3">
      <c r="B3" s="2" t="inlineStr">
        <is>
          <t>Add a channel: type its @handle or URL in a new row below the table, then run the updater. Set 'Watched Through' to treat everything up to that date as already watched.</t>
        </is>
      </c>
    </row>
    <row r="4">
      <c r="B4" s="35">
        <f>HYPERLINK("#Dashboard!A1","◄ Dashboard")</f>
        <v/>
      </c>
    </row>
    <row r="5" ht="32" customHeight="1">
      <c r="A5" s="12" t="inlineStr">
        <is>
          <t>Color</t>
        </is>
      </c>
      <c r="B5" s="12" t="inlineStr">
        <is>
          <t>Enabled</t>
        </is>
      </c>
      <c r="C5" s="12" t="inlineStr">
        <is>
          <t>Display Name</t>
        </is>
      </c>
      <c r="D5" s="12" t="inlineStr">
        <is>
          <t>Handle or URL</t>
        </is>
      </c>
      <c r="E5" s="12" t="inlineStr">
        <is>
          <t>Channel ID</t>
        </is>
      </c>
      <c r="F5" s="12" t="inlineStr">
        <is>
          <t>Watched Through</t>
        </is>
      </c>
      <c r="G5" s="12" t="inlineStr">
        <is>
          <t>YouTube Title</t>
        </is>
      </c>
      <c r="H5" s="12" t="inlineStr">
        <is>
          <t>Videos</t>
        </is>
      </c>
      <c r="I5" s="12" t="inlineStr">
        <is>
          <t>Watched</t>
        </is>
      </c>
      <c r="J5" s="12" t="inlineStr">
        <is>
          <t>Backlog</t>
        </is>
      </c>
      <c r="K5" s="12" t="inlineStr">
        <is>
          <t>Latest Upload</t>
        </is>
      </c>
      <c r="L5" s="12" t="inlineStr">
        <is>
          <t>Last Refresh</t>
        </is>
      </c>
    </row>
    <row r="6">
      <c r="A6" s="101" t="inlineStr"/>
      <c r="B6" s="102" t="inlineStr">
        <is>
          <t>Yes</t>
        </is>
      </c>
      <c r="C6" s="80" t="inlineStr">
        <is>
          <t>Super Carlin Brothers</t>
        </is>
      </c>
      <c r="D6" s="32" t="inlineStr">
        <is>
          <t>https://www.youtube.com/@SuperCarlinBrothers</t>
        </is>
      </c>
      <c r="E6" s="103" t="inlineStr">
        <is>
          <t>UCKZo4N0lVPccBkSiuyVh4yg</t>
        </is>
      </c>
      <c r="F6" s="104" t="n"/>
      <c r="G6" s="103" t="inlineStr">
        <is>
          <t>SuperCarlinBrothers</t>
        </is>
      </c>
      <c r="H6" s="16">
        <f>COUNTIFS(tblVideos[Channel ID],E6)</f>
        <v/>
      </c>
      <c r="I6" s="16">
        <f>COUNTIFS(tblVideos[Channel ID],E6,tblVideos[Status],"Watched")</f>
        <v/>
      </c>
      <c r="J6" s="16">
        <f>COUNTIFS(tblVideos[Channel ID],E6,tblVideos[Status],"Unwatched")+COUNTIFS(tblVideos[Channel ID],E6,tblVideos[Status],"Watch Later")</f>
        <v/>
      </c>
      <c r="K6" s="88">
        <f>IF(H6=0,"",_xlfn.MAXIFS(tblVideos[Day],tblVideos[Channel ID],E6))</f>
        <v/>
      </c>
      <c r="L6" s="105" t="n">
        <v>46300.8322800926</v>
      </c>
    </row>
    <row r="7">
      <c r="A7" s="106" t="inlineStr"/>
      <c r="B7" s="102" t="inlineStr">
        <is>
          <t>Yes</t>
        </is>
      </c>
      <c r="C7" s="80" t="inlineStr">
        <is>
          <t>Super Carlin Gaming</t>
        </is>
      </c>
      <c r="D7" s="32" t="inlineStr">
        <is>
          <t>https://www.youtube.com/SuperCarlinGaming</t>
        </is>
      </c>
      <c r="E7" s="103" t="inlineStr">
        <is>
          <t>UCor_9jRnNNZVzTuQ92PKsaQ</t>
        </is>
      </c>
      <c r="F7" s="104" t="n"/>
      <c r="G7" s="103" t="inlineStr">
        <is>
          <t>Super Carlin Gaming</t>
        </is>
      </c>
      <c r="H7" s="16">
        <f>COUNTIFS(tblVideos[Channel ID],E7)</f>
        <v/>
      </c>
      <c r="I7" s="16">
        <f>COUNTIFS(tblVideos[Channel ID],E7,tblVideos[Status],"Watched")</f>
        <v/>
      </c>
      <c r="J7" s="16">
        <f>COUNTIFS(tblVideos[Channel ID],E7,tblVideos[Status],"Unwatched")+COUNTIFS(tblVideos[Channel ID],E7,tblVideos[Status],"Watch Later")</f>
        <v/>
      </c>
      <c r="K7" s="88">
        <f>IF(H7=0,"",_xlfn.MAXIFS(tblVideos[Day],tblVideos[Channel ID],E7))</f>
        <v/>
      </c>
      <c r="L7" s="105" t="n">
        <v>46300.8322800926</v>
      </c>
    </row>
    <row r="8">
      <c r="A8" s="107" t="inlineStr"/>
      <c r="B8" s="102" t="inlineStr">
        <is>
          <t>Yes</t>
        </is>
      </c>
      <c r="C8" s="80" t="inlineStr">
        <is>
          <t>Jonathan Carlin</t>
        </is>
      </c>
      <c r="D8" s="32" t="inlineStr">
        <is>
          <t>https://www.youtube.com/@JonathanCarlin</t>
        </is>
      </c>
      <c r="E8" s="103" t="inlineStr">
        <is>
          <t>UCYPKFe86e6nm4TVUYKLsFUQ</t>
        </is>
      </c>
      <c r="F8" s="104" t="n"/>
      <c r="G8" s="103" t="inlineStr">
        <is>
          <t>Jonathan Carlin</t>
        </is>
      </c>
      <c r="H8" s="16">
        <f>COUNTIFS(tblVideos[Channel ID],E8)</f>
        <v/>
      </c>
      <c r="I8" s="16">
        <f>COUNTIFS(tblVideos[Channel ID],E8,tblVideos[Status],"Watched")</f>
        <v/>
      </c>
      <c r="J8" s="16">
        <f>COUNTIFS(tblVideos[Channel ID],E8,tblVideos[Status],"Unwatched")+COUNTIFS(tblVideos[Channel ID],E8,tblVideos[Status],"Watch Later")</f>
        <v/>
      </c>
      <c r="K8" s="88">
        <f>IF(H8=0,"",_xlfn.MAXIFS(tblVideos[Day],tblVideos[Channel ID],E8))</f>
        <v/>
      </c>
      <c r="L8" s="105" t="n">
        <v>46300.8322800926</v>
      </c>
    </row>
    <row r="9">
      <c r="A9" s="108" t="inlineStr"/>
      <c r="B9" s="102" t="inlineStr">
        <is>
          <t>Yes</t>
        </is>
      </c>
      <c r="C9" s="80" t="inlineStr">
        <is>
          <t>Through The Griffin Door</t>
        </is>
      </c>
      <c r="D9" s="32" t="inlineStr">
        <is>
          <t>https://www.youtube.com/@ThroughTheGriffinDoor</t>
        </is>
      </c>
      <c r="E9" s="103" t="inlineStr">
        <is>
          <t>UCEscP6ETYXWSSvsNrDHekMQ</t>
        </is>
      </c>
      <c r="F9" s="104" t="n"/>
      <c r="G9" s="103" t="inlineStr">
        <is>
          <t>Through The Griffin Door</t>
        </is>
      </c>
      <c r="H9" s="16">
        <f>COUNTIFS(tblVideos[Channel ID],E9)</f>
        <v/>
      </c>
      <c r="I9" s="16">
        <f>COUNTIFS(tblVideos[Channel ID],E9,tblVideos[Status],"Watched")</f>
        <v/>
      </c>
      <c r="J9" s="16">
        <f>COUNTIFS(tblVideos[Channel ID],E9,tblVideos[Status],"Unwatched")+COUNTIFS(tblVideos[Channel ID],E9,tblVideos[Status],"Watch Later")</f>
        <v/>
      </c>
      <c r="K9" s="88">
        <f>IF(H9=0,"",_xlfn.MAXIFS(tblVideos[Day],tblVideos[Channel ID],E9))</f>
        <v/>
      </c>
      <c r="L9" s="105" t="n">
        <v>46300.8322800926</v>
      </c>
    </row>
    <row r="10">
      <c r="A10" s="109" t="inlineStr"/>
      <c r="B10" s="102" t="inlineStr">
        <is>
          <t>Yes</t>
        </is>
      </c>
      <c r="C10" s="80" t="inlineStr">
        <is>
          <t>Popcorn Culture</t>
        </is>
      </c>
      <c r="D10" s="32" t="inlineStr">
        <is>
          <t>https://www.youtube.com/@APOPcast</t>
        </is>
      </c>
      <c r="E10" s="103" t="inlineStr">
        <is>
          <t>UCHfIbq9thHPC8yrKjAdJgDA</t>
        </is>
      </c>
      <c r="F10" s="104" t="n"/>
      <c r="G10" s="103" t="inlineStr">
        <is>
          <t>Popcorn Culture</t>
        </is>
      </c>
      <c r="H10" s="16">
        <f>COUNTIFS(tblVideos[Channel ID],E10)</f>
        <v/>
      </c>
      <c r="I10" s="16">
        <f>COUNTIFS(tblVideos[Channel ID],E10,tblVideos[Status],"Watched")</f>
        <v/>
      </c>
      <c r="J10" s="16">
        <f>COUNTIFS(tblVideos[Channel ID],E10,tblVideos[Status],"Unwatched")+COUNTIFS(tblVideos[Channel ID],E10,tblVideos[Status],"Watch Later")</f>
        <v/>
      </c>
      <c r="K10" s="88">
        <f>IF(H10=0,"",_xlfn.MAXIFS(tblVideos[Day],tblVideos[Channel ID],E10))</f>
        <v/>
      </c>
      <c r="L10" s="105" t="n">
        <v>46300.8322800926</v>
      </c>
    </row>
    <row r="11">
      <c r="A11" s="110" t="inlineStr"/>
      <c r="B11" s="102" t="inlineStr">
        <is>
          <t>Yes</t>
        </is>
      </c>
      <c r="C11" s="80" t="inlineStr">
        <is>
          <t>With the Carlins</t>
        </is>
      </c>
      <c r="D11" s="32" t="inlineStr">
        <is>
          <t>https://www.youtube.com/@withthecarlins9970</t>
        </is>
      </c>
      <c r="E11" s="103" t="inlineStr">
        <is>
          <t>UCVBTjN9WJU5Ac8yU7b2K-5g</t>
        </is>
      </c>
      <c r="F11" s="104" t="n"/>
      <c r="G11" s="103" t="inlineStr">
        <is>
          <t>With the Carlins</t>
        </is>
      </c>
      <c r="H11" s="16">
        <f>COUNTIFS(tblVideos[Channel ID],E11)</f>
        <v/>
      </c>
      <c r="I11" s="16">
        <f>COUNTIFS(tblVideos[Channel ID],E11,tblVideos[Status],"Watched")</f>
        <v/>
      </c>
      <c r="J11" s="16">
        <f>COUNTIFS(tblVideos[Channel ID],E11,tblVideos[Status],"Unwatched")+COUNTIFS(tblVideos[Channel ID],E11,tblVideos[Status],"Watch Later")</f>
        <v/>
      </c>
      <c r="K11" s="88">
        <f>IF(H11=0,"",_xlfn.MAXIFS(tblVideos[Day],tblVideos[Channel ID],E11))</f>
        <v/>
      </c>
      <c r="L11" s="105" t="n">
        <v>46300.8322800926</v>
      </c>
    </row>
    <row r="14">
      <c r="A14" s="111" t="inlineStr">
        <is>
          <t>How these columns work</t>
        </is>
      </c>
    </row>
    <row r="15">
      <c r="A15" s="112" t="inlineStr">
        <is>
          <t>• Enabled - 'No' stops the updater fetching that channel (its existing videos stay in the library).</t>
        </is>
      </c>
    </row>
    <row r="16">
      <c r="A16" s="112" t="inlineStr">
        <is>
          <t>• Display Name - what you see everywhere in the workbook. Rename freely; run the updater to refresh labels in the Library.</t>
        </is>
      </c>
    </row>
    <row r="17">
      <c r="A17" s="112" t="inlineStr">
        <is>
          <t>• Handle or URL / Channel ID - give either. If Channel ID is blank, the updater looks it up for you.</t>
        </is>
      </c>
    </row>
    <row r="18">
      <c r="A18" s="112" t="inlineStr">
        <is>
          <t>• Watched Through - handy for catching up: every video on or before this date counts as Watched (unless you override it in Library &gt; Mark).</t>
        </is>
      </c>
    </row>
    <row r="19">
      <c r="A19" s="112" t="inlineStr">
        <is>
          <t>• YouTube Title - the channel's real name on YouTube, filled by the updater so you can confirm the right channel was matched.</t>
        </is>
      </c>
    </row>
    <row r="20">
      <c r="A20" s="112" t="inlineStr">
        <is>
          <t>• Colors follow row order. Please don't sort this table by hand.</t>
        </is>
      </c>
    </row>
  </sheetData>
  <dataValidations count="2">
    <dataValidation sqref="B6:B45" showDropDown="0" showInputMessage="0" showErrorMessage="0" allowBlank="1" type="list">
      <formula1>"Yes,No"</formula1>
    </dataValidation>
    <dataValidation sqref="F6:F45" showDropDown="0" showInputMessage="0" showErrorMessage="0" allowBlank="1" errorTitle="Date needed" error="Enter a date such as 2019-12-31." type="date" operator="greaterThan">
      <formula1>36526</formula1>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B7791F"/>
    <outlinePr summaryBelow="1" summaryRight="1"/>
    <pageSetUpPr/>
  </sheetPr>
  <dimension ref="A1:AB3267"/>
  <sheetViews>
    <sheetView workbookViewId="0">
      <pane ySplit="5" topLeftCell="A6" activePane="bottomLeft" state="frozen"/>
      <selection pane="bottomLeft" activeCell="A1" sqref="A1"/>
    </sheetView>
  </sheetViews>
  <sheetFormatPr baseColWidth="8" defaultRowHeight="15"/>
  <cols>
    <col width="16" customWidth="1" min="25" max="25"/>
    <col width="16" customWidth="1" min="26" max="26"/>
    <col width="16" customWidth="1" min="27" max="27"/>
    <col width="40" customWidth="1" min="28" max="28"/>
  </cols>
  <sheetData>
    <row r="1">
      <c r="A1" s="61" t="inlineStr">
        <is>
          <t>STEP 1 - Paste your OLD Library here.  In your old workbook open the Library sheet, click the small square at the very top-left (select all), press Ctrl+C. Come back here, click cell A1, then Paste Special &gt; Values.</t>
        </is>
      </c>
      <c r="Y1" s="113">
        <f>"CARRY OVER  -  "&amp;COUNT(Y6:Y3267)&amp;" of 3262 videos matched with your old file"</f>
        <v/>
      </c>
    </row>
    <row r="2">
      <c r="A2" s="2" t="inlineStr">
        <is>
          <t>(This note disappears when you paste - that's expected. Both files must come from this site / this tool so the columns line up.)</t>
        </is>
      </c>
      <c r="Y2" s="111" t="inlineStr">
        <is>
          <t>STEP 2 - Copy columns Z:AA (from row 6 down). In the Library sheet click cell C6, then Paste Special &gt; Values.  (Clear any Library filters first.)</t>
        </is>
      </c>
    </row>
    <row r="3">
      <c r="Y3" s="111" t="inlineStr">
        <is>
          <t>STEP 3 - Copy column AB (Notes). In the Library sheet click cell L6, then Paste Special &gt; Values.</t>
        </is>
      </c>
    </row>
    <row r="4">
      <c r="Y4" s="111" t="inlineStr">
        <is>
          <t>STEP 4 - On the Channels sheet, re-enter your 'Watched Through' dates. Done - you can delete this sheet.</t>
        </is>
      </c>
    </row>
    <row r="5" ht="30" customHeight="1">
      <c r="Y5" s="37" t="inlineStr">
        <is>
          <t>Matched row in old file</t>
        </is>
      </c>
      <c r="Z5" s="37" t="inlineStr">
        <is>
          <t>Mark  (-&gt; Library C)</t>
        </is>
      </c>
      <c r="AA5" s="37" t="inlineStr">
        <is>
          <t>Watched On  (-&gt; Library D)</t>
        </is>
      </c>
      <c r="AB5" s="37" t="inlineStr">
        <is>
          <t>Notes  (-&gt; Library L)</t>
        </is>
      </c>
    </row>
    <row r="6">
      <c r="Y6" s="47">
        <f>IFERROR(MATCH(Library!M6,$M$6:$M$40000,0),"")</f>
        <v/>
      </c>
      <c r="Z6">
        <f>IF($Y6="","",INDEX($C$6:$C$40000,$Y6)&amp;"")</f>
        <v/>
      </c>
      <c r="AA6" s="59">
        <f>IF($Y6="","",IF(INDEX($D$6:$D$40000,$Y6)="","",INDEX($D$6:$D$40000,$Y6)))</f>
        <v/>
      </c>
      <c r="AB6">
        <f>IF($Y6="","",INDEX($L$6:$L$40000,$Y6)&amp;"")</f>
        <v/>
      </c>
    </row>
    <row r="7">
      <c r="Y7" s="47">
        <f>IFERROR(MATCH(Library!M7,$M$6:$M$40000,0),"")</f>
        <v/>
      </c>
      <c r="Z7">
        <f>IF($Y7="","",INDEX($C$6:$C$40000,$Y7)&amp;"")</f>
        <v/>
      </c>
      <c r="AA7" s="59">
        <f>IF($Y7="","",IF(INDEX($D$6:$D$40000,$Y7)="","",INDEX($D$6:$D$40000,$Y7)))</f>
        <v/>
      </c>
      <c r="AB7">
        <f>IF($Y7="","",INDEX($L$6:$L$40000,$Y7)&amp;"")</f>
        <v/>
      </c>
    </row>
    <row r="8">
      <c r="Y8" s="47">
        <f>IFERROR(MATCH(Library!M8,$M$6:$M$40000,0),"")</f>
        <v/>
      </c>
      <c r="Z8">
        <f>IF($Y8="","",INDEX($C$6:$C$40000,$Y8)&amp;"")</f>
        <v/>
      </c>
      <c r="AA8" s="59">
        <f>IF($Y8="","",IF(INDEX($D$6:$D$40000,$Y8)="","",INDEX($D$6:$D$40000,$Y8)))</f>
        <v/>
      </c>
      <c r="AB8">
        <f>IF($Y8="","",INDEX($L$6:$L$40000,$Y8)&amp;"")</f>
        <v/>
      </c>
    </row>
    <row r="9">
      <c r="Y9" s="47">
        <f>IFERROR(MATCH(Library!M9,$M$6:$M$40000,0),"")</f>
        <v/>
      </c>
      <c r="Z9">
        <f>IF($Y9="","",INDEX($C$6:$C$40000,$Y9)&amp;"")</f>
        <v/>
      </c>
      <c r="AA9" s="59">
        <f>IF($Y9="","",IF(INDEX($D$6:$D$40000,$Y9)="","",INDEX($D$6:$D$40000,$Y9)))</f>
        <v/>
      </c>
      <c r="AB9">
        <f>IF($Y9="","",INDEX($L$6:$L$40000,$Y9)&amp;"")</f>
        <v/>
      </c>
    </row>
    <row r="10">
      <c r="Y10" s="47">
        <f>IFERROR(MATCH(Library!M10,$M$6:$M$40000,0),"")</f>
        <v/>
      </c>
      <c r="Z10">
        <f>IF($Y10="","",INDEX($C$6:$C$40000,$Y10)&amp;"")</f>
        <v/>
      </c>
      <c r="AA10" s="59">
        <f>IF($Y10="","",IF(INDEX($D$6:$D$40000,$Y10)="","",INDEX($D$6:$D$40000,$Y10)))</f>
        <v/>
      </c>
      <c r="AB10">
        <f>IF($Y10="","",INDEX($L$6:$L$40000,$Y10)&amp;"")</f>
        <v/>
      </c>
    </row>
    <row r="11">
      <c r="Y11" s="47">
        <f>IFERROR(MATCH(Library!M11,$M$6:$M$40000,0),"")</f>
        <v/>
      </c>
      <c r="Z11">
        <f>IF($Y11="","",INDEX($C$6:$C$40000,$Y11)&amp;"")</f>
        <v/>
      </c>
      <c r="AA11" s="59">
        <f>IF($Y11="","",IF(INDEX($D$6:$D$40000,$Y11)="","",INDEX($D$6:$D$40000,$Y11)))</f>
        <v/>
      </c>
      <c r="AB11">
        <f>IF($Y11="","",INDEX($L$6:$L$40000,$Y11)&amp;"")</f>
        <v/>
      </c>
    </row>
    <row r="12">
      <c r="Y12" s="47">
        <f>IFERROR(MATCH(Library!M12,$M$6:$M$40000,0),"")</f>
        <v/>
      </c>
      <c r="Z12">
        <f>IF($Y12="","",INDEX($C$6:$C$40000,$Y12)&amp;"")</f>
        <v/>
      </c>
      <c r="AA12" s="59">
        <f>IF($Y12="","",IF(INDEX($D$6:$D$40000,$Y12)="","",INDEX($D$6:$D$40000,$Y12)))</f>
        <v/>
      </c>
      <c r="AB12">
        <f>IF($Y12="","",INDEX($L$6:$L$40000,$Y12)&amp;"")</f>
        <v/>
      </c>
    </row>
    <row r="13">
      <c r="Y13" s="47">
        <f>IFERROR(MATCH(Library!M13,$M$6:$M$40000,0),"")</f>
        <v/>
      </c>
      <c r="Z13">
        <f>IF($Y13="","",INDEX($C$6:$C$40000,$Y13)&amp;"")</f>
        <v/>
      </c>
      <c r="AA13" s="59">
        <f>IF($Y13="","",IF(INDEX($D$6:$D$40000,$Y13)="","",INDEX($D$6:$D$40000,$Y13)))</f>
        <v/>
      </c>
      <c r="AB13">
        <f>IF($Y13="","",INDEX($L$6:$L$40000,$Y13)&amp;"")</f>
        <v/>
      </c>
    </row>
    <row r="14">
      <c r="Y14" s="47">
        <f>IFERROR(MATCH(Library!M14,$M$6:$M$40000,0),"")</f>
        <v/>
      </c>
      <c r="Z14">
        <f>IF($Y14="","",INDEX($C$6:$C$40000,$Y14)&amp;"")</f>
        <v/>
      </c>
      <c r="AA14" s="59">
        <f>IF($Y14="","",IF(INDEX($D$6:$D$40000,$Y14)="","",INDEX($D$6:$D$40000,$Y14)))</f>
        <v/>
      </c>
      <c r="AB14">
        <f>IF($Y14="","",INDEX($L$6:$L$40000,$Y14)&amp;"")</f>
        <v/>
      </c>
    </row>
    <row r="15">
      <c r="Y15" s="47">
        <f>IFERROR(MATCH(Library!M15,$M$6:$M$40000,0),"")</f>
        <v/>
      </c>
      <c r="Z15">
        <f>IF($Y15="","",INDEX($C$6:$C$40000,$Y15)&amp;"")</f>
        <v/>
      </c>
      <c r="AA15" s="59">
        <f>IF($Y15="","",IF(INDEX($D$6:$D$40000,$Y15)="","",INDEX($D$6:$D$40000,$Y15)))</f>
        <v/>
      </c>
      <c r="AB15">
        <f>IF($Y15="","",INDEX($L$6:$L$40000,$Y15)&amp;"")</f>
        <v/>
      </c>
    </row>
    <row r="16">
      <c r="Y16" s="47">
        <f>IFERROR(MATCH(Library!M16,$M$6:$M$40000,0),"")</f>
        <v/>
      </c>
      <c r="Z16">
        <f>IF($Y16="","",INDEX($C$6:$C$40000,$Y16)&amp;"")</f>
        <v/>
      </c>
      <c r="AA16" s="59">
        <f>IF($Y16="","",IF(INDEX($D$6:$D$40000,$Y16)="","",INDEX($D$6:$D$40000,$Y16)))</f>
        <v/>
      </c>
      <c r="AB16">
        <f>IF($Y16="","",INDEX($L$6:$L$40000,$Y16)&amp;"")</f>
        <v/>
      </c>
    </row>
    <row r="17">
      <c r="Y17" s="47">
        <f>IFERROR(MATCH(Library!M17,$M$6:$M$40000,0),"")</f>
        <v/>
      </c>
      <c r="Z17">
        <f>IF($Y17="","",INDEX($C$6:$C$40000,$Y17)&amp;"")</f>
        <v/>
      </c>
      <c r="AA17" s="59">
        <f>IF($Y17="","",IF(INDEX($D$6:$D$40000,$Y17)="","",INDEX($D$6:$D$40000,$Y17)))</f>
        <v/>
      </c>
      <c r="AB17">
        <f>IF($Y17="","",INDEX($L$6:$L$40000,$Y17)&amp;"")</f>
        <v/>
      </c>
    </row>
    <row r="18">
      <c r="Y18" s="47">
        <f>IFERROR(MATCH(Library!M18,$M$6:$M$40000,0),"")</f>
        <v/>
      </c>
      <c r="Z18">
        <f>IF($Y18="","",INDEX($C$6:$C$40000,$Y18)&amp;"")</f>
        <v/>
      </c>
      <c r="AA18" s="59">
        <f>IF($Y18="","",IF(INDEX($D$6:$D$40000,$Y18)="","",INDEX($D$6:$D$40000,$Y18)))</f>
        <v/>
      </c>
      <c r="AB18">
        <f>IF($Y18="","",INDEX($L$6:$L$40000,$Y18)&amp;"")</f>
        <v/>
      </c>
    </row>
    <row r="19">
      <c r="Y19" s="47">
        <f>IFERROR(MATCH(Library!M19,$M$6:$M$40000,0),"")</f>
        <v/>
      </c>
      <c r="Z19">
        <f>IF($Y19="","",INDEX($C$6:$C$40000,$Y19)&amp;"")</f>
        <v/>
      </c>
      <c r="AA19" s="59">
        <f>IF($Y19="","",IF(INDEX($D$6:$D$40000,$Y19)="","",INDEX($D$6:$D$40000,$Y19)))</f>
        <v/>
      </c>
      <c r="AB19">
        <f>IF($Y19="","",INDEX($L$6:$L$40000,$Y19)&amp;"")</f>
        <v/>
      </c>
    </row>
    <row r="20">
      <c r="Y20" s="47">
        <f>IFERROR(MATCH(Library!M20,$M$6:$M$40000,0),"")</f>
        <v/>
      </c>
      <c r="Z20">
        <f>IF($Y20="","",INDEX($C$6:$C$40000,$Y20)&amp;"")</f>
        <v/>
      </c>
      <c r="AA20" s="59">
        <f>IF($Y20="","",IF(INDEX($D$6:$D$40000,$Y20)="","",INDEX($D$6:$D$40000,$Y20)))</f>
        <v/>
      </c>
      <c r="AB20">
        <f>IF($Y20="","",INDEX($L$6:$L$40000,$Y20)&amp;"")</f>
        <v/>
      </c>
    </row>
    <row r="21">
      <c r="Y21" s="47">
        <f>IFERROR(MATCH(Library!M21,$M$6:$M$40000,0),"")</f>
        <v/>
      </c>
      <c r="Z21">
        <f>IF($Y21="","",INDEX($C$6:$C$40000,$Y21)&amp;"")</f>
        <v/>
      </c>
      <c r="AA21" s="59">
        <f>IF($Y21="","",IF(INDEX($D$6:$D$40000,$Y21)="","",INDEX($D$6:$D$40000,$Y21)))</f>
        <v/>
      </c>
      <c r="AB21">
        <f>IF($Y21="","",INDEX($L$6:$L$40000,$Y21)&amp;"")</f>
        <v/>
      </c>
    </row>
    <row r="22">
      <c r="Y22" s="47">
        <f>IFERROR(MATCH(Library!M22,$M$6:$M$40000,0),"")</f>
        <v/>
      </c>
      <c r="Z22">
        <f>IF($Y22="","",INDEX($C$6:$C$40000,$Y22)&amp;"")</f>
        <v/>
      </c>
      <c r="AA22" s="59">
        <f>IF($Y22="","",IF(INDEX($D$6:$D$40000,$Y22)="","",INDEX($D$6:$D$40000,$Y22)))</f>
        <v/>
      </c>
      <c r="AB22">
        <f>IF($Y22="","",INDEX($L$6:$L$40000,$Y22)&amp;"")</f>
        <v/>
      </c>
    </row>
    <row r="23">
      <c r="Y23" s="47">
        <f>IFERROR(MATCH(Library!M23,$M$6:$M$40000,0),"")</f>
        <v/>
      </c>
      <c r="Z23">
        <f>IF($Y23="","",INDEX($C$6:$C$40000,$Y23)&amp;"")</f>
        <v/>
      </c>
      <c r="AA23" s="59">
        <f>IF($Y23="","",IF(INDEX($D$6:$D$40000,$Y23)="","",INDEX($D$6:$D$40000,$Y23)))</f>
        <v/>
      </c>
      <c r="AB23">
        <f>IF($Y23="","",INDEX($L$6:$L$40000,$Y23)&amp;"")</f>
        <v/>
      </c>
    </row>
    <row r="24">
      <c r="Y24" s="47">
        <f>IFERROR(MATCH(Library!M24,$M$6:$M$40000,0),"")</f>
        <v/>
      </c>
      <c r="Z24">
        <f>IF($Y24="","",INDEX($C$6:$C$40000,$Y24)&amp;"")</f>
        <v/>
      </c>
      <c r="AA24" s="59">
        <f>IF($Y24="","",IF(INDEX($D$6:$D$40000,$Y24)="","",INDEX($D$6:$D$40000,$Y24)))</f>
        <v/>
      </c>
      <c r="AB24">
        <f>IF($Y24="","",INDEX($L$6:$L$40000,$Y24)&amp;"")</f>
        <v/>
      </c>
    </row>
    <row r="25">
      <c r="Y25" s="47">
        <f>IFERROR(MATCH(Library!M25,$M$6:$M$40000,0),"")</f>
        <v/>
      </c>
      <c r="Z25">
        <f>IF($Y25="","",INDEX($C$6:$C$40000,$Y25)&amp;"")</f>
        <v/>
      </c>
      <c r="AA25" s="59">
        <f>IF($Y25="","",IF(INDEX($D$6:$D$40000,$Y25)="","",INDEX($D$6:$D$40000,$Y25)))</f>
        <v/>
      </c>
      <c r="AB25">
        <f>IF($Y25="","",INDEX($L$6:$L$40000,$Y25)&amp;"")</f>
        <v/>
      </c>
    </row>
    <row r="26">
      <c r="Y26" s="47">
        <f>IFERROR(MATCH(Library!M26,$M$6:$M$40000,0),"")</f>
        <v/>
      </c>
      <c r="Z26">
        <f>IF($Y26="","",INDEX($C$6:$C$40000,$Y26)&amp;"")</f>
        <v/>
      </c>
      <c r="AA26" s="59">
        <f>IF($Y26="","",IF(INDEX($D$6:$D$40000,$Y26)="","",INDEX($D$6:$D$40000,$Y26)))</f>
        <v/>
      </c>
      <c r="AB26">
        <f>IF($Y26="","",INDEX($L$6:$L$40000,$Y26)&amp;"")</f>
        <v/>
      </c>
    </row>
    <row r="27">
      <c r="Y27" s="47">
        <f>IFERROR(MATCH(Library!M27,$M$6:$M$40000,0),"")</f>
        <v/>
      </c>
      <c r="Z27">
        <f>IF($Y27="","",INDEX($C$6:$C$40000,$Y27)&amp;"")</f>
        <v/>
      </c>
      <c r="AA27" s="59">
        <f>IF($Y27="","",IF(INDEX($D$6:$D$40000,$Y27)="","",INDEX($D$6:$D$40000,$Y27)))</f>
        <v/>
      </c>
      <c r="AB27">
        <f>IF($Y27="","",INDEX($L$6:$L$40000,$Y27)&amp;"")</f>
        <v/>
      </c>
    </row>
    <row r="28">
      <c r="Y28" s="47">
        <f>IFERROR(MATCH(Library!M28,$M$6:$M$40000,0),"")</f>
        <v/>
      </c>
      <c r="Z28">
        <f>IF($Y28="","",INDEX($C$6:$C$40000,$Y28)&amp;"")</f>
        <v/>
      </c>
      <c r="AA28" s="59">
        <f>IF($Y28="","",IF(INDEX($D$6:$D$40000,$Y28)="","",INDEX($D$6:$D$40000,$Y28)))</f>
        <v/>
      </c>
      <c r="AB28">
        <f>IF($Y28="","",INDEX($L$6:$L$40000,$Y28)&amp;"")</f>
        <v/>
      </c>
    </row>
    <row r="29">
      <c r="Y29" s="47">
        <f>IFERROR(MATCH(Library!M29,$M$6:$M$40000,0),"")</f>
        <v/>
      </c>
      <c r="Z29">
        <f>IF($Y29="","",INDEX($C$6:$C$40000,$Y29)&amp;"")</f>
        <v/>
      </c>
      <c r="AA29" s="59">
        <f>IF($Y29="","",IF(INDEX($D$6:$D$40000,$Y29)="","",INDEX($D$6:$D$40000,$Y29)))</f>
        <v/>
      </c>
      <c r="AB29">
        <f>IF($Y29="","",INDEX($L$6:$L$40000,$Y29)&amp;"")</f>
        <v/>
      </c>
    </row>
    <row r="30">
      <c r="Y30" s="47">
        <f>IFERROR(MATCH(Library!M30,$M$6:$M$40000,0),"")</f>
        <v/>
      </c>
      <c r="Z30">
        <f>IF($Y30="","",INDEX($C$6:$C$40000,$Y30)&amp;"")</f>
        <v/>
      </c>
      <c r="AA30" s="59">
        <f>IF($Y30="","",IF(INDEX($D$6:$D$40000,$Y30)="","",INDEX($D$6:$D$40000,$Y30)))</f>
        <v/>
      </c>
      <c r="AB30">
        <f>IF($Y30="","",INDEX($L$6:$L$40000,$Y30)&amp;"")</f>
        <v/>
      </c>
    </row>
    <row r="31">
      <c r="Y31" s="47">
        <f>IFERROR(MATCH(Library!M31,$M$6:$M$40000,0),"")</f>
        <v/>
      </c>
      <c r="Z31">
        <f>IF($Y31="","",INDEX($C$6:$C$40000,$Y31)&amp;"")</f>
        <v/>
      </c>
      <c r="AA31" s="59">
        <f>IF($Y31="","",IF(INDEX($D$6:$D$40000,$Y31)="","",INDEX($D$6:$D$40000,$Y31)))</f>
        <v/>
      </c>
      <c r="AB31">
        <f>IF($Y31="","",INDEX($L$6:$L$40000,$Y31)&amp;"")</f>
        <v/>
      </c>
    </row>
    <row r="32">
      <c r="Y32" s="47">
        <f>IFERROR(MATCH(Library!M32,$M$6:$M$40000,0),"")</f>
        <v/>
      </c>
      <c r="Z32">
        <f>IF($Y32="","",INDEX($C$6:$C$40000,$Y32)&amp;"")</f>
        <v/>
      </c>
      <c r="AA32" s="59">
        <f>IF($Y32="","",IF(INDEX($D$6:$D$40000,$Y32)="","",INDEX($D$6:$D$40000,$Y32)))</f>
        <v/>
      </c>
      <c r="AB32">
        <f>IF($Y32="","",INDEX($L$6:$L$40000,$Y32)&amp;"")</f>
        <v/>
      </c>
    </row>
    <row r="33">
      <c r="Y33" s="47">
        <f>IFERROR(MATCH(Library!M33,$M$6:$M$40000,0),"")</f>
        <v/>
      </c>
      <c r="Z33">
        <f>IF($Y33="","",INDEX($C$6:$C$40000,$Y33)&amp;"")</f>
        <v/>
      </c>
      <c r="AA33" s="59">
        <f>IF($Y33="","",IF(INDEX($D$6:$D$40000,$Y33)="","",INDEX($D$6:$D$40000,$Y33)))</f>
        <v/>
      </c>
      <c r="AB33">
        <f>IF($Y33="","",INDEX($L$6:$L$40000,$Y33)&amp;"")</f>
        <v/>
      </c>
    </row>
    <row r="34">
      <c r="Y34" s="47">
        <f>IFERROR(MATCH(Library!M34,$M$6:$M$40000,0),"")</f>
        <v/>
      </c>
      <c r="Z34">
        <f>IF($Y34="","",INDEX($C$6:$C$40000,$Y34)&amp;"")</f>
        <v/>
      </c>
      <c r="AA34" s="59">
        <f>IF($Y34="","",IF(INDEX($D$6:$D$40000,$Y34)="","",INDEX($D$6:$D$40000,$Y34)))</f>
        <v/>
      </c>
      <c r="AB34">
        <f>IF($Y34="","",INDEX($L$6:$L$40000,$Y34)&amp;"")</f>
        <v/>
      </c>
    </row>
    <row r="35">
      <c r="Y35" s="47">
        <f>IFERROR(MATCH(Library!M35,$M$6:$M$40000,0),"")</f>
        <v/>
      </c>
      <c r="Z35">
        <f>IF($Y35="","",INDEX($C$6:$C$40000,$Y35)&amp;"")</f>
        <v/>
      </c>
      <c r="AA35" s="59">
        <f>IF($Y35="","",IF(INDEX($D$6:$D$40000,$Y35)="","",INDEX($D$6:$D$40000,$Y35)))</f>
        <v/>
      </c>
      <c r="AB35">
        <f>IF($Y35="","",INDEX($L$6:$L$40000,$Y35)&amp;"")</f>
        <v/>
      </c>
    </row>
    <row r="36">
      <c r="Y36" s="47">
        <f>IFERROR(MATCH(Library!M36,$M$6:$M$40000,0),"")</f>
        <v/>
      </c>
      <c r="Z36">
        <f>IF($Y36="","",INDEX($C$6:$C$40000,$Y36)&amp;"")</f>
        <v/>
      </c>
      <c r="AA36" s="59">
        <f>IF($Y36="","",IF(INDEX($D$6:$D$40000,$Y36)="","",INDEX($D$6:$D$40000,$Y36)))</f>
        <v/>
      </c>
      <c r="AB36">
        <f>IF($Y36="","",INDEX($L$6:$L$40000,$Y36)&amp;"")</f>
        <v/>
      </c>
    </row>
    <row r="37">
      <c r="Y37" s="47">
        <f>IFERROR(MATCH(Library!M37,$M$6:$M$40000,0),"")</f>
        <v/>
      </c>
      <c r="Z37">
        <f>IF($Y37="","",INDEX($C$6:$C$40000,$Y37)&amp;"")</f>
        <v/>
      </c>
      <c r="AA37" s="59">
        <f>IF($Y37="","",IF(INDEX($D$6:$D$40000,$Y37)="","",INDEX($D$6:$D$40000,$Y37)))</f>
        <v/>
      </c>
      <c r="AB37">
        <f>IF($Y37="","",INDEX($L$6:$L$40000,$Y37)&amp;"")</f>
        <v/>
      </c>
    </row>
    <row r="38">
      <c r="Y38" s="47">
        <f>IFERROR(MATCH(Library!M38,$M$6:$M$40000,0),"")</f>
        <v/>
      </c>
      <c r="Z38">
        <f>IF($Y38="","",INDEX($C$6:$C$40000,$Y38)&amp;"")</f>
        <v/>
      </c>
      <c r="AA38" s="59">
        <f>IF($Y38="","",IF(INDEX($D$6:$D$40000,$Y38)="","",INDEX($D$6:$D$40000,$Y38)))</f>
        <v/>
      </c>
      <c r="AB38">
        <f>IF($Y38="","",INDEX($L$6:$L$40000,$Y38)&amp;"")</f>
        <v/>
      </c>
    </row>
    <row r="39">
      <c r="Y39" s="47">
        <f>IFERROR(MATCH(Library!M39,$M$6:$M$40000,0),"")</f>
        <v/>
      </c>
      <c r="Z39">
        <f>IF($Y39="","",INDEX($C$6:$C$40000,$Y39)&amp;"")</f>
        <v/>
      </c>
      <c r="AA39" s="59">
        <f>IF($Y39="","",IF(INDEX($D$6:$D$40000,$Y39)="","",INDEX($D$6:$D$40000,$Y39)))</f>
        <v/>
      </c>
      <c r="AB39">
        <f>IF($Y39="","",INDEX($L$6:$L$40000,$Y39)&amp;"")</f>
        <v/>
      </c>
    </row>
    <row r="40">
      <c r="Y40" s="47">
        <f>IFERROR(MATCH(Library!M40,$M$6:$M$40000,0),"")</f>
        <v/>
      </c>
      <c r="Z40">
        <f>IF($Y40="","",INDEX($C$6:$C$40000,$Y40)&amp;"")</f>
        <v/>
      </c>
      <c r="AA40" s="59">
        <f>IF($Y40="","",IF(INDEX($D$6:$D$40000,$Y40)="","",INDEX($D$6:$D$40000,$Y40)))</f>
        <v/>
      </c>
      <c r="AB40">
        <f>IF($Y40="","",INDEX($L$6:$L$40000,$Y40)&amp;"")</f>
        <v/>
      </c>
    </row>
    <row r="41">
      <c r="Y41" s="47">
        <f>IFERROR(MATCH(Library!M41,$M$6:$M$40000,0),"")</f>
        <v/>
      </c>
      <c r="Z41">
        <f>IF($Y41="","",INDEX($C$6:$C$40000,$Y41)&amp;"")</f>
        <v/>
      </c>
      <c r="AA41" s="59">
        <f>IF($Y41="","",IF(INDEX($D$6:$D$40000,$Y41)="","",INDEX($D$6:$D$40000,$Y41)))</f>
        <v/>
      </c>
      <c r="AB41">
        <f>IF($Y41="","",INDEX($L$6:$L$40000,$Y41)&amp;"")</f>
        <v/>
      </c>
    </row>
    <row r="42">
      <c r="Y42" s="47">
        <f>IFERROR(MATCH(Library!M42,$M$6:$M$40000,0),"")</f>
        <v/>
      </c>
      <c r="Z42">
        <f>IF($Y42="","",INDEX($C$6:$C$40000,$Y42)&amp;"")</f>
        <v/>
      </c>
      <c r="AA42" s="59">
        <f>IF($Y42="","",IF(INDEX($D$6:$D$40000,$Y42)="","",INDEX($D$6:$D$40000,$Y42)))</f>
        <v/>
      </c>
      <c r="AB42">
        <f>IF($Y42="","",INDEX($L$6:$L$40000,$Y42)&amp;"")</f>
        <v/>
      </c>
    </row>
    <row r="43">
      <c r="Y43" s="47">
        <f>IFERROR(MATCH(Library!M43,$M$6:$M$40000,0),"")</f>
        <v/>
      </c>
      <c r="Z43">
        <f>IF($Y43="","",INDEX($C$6:$C$40000,$Y43)&amp;"")</f>
        <v/>
      </c>
      <c r="AA43" s="59">
        <f>IF($Y43="","",IF(INDEX($D$6:$D$40000,$Y43)="","",INDEX($D$6:$D$40000,$Y43)))</f>
        <v/>
      </c>
      <c r="AB43">
        <f>IF($Y43="","",INDEX($L$6:$L$40000,$Y43)&amp;"")</f>
        <v/>
      </c>
    </row>
    <row r="44">
      <c r="Y44" s="47">
        <f>IFERROR(MATCH(Library!M44,$M$6:$M$40000,0),"")</f>
        <v/>
      </c>
      <c r="Z44">
        <f>IF($Y44="","",INDEX($C$6:$C$40000,$Y44)&amp;"")</f>
        <v/>
      </c>
      <c r="AA44" s="59">
        <f>IF($Y44="","",IF(INDEX($D$6:$D$40000,$Y44)="","",INDEX($D$6:$D$40000,$Y44)))</f>
        <v/>
      </c>
      <c r="AB44">
        <f>IF($Y44="","",INDEX($L$6:$L$40000,$Y44)&amp;"")</f>
        <v/>
      </c>
    </row>
    <row r="45">
      <c r="Y45" s="47">
        <f>IFERROR(MATCH(Library!M45,$M$6:$M$40000,0),"")</f>
        <v/>
      </c>
      <c r="Z45">
        <f>IF($Y45="","",INDEX($C$6:$C$40000,$Y45)&amp;"")</f>
        <v/>
      </c>
      <c r="AA45" s="59">
        <f>IF($Y45="","",IF(INDEX($D$6:$D$40000,$Y45)="","",INDEX($D$6:$D$40000,$Y45)))</f>
        <v/>
      </c>
      <c r="AB45">
        <f>IF($Y45="","",INDEX($L$6:$L$40000,$Y45)&amp;"")</f>
        <v/>
      </c>
    </row>
    <row r="46">
      <c r="Y46" s="47">
        <f>IFERROR(MATCH(Library!M46,$M$6:$M$40000,0),"")</f>
        <v/>
      </c>
      <c r="Z46">
        <f>IF($Y46="","",INDEX($C$6:$C$40000,$Y46)&amp;"")</f>
        <v/>
      </c>
      <c r="AA46" s="59">
        <f>IF($Y46="","",IF(INDEX($D$6:$D$40000,$Y46)="","",INDEX($D$6:$D$40000,$Y46)))</f>
        <v/>
      </c>
      <c r="AB46">
        <f>IF($Y46="","",INDEX($L$6:$L$40000,$Y46)&amp;"")</f>
        <v/>
      </c>
    </row>
    <row r="47">
      <c r="Y47" s="47">
        <f>IFERROR(MATCH(Library!M47,$M$6:$M$40000,0),"")</f>
        <v/>
      </c>
      <c r="Z47">
        <f>IF($Y47="","",INDEX($C$6:$C$40000,$Y47)&amp;"")</f>
        <v/>
      </c>
      <c r="AA47" s="59">
        <f>IF($Y47="","",IF(INDEX($D$6:$D$40000,$Y47)="","",INDEX($D$6:$D$40000,$Y47)))</f>
        <v/>
      </c>
      <c r="AB47">
        <f>IF($Y47="","",INDEX($L$6:$L$40000,$Y47)&amp;"")</f>
        <v/>
      </c>
    </row>
    <row r="48">
      <c r="Y48" s="47">
        <f>IFERROR(MATCH(Library!M48,$M$6:$M$40000,0),"")</f>
        <v/>
      </c>
      <c r="Z48">
        <f>IF($Y48="","",INDEX($C$6:$C$40000,$Y48)&amp;"")</f>
        <v/>
      </c>
      <c r="AA48" s="59">
        <f>IF($Y48="","",IF(INDEX($D$6:$D$40000,$Y48)="","",INDEX($D$6:$D$40000,$Y48)))</f>
        <v/>
      </c>
      <c r="AB48">
        <f>IF($Y48="","",INDEX($L$6:$L$40000,$Y48)&amp;"")</f>
        <v/>
      </c>
    </row>
    <row r="49">
      <c r="Y49" s="47">
        <f>IFERROR(MATCH(Library!M49,$M$6:$M$40000,0),"")</f>
        <v/>
      </c>
      <c r="Z49">
        <f>IF($Y49="","",INDEX($C$6:$C$40000,$Y49)&amp;"")</f>
        <v/>
      </c>
      <c r="AA49" s="59">
        <f>IF($Y49="","",IF(INDEX($D$6:$D$40000,$Y49)="","",INDEX($D$6:$D$40000,$Y49)))</f>
        <v/>
      </c>
      <c r="AB49">
        <f>IF($Y49="","",INDEX($L$6:$L$40000,$Y49)&amp;"")</f>
        <v/>
      </c>
    </row>
    <row r="50">
      <c r="Y50" s="47">
        <f>IFERROR(MATCH(Library!M50,$M$6:$M$40000,0),"")</f>
        <v/>
      </c>
      <c r="Z50">
        <f>IF($Y50="","",INDEX($C$6:$C$40000,$Y50)&amp;"")</f>
        <v/>
      </c>
      <c r="AA50" s="59">
        <f>IF($Y50="","",IF(INDEX($D$6:$D$40000,$Y50)="","",INDEX($D$6:$D$40000,$Y50)))</f>
        <v/>
      </c>
      <c r="AB50">
        <f>IF($Y50="","",INDEX($L$6:$L$40000,$Y50)&amp;"")</f>
        <v/>
      </c>
    </row>
    <row r="51">
      <c r="Y51" s="47">
        <f>IFERROR(MATCH(Library!M51,$M$6:$M$40000,0),"")</f>
        <v/>
      </c>
      <c r="Z51">
        <f>IF($Y51="","",INDEX($C$6:$C$40000,$Y51)&amp;"")</f>
        <v/>
      </c>
      <c r="AA51" s="59">
        <f>IF($Y51="","",IF(INDEX($D$6:$D$40000,$Y51)="","",INDEX($D$6:$D$40000,$Y51)))</f>
        <v/>
      </c>
      <c r="AB51">
        <f>IF($Y51="","",INDEX($L$6:$L$40000,$Y51)&amp;"")</f>
        <v/>
      </c>
    </row>
    <row r="52">
      <c r="Y52" s="47">
        <f>IFERROR(MATCH(Library!M52,$M$6:$M$40000,0),"")</f>
        <v/>
      </c>
      <c r="Z52">
        <f>IF($Y52="","",INDEX($C$6:$C$40000,$Y52)&amp;"")</f>
        <v/>
      </c>
      <c r="AA52" s="59">
        <f>IF($Y52="","",IF(INDEX($D$6:$D$40000,$Y52)="","",INDEX($D$6:$D$40000,$Y52)))</f>
        <v/>
      </c>
      <c r="AB52">
        <f>IF($Y52="","",INDEX($L$6:$L$40000,$Y52)&amp;"")</f>
        <v/>
      </c>
    </row>
    <row r="53">
      <c r="Y53" s="47">
        <f>IFERROR(MATCH(Library!M53,$M$6:$M$40000,0),"")</f>
        <v/>
      </c>
      <c r="Z53">
        <f>IF($Y53="","",INDEX($C$6:$C$40000,$Y53)&amp;"")</f>
        <v/>
      </c>
      <c r="AA53" s="59">
        <f>IF($Y53="","",IF(INDEX($D$6:$D$40000,$Y53)="","",INDEX($D$6:$D$40000,$Y53)))</f>
        <v/>
      </c>
      <c r="AB53">
        <f>IF($Y53="","",INDEX($L$6:$L$40000,$Y53)&amp;"")</f>
        <v/>
      </c>
    </row>
    <row r="54">
      <c r="Y54" s="47">
        <f>IFERROR(MATCH(Library!M54,$M$6:$M$40000,0),"")</f>
        <v/>
      </c>
      <c r="Z54">
        <f>IF($Y54="","",INDEX($C$6:$C$40000,$Y54)&amp;"")</f>
        <v/>
      </c>
      <c r="AA54" s="59">
        <f>IF($Y54="","",IF(INDEX($D$6:$D$40000,$Y54)="","",INDEX($D$6:$D$40000,$Y54)))</f>
        <v/>
      </c>
      <c r="AB54">
        <f>IF($Y54="","",INDEX($L$6:$L$40000,$Y54)&amp;"")</f>
        <v/>
      </c>
    </row>
    <row r="55">
      <c r="Y55" s="47">
        <f>IFERROR(MATCH(Library!M55,$M$6:$M$40000,0),"")</f>
        <v/>
      </c>
      <c r="Z55">
        <f>IF($Y55="","",INDEX($C$6:$C$40000,$Y55)&amp;"")</f>
        <v/>
      </c>
      <c r="AA55" s="59">
        <f>IF($Y55="","",IF(INDEX($D$6:$D$40000,$Y55)="","",INDEX($D$6:$D$40000,$Y55)))</f>
        <v/>
      </c>
      <c r="AB55">
        <f>IF($Y55="","",INDEX($L$6:$L$40000,$Y55)&amp;"")</f>
        <v/>
      </c>
    </row>
    <row r="56">
      <c r="Y56" s="47">
        <f>IFERROR(MATCH(Library!M56,$M$6:$M$40000,0),"")</f>
        <v/>
      </c>
      <c r="Z56">
        <f>IF($Y56="","",INDEX($C$6:$C$40000,$Y56)&amp;"")</f>
        <v/>
      </c>
      <c r="AA56" s="59">
        <f>IF($Y56="","",IF(INDEX($D$6:$D$40000,$Y56)="","",INDEX($D$6:$D$40000,$Y56)))</f>
        <v/>
      </c>
      <c r="AB56">
        <f>IF($Y56="","",INDEX($L$6:$L$40000,$Y56)&amp;"")</f>
        <v/>
      </c>
    </row>
    <row r="57">
      <c r="Y57" s="47">
        <f>IFERROR(MATCH(Library!M57,$M$6:$M$40000,0),"")</f>
        <v/>
      </c>
      <c r="Z57">
        <f>IF($Y57="","",INDEX($C$6:$C$40000,$Y57)&amp;"")</f>
        <v/>
      </c>
      <c r="AA57" s="59">
        <f>IF($Y57="","",IF(INDEX($D$6:$D$40000,$Y57)="","",INDEX($D$6:$D$40000,$Y57)))</f>
        <v/>
      </c>
      <c r="AB57">
        <f>IF($Y57="","",INDEX($L$6:$L$40000,$Y57)&amp;"")</f>
        <v/>
      </c>
    </row>
    <row r="58">
      <c r="Y58" s="47">
        <f>IFERROR(MATCH(Library!M58,$M$6:$M$40000,0),"")</f>
        <v/>
      </c>
      <c r="Z58">
        <f>IF($Y58="","",INDEX($C$6:$C$40000,$Y58)&amp;"")</f>
        <v/>
      </c>
      <c r="AA58" s="59">
        <f>IF($Y58="","",IF(INDEX($D$6:$D$40000,$Y58)="","",INDEX($D$6:$D$40000,$Y58)))</f>
        <v/>
      </c>
      <c r="AB58">
        <f>IF($Y58="","",INDEX($L$6:$L$40000,$Y58)&amp;"")</f>
        <v/>
      </c>
    </row>
    <row r="59">
      <c r="Y59" s="47">
        <f>IFERROR(MATCH(Library!M59,$M$6:$M$40000,0),"")</f>
        <v/>
      </c>
      <c r="Z59">
        <f>IF($Y59="","",INDEX($C$6:$C$40000,$Y59)&amp;"")</f>
        <v/>
      </c>
      <c r="AA59" s="59">
        <f>IF($Y59="","",IF(INDEX($D$6:$D$40000,$Y59)="","",INDEX($D$6:$D$40000,$Y59)))</f>
        <v/>
      </c>
      <c r="AB59">
        <f>IF($Y59="","",INDEX($L$6:$L$40000,$Y59)&amp;"")</f>
        <v/>
      </c>
    </row>
    <row r="60">
      <c r="Y60" s="47">
        <f>IFERROR(MATCH(Library!M60,$M$6:$M$40000,0),"")</f>
        <v/>
      </c>
      <c r="Z60">
        <f>IF($Y60="","",INDEX($C$6:$C$40000,$Y60)&amp;"")</f>
        <v/>
      </c>
      <c r="AA60" s="59">
        <f>IF($Y60="","",IF(INDEX($D$6:$D$40000,$Y60)="","",INDEX($D$6:$D$40000,$Y60)))</f>
        <v/>
      </c>
      <c r="AB60">
        <f>IF($Y60="","",INDEX($L$6:$L$40000,$Y60)&amp;"")</f>
        <v/>
      </c>
    </row>
    <row r="61">
      <c r="Y61" s="47">
        <f>IFERROR(MATCH(Library!M61,$M$6:$M$40000,0),"")</f>
        <v/>
      </c>
      <c r="Z61">
        <f>IF($Y61="","",INDEX($C$6:$C$40000,$Y61)&amp;"")</f>
        <v/>
      </c>
      <c r="AA61" s="59">
        <f>IF($Y61="","",IF(INDEX($D$6:$D$40000,$Y61)="","",INDEX($D$6:$D$40000,$Y61)))</f>
        <v/>
      </c>
      <c r="AB61">
        <f>IF($Y61="","",INDEX($L$6:$L$40000,$Y61)&amp;"")</f>
        <v/>
      </c>
    </row>
    <row r="62">
      <c r="Y62" s="47">
        <f>IFERROR(MATCH(Library!M62,$M$6:$M$40000,0),"")</f>
        <v/>
      </c>
      <c r="Z62">
        <f>IF($Y62="","",INDEX($C$6:$C$40000,$Y62)&amp;"")</f>
        <v/>
      </c>
      <c r="AA62" s="59">
        <f>IF($Y62="","",IF(INDEX($D$6:$D$40000,$Y62)="","",INDEX($D$6:$D$40000,$Y62)))</f>
        <v/>
      </c>
      <c r="AB62">
        <f>IF($Y62="","",INDEX($L$6:$L$40000,$Y62)&amp;"")</f>
        <v/>
      </c>
    </row>
    <row r="63">
      <c r="Y63" s="47">
        <f>IFERROR(MATCH(Library!M63,$M$6:$M$40000,0),"")</f>
        <v/>
      </c>
      <c r="Z63">
        <f>IF($Y63="","",INDEX($C$6:$C$40000,$Y63)&amp;"")</f>
        <v/>
      </c>
      <c r="AA63" s="59">
        <f>IF($Y63="","",IF(INDEX($D$6:$D$40000,$Y63)="","",INDEX($D$6:$D$40000,$Y63)))</f>
        <v/>
      </c>
      <c r="AB63">
        <f>IF($Y63="","",INDEX($L$6:$L$40000,$Y63)&amp;"")</f>
        <v/>
      </c>
    </row>
    <row r="64">
      <c r="Y64" s="47">
        <f>IFERROR(MATCH(Library!M64,$M$6:$M$40000,0),"")</f>
        <v/>
      </c>
      <c r="Z64">
        <f>IF($Y64="","",INDEX($C$6:$C$40000,$Y64)&amp;"")</f>
        <v/>
      </c>
      <c r="AA64" s="59">
        <f>IF($Y64="","",IF(INDEX($D$6:$D$40000,$Y64)="","",INDEX($D$6:$D$40000,$Y64)))</f>
        <v/>
      </c>
      <c r="AB64">
        <f>IF($Y64="","",INDEX($L$6:$L$40000,$Y64)&amp;"")</f>
        <v/>
      </c>
    </row>
    <row r="65">
      <c r="Y65" s="47">
        <f>IFERROR(MATCH(Library!M65,$M$6:$M$40000,0),"")</f>
        <v/>
      </c>
      <c r="Z65">
        <f>IF($Y65="","",INDEX($C$6:$C$40000,$Y65)&amp;"")</f>
        <v/>
      </c>
      <c r="AA65" s="59">
        <f>IF($Y65="","",IF(INDEX($D$6:$D$40000,$Y65)="","",INDEX($D$6:$D$40000,$Y65)))</f>
        <v/>
      </c>
      <c r="AB65">
        <f>IF($Y65="","",INDEX($L$6:$L$40000,$Y65)&amp;"")</f>
        <v/>
      </c>
    </row>
    <row r="66">
      <c r="Y66" s="47">
        <f>IFERROR(MATCH(Library!M66,$M$6:$M$40000,0),"")</f>
        <v/>
      </c>
      <c r="Z66">
        <f>IF($Y66="","",INDEX($C$6:$C$40000,$Y66)&amp;"")</f>
        <v/>
      </c>
      <c r="AA66" s="59">
        <f>IF($Y66="","",IF(INDEX($D$6:$D$40000,$Y66)="","",INDEX($D$6:$D$40000,$Y66)))</f>
        <v/>
      </c>
      <c r="AB66">
        <f>IF($Y66="","",INDEX($L$6:$L$40000,$Y66)&amp;"")</f>
        <v/>
      </c>
    </row>
    <row r="67">
      <c r="Y67" s="47">
        <f>IFERROR(MATCH(Library!M67,$M$6:$M$40000,0),"")</f>
        <v/>
      </c>
      <c r="Z67">
        <f>IF($Y67="","",INDEX($C$6:$C$40000,$Y67)&amp;"")</f>
        <v/>
      </c>
      <c r="AA67" s="59">
        <f>IF($Y67="","",IF(INDEX($D$6:$D$40000,$Y67)="","",INDEX($D$6:$D$40000,$Y67)))</f>
        <v/>
      </c>
      <c r="AB67">
        <f>IF($Y67="","",INDEX($L$6:$L$40000,$Y67)&amp;"")</f>
        <v/>
      </c>
    </row>
    <row r="68">
      <c r="Y68" s="47">
        <f>IFERROR(MATCH(Library!M68,$M$6:$M$40000,0),"")</f>
        <v/>
      </c>
      <c r="Z68">
        <f>IF($Y68="","",INDEX($C$6:$C$40000,$Y68)&amp;"")</f>
        <v/>
      </c>
      <c r="AA68" s="59">
        <f>IF($Y68="","",IF(INDEX($D$6:$D$40000,$Y68)="","",INDEX($D$6:$D$40000,$Y68)))</f>
        <v/>
      </c>
      <c r="AB68">
        <f>IF($Y68="","",INDEX($L$6:$L$40000,$Y68)&amp;"")</f>
        <v/>
      </c>
    </row>
    <row r="69">
      <c r="Y69" s="47">
        <f>IFERROR(MATCH(Library!M69,$M$6:$M$40000,0),"")</f>
        <v/>
      </c>
      <c r="Z69">
        <f>IF($Y69="","",INDEX($C$6:$C$40000,$Y69)&amp;"")</f>
        <v/>
      </c>
      <c r="AA69" s="59">
        <f>IF($Y69="","",IF(INDEX($D$6:$D$40000,$Y69)="","",INDEX($D$6:$D$40000,$Y69)))</f>
        <v/>
      </c>
      <c r="AB69">
        <f>IF($Y69="","",INDEX($L$6:$L$40000,$Y69)&amp;"")</f>
        <v/>
      </c>
    </row>
    <row r="70">
      <c r="Y70" s="47">
        <f>IFERROR(MATCH(Library!M70,$M$6:$M$40000,0),"")</f>
        <v/>
      </c>
      <c r="Z70">
        <f>IF($Y70="","",INDEX($C$6:$C$40000,$Y70)&amp;"")</f>
        <v/>
      </c>
      <c r="AA70" s="59">
        <f>IF($Y70="","",IF(INDEX($D$6:$D$40000,$Y70)="","",INDEX($D$6:$D$40000,$Y70)))</f>
        <v/>
      </c>
      <c r="AB70">
        <f>IF($Y70="","",INDEX($L$6:$L$40000,$Y70)&amp;"")</f>
        <v/>
      </c>
    </row>
    <row r="71">
      <c r="Y71" s="47">
        <f>IFERROR(MATCH(Library!M71,$M$6:$M$40000,0),"")</f>
        <v/>
      </c>
      <c r="Z71">
        <f>IF($Y71="","",INDEX($C$6:$C$40000,$Y71)&amp;"")</f>
        <v/>
      </c>
      <c r="AA71" s="59">
        <f>IF($Y71="","",IF(INDEX($D$6:$D$40000,$Y71)="","",INDEX($D$6:$D$40000,$Y71)))</f>
        <v/>
      </c>
      <c r="AB71">
        <f>IF($Y71="","",INDEX($L$6:$L$40000,$Y71)&amp;"")</f>
        <v/>
      </c>
    </row>
    <row r="72">
      <c r="Y72" s="47">
        <f>IFERROR(MATCH(Library!M72,$M$6:$M$40000,0),"")</f>
        <v/>
      </c>
      <c r="Z72">
        <f>IF($Y72="","",INDEX($C$6:$C$40000,$Y72)&amp;"")</f>
        <v/>
      </c>
      <c r="AA72" s="59">
        <f>IF($Y72="","",IF(INDEX($D$6:$D$40000,$Y72)="","",INDEX($D$6:$D$40000,$Y72)))</f>
        <v/>
      </c>
      <c r="AB72">
        <f>IF($Y72="","",INDEX($L$6:$L$40000,$Y72)&amp;"")</f>
        <v/>
      </c>
    </row>
    <row r="73">
      <c r="Y73" s="47">
        <f>IFERROR(MATCH(Library!M73,$M$6:$M$40000,0),"")</f>
        <v/>
      </c>
      <c r="Z73">
        <f>IF($Y73="","",INDEX($C$6:$C$40000,$Y73)&amp;"")</f>
        <v/>
      </c>
      <c r="AA73" s="59">
        <f>IF($Y73="","",IF(INDEX($D$6:$D$40000,$Y73)="","",INDEX($D$6:$D$40000,$Y73)))</f>
        <v/>
      </c>
      <c r="AB73">
        <f>IF($Y73="","",INDEX($L$6:$L$40000,$Y73)&amp;"")</f>
        <v/>
      </c>
    </row>
    <row r="74">
      <c r="Y74" s="47">
        <f>IFERROR(MATCH(Library!M74,$M$6:$M$40000,0),"")</f>
        <v/>
      </c>
      <c r="Z74">
        <f>IF($Y74="","",INDEX($C$6:$C$40000,$Y74)&amp;"")</f>
        <v/>
      </c>
      <c r="AA74" s="59">
        <f>IF($Y74="","",IF(INDEX($D$6:$D$40000,$Y74)="","",INDEX($D$6:$D$40000,$Y74)))</f>
        <v/>
      </c>
      <c r="AB74">
        <f>IF($Y74="","",INDEX($L$6:$L$40000,$Y74)&amp;"")</f>
        <v/>
      </c>
    </row>
    <row r="75">
      <c r="Y75" s="47">
        <f>IFERROR(MATCH(Library!M75,$M$6:$M$40000,0),"")</f>
        <v/>
      </c>
      <c r="Z75">
        <f>IF($Y75="","",INDEX($C$6:$C$40000,$Y75)&amp;"")</f>
        <v/>
      </c>
      <c r="AA75" s="59">
        <f>IF($Y75="","",IF(INDEX($D$6:$D$40000,$Y75)="","",INDEX($D$6:$D$40000,$Y75)))</f>
        <v/>
      </c>
      <c r="AB75">
        <f>IF($Y75="","",INDEX($L$6:$L$40000,$Y75)&amp;"")</f>
        <v/>
      </c>
    </row>
    <row r="76">
      <c r="Y76" s="47">
        <f>IFERROR(MATCH(Library!M76,$M$6:$M$40000,0),"")</f>
        <v/>
      </c>
      <c r="Z76">
        <f>IF($Y76="","",INDEX($C$6:$C$40000,$Y76)&amp;"")</f>
        <v/>
      </c>
      <c r="AA76" s="59">
        <f>IF($Y76="","",IF(INDEX($D$6:$D$40000,$Y76)="","",INDEX($D$6:$D$40000,$Y76)))</f>
        <v/>
      </c>
      <c r="AB76">
        <f>IF($Y76="","",INDEX($L$6:$L$40000,$Y76)&amp;"")</f>
        <v/>
      </c>
    </row>
    <row r="77">
      <c r="Y77" s="47">
        <f>IFERROR(MATCH(Library!M77,$M$6:$M$40000,0),"")</f>
        <v/>
      </c>
      <c r="Z77">
        <f>IF($Y77="","",INDEX($C$6:$C$40000,$Y77)&amp;"")</f>
        <v/>
      </c>
      <c r="AA77" s="59">
        <f>IF($Y77="","",IF(INDEX($D$6:$D$40000,$Y77)="","",INDEX($D$6:$D$40000,$Y77)))</f>
        <v/>
      </c>
      <c r="AB77">
        <f>IF($Y77="","",INDEX($L$6:$L$40000,$Y77)&amp;"")</f>
        <v/>
      </c>
    </row>
    <row r="78">
      <c r="Y78" s="47">
        <f>IFERROR(MATCH(Library!M78,$M$6:$M$40000,0),"")</f>
        <v/>
      </c>
      <c r="Z78">
        <f>IF($Y78="","",INDEX($C$6:$C$40000,$Y78)&amp;"")</f>
        <v/>
      </c>
      <c r="AA78" s="59">
        <f>IF($Y78="","",IF(INDEX($D$6:$D$40000,$Y78)="","",INDEX($D$6:$D$40000,$Y78)))</f>
        <v/>
      </c>
      <c r="AB78">
        <f>IF($Y78="","",INDEX($L$6:$L$40000,$Y78)&amp;"")</f>
        <v/>
      </c>
    </row>
    <row r="79">
      <c r="Y79" s="47">
        <f>IFERROR(MATCH(Library!M79,$M$6:$M$40000,0),"")</f>
        <v/>
      </c>
      <c r="Z79">
        <f>IF($Y79="","",INDEX($C$6:$C$40000,$Y79)&amp;"")</f>
        <v/>
      </c>
      <c r="AA79" s="59">
        <f>IF($Y79="","",IF(INDEX($D$6:$D$40000,$Y79)="","",INDEX($D$6:$D$40000,$Y79)))</f>
        <v/>
      </c>
      <c r="AB79">
        <f>IF($Y79="","",INDEX($L$6:$L$40000,$Y79)&amp;"")</f>
        <v/>
      </c>
    </row>
    <row r="80">
      <c r="Y80" s="47">
        <f>IFERROR(MATCH(Library!M80,$M$6:$M$40000,0),"")</f>
        <v/>
      </c>
      <c r="Z80">
        <f>IF($Y80="","",INDEX($C$6:$C$40000,$Y80)&amp;"")</f>
        <v/>
      </c>
      <c r="AA80" s="59">
        <f>IF($Y80="","",IF(INDEX($D$6:$D$40000,$Y80)="","",INDEX($D$6:$D$40000,$Y80)))</f>
        <v/>
      </c>
      <c r="AB80">
        <f>IF($Y80="","",INDEX($L$6:$L$40000,$Y80)&amp;"")</f>
        <v/>
      </c>
    </row>
    <row r="81">
      <c r="Y81" s="47">
        <f>IFERROR(MATCH(Library!M81,$M$6:$M$40000,0),"")</f>
        <v/>
      </c>
      <c r="Z81">
        <f>IF($Y81="","",INDEX($C$6:$C$40000,$Y81)&amp;"")</f>
        <v/>
      </c>
      <c r="AA81" s="59">
        <f>IF($Y81="","",IF(INDEX($D$6:$D$40000,$Y81)="","",INDEX($D$6:$D$40000,$Y81)))</f>
        <v/>
      </c>
      <c r="AB81">
        <f>IF($Y81="","",INDEX($L$6:$L$40000,$Y81)&amp;"")</f>
        <v/>
      </c>
    </row>
    <row r="82">
      <c r="Y82" s="47">
        <f>IFERROR(MATCH(Library!M82,$M$6:$M$40000,0),"")</f>
        <v/>
      </c>
      <c r="Z82">
        <f>IF($Y82="","",INDEX($C$6:$C$40000,$Y82)&amp;"")</f>
        <v/>
      </c>
      <c r="AA82" s="59">
        <f>IF($Y82="","",IF(INDEX($D$6:$D$40000,$Y82)="","",INDEX($D$6:$D$40000,$Y82)))</f>
        <v/>
      </c>
      <c r="AB82">
        <f>IF($Y82="","",INDEX($L$6:$L$40000,$Y82)&amp;"")</f>
        <v/>
      </c>
    </row>
    <row r="83">
      <c r="Y83" s="47">
        <f>IFERROR(MATCH(Library!M83,$M$6:$M$40000,0),"")</f>
        <v/>
      </c>
      <c r="Z83">
        <f>IF($Y83="","",INDEX($C$6:$C$40000,$Y83)&amp;"")</f>
        <v/>
      </c>
      <c r="AA83" s="59">
        <f>IF($Y83="","",IF(INDEX($D$6:$D$40000,$Y83)="","",INDEX($D$6:$D$40000,$Y83)))</f>
        <v/>
      </c>
      <c r="AB83">
        <f>IF($Y83="","",INDEX($L$6:$L$40000,$Y83)&amp;"")</f>
        <v/>
      </c>
    </row>
    <row r="84">
      <c r="Y84" s="47">
        <f>IFERROR(MATCH(Library!M84,$M$6:$M$40000,0),"")</f>
        <v/>
      </c>
      <c r="Z84">
        <f>IF($Y84="","",INDEX($C$6:$C$40000,$Y84)&amp;"")</f>
        <v/>
      </c>
      <c r="AA84" s="59">
        <f>IF($Y84="","",IF(INDEX($D$6:$D$40000,$Y84)="","",INDEX($D$6:$D$40000,$Y84)))</f>
        <v/>
      </c>
      <c r="AB84">
        <f>IF($Y84="","",INDEX($L$6:$L$40000,$Y84)&amp;"")</f>
        <v/>
      </c>
    </row>
    <row r="85">
      <c r="Y85" s="47">
        <f>IFERROR(MATCH(Library!M85,$M$6:$M$40000,0),"")</f>
        <v/>
      </c>
      <c r="Z85">
        <f>IF($Y85="","",INDEX($C$6:$C$40000,$Y85)&amp;"")</f>
        <v/>
      </c>
      <c r="AA85" s="59">
        <f>IF($Y85="","",IF(INDEX($D$6:$D$40000,$Y85)="","",INDEX($D$6:$D$40000,$Y85)))</f>
        <v/>
      </c>
      <c r="AB85">
        <f>IF($Y85="","",INDEX($L$6:$L$40000,$Y85)&amp;"")</f>
        <v/>
      </c>
    </row>
    <row r="86">
      <c r="Y86" s="47">
        <f>IFERROR(MATCH(Library!M86,$M$6:$M$40000,0),"")</f>
        <v/>
      </c>
      <c r="Z86">
        <f>IF($Y86="","",INDEX($C$6:$C$40000,$Y86)&amp;"")</f>
        <v/>
      </c>
      <c r="AA86" s="59">
        <f>IF($Y86="","",IF(INDEX($D$6:$D$40000,$Y86)="","",INDEX($D$6:$D$40000,$Y86)))</f>
        <v/>
      </c>
      <c r="AB86">
        <f>IF($Y86="","",INDEX($L$6:$L$40000,$Y86)&amp;"")</f>
        <v/>
      </c>
    </row>
    <row r="87">
      <c r="Y87" s="47">
        <f>IFERROR(MATCH(Library!M87,$M$6:$M$40000,0),"")</f>
        <v/>
      </c>
      <c r="Z87">
        <f>IF($Y87="","",INDEX($C$6:$C$40000,$Y87)&amp;"")</f>
        <v/>
      </c>
      <c r="AA87" s="59">
        <f>IF($Y87="","",IF(INDEX($D$6:$D$40000,$Y87)="","",INDEX($D$6:$D$40000,$Y87)))</f>
        <v/>
      </c>
      <c r="AB87">
        <f>IF($Y87="","",INDEX($L$6:$L$40000,$Y87)&amp;"")</f>
        <v/>
      </c>
    </row>
    <row r="88">
      <c r="Y88" s="47">
        <f>IFERROR(MATCH(Library!M88,$M$6:$M$40000,0),"")</f>
        <v/>
      </c>
      <c r="Z88">
        <f>IF($Y88="","",INDEX($C$6:$C$40000,$Y88)&amp;"")</f>
        <v/>
      </c>
      <c r="AA88" s="59">
        <f>IF($Y88="","",IF(INDEX($D$6:$D$40000,$Y88)="","",INDEX($D$6:$D$40000,$Y88)))</f>
        <v/>
      </c>
      <c r="AB88">
        <f>IF($Y88="","",INDEX($L$6:$L$40000,$Y88)&amp;"")</f>
        <v/>
      </c>
    </row>
    <row r="89">
      <c r="Y89" s="47">
        <f>IFERROR(MATCH(Library!M89,$M$6:$M$40000,0),"")</f>
        <v/>
      </c>
      <c r="Z89">
        <f>IF($Y89="","",INDEX($C$6:$C$40000,$Y89)&amp;"")</f>
        <v/>
      </c>
      <c r="AA89" s="59">
        <f>IF($Y89="","",IF(INDEX($D$6:$D$40000,$Y89)="","",INDEX($D$6:$D$40000,$Y89)))</f>
        <v/>
      </c>
      <c r="AB89">
        <f>IF($Y89="","",INDEX($L$6:$L$40000,$Y89)&amp;"")</f>
        <v/>
      </c>
    </row>
    <row r="90">
      <c r="Y90" s="47">
        <f>IFERROR(MATCH(Library!M90,$M$6:$M$40000,0),"")</f>
        <v/>
      </c>
      <c r="Z90">
        <f>IF($Y90="","",INDEX($C$6:$C$40000,$Y90)&amp;"")</f>
        <v/>
      </c>
      <c r="AA90" s="59">
        <f>IF($Y90="","",IF(INDEX($D$6:$D$40000,$Y90)="","",INDEX($D$6:$D$40000,$Y90)))</f>
        <v/>
      </c>
      <c r="AB90">
        <f>IF($Y90="","",INDEX($L$6:$L$40000,$Y90)&amp;"")</f>
        <v/>
      </c>
    </row>
    <row r="91">
      <c r="Y91" s="47">
        <f>IFERROR(MATCH(Library!M91,$M$6:$M$40000,0),"")</f>
        <v/>
      </c>
      <c r="Z91">
        <f>IF($Y91="","",INDEX($C$6:$C$40000,$Y91)&amp;"")</f>
        <v/>
      </c>
      <c r="AA91" s="59">
        <f>IF($Y91="","",IF(INDEX($D$6:$D$40000,$Y91)="","",INDEX($D$6:$D$40000,$Y91)))</f>
        <v/>
      </c>
      <c r="AB91">
        <f>IF($Y91="","",INDEX($L$6:$L$40000,$Y91)&amp;"")</f>
        <v/>
      </c>
    </row>
    <row r="92">
      <c r="Y92" s="47">
        <f>IFERROR(MATCH(Library!M92,$M$6:$M$40000,0),"")</f>
        <v/>
      </c>
      <c r="Z92">
        <f>IF($Y92="","",INDEX($C$6:$C$40000,$Y92)&amp;"")</f>
        <v/>
      </c>
      <c r="AA92" s="59">
        <f>IF($Y92="","",IF(INDEX($D$6:$D$40000,$Y92)="","",INDEX($D$6:$D$40000,$Y92)))</f>
        <v/>
      </c>
      <c r="AB92">
        <f>IF($Y92="","",INDEX($L$6:$L$40000,$Y92)&amp;"")</f>
        <v/>
      </c>
    </row>
    <row r="93">
      <c r="Y93" s="47">
        <f>IFERROR(MATCH(Library!M93,$M$6:$M$40000,0),"")</f>
        <v/>
      </c>
      <c r="Z93">
        <f>IF($Y93="","",INDEX($C$6:$C$40000,$Y93)&amp;"")</f>
        <v/>
      </c>
      <c r="AA93" s="59">
        <f>IF($Y93="","",IF(INDEX($D$6:$D$40000,$Y93)="","",INDEX($D$6:$D$40000,$Y93)))</f>
        <v/>
      </c>
      <c r="AB93">
        <f>IF($Y93="","",INDEX($L$6:$L$40000,$Y93)&amp;"")</f>
        <v/>
      </c>
    </row>
    <row r="94">
      <c r="Y94" s="47">
        <f>IFERROR(MATCH(Library!M94,$M$6:$M$40000,0),"")</f>
        <v/>
      </c>
      <c r="Z94">
        <f>IF($Y94="","",INDEX($C$6:$C$40000,$Y94)&amp;"")</f>
        <v/>
      </c>
      <c r="AA94" s="59">
        <f>IF($Y94="","",IF(INDEX($D$6:$D$40000,$Y94)="","",INDEX($D$6:$D$40000,$Y94)))</f>
        <v/>
      </c>
      <c r="AB94">
        <f>IF($Y94="","",INDEX($L$6:$L$40000,$Y94)&amp;"")</f>
        <v/>
      </c>
    </row>
    <row r="95">
      <c r="Y95" s="47">
        <f>IFERROR(MATCH(Library!M95,$M$6:$M$40000,0),"")</f>
        <v/>
      </c>
      <c r="Z95">
        <f>IF($Y95="","",INDEX($C$6:$C$40000,$Y95)&amp;"")</f>
        <v/>
      </c>
      <c r="AA95" s="59">
        <f>IF($Y95="","",IF(INDEX($D$6:$D$40000,$Y95)="","",INDEX($D$6:$D$40000,$Y95)))</f>
        <v/>
      </c>
      <c r="AB95">
        <f>IF($Y95="","",INDEX($L$6:$L$40000,$Y95)&amp;"")</f>
        <v/>
      </c>
    </row>
    <row r="96">
      <c r="Y96" s="47">
        <f>IFERROR(MATCH(Library!M96,$M$6:$M$40000,0),"")</f>
        <v/>
      </c>
      <c r="Z96">
        <f>IF($Y96="","",INDEX($C$6:$C$40000,$Y96)&amp;"")</f>
        <v/>
      </c>
      <c r="AA96" s="59">
        <f>IF($Y96="","",IF(INDEX($D$6:$D$40000,$Y96)="","",INDEX($D$6:$D$40000,$Y96)))</f>
        <v/>
      </c>
      <c r="AB96">
        <f>IF($Y96="","",INDEX($L$6:$L$40000,$Y96)&amp;"")</f>
        <v/>
      </c>
    </row>
    <row r="97">
      <c r="Y97" s="47">
        <f>IFERROR(MATCH(Library!M97,$M$6:$M$40000,0),"")</f>
        <v/>
      </c>
      <c r="Z97">
        <f>IF($Y97="","",INDEX($C$6:$C$40000,$Y97)&amp;"")</f>
        <v/>
      </c>
      <c r="AA97" s="59">
        <f>IF($Y97="","",IF(INDEX($D$6:$D$40000,$Y97)="","",INDEX($D$6:$D$40000,$Y97)))</f>
        <v/>
      </c>
      <c r="AB97">
        <f>IF($Y97="","",INDEX($L$6:$L$40000,$Y97)&amp;"")</f>
        <v/>
      </c>
    </row>
    <row r="98">
      <c r="Y98" s="47">
        <f>IFERROR(MATCH(Library!M98,$M$6:$M$40000,0),"")</f>
        <v/>
      </c>
      <c r="Z98">
        <f>IF($Y98="","",INDEX($C$6:$C$40000,$Y98)&amp;"")</f>
        <v/>
      </c>
      <c r="AA98" s="59">
        <f>IF($Y98="","",IF(INDEX($D$6:$D$40000,$Y98)="","",INDEX($D$6:$D$40000,$Y98)))</f>
        <v/>
      </c>
      <c r="AB98">
        <f>IF($Y98="","",INDEX($L$6:$L$40000,$Y98)&amp;"")</f>
        <v/>
      </c>
    </row>
    <row r="99">
      <c r="Y99" s="47">
        <f>IFERROR(MATCH(Library!M99,$M$6:$M$40000,0),"")</f>
        <v/>
      </c>
      <c r="Z99">
        <f>IF($Y99="","",INDEX($C$6:$C$40000,$Y99)&amp;"")</f>
        <v/>
      </c>
      <c r="AA99" s="59">
        <f>IF($Y99="","",IF(INDEX($D$6:$D$40000,$Y99)="","",INDEX($D$6:$D$40000,$Y99)))</f>
        <v/>
      </c>
      <c r="AB99">
        <f>IF($Y99="","",INDEX($L$6:$L$40000,$Y99)&amp;"")</f>
        <v/>
      </c>
    </row>
    <row r="100">
      <c r="Y100" s="47">
        <f>IFERROR(MATCH(Library!M100,$M$6:$M$40000,0),"")</f>
        <v/>
      </c>
      <c r="Z100">
        <f>IF($Y100="","",INDEX($C$6:$C$40000,$Y100)&amp;"")</f>
        <v/>
      </c>
      <c r="AA100" s="59">
        <f>IF($Y100="","",IF(INDEX($D$6:$D$40000,$Y100)="","",INDEX($D$6:$D$40000,$Y100)))</f>
        <v/>
      </c>
      <c r="AB100">
        <f>IF($Y100="","",INDEX($L$6:$L$40000,$Y100)&amp;"")</f>
        <v/>
      </c>
    </row>
    <row r="101">
      <c r="Y101" s="47">
        <f>IFERROR(MATCH(Library!M101,$M$6:$M$40000,0),"")</f>
        <v/>
      </c>
      <c r="Z101">
        <f>IF($Y101="","",INDEX($C$6:$C$40000,$Y101)&amp;"")</f>
        <v/>
      </c>
      <c r="AA101" s="59">
        <f>IF($Y101="","",IF(INDEX($D$6:$D$40000,$Y101)="","",INDEX($D$6:$D$40000,$Y101)))</f>
        <v/>
      </c>
      <c r="AB101">
        <f>IF($Y101="","",INDEX($L$6:$L$40000,$Y101)&amp;"")</f>
        <v/>
      </c>
    </row>
    <row r="102">
      <c r="Y102" s="47">
        <f>IFERROR(MATCH(Library!M102,$M$6:$M$40000,0),"")</f>
        <v/>
      </c>
      <c r="Z102">
        <f>IF($Y102="","",INDEX($C$6:$C$40000,$Y102)&amp;"")</f>
        <v/>
      </c>
      <c r="AA102" s="59">
        <f>IF($Y102="","",IF(INDEX($D$6:$D$40000,$Y102)="","",INDEX($D$6:$D$40000,$Y102)))</f>
        <v/>
      </c>
      <c r="AB102">
        <f>IF($Y102="","",INDEX($L$6:$L$40000,$Y102)&amp;"")</f>
        <v/>
      </c>
    </row>
    <row r="103">
      <c r="Y103" s="47">
        <f>IFERROR(MATCH(Library!M103,$M$6:$M$40000,0),"")</f>
        <v/>
      </c>
      <c r="Z103">
        <f>IF($Y103="","",INDEX($C$6:$C$40000,$Y103)&amp;"")</f>
        <v/>
      </c>
      <c r="AA103" s="59">
        <f>IF($Y103="","",IF(INDEX($D$6:$D$40000,$Y103)="","",INDEX($D$6:$D$40000,$Y103)))</f>
        <v/>
      </c>
      <c r="AB103">
        <f>IF($Y103="","",INDEX($L$6:$L$40000,$Y103)&amp;"")</f>
        <v/>
      </c>
    </row>
    <row r="104">
      <c r="Y104" s="47">
        <f>IFERROR(MATCH(Library!M104,$M$6:$M$40000,0),"")</f>
        <v/>
      </c>
      <c r="Z104">
        <f>IF($Y104="","",INDEX($C$6:$C$40000,$Y104)&amp;"")</f>
        <v/>
      </c>
      <c r="AA104" s="59">
        <f>IF($Y104="","",IF(INDEX($D$6:$D$40000,$Y104)="","",INDEX($D$6:$D$40000,$Y104)))</f>
        <v/>
      </c>
      <c r="AB104">
        <f>IF($Y104="","",INDEX($L$6:$L$40000,$Y104)&amp;"")</f>
        <v/>
      </c>
    </row>
    <row r="105">
      <c r="Y105" s="47">
        <f>IFERROR(MATCH(Library!M105,$M$6:$M$40000,0),"")</f>
        <v/>
      </c>
      <c r="Z105">
        <f>IF($Y105="","",INDEX($C$6:$C$40000,$Y105)&amp;"")</f>
        <v/>
      </c>
      <c r="AA105" s="59">
        <f>IF($Y105="","",IF(INDEX($D$6:$D$40000,$Y105)="","",INDEX($D$6:$D$40000,$Y105)))</f>
        <v/>
      </c>
      <c r="AB105">
        <f>IF($Y105="","",INDEX($L$6:$L$40000,$Y105)&amp;"")</f>
        <v/>
      </c>
    </row>
    <row r="106">
      <c r="Y106" s="47">
        <f>IFERROR(MATCH(Library!M106,$M$6:$M$40000,0),"")</f>
        <v/>
      </c>
      <c r="Z106">
        <f>IF($Y106="","",INDEX($C$6:$C$40000,$Y106)&amp;"")</f>
        <v/>
      </c>
      <c r="AA106" s="59">
        <f>IF($Y106="","",IF(INDEX($D$6:$D$40000,$Y106)="","",INDEX($D$6:$D$40000,$Y106)))</f>
        <v/>
      </c>
      <c r="AB106">
        <f>IF($Y106="","",INDEX($L$6:$L$40000,$Y106)&amp;"")</f>
        <v/>
      </c>
    </row>
    <row r="107">
      <c r="Y107" s="47">
        <f>IFERROR(MATCH(Library!M107,$M$6:$M$40000,0),"")</f>
        <v/>
      </c>
      <c r="Z107">
        <f>IF($Y107="","",INDEX($C$6:$C$40000,$Y107)&amp;"")</f>
        <v/>
      </c>
      <c r="AA107" s="59">
        <f>IF($Y107="","",IF(INDEX($D$6:$D$40000,$Y107)="","",INDEX($D$6:$D$40000,$Y107)))</f>
        <v/>
      </c>
      <c r="AB107">
        <f>IF($Y107="","",INDEX($L$6:$L$40000,$Y107)&amp;"")</f>
        <v/>
      </c>
    </row>
    <row r="108">
      <c r="Y108" s="47">
        <f>IFERROR(MATCH(Library!M108,$M$6:$M$40000,0),"")</f>
        <v/>
      </c>
      <c r="Z108">
        <f>IF($Y108="","",INDEX($C$6:$C$40000,$Y108)&amp;"")</f>
        <v/>
      </c>
      <c r="AA108" s="59">
        <f>IF($Y108="","",IF(INDEX($D$6:$D$40000,$Y108)="","",INDEX($D$6:$D$40000,$Y108)))</f>
        <v/>
      </c>
      <c r="AB108">
        <f>IF($Y108="","",INDEX($L$6:$L$40000,$Y108)&amp;"")</f>
        <v/>
      </c>
    </row>
    <row r="109">
      <c r="Y109" s="47">
        <f>IFERROR(MATCH(Library!M109,$M$6:$M$40000,0),"")</f>
        <v/>
      </c>
      <c r="Z109">
        <f>IF($Y109="","",INDEX($C$6:$C$40000,$Y109)&amp;"")</f>
        <v/>
      </c>
      <c r="AA109" s="59">
        <f>IF($Y109="","",IF(INDEX($D$6:$D$40000,$Y109)="","",INDEX($D$6:$D$40000,$Y109)))</f>
        <v/>
      </c>
      <c r="AB109">
        <f>IF($Y109="","",INDEX($L$6:$L$40000,$Y109)&amp;"")</f>
        <v/>
      </c>
    </row>
    <row r="110">
      <c r="Y110" s="47">
        <f>IFERROR(MATCH(Library!M110,$M$6:$M$40000,0),"")</f>
        <v/>
      </c>
      <c r="Z110">
        <f>IF($Y110="","",INDEX($C$6:$C$40000,$Y110)&amp;"")</f>
        <v/>
      </c>
      <c r="AA110" s="59">
        <f>IF($Y110="","",IF(INDEX($D$6:$D$40000,$Y110)="","",INDEX($D$6:$D$40000,$Y110)))</f>
        <v/>
      </c>
      <c r="AB110">
        <f>IF($Y110="","",INDEX($L$6:$L$40000,$Y110)&amp;"")</f>
        <v/>
      </c>
    </row>
    <row r="111">
      <c r="Y111" s="47">
        <f>IFERROR(MATCH(Library!M111,$M$6:$M$40000,0),"")</f>
        <v/>
      </c>
      <c r="Z111">
        <f>IF($Y111="","",INDEX($C$6:$C$40000,$Y111)&amp;"")</f>
        <v/>
      </c>
      <c r="AA111" s="59">
        <f>IF($Y111="","",IF(INDEX($D$6:$D$40000,$Y111)="","",INDEX($D$6:$D$40000,$Y111)))</f>
        <v/>
      </c>
      <c r="AB111">
        <f>IF($Y111="","",INDEX($L$6:$L$40000,$Y111)&amp;"")</f>
        <v/>
      </c>
    </row>
    <row r="112">
      <c r="Y112" s="47">
        <f>IFERROR(MATCH(Library!M112,$M$6:$M$40000,0),"")</f>
        <v/>
      </c>
      <c r="Z112">
        <f>IF($Y112="","",INDEX($C$6:$C$40000,$Y112)&amp;"")</f>
        <v/>
      </c>
      <c r="AA112" s="59">
        <f>IF($Y112="","",IF(INDEX($D$6:$D$40000,$Y112)="","",INDEX($D$6:$D$40000,$Y112)))</f>
        <v/>
      </c>
      <c r="AB112">
        <f>IF($Y112="","",INDEX($L$6:$L$40000,$Y112)&amp;"")</f>
        <v/>
      </c>
    </row>
    <row r="113">
      <c r="Y113" s="47">
        <f>IFERROR(MATCH(Library!M113,$M$6:$M$40000,0),"")</f>
        <v/>
      </c>
      <c r="Z113">
        <f>IF($Y113="","",INDEX($C$6:$C$40000,$Y113)&amp;"")</f>
        <v/>
      </c>
      <c r="AA113" s="59">
        <f>IF($Y113="","",IF(INDEX($D$6:$D$40000,$Y113)="","",INDEX($D$6:$D$40000,$Y113)))</f>
        <v/>
      </c>
      <c r="AB113">
        <f>IF($Y113="","",INDEX($L$6:$L$40000,$Y113)&amp;"")</f>
        <v/>
      </c>
    </row>
    <row r="114">
      <c r="Y114" s="47">
        <f>IFERROR(MATCH(Library!M114,$M$6:$M$40000,0),"")</f>
        <v/>
      </c>
      <c r="Z114">
        <f>IF($Y114="","",INDEX($C$6:$C$40000,$Y114)&amp;"")</f>
        <v/>
      </c>
      <c r="AA114" s="59">
        <f>IF($Y114="","",IF(INDEX($D$6:$D$40000,$Y114)="","",INDEX($D$6:$D$40000,$Y114)))</f>
        <v/>
      </c>
      <c r="AB114">
        <f>IF($Y114="","",INDEX($L$6:$L$40000,$Y114)&amp;"")</f>
        <v/>
      </c>
    </row>
    <row r="115">
      <c r="Y115" s="47">
        <f>IFERROR(MATCH(Library!M115,$M$6:$M$40000,0),"")</f>
        <v/>
      </c>
      <c r="Z115">
        <f>IF($Y115="","",INDEX($C$6:$C$40000,$Y115)&amp;"")</f>
        <v/>
      </c>
      <c r="AA115" s="59">
        <f>IF($Y115="","",IF(INDEX($D$6:$D$40000,$Y115)="","",INDEX($D$6:$D$40000,$Y115)))</f>
        <v/>
      </c>
      <c r="AB115">
        <f>IF($Y115="","",INDEX($L$6:$L$40000,$Y115)&amp;"")</f>
        <v/>
      </c>
    </row>
    <row r="116">
      <c r="Y116" s="47">
        <f>IFERROR(MATCH(Library!M116,$M$6:$M$40000,0),"")</f>
        <v/>
      </c>
      <c r="Z116">
        <f>IF($Y116="","",INDEX($C$6:$C$40000,$Y116)&amp;"")</f>
        <v/>
      </c>
      <c r="AA116" s="59">
        <f>IF($Y116="","",IF(INDEX($D$6:$D$40000,$Y116)="","",INDEX($D$6:$D$40000,$Y116)))</f>
        <v/>
      </c>
      <c r="AB116">
        <f>IF($Y116="","",INDEX($L$6:$L$40000,$Y116)&amp;"")</f>
        <v/>
      </c>
    </row>
    <row r="117">
      <c r="Y117" s="47">
        <f>IFERROR(MATCH(Library!M117,$M$6:$M$40000,0),"")</f>
        <v/>
      </c>
      <c r="Z117">
        <f>IF($Y117="","",INDEX($C$6:$C$40000,$Y117)&amp;"")</f>
        <v/>
      </c>
      <c r="AA117" s="59">
        <f>IF($Y117="","",IF(INDEX($D$6:$D$40000,$Y117)="","",INDEX($D$6:$D$40000,$Y117)))</f>
        <v/>
      </c>
      <c r="AB117">
        <f>IF($Y117="","",INDEX($L$6:$L$40000,$Y117)&amp;"")</f>
        <v/>
      </c>
    </row>
    <row r="118">
      <c r="Y118" s="47">
        <f>IFERROR(MATCH(Library!M118,$M$6:$M$40000,0),"")</f>
        <v/>
      </c>
      <c r="Z118">
        <f>IF($Y118="","",INDEX($C$6:$C$40000,$Y118)&amp;"")</f>
        <v/>
      </c>
      <c r="AA118" s="59">
        <f>IF($Y118="","",IF(INDEX($D$6:$D$40000,$Y118)="","",INDEX($D$6:$D$40000,$Y118)))</f>
        <v/>
      </c>
      <c r="AB118">
        <f>IF($Y118="","",INDEX($L$6:$L$40000,$Y118)&amp;"")</f>
        <v/>
      </c>
    </row>
    <row r="119">
      <c r="Y119" s="47">
        <f>IFERROR(MATCH(Library!M119,$M$6:$M$40000,0),"")</f>
        <v/>
      </c>
      <c r="Z119">
        <f>IF($Y119="","",INDEX($C$6:$C$40000,$Y119)&amp;"")</f>
        <v/>
      </c>
      <c r="AA119" s="59">
        <f>IF($Y119="","",IF(INDEX($D$6:$D$40000,$Y119)="","",INDEX($D$6:$D$40000,$Y119)))</f>
        <v/>
      </c>
      <c r="AB119">
        <f>IF($Y119="","",INDEX($L$6:$L$40000,$Y119)&amp;"")</f>
        <v/>
      </c>
    </row>
    <row r="120">
      <c r="Y120" s="47">
        <f>IFERROR(MATCH(Library!M120,$M$6:$M$40000,0),"")</f>
        <v/>
      </c>
      <c r="Z120">
        <f>IF($Y120="","",INDEX($C$6:$C$40000,$Y120)&amp;"")</f>
        <v/>
      </c>
      <c r="AA120" s="59">
        <f>IF($Y120="","",IF(INDEX($D$6:$D$40000,$Y120)="","",INDEX($D$6:$D$40000,$Y120)))</f>
        <v/>
      </c>
      <c r="AB120">
        <f>IF($Y120="","",INDEX($L$6:$L$40000,$Y120)&amp;"")</f>
        <v/>
      </c>
    </row>
    <row r="121">
      <c r="Y121" s="47">
        <f>IFERROR(MATCH(Library!M121,$M$6:$M$40000,0),"")</f>
        <v/>
      </c>
      <c r="Z121">
        <f>IF($Y121="","",INDEX($C$6:$C$40000,$Y121)&amp;"")</f>
        <v/>
      </c>
      <c r="AA121" s="59">
        <f>IF($Y121="","",IF(INDEX($D$6:$D$40000,$Y121)="","",INDEX($D$6:$D$40000,$Y121)))</f>
        <v/>
      </c>
      <c r="AB121">
        <f>IF($Y121="","",INDEX($L$6:$L$40000,$Y121)&amp;"")</f>
        <v/>
      </c>
    </row>
    <row r="122">
      <c r="Y122" s="47">
        <f>IFERROR(MATCH(Library!M122,$M$6:$M$40000,0),"")</f>
        <v/>
      </c>
      <c r="Z122">
        <f>IF($Y122="","",INDEX($C$6:$C$40000,$Y122)&amp;"")</f>
        <v/>
      </c>
      <c r="AA122" s="59">
        <f>IF($Y122="","",IF(INDEX($D$6:$D$40000,$Y122)="","",INDEX($D$6:$D$40000,$Y122)))</f>
        <v/>
      </c>
      <c r="AB122">
        <f>IF($Y122="","",INDEX($L$6:$L$40000,$Y122)&amp;"")</f>
        <v/>
      </c>
    </row>
    <row r="123">
      <c r="Y123" s="47">
        <f>IFERROR(MATCH(Library!M123,$M$6:$M$40000,0),"")</f>
        <v/>
      </c>
      <c r="Z123">
        <f>IF($Y123="","",INDEX($C$6:$C$40000,$Y123)&amp;"")</f>
        <v/>
      </c>
      <c r="AA123" s="59">
        <f>IF($Y123="","",IF(INDEX($D$6:$D$40000,$Y123)="","",INDEX($D$6:$D$40000,$Y123)))</f>
        <v/>
      </c>
      <c r="AB123">
        <f>IF($Y123="","",INDEX($L$6:$L$40000,$Y123)&amp;"")</f>
        <v/>
      </c>
    </row>
    <row r="124">
      <c r="Y124" s="47">
        <f>IFERROR(MATCH(Library!M124,$M$6:$M$40000,0),"")</f>
        <v/>
      </c>
      <c r="Z124">
        <f>IF($Y124="","",INDEX($C$6:$C$40000,$Y124)&amp;"")</f>
        <v/>
      </c>
      <c r="AA124" s="59">
        <f>IF($Y124="","",IF(INDEX($D$6:$D$40000,$Y124)="","",INDEX($D$6:$D$40000,$Y124)))</f>
        <v/>
      </c>
      <c r="AB124">
        <f>IF($Y124="","",INDEX($L$6:$L$40000,$Y124)&amp;"")</f>
        <v/>
      </c>
    </row>
    <row r="125">
      <c r="Y125" s="47">
        <f>IFERROR(MATCH(Library!M125,$M$6:$M$40000,0),"")</f>
        <v/>
      </c>
      <c r="Z125">
        <f>IF($Y125="","",INDEX($C$6:$C$40000,$Y125)&amp;"")</f>
        <v/>
      </c>
      <c r="AA125" s="59">
        <f>IF($Y125="","",IF(INDEX($D$6:$D$40000,$Y125)="","",INDEX($D$6:$D$40000,$Y125)))</f>
        <v/>
      </c>
      <c r="AB125">
        <f>IF($Y125="","",INDEX($L$6:$L$40000,$Y125)&amp;"")</f>
        <v/>
      </c>
    </row>
    <row r="126">
      <c r="Y126" s="47">
        <f>IFERROR(MATCH(Library!M126,$M$6:$M$40000,0),"")</f>
        <v/>
      </c>
      <c r="Z126">
        <f>IF($Y126="","",INDEX($C$6:$C$40000,$Y126)&amp;"")</f>
        <v/>
      </c>
      <c r="AA126" s="59">
        <f>IF($Y126="","",IF(INDEX($D$6:$D$40000,$Y126)="","",INDEX($D$6:$D$40000,$Y126)))</f>
        <v/>
      </c>
      <c r="AB126">
        <f>IF($Y126="","",INDEX($L$6:$L$40000,$Y126)&amp;"")</f>
        <v/>
      </c>
    </row>
    <row r="127">
      <c r="Y127" s="47">
        <f>IFERROR(MATCH(Library!M127,$M$6:$M$40000,0),"")</f>
        <v/>
      </c>
      <c r="Z127">
        <f>IF($Y127="","",INDEX($C$6:$C$40000,$Y127)&amp;"")</f>
        <v/>
      </c>
      <c r="AA127" s="59">
        <f>IF($Y127="","",IF(INDEX($D$6:$D$40000,$Y127)="","",INDEX($D$6:$D$40000,$Y127)))</f>
        <v/>
      </c>
      <c r="AB127">
        <f>IF($Y127="","",INDEX($L$6:$L$40000,$Y127)&amp;"")</f>
        <v/>
      </c>
    </row>
    <row r="128">
      <c r="Y128" s="47">
        <f>IFERROR(MATCH(Library!M128,$M$6:$M$40000,0),"")</f>
        <v/>
      </c>
      <c r="Z128">
        <f>IF($Y128="","",INDEX($C$6:$C$40000,$Y128)&amp;"")</f>
        <v/>
      </c>
      <c r="AA128" s="59">
        <f>IF($Y128="","",IF(INDEX($D$6:$D$40000,$Y128)="","",INDEX($D$6:$D$40000,$Y128)))</f>
        <v/>
      </c>
      <c r="AB128">
        <f>IF($Y128="","",INDEX($L$6:$L$40000,$Y128)&amp;"")</f>
        <v/>
      </c>
    </row>
    <row r="129">
      <c r="Y129" s="47">
        <f>IFERROR(MATCH(Library!M129,$M$6:$M$40000,0),"")</f>
        <v/>
      </c>
      <c r="Z129">
        <f>IF($Y129="","",INDEX($C$6:$C$40000,$Y129)&amp;"")</f>
        <v/>
      </c>
      <c r="AA129" s="59">
        <f>IF($Y129="","",IF(INDEX($D$6:$D$40000,$Y129)="","",INDEX($D$6:$D$40000,$Y129)))</f>
        <v/>
      </c>
      <c r="AB129">
        <f>IF($Y129="","",INDEX($L$6:$L$40000,$Y129)&amp;"")</f>
        <v/>
      </c>
    </row>
    <row r="130">
      <c r="Y130" s="47">
        <f>IFERROR(MATCH(Library!M130,$M$6:$M$40000,0),"")</f>
        <v/>
      </c>
      <c r="Z130">
        <f>IF($Y130="","",INDEX($C$6:$C$40000,$Y130)&amp;"")</f>
        <v/>
      </c>
      <c r="AA130" s="59">
        <f>IF($Y130="","",IF(INDEX($D$6:$D$40000,$Y130)="","",INDEX($D$6:$D$40000,$Y130)))</f>
        <v/>
      </c>
      <c r="AB130">
        <f>IF($Y130="","",INDEX($L$6:$L$40000,$Y130)&amp;"")</f>
        <v/>
      </c>
    </row>
    <row r="131">
      <c r="Y131" s="47">
        <f>IFERROR(MATCH(Library!M131,$M$6:$M$40000,0),"")</f>
        <v/>
      </c>
      <c r="Z131">
        <f>IF($Y131="","",INDEX($C$6:$C$40000,$Y131)&amp;"")</f>
        <v/>
      </c>
      <c r="AA131" s="59">
        <f>IF($Y131="","",IF(INDEX($D$6:$D$40000,$Y131)="","",INDEX($D$6:$D$40000,$Y131)))</f>
        <v/>
      </c>
      <c r="AB131">
        <f>IF($Y131="","",INDEX($L$6:$L$40000,$Y131)&amp;"")</f>
        <v/>
      </c>
    </row>
    <row r="132">
      <c r="Y132" s="47">
        <f>IFERROR(MATCH(Library!M132,$M$6:$M$40000,0),"")</f>
        <v/>
      </c>
      <c r="Z132">
        <f>IF($Y132="","",INDEX($C$6:$C$40000,$Y132)&amp;"")</f>
        <v/>
      </c>
      <c r="AA132" s="59">
        <f>IF($Y132="","",IF(INDEX($D$6:$D$40000,$Y132)="","",INDEX($D$6:$D$40000,$Y132)))</f>
        <v/>
      </c>
      <c r="AB132">
        <f>IF($Y132="","",INDEX($L$6:$L$40000,$Y132)&amp;"")</f>
        <v/>
      </c>
    </row>
    <row r="133">
      <c r="Y133" s="47">
        <f>IFERROR(MATCH(Library!M133,$M$6:$M$40000,0),"")</f>
        <v/>
      </c>
      <c r="Z133">
        <f>IF($Y133="","",INDEX($C$6:$C$40000,$Y133)&amp;"")</f>
        <v/>
      </c>
      <c r="AA133" s="59">
        <f>IF($Y133="","",IF(INDEX($D$6:$D$40000,$Y133)="","",INDEX($D$6:$D$40000,$Y133)))</f>
        <v/>
      </c>
      <c r="AB133">
        <f>IF($Y133="","",INDEX($L$6:$L$40000,$Y133)&amp;"")</f>
        <v/>
      </c>
    </row>
    <row r="134">
      <c r="Y134" s="47">
        <f>IFERROR(MATCH(Library!M134,$M$6:$M$40000,0),"")</f>
        <v/>
      </c>
      <c r="Z134">
        <f>IF($Y134="","",INDEX($C$6:$C$40000,$Y134)&amp;"")</f>
        <v/>
      </c>
      <c r="AA134" s="59">
        <f>IF($Y134="","",IF(INDEX($D$6:$D$40000,$Y134)="","",INDEX($D$6:$D$40000,$Y134)))</f>
        <v/>
      </c>
      <c r="AB134">
        <f>IF($Y134="","",INDEX($L$6:$L$40000,$Y134)&amp;"")</f>
        <v/>
      </c>
    </row>
    <row r="135">
      <c r="Y135" s="47">
        <f>IFERROR(MATCH(Library!M135,$M$6:$M$40000,0),"")</f>
        <v/>
      </c>
      <c r="Z135">
        <f>IF($Y135="","",INDEX($C$6:$C$40000,$Y135)&amp;"")</f>
        <v/>
      </c>
      <c r="AA135" s="59">
        <f>IF($Y135="","",IF(INDEX($D$6:$D$40000,$Y135)="","",INDEX($D$6:$D$40000,$Y135)))</f>
        <v/>
      </c>
      <c r="AB135">
        <f>IF($Y135="","",INDEX($L$6:$L$40000,$Y135)&amp;"")</f>
        <v/>
      </c>
    </row>
    <row r="136">
      <c r="Y136" s="47">
        <f>IFERROR(MATCH(Library!M136,$M$6:$M$40000,0),"")</f>
        <v/>
      </c>
      <c r="Z136">
        <f>IF($Y136="","",INDEX($C$6:$C$40000,$Y136)&amp;"")</f>
        <v/>
      </c>
      <c r="AA136" s="59">
        <f>IF($Y136="","",IF(INDEX($D$6:$D$40000,$Y136)="","",INDEX($D$6:$D$40000,$Y136)))</f>
        <v/>
      </c>
      <c r="AB136">
        <f>IF($Y136="","",INDEX($L$6:$L$40000,$Y136)&amp;"")</f>
        <v/>
      </c>
    </row>
    <row r="137">
      <c r="Y137" s="47">
        <f>IFERROR(MATCH(Library!M137,$M$6:$M$40000,0),"")</f>
        <v/>
      </c>
      <c r="Z137">
        <f>IF($Y137="","",INDEX($C$6:$C$40000,$Y137)&amp;"")</f>
        <v/>
      </c>
      <c r="AA137" s="59">
        <f>IF($Y137="","",IF(INDEX($D$6:$D$40000,$Y137)="","",INDEX($D$6:$D$40000,$Y137)))</f>
        <v/>
      </c>
      <c r="AB137">
        <f>IF($Y137="","",INDEX($L$6:$L$40000,$Y137)&amp;"")</f>
        <v/>
      </c>
    </row>
    <row r="138">
      <c r="Y138" s="47">
        <f>IFERROR(MATCH(Library!M138,$M$6:$M$40000,0),"")</f>
        <v/>
      </c>
      <c r="Z138">
        <f>IF($Y138="","",INDEX($C$6:$C$40000,$Y138)&amp;"")</f>
        <v/>
      </c>
      <c r="AA138" s="59">
        <f>IF($Y138="","",IF(INDEX($D$6:$D$40000,$Y138)="","",INDEX($D$6:$D$40000,$Y138)))</f>
        <v/>
      </c>
      <c r="AB138">
        <f>IF($Y138="","",INDEX($L$6:$L$40000,$Y138)&amp;"")</f>
        <v/>
      </c>
    </row>
    <row r="139">
      <c r="Y139" s="47">
        <f>IFERROR(MATCH(Library!M139,$M$6:$M$40000,0),"")</f>
        <v/>
      </c>
      <c r="Z139">
        <f>IF($Y139="","",INDEX($C$6:$C$40000,$Y139)&amp;"")</f>
        <v/>
      </c>
      <c r="AA139" s="59">
        <f>IF($Y139="","",IF(INDEX($D$6:$D$40000,$Y139)="","",INDEX($D$6:$D$40000,$Y139)))</f>
        <v/>
      </c>
      <c r="AB139">
        <f>IF($Y139="","",INDEX($L$6:$L$40000,$Y139)&amp;"")</f>
        <v/>
      </c>
    </row>
    <row r="140">
      <c r="Y140" s="47">
        <f>IFERROR(MATCH(Library!M140,$M$6:$M$40000,0),"")</f>
        <v/>
      </c>
      <c r="Z140">
        <f>IF($Y140="","",INDEX($C$6:$C$40000,$Y140)&amp;"")</f>
        <v/>
      </c>
      <c r="AA140" s="59">
        <f>IF($Y140="","",IF(INDEX($D$6:$D$40000,$Y140)="","",INDEX($D$6:$D$40000,$Y140)))</f>
        <v/>
      </c>
      <c r="AB140">
        <f>IF($Y140="","",INDEX($L$6:$L$40000,$Y140)&amp;"")</f>
        <v/>
      </c>
    </row>
    <row r="141">
      <c r="Y141" s="47">
        <f>IFERROR(MATCH(Library!M141,$M$6:$M$40000,0),"")</f>
        <v/>
      </c>
      <c r="Z141">
        <f>IF($Y141="","",INDEX($C$6:$C$40000,$Y141)&amp;"")</f>
        <v/>
      </c>
      <c r="AA141" s="59">
        <f>IF($Y141="","",IF(INDEX($D$6:$D$40000,$Y141)="","",INDEX($D$6:$D$40000,$Y141)))</f>
        <v/>
      </c>
      <c r="AB141">
        <f>IF($Y141="","",INDEX($L$6:$L$40000,$Y141)&amp;"")</f>
        <v/>
      </c>
    </row>
    <row r="142">
      <c r="Y142" s="47">
        <f>IFERROR(MATCH(Library!M142,$M$6:$M$40000,0),"")</f>
        <v/>
      </c>
      <c r="Z142">
        <f>IF($Y142="","",INDEX($C$6:$C$40000,$Y142)&amp;"")</f>
        <v/>
      </c>
      <c r="AA142" s="59">
        <f>IF($Y142="","",IF(INDEX($D$6:$D$40000,$Y142)="","",INDEX($D$6:$D$40000,$Y142)))</f>
        <v/>
      </c>
      <c r="AB142">
        <f>IF($Y142="","",INDEX($L$6:$L$40000,$Y142)&amp;"")</f>
        <v/>
      </c>
    </row>
    <row r="143">
      <c r="Y143" s="47">
        <f>IFERROR(MATCH(Library!M143,$M$6:$M$40000,0),"")</f>
        <v/>
      </c>
      <c r="Z143">
        <f>IF($Y143="","",INDEX($C$6:$C$40000,$Y143)&amp;"")</f>
        <v/>
      </c>
      <c r="AA143" s="59">
        <f>IF($Y143="","",IF(INDEX($D$6:$D$40000,$Y143)="","",INDEX($D$6:$D$40000,$Y143)))</f>
        <v/>
      </c>
      <c r="AB143">
        <f>IF($Y143="","",INDEX($L$6:$L$40000,$Y143)&amp;"")</f>
        <v/>
      </c>
    </row>
    <row r="144">
      <c r="Y144" s="47">
        <f>IFERROR(MATCH(Library!M144,$M$6:$M$40000,0),"")</f>
        <v/>
      </c>
      <c r="Z144">
        <f>IF($Y144="","",INDEX($C$6:$C$40000,$Y144)&amp;"")</f>
        <v/>
      </c>
      <c r="AA144" s="59">
        <f>IF($Y144="","",IF(INDEX($D$6:$D$40000,$Y144)="","",INDEX($D$6:$D$40000,$Y144)))</f>
        <v/>
      </c>
      <c r="AB144">
        <f>IF($Y144="","",INDEX($L$6:$L$40000,$Y144)&amp;"")</f>
        <v/>
      </c>
    </row>
    <row r="145">
      <c r="Y145" s="47">
        <f>IFERROR(MATCH(Library!M145,$M$6:$M$40000,0),"")</f>
        <v/>
      </c>
      <c r="Z145">
        <f>IF($Y145="","",INDEX($C$6:$C$40000,$Y145)&amp;"")</f>
        <v/>
      </c>
      <c r="AA145" s="59">
        <f>IF($Y145="","",IF(INDEX($D$6:$D$40000,$Y145)="","",INDEX($D$6:$D$40000,$Y145)))</f>
        <v/>
      </c>
      <c r="AB145">
        <f>IF($Y145="","",INDEX($L$6:$L$40000,$Y145)&amp;"")</f>
        <v/>
      </c>
    </row>
    <row r="146">
      <c r="Y146" s="47">
        <f>IFERROR(MATCH(Library!M146,$M$6:$M$40000,0),"")</f>
        <v/>
      </c>
      <c r="Z146">
        <f>IF($Y146="","",INDEX($C$6:$C$40000,$Y146)&amp;"")</f>
        <v/>
      </c>
      <c r="AA146" s="59">
        <f>IF($Y146="","",IF(INDEX($D$6:$D$40000,$Y146)="","",INDEX($D$6:$D$40000,$Y146)))</f>
        <v/>
      </c>
      <c r="AB146">
        <f>IF($Y146="","",INDEX($L$6:$L$40000,$Y146)&amp;"")</f>
        <v/>
      </c>
    </row>
    <row r="147">
      <c r="Y147" s="47">
        <f>IFERROR(MATCH(Library!M147,$M$6:$M$40000,0),"")</f>
        <v/>
      </c>
      <c r="Z147">
        <f>IF($Y147="","",INDEX($C$6:$C$40000,$Y147)&amp;"")</f>
        <v/>
      </c>
      <c r="AA147" s="59">
        <f>IF($Y147="","",IF(INDEX($D$6:$D$40000,$Y147)="","",INDEX($D$6:$D$40000,$Y147)))</f>
        <v/>
      </c>
      <c r="AB147">
        <f>IF($Y147="","",INDEX($L$6:$L$40000,$Y147)&amp;"")</f>
        <v/>
      </c>
    </row>
    <row r="148">
      <c r="Y148" s="47">
        <f>IFERROR(MATCH(Library!M148,$M$6:$M$40000,0),"")</f>
        <v/>
      </c>
      <c r="Z148">
        <f>IF($Y148="","",INDEX($C$6:$C$40000,$Y148)&amp;"")</f>
        <v/>
      </c>
      <c r="AA148" s="59">
        <f>IF($Y148="","",IF(INDEX($D$6:$D$40000,$Y148)="","",INDEX($D$6:$D$40000,$Y148)))</f>
        <v/>
      </c>
      <c r="AB148">
        <f>IF($Y148="","",INDEX($L$6:$L$40000,$Y148)&amp;"")</f>
        <v/>
      </c>
    </row>
    <row r="149">
      <c r="Y149" s="47">
        <f>IFERROR(MATCH(Library!M149,$M$6:$M$40000,0),"")</f>
        <v/>
      </c>
      <c r="Z149">
        <f>IF($Y149="","",INDEX($C$6:$C$40000,$Y149)&amp;"")</f>
        <v/>
      </c>
      <c r="AA149" s="59">
        <f>IF($Y149="","",IF(INDEX($D$6:$D$40000,$Y149)="","",INDEX($D$6:$D$40000,$Y149)))</f>
        <v/>
      </c>
      <c r="AB149">
        <f>IF($Y149="","",INDEX($L$6:$L$40000,$Y149)&amp;"")</f>
        <v/>
      </c>
    </row>
    <row r="150">
      <c r="Y150" s="47">
        <f>IFERROR(MATCH(Library!M150,$M$6:$M$40000,0),"")</f>
        <v/>
      </c>
      <c r="Z150">
        <f>IF($Y150="","",INDEX($C$6:$C$40000,$Y150)&amp;"")</f>
        <v/>
      </c>
      <c r="AA150" s="59">
        <f>IF($Y150="","",IF(INDEX($D$6:$D$40000,$Y150)="","",INDEX($D$6:$D$40000,$Y150)))</f>
        <v/>
      </c>
      <c r="AB150">
        <f>IF($Y150="","",INDEX($L$6:$L$40000,$Y150)&amp;"")</f>
        <v/>
      </c>
    </row>
    <row r="151">
      <c r="Y151" s="47">
        <f>IFERROR(MATCH(Library!M151,$M$6:$M$40000,0),"")</f>
        <v/>
      </c>
      <c r="Z151">
        <f>IF($Y151="","",INDEX($C$6:$C$40000,$Y151)&amp;"")</f>
        <v/>
      </c>
      <c r="AA151" s="59">
        <f>IF($Y151="","",IF(INDEX($D$6:$D$40000,$Y151)="","",INDEX($D$6:$D$40000,$Y151)))</f>
        <v/>
      </c>
      <c r="AB151">
        <f>IF($Y151="","",INDEX($L$6:$L$40000,$Y151)&amp;"")</f>
        <v/>
      </c>
    </row>
    <row r="152">
      <c r="Y152" s="47">
        <f>IFERROR(MATCH(Library!M152,$M$6:$M$40000,0),"")</f>
        <v/>
      </c>
      <c r="Z152">
        <f>IF($Y152="","",INDEX($C$6:$C$40000,$Y152)&amp;"")</f>
        <v/>
      </c>
      <c r="AA152" s="59">
        <f>IF($Y152="","",IF(INDEX($D$6:$D$40000,$Y152)="","",INDEX($D$6:$D$40000,$Y152)))</f>
        <v/>
      </c>
      <c r="AB152">
        <f>IF($Y152="","",INDEX($L$6:$L$40000,$Y152)&amp;"")</f>
        <v/>
      </c>
    </row>
    <row r="153">
      <c r="Y153" s="47">
        <f>IFERROR(MATCH(Library!M153,$M$6:$M$40000,0),"")</f>
        <v/>
      </c>
      <c r="Z153">
        <f>IF($Y153="","",INDEX($C$6:$C$40000,$Y153)&amp;"")</f>
        <v/>
      </c>
      <c r="AA153" s="59">
        <f>IF($Y153="","",IF(INDEX($D$6:$D$40000,$Y153)="","",INDEX($D$6:$D$40000,$Y153)))</f>
        <v/>
      </c>
      <c r="AB153">
        <f>IF($Y153="","",INDEX($L$6:$L$40000,$Y153)&amp;"")</f>
        <v/>
      </c>
    </row>
    <row r="154">
      <c r="Y154" s="47">
        <f>IFERROR(MATCH(Library!M154,$M$6:$M$40000,0),"")</f>
        <v/>
      </c>
      <c r="Z154">
        <f>IF($Y154="","",INDEX($C$6:$C$40000,$Y154)&amp;"")</f>
        <v/>
      </c>
      <c r="AA154" s="59">
        <f>IF($Y154="","",IF(INDEX($D$6:$D$40000,$Y154)="","",INDEX($D$6:$D$40000,$Y154)))</f>
        <v/>
      </c>
      <c r="AB154">
        <f>IF($Y154="","",INDEX($L$6:$L$40000,$Y154)&amp;"")</f>
        <v/>
      </c>
    </row>
    <row r="155">
      <c r="Y155" s="47">
        <f>IFERROR(MATCH(Library!M155,$M$6:$M$40000,0),"")</f>
        <v/>
      </c>
      <c r="Z155">
        <f>IF($Y155="","",INDEX($C$6:$C$40000,$Y155)&amp;"")</f>
        <v/>
      </c>
      <c r="AA155" s="59">
        <f>IF($Y155="","",IF(INDEX($D$6:$D$40000,$Y155)="","",INDEX($D$6:$D$40000,$Y155)))</f>
        <v/>
      </c>
      <c r="AB155">
        <f>IF($Y155="","",INDEX($L$6:$L$40000,$Y155)&amp;"")</f>
        <v/>
      </c>
    </row>
    <row r="156">
      <c r="Y156" s="47">
        <f>IFERROR(MATCH(Library!M156,$M$6:$M$40000,0),"")</f>
        <v/>
      </c>
      <c r="Z156">
        <f>IF($Y156="","",INDEX($C$6:$C$40000,$Y156)&amp;"")</f>
        <v/>
      </c>
      <c r="AA156" s="59">
        <f>IF($Y156="","",IF(INDEX($D$6:$D$40000,$Y156)="","",INDEX($D$6:$D$40000,$Y156)))</f>
        <v/>
      </c>
      <c r="AB156">
        <f>IF($Y156="","",INDEX($L$6:$L$40000,$Y156)&amp;"")</f>
        <v/>
      </c>
    </row>
    <row r="157">
      <c r="Y157" s="47">
        <f>IFERROR(MATCH(Library!M157,$M$6:$M$40000,0),"")</f>
        <v/>
      </c>
      <c r="Z157">
        <f>IF($Y157="","",INDEX($C$6:$C$40000,$Y157)&amp;"")</f>
        <v/>
      </c>
      <c r="AA157" s="59">
        <f>IF($Y157="","",IF(INDEX($D$6:$D$40000,$Y157)="","",INDEX($D$6:$D$40000,$Y157)))</f>
        <v/>
      </c>
      <c r="AB157">
        <f>IF($Y157="","",INDEX($L$6:$L$40000,$Y157)&amp;"")</f>
        <v/>
      </c>
    </row>
    <row r="158">
      <c r="Y158" s="47">
        <f>IFERROR(MATCH(Library!M158,$M$6:$M$40000,0),"")</f>
        <v/>
      </c>
      <c r="Z158">
        <f>IF($Y158="","",INDEX($C$6:$C$40000,$Y158)&amp;"")</f>
        <v/>
      </c>
      <c r="AA158" s="59">
        <f>IF($Y158="","",IF(INDEX($D$6:$D$40000,$Y158)="","",INDEX($D$6:$D$40000,$Y158)))</f>
        <v/>
      </c>
      <c r="AB158">
        <f>IF($Y158="","",INDEX($L$6:$L$40000,$Y158)&amp;"")</f>
        <v/>
      </c>
    </row>
    <row r="159">
      <c r="Y159" s="47">
        <f>IFERROR(MATCH(Library!M159,$M$6:$M$40000,0),"")</f>
        <v/>
      </c>
      <c r="Z159">
        <f>IF($Y159="","",INDEX($C$6:$C$40000,$Y159)&amp;"")</f>
        <v/>
      </c>
      <c r="AA159" s="59">
        <f>IF($Y159="","",IF(INDEX($D$6:$D$40000,$Y159)="","",INDEX($D$6:$D$40000,$Y159)))</f>
        <v/>
      </c>
      <c r="AB159">
        <f>IF($Y159="","",INDEX($L$6:$L$40000,$Y159)&amp;"")</f>
        <v/>
      </c>
    </row>
    <row r="160">
      <c r="Y160" s="47">
        <f>IFERROR(MATCH(Library!M160,$M$6:$M$40000,0),"")</f>
        <v/>
      </c>
      <c r="Z160">
        <f>IF($Y160="","",INDEX($C$6:$C$40000,$Y160)&amp;"")</f>
        <v/>
      </c>
      <c r="AA160" s="59">
        <f>IF($Y160="","",IF(INDEX($D$6:$D$40000,$Y160)="","",INDEX($D$6:$D$40000,$Y160)))</f>
        <v/>
      </c>
      <c r="AB160">
        <f>IF($Y160="","",INDEX($L$6:$L$40000,$Y160)&amp;"")</f>
        <v/>
      </c>
    </row>
    <row r="161">
      <c r="Y161" s="47">
        <f>IFERROR(MATCH(Library!M161,$M$6:$M$40000,0),"")</f>
        <v/>
      </c>
      <c r="Z161">
        <f>IF($Y161="","",INDEX($C$6:$C$40000,$Y161)&amp;"")</f>
        <v/>
      </c>
      <c r="AA161" s="59">
        <f>IF($Y161="","",IF(INDEX($D$6:$D$40000,$Y161)="","",INDEX($D$6:$D$40000,$Y161)))</f>
        <v/>
      </c>
      <c r="AB161">
        <f>IF($Y161="","",INDEX($L$6:$L$40000,$Y161)&amp;"")</f>
        <v/>
      </c>
    </row>
    <row r="162">
      <c r="Y162" s="47">
        <f>IFERROR(MATCH(Library!M162,$M$6:$M$40000,0),"")</f>
        <v/>
      </c>
      <c r="Z162">
        <f>IF($Y162="","",INDEX($C$6:$C$40000,$Y162)&amp;"")</f>
        <v/>
      </c>
      <c r="AA162" s="59">
        <f>IF($Y162="","",IF(INDEX($D$6:$D$40000,$Y162)="","",INDEX($D$6:$D$40000,$Y162)))</f>
        <v/>
      </c>
      <c r="AB162">
        <f>IF($Y162="","",INDEX($L$6:$L$40000,$Y162)&amp;"")</f>
        <v/>
      </c>
    </row>
    <row r="163">
      <c r="Y163" s="47">
        <f>IFERROR(MATCH(Library!M163,$M$6:$M$40000,0),"")</f>
        <v/>
      </c>
      <c r="Z163">
        <f>IF($Y163="","",INDEX($C$6:$C$40000,$Y163)&amp;"")</f>
        <v/>
      </c>
      <c r="AA163" s="59">
        <f>IF($Y163="","",IF(INDEX($D$6:$D$40000,$Y163)="","",INDEX($D$6:$D$40000,$Y163)))</f>
        <v/>
      </c>
      <c r="AB163">
        <f>IF($Y163="","",INDEX($L$6:$L$40000,$Y163)&amp;"")</f>
        <v/>
      </c>
    </row>
    <row r="164">
      <c r="Y164" s="47">
        <f>IFERROR(MATCH(Library!M164,$M$6:$M$40000,0),"")</f>
        <v/>
      </c>
      <c r="Z164">
        <f>IF($Y164="","",INDEX($C$6:$C$40000,$Y164)&amp;"")</f>
        <v/>
      </c>
      <c r="AA164" s="59">
        <f>IF($Y164="","",IF(INDEX($D$6:$D$40000,$Y164)="","",INDEX($D$6:$D$40000,$Y164)))</f>
        <v/>
      </c>
      <c r="AB164">
        <f>IF($Y164="","",INDEX($L$6:$L$40000,$Y164)&amp;"")</f>
        <v/>
      </c>
    </row>
    <row r="165">
      <c r="Y165" s="47">
        <f>IFERROR(MATCH(Library!M165,$M$6:$M$40000,0),"")</f>
        <v/>
      </c>
      <c r="Z165">
        <f>IF($Y165="","",INDEX($C$6:$C$40000,$Y165)&amp;"")</f>
        <v/>
      </c>
      <c r="AA165" s="59">
        <f>IF($Y165="","",IF(INDEX($D$6:$D$40000,$Y165)="","",INDEX($D$6:$D$40000,$Y165)))</f>
        <v/>
      </c>
      <c r="AB165">
        <f>IF($Y165="","",INDEX($L$6:$L$40000,$Y165)&amp;"")</f>
        <v/>
      </c>
    </row>
    <row r="166">
      <c r="Y166" s="47">
        <f>IFERROR(MATCH(Library!M166,$M$6:$M$40000,0),"")</f>
        <v/>
      </c>
      <c r="Z166">
        <f>IF($Y166="","",INDEX($C$6:$C$40000,$Y166)&amp;"")</f>
        <v/>
      </c>
      <c r="AA166" s="59">
        <f>IF($Y166="","",IF(INDEX($D$6:$D$40000,$Y166)="","",INDEX($D$6:$D$40000,$Y166)))</f>
        <v/>
      </c>
      <c r="AB166">
        <f>IF($Y166="","",INDEX($L$6:$L$40000,$Y166)&amp;"")</f>
        <v/>
      </c>
    </row>
    <row r="167">
      <c r="Y167" s="47">
        <f>IFERROR(MATCH(Library!M167,$M$6:$M$40000,0),"")</f>
        <v/>
      </c>
      <c r="Z167">
        <f>IF($Y167="","",INDEX($C$6:$C$40000,$Y167)&amp;"")</f>
        <v/>
      </c>
      <c r="AA167" s="59">
        <f>IF($Y167="","",IF(INDEX($D$6:$D$40000,$Y167)="","",INDEX($D$6:$D$40000,$Y167)))</f>
        <v/>
      </c>
      <c r="AB167">
        <f>IF($Y167="","",INDEX($L$6:$L$40000,$Y167)&amp;"")</f>
        <v/>
      </c>
    </row>
    <row r="168">
      <c r="Y168" s="47">
        <f>IFERROR(MATCH(Library!M168,$M$6:$M$40000,0),"")</f>
        <v/>
      </c>
      <c r="Z168">
        <f>IF($Y168="","",INDEX($C$6:$C$40000,$Y168)&amp;"")</f>
        <v/>
      </c>
      <c r="AA168" s="59">
        <f>IF($Y168="","",IF(INDEX($D$6:$D$40000,$Y168)="","",INDEX($D$6:$D$40000,$Y168)))</f>
        <v/>
      </c>
      <c r="AB168">
        <f>IF($Y168="","",INDEX($L$6:$L$40000,$Y168)&amp;"")</f>
        <v/>
      </c>
    </row>
    <row r="169">
      <c r="Y169" s="47">
        <f>IFERROR(MATCH(Library!M169,$M$6:$M$40000,0),"")</f>
        <v/>
      </c>
      <c r="Z169">
        <f>IF($Y169="","",INDEX($C$6:$C$40000,$Y169)&amp;"")</f>
        <v/>
      </c>
      <c r="AA169" s="59">
        <f>IF($Y169="","",IF(INDEX($D$6:$D$40000,$Y169)="","",INDEX($D$6:$D$40000,$Y169)))</f>
        <v/>
      </c>
      <c r="AB169">
        <f>IF($Y169="","",INDEX($L$6:$L$40000,$Y169)&amp;"")</f>
        <v/>
      </c>
    </row>
    <row r="170">
      <c r="Y170" s="47">
        <f>IFERROR(MATCH(Library!M170,$M$6:$M$40000,0),"")</f>
        <v/>
      </c>
      <c r="Z170">
        <f>IF($Y170="","",INDEX($C$6:$C$40000,$Y170)&amp;"")</f>
        <v/>
      </c>
      <c r="AA170" s="59">
        <f>IF($Y170="","",IF(INDEX($D$6:$D$40000,$Y170)="","",INDEX($D$6:$D$40000,$Y170)))</f>
        <v/>
      </c>
      <c r="AB170">
        <f>IF($Y170="","",INDEX($L$6:$L$40000,$Y170)&amp;"")</f>
        <v/>
      </c>
    </row>
    <row r="171">
      <c r="Y171" s="47">
        <f>IFERROR(MATCH(Library!M171,$M$6:$M$40000,0),"")</f>
        <v/>
      </c>
      <c r="Z171">
        <f>IF($Y171="","",INDEX($C$6:$C$40000,$Y171)&amp;"")</f>
        <v/>
      </c>
      <c r="AA171" s="59">
        <f>IF($Y171="","",IF(INDEX($D$6:$D$40000,$Y171)="","",INDEX($D$6:$D$40000,$Y171)))</f>
        <v/>
      </c>
      <c r="AB171">
        <f>IF($Y171="","",INDEX($L$6:$L$40000,$Y171)&amp;"")</f>
        <v/>
      </c>
    </row>
    <row r="172">
      <c r="Y172" s="47">
        <f>IFERROR(MATCH(Library!M172,$M$6:$M$40000,0),"")</f>
        <v/>
      </c>
      <c r="Z172">
        <f>IF($Y172="","",INDEX($C$6:$C$40000,$Y172)&amp;"")</f>
        <v/>
      </c>
      <c r="AA172" s="59">
        <f>IF($Y172="","",IF(INDEX($D$6:$D$40000,$Y172)="","",INDEX($D$6:$D$40000,$Y172)))</f>
        <v/>
      </c>
      <c r="AB172">
        <f>IF($Y172="","",INDEX($L$6:$L$40000,$Y172)&amp;"")</f>
        <v/>
      </c>
    </row>
    <row r="173">
      <c r="Y173" s="47">
        <f>IFERROR(MATCH(Library!M173,$M$6:$M$40000,0),"")</f>
        <v/>
      </c>
      <c r="Z173">
        <f>IF($Y173="","",INDEX($C$6:$C$40000,$Y173)&amp;"")</f>
        <v/>
      </c>
      <c r="AA173" s="59">
        <f>IF($Y173="","",IF(INDEX($D$6:$D$40000,$Y173)="","",INDEX($D$6:$D$40000,$Y173)))</f>
        <v/>
      </c>
      <c r="AB173">
        <f>IF($Y173="","",INDEX($L$6:$L$40000,$Y173)&amp;"")</f>
        <v/>
      </c>
    </row>
    <row r="174">
      <c r="Y174" s="47">
        <f>IFERROR(MATCH(Library!M174,$M$6:$M$40000,0),"")</f>
        <v/>
      </c>
      <c r="Z174">
        <f>IF($Y174="","",INDEX($C$6:$C$40000,$Y174)&amp;"")</f>
        <v/>
      </c>
      <c r="AA174" s="59">
        <f>IF($Y174="","",IF(INDEX($D$6:$D$40000,$Y174)="","",INDEX($D$6:$D$40000,$Y174)))</f>
        <v/>
      </c>
      <c r="AB174">
        <f>IF($Y174="","",INDEX($L$6:$L$40000,$Y174)&amp;"")</f>
        <v/>
      </c>
    </row>
    <row r="175">
      <c r="Y175" s="47">
        <f>IFERROR(MATCH(Library!M175,$M$6:$M$40000,0),"")</f>
        <v/>
      </c>
      <c r="Z175">
        <f>IF($Y175="","",INDEX($C$6:$C$40000,$Y175)&amp;"")</f>
        <v/>
      </c>
      <c r="AA175" s="59">
        <f>IF($Y175="","",IF(INDEX($D$6:$D$40000,$Y175)="","",INDEX($D$6:$D$40000,$Y175)))</f>
        <v/>
      </c>
      <c r="AB175">
        <f>IF($Y175="","",INDEX($L$6:$L$40000,$Y175)&amp;"")</f>
        <v/>
      </c>
    </row>
    <row r="176">
      <c r="Y176" s="47">
        <f>IFERROR(MATCH(Library!M176,$M$6:$M$40000,0),"")</f>
        <v/>
      </c>
      <c r="Z176">
        <f>IF($Y176="","",INDEX($C$6:$C$40000,$Y176)&amp;"")</f>
        <v/>
      </c>
      <c r="AA176" s="59">
        <f>IF($Y176="","",IF(INDEX($D$6:$D$40000,$Y176)="","",INDEX($D$6:$D$40000,$Y176)))</f>
        <v/>
      </c>
      <c r="AB176">
        <f>IF($Y176="","",INDEX($L$6:$L$40000,$Y176)&amp;"")</f>
        <v/>
      </c>
    </row>
    <row r="177">
      <c r="Y177" s="47">
        <f>IFERROR(MATCH(Library!M177,$M$6:$M$40000,0),"")</f>
        <v/>
      </c>
      <c r="Z177">
        <f>IF($Y177="","",INDEX($C$6:$C$40000,$Y177)&amp;"")</f>
        <v/>
      </c>
      <c r="AA177" s="59">
        <f>IF($Y177="","",IF(INDEX($D$6:$D$40000,$Y177)="","",INDEX($D$6:$D$40000,$Y177)))</f>
        <v/>
      </c>
      <c r="AB177">
        <f>IF($Y177="","",INDEX($L$6:$L$40000,$Y177)&amp;"")</f>
        <v/>
      </c>
    </row>
    <row r="178">
      <c r="Y178" s="47">
        <f>IFERROR(MATCH(Library!M178,$M$6:$M$40000,0),"")</f>
        <v/>
      </c>
      <c r="Z178">
        <f>IF($Y178="","",INDEX($C$6:$C$40000,$Y178)&amp;"")</f>
        <v/>
      </c>
      <c r="AA178" s="59">
        <f>IF($Y178="","",IF(INDEX($D$6:$D$40000,$Y178)="","",INDEX($D$6:$D$40000,$Y178)))</f>
        <v/>
      </c>
      <c r="AB178">
        <f>IF($Y178="","",INDEX($L$6:$L$40000,$Y178)&amp;"")</f>
        <v/>
      </c>
    </row>
    <row r="179">
      <c r="Y179" s="47">
        <f>IFERROR(MATCH(Library!M179,$M$6:$M$40000,0),"")</f>
        <v/>
      </c>
      <c r="Z179">
        <f>IF($Y179="","",INDEX($C$6:$C$40000,$Y179)&amp;"")</f>
        <v/>
      </c>
      <c r="AA179" s="59">
        <f>IF($Y179="","",IF(INDEX($D$6:$D$40000,$Y179)="","",INDEX($D$6:$D$40000,$Y179)))</f>
        <v/>
      </c>
      <c r="AB179">
        <f>IF($Y179="","",INDEX($L$6:$L$40000,$Y179)&amp;"")</f>
        <v/>
      </c>
    </row>
    <row r="180">
      <c r="Y180" s="47">
        <f>IFERROR(MATCH(Library!M180,$M$6:$M$40000,0),"")</f>
        <v/>
      </c>
      <c r="Z180">
        <f>IF($Y180="","",INDEX($C$6:$C$40000,$Y180)&amp;"")</f>
        <v/>
      </c>
      <c r="AA180" s="59">
        <f>IF($Y180="","",IF(INDEX($D$6:$D$40000,$Y180)="","",INDEX($D$6:$D$40000,$Y180)))</f>
        <v/>
      </c>
      <c r="AB180">
        <f>IF($Y180="","",INDEX($L$6:$L$40000,$Y180)&amp;"")</f>
        <v/>
      </c>
    </row>
    <row r="181">
      <c r="Y181" s="47">
        <f>IFERROR(MATCH(Library!M181,$M$6:$M$40000,0),"")</f>
        <v/>
      </c>
      <c r="Z181">
        <f>IF($Y181="","",INDEX($C$6:$C$40000,$Y181)&amp;"")</f>
        <v/>
      </c>
      <c r="AA181" s="59">
        <f>IF($Y181="","",IF(INDEX($D$6:$D$40000,$Y181)="","",INDEX($D$6:$D$40000,$Y181)))</f>
        <v/>
      </c>
      <c r="AB181">
        <f>IF($Y181="","",INDEX($L$6:$L$40000,$Y181)&amp;"")</f>
        <v/>
      </c>
    </row>
    <row r="182">
      <c r="Y182" s="47">
        <f>IFERROR(MATCH(Library!M182,$M$6:$M$40000,0),"")</f>
        <v/>
      </c>
      <c r="Z182">
        <f>IF($Y182="","",INDEX($C$6:$C$40000,$Y182)&amp;"")</f>
        <v/>
      </c>
      <c r="AA182" s="59">
        <f>IF($Y182="","",IF(INDEX($D$6:$D$40000,$Y182)="","",INDEX($D$6:$D$40000,$Y182)))</f>
        <v/>
      </c>
      <c r="AB182">
        <f>IF($Y182="","",INDEX($L$6:$L$40000,$Y182)&amp;"")</f>
        <v/>
      </c>
    </row>
    <row r="183">
      <c r="Y183" s="47">
        <f>IFERROR(MATCH(Library!M183,$M$6:$M$40000,0),"")</f>
        <v/>
      </c>
      <c r="Z183">
        <f>IF($Y183="","",INDEX($C$6:$C$40000,$Y183)&amp;"")</f>
        <v/>
      </c>
      <c r="AA183" s="59">
        <f>IF($Y183="","",IF(INDEX($D$6:$D$40000,$Y183)="","",INDEX($D$6:$D$40000,$Y183)))</f>
        <v/>
      </c>
      <c r="AB183">
        <f>IF($Y183="","",INDEX($L$6:$L$40000,$Y183)&amp;"")</f>
        <v/>
      </c>
    </row>
    <row r="184">
      <c r="Y184" s="47">
        <f>IFERROR(MATCH(Library!M184,$M$6:$M$40000,0),"")</f>
        <v/>
      </c>
      <c r="Z184">
        <f>IF($Y184="","",INDEX($C$6:$C$40000,$Y184)&amp;"")</f>
        <v/>
      </c>
      <c r="AA184" s="59">
        <f>IF($Y184="","",IF(INDEX($D$6:$D$40000,$Y184)="","",INDEX($D$6:$D$40000,$Y184)))</f>
        <v/>
      </c>
      <c r="AB184">
        <f>IF($Y184="","",INDEX($L$6:$L$40000,$Y184)&amp;"")</f>
        <v/>
      </c>
    </row>
    <row r="185">
      <c r="Y185" s="47">
        <f>IFERROR(MATCH(Library!M185,$M$6:$M$40000,0),"")</f>
        <v/>
      </c>
      <c r="Z185">
        <f>IF($Y185="","",INDEX($C$6:$C$40000,$Y185)&amp;"")</f>
        <v/>
      </c>
      <c r="AA185" s="59">
        <f>IF($Y185="","",IF(INDEX($D$6:$D$40000,$Y185)="","",INDEX($D$6:$D$40000,$Y185)))</f>
        <v/>
      </c>
      <c r="AB185">
        <f>IF($Y185="","",INDEX($L$6:$L$40000,$Y185)&amp;"")</f>
        <v/>
      </c>
    </row>
    <row r="186">
      <c r="Y186" s="47">
        <f>IFERROR(MATCH(Library!M186,$M$6:$M$40000,0),"")</f>
        <v/>
      </c>
      <c r="Z186">
        <f>IF($Y186="","",INDEX($C$6:$C$40000,$Y186)&amp;"")</f>
        <v/>
      </c>
      <c r="AA186" s="59">
        <f>IF($Y186="","",IF(INDEX($D$6:$D$40000,$Y186)="","",INDEX($D$6:$D$40000,$Y186)))</f>
        <v/>
      </c>
      <c r="AB186">
        <f>IF($Y186="","",INDEX($L$6:$L$40000,$Y186)&amp;"")</f>
        <v/>
      </c>
    </row>
    <row r="187">
      <c r="Y187" s="47">
        <f>IFERROR(MATCH(Library!M187,$M$6:$M$40000,0),"")</f>
        <v/>
      </c>
      <c r="Z187">
        <f>IF($Y187="","",INDEX($C$6:$C$40000,$Y187)&amp;"")</f>
        <v/>
      </c>
      <c r="AA187" s="59">
        <f>IF($Y187="","",IF(INDEX($D$6:$D$40000,$Y187)="","",INDEX($D$6:$D$40000,$Y187)))</f>
        <v/>
      </c>
      <c r="AB187">
        <f>IF($Y187="","",INDEX($L$6:$L$40000,$Y187)&amp;"")</f>
        <v/>
      </c>
    </row>
    <row r="188">
      <c r="Y188" s="47">
        <f>IFERROR(MATCH(Library!M188,$M$6:$M$40000,0),"")</f>
        <v/>
      </c>
      <c r="Z188">
        <f>IF($Y188="","",INDEX($C$6:$C$40000,$Y188)&amp;"")</f>
        <v/>
      </c>
      <c r="AA188" s="59">
        <f>IF($Y188="","",IF(INDEX($D$6:$D$40000,$Y188)="","",INDEX($D$6:$D$40000,$Y188)))</f>
        <v/>
      </c>
      <c r="AB188">
        <f>IF($Y188="","",INDEX($L$6:$L$40000,$Y188)&amp;"")</f>
        <v/>
      </c>
    </row>
    <row r="189">
      <c r="Y189" s="47">
        <f>IFERROR(MATCH(Library!M189,$M$6:$M$40000,0),"")</f>
        <v/>
      </c>
      <c r="Z189">
        <f>IF($Y189="","",INDEX($C$6:$C$40000,$Y189)&amp;"")</f>
        <v/>
      </c>
      <c r="AA189" s="59">
        <f>IF($Y189="","",IF(INDEX($D$6:$D$40000,$Y189)="","",INDEX($D$6:$D$40000,$Y189)))</f>
        <v/>
      </c>
      <c r="AB189">
        <f>IF($Y189="","",INDEX($L$6:$L$40000,$Y189)&amp;"")</f>
        <v/>
      </c>
    </row>
    <row r="190">
      <c r="Y190" s="47">
        <f>IFERROR(MATCH(Library!M190,$M$6:$M$40000,0),"")</f>
        <v/>
      </c>
      <c r="Z190">
        <f>IF($Y190="","",INDEX($C$6:$C$40000,$Y190)&amp;"")</f>
        <v/>
      </c>
      <c r="AA190" s="59">
        <f>IF($Y190="","",IF(INDEX($D$6:$D$40000,$Y190)="","",INDEX($D$6:$D$40000,$Y190)))</f>
        <v/>
      </c>
      <c r="AB190">
        <f>IF($Y190="","",INDEX($L$6:$L$40000,$Y190)&amp;"")</f>
        <v/>
      </c>
    </row>
    <row r="191">
      <c r="Y191" s="47">
        <f>IFERROR(MATCH(Library!M191,$M$6:$M$40000,0),"")</f>
        <v/>
      </c>
      <c r="Z191">
        <f>IF($Y191="","",INDEX($C$6:$C$40000,$Y191)&amp;"")</f>
        <v/>
      </c>
      <c r="AA191" s="59">
        <f>IF($Y191="","",IF(INDEX($D$6:$D$40000,$Y191)="","",INDEX($D$6:$D$40000,$Y191)))</f>
        <v/>
      </c>
      <c r="AB191">
        <f>IF($Y191="","",INDEX($L$6:$L$40000,$Y191)&amp;"")</f>
        <v/>
      </c>
    </row>
    <row r="192">
      <c r="Y192" s="47">
        <f>IFERROR(MATCH(Library!M192,$M$6:$M$40000,0),"")</f>
        <v/>
      </c>
      <c r="Z192">
        <f>IF($Y192="","",INDEX($C$6:$C$40000,$Y192)&amp;"")</f>
        <v/>
      </c>
      <c r="AA192" s="59">
        <f>IF($Y192="","",IF(INDEX($D$6:$D$40000,$Y192)="","",INDEX($D$6:$D$40000,$Y192)))</f>
        <v/>
      </c>
      <c r="AB192">
        <f>IF($Y192="","",INDEX($L$6:$L$40000,$Y192)&amp;"")</f>
        <v/>
      </c>
    </row>
    <row r="193">
      <c r="Y193" s="47">
        <f>IFERROR(MATCH(Library!M193,$M$6:$M$40000,0),"")</f>
        <v/>
      </c>
      <c r="Z193">
        <f>IF($Y193="","",INDEX($C$6:$C$40000,$Y193)&amp;"")</f>
        <v/>
      </c>
      <c r="AA193" s="59">
        <f>IF($Y193="","",IF(INDEX($D$6:$D$40000,$Y193)="","",INDEX($D$6:$D$40000,$Y193)))</f>
        <v/>
      </c>
      <c r="AB193">
        <f>IF($Y193="","",INDEX($L$6:$L$40000,$Y193)&amp;"")</f>
        <v/>
      </c>
    </row>
    <row r="194">
      <c r="Y194" s="47">
        <f>IFERROR(MATCH(Library!M194,$M$6:$M$40000,0),"")</f>
        <v/>
      </c>
      <c r="Z194">
        <f>IF($Y194="","",INDEX($C$6:$C$40000,$Y194)&amp;"")</f>
        <v/>
      </c>
      <c r="AA194" s="59">
        <f>IF($Y194="","",IF(INDEX($D$6:$D$40000,$Y194)="","",INDEX($D$6:$D$40000,$Y194)))</f>
        <v/>
      </c>
      <c r="AB194">
        <f>IF($Y194="","",INDEX($L$6:$L$40000,$Y194)&amp;"")</f>
        <v/>
      </c>
    </row>
    <row r="195">
      <c r="Y195" s="47">
        <f>IFERROR(MATCH(Library!M195,$M$6:$M$40000,0),"")</f>
        <v/>
      </c>
      <c r="Z195">
        <f>IF($Y195="","",INDEX($C$6:$C$40000,$Y195)&amp;"")</f>
        <v/>
      </c>
      <c r="AA195" s="59">
        <f>IF($Y195="","",IF(INDEX($D$6:$D$40000,$Y195)="","",INDEX($D$6:$D$40000,$Y195)))</f>
        <v/>
      </c>
      <c r="AB195">
        <f>IF($Y195="","",INDEX($L$6:$L$40000,$Y195)&amp;"")</f>
        <v/>
      </c>
    </row>
    <row r="196">
      <c r="Y196" s="47">
        <f>IFERROR(MATCH(Library!M196,$M$6:$M$40000,0),"")</f>
        <v/>
      </c>
      <c r="Z196">
        <f>IF($Y196="","",INDEX($C$6:$C$40000,$Y196)&amp;"")</f>
        <v/>
      </c>
      <c r="AA196" s="59">
        <f>IF($Y196="","",IF(INDEX($D$6:$D$40000,$Y196)="","",INDEX($D$6:$D$40000,$Y196)))</f>
        <v/>
      </c>
      <c r="AB196">
        <f>IF($Y196="","",INDEX($L$6:$L$40000,$Y196)&amp;"")</f>
        <v/>
      </c>
    </row>
    <row r="197">
      <c r="Y197" s="47">
        <f>IFERROR(MATCH(Library!M197,$M$6:$M$40000,0),"")</f>
        <v/>
      </c>
      <c r="Z197">
        <f>IF($Y197="","",INDEX($C$6:$C$40000,$Y197)&amp;"")</f>
        <v/>
      </c>
      <c r="AA197" s="59">
        <f>IF($Y197="","",IF(INDEX($D$6:$D$40000,$Y197)="","",INDEX($D$6:$D$40000,$Y197)))</f>
        <v/>
      </c>
      <c r="AB197">
        <f>IF($Y197="","",INDEX($L$6:$L$40000,$Y197)&amp;"")</f>
        <v/>
      </c>
    </row>
    <row r="198">
      <c r="Y198" s="47">
        <f>IFERROR(MATCH(Library!M198,$M$6:$M$40000,0),"")</f>
        <v/>
      </c>
      <c r="Z198">
        <f>IF($Y198="","",INDEX($C$6:$C$40000,$Y198)&amp;"")</f>
        <v/>
      </c>
      <c r="AA198" s="59">
        <f>IF($Y198="","",IF(INDEX($D$6:$D$40000,$Y198)="","",INDEX($D$6:$D$40000,$Y198)))</f>
        <v/>
      </c>
      <c r="AB198">
        <f>IF($Y198="","",INDEX($L$6:$L$40000,$Y198)&amp;"")</f>
        <v/>
      </c>
    </row>
    <row r="199">
      <c r="Y199" s="47">
        <f>IFERROR(MATCH(Library!M199,$M$6:$M$40000,0),"")</f>
        <v/>
      </c>
      <c r="Z199">
        <f>IF($Y199="","",INDEX($C$6:$C$40000,$Y199)&amp;"")</f>
        <v/>
      </c>
      <c r="AA199" s="59">
        <f>IF($Y199="","",IF(INDEX($D$6:$D$40000,$Y199)="","",INDEX($D$6:$D$40000,$Y199)))</f>
        <v/>
      </c>
      <c r="AB199">
        <f>IF($Y199="","",INDEX($L$6:$L$40000,$Y199)&amp;"")</f>
        <v/>
      </c>
    </row>
    <row r="200">
      <c r="Y200" s="47">
        <f>IFERROR(MATCH(Library!M200,$M$6:$M$40000,0),"")</f>
        <v/>
      </c>
      <c r="Z200">
        <f>IF($Y200="","",INDEX($C$6:$C$40000,$Y200)&amp;"")</f>
        <v/>
      </c>
      <c r="AA200" s="59">
        <f>IF($Y200="","",IF(INDEX($D$6:$D$40000,$Y200)="","",INDEX($D$6:$D$40000,$Y200)))</f>
        <v/>
      </c>
      <c r="AB200">
        <f>IF($Y200="","",INDEX($L$6:$L$40000,$Y200)&amp;"")</f>
        <v/>
      </c>
    </row>
    <row r="201">
      <c r="Y201" s="47">
        <f>IFERROR(MATCH(Library!M201,$M$6:$M$40000,0),"")</f>
        <v/>
      </c>
      <c r="Z201">
        <f>IF($Y201="","",INDEX($C$6:$C$40000,$Y201)&amp;"")</f>
        <v/>
      </c>
      <c r="AA201" s="59">
        <f>IF($Y201="","",IF(INDEX($D$6:$D$40000,$Y201)="","",INDEX($D$6:$D$40000,$Y201)))</f>
        <v/>
      </c>
      <c r="AB201">
        <f>IF($Y201="","",INDEX($L$6:$L$40000,$Y201)&amp;"")</f>
        <v/>
      </c>
    </row>
    <row r="202">
      <c r="Y202" s="47">
        <f>IFERROR(MATCH(Library!M202,$M$6:$M$40000,0),"")</f>
        <v/>
      </c>
      <c r="Z202">
        <f>IF($Y202="","",INDEX($C$6:$C$40000,$Y202)&amp;"")</f>
        <v/>
      </c>
      <c r="AA202" s="59">
        <f>IF($Y202="","",IF(INDEX($D$6:$D$40000,$Y202)="","",INDEX($D$6:$D$40000,$Y202)))</f>
        <v/>
      </c>
      <c r="AB202">
        <f>IF($Y202="","",INDEX($L$6:$L$40000,$Y202)&amp;"")</f>
        <v/>
      </c>
    </row>
    <row r="203">
      <c r="Y203" s="47">
        <f>IFERROR(MATCH(Library!M203,$M$6:$M$40000,0),"")</f>
        <v/>
      </c>
      <c r="Z203">
        <f>IF($Y203="","",INDEX($C$6:$C$40000,$Y203)&amp;"")</f>
        <v/>
      </c>
      <c r="AA203" s="59">
        <f>IF($Y203="","",IF(INDEX($D$6:$D$40000,$Y203)="","",INDEX($D$6:$D$40000,$Y203)))</f>
        <v/>
      </c>
      <c r="AB203">
        <f>IF($Y203="","",INDEX($L$6:$L$40000,$Y203)&amp;"")</f>
        <v/>
      </c>
    </row>
    <row r="204">
      <c r="Y204" s="47">
        <f>IFERROR(MATCH(Library!M204,$M$6:$M$40000,0),"")</f>
        <v/>
      </c>
      <c r="Z204">
        <f>IF($Y204="","",INDEX($C$6:$C$40000,$Y204)&amp;"")</f>
        <v/>
      </c>
      <c r="AA204" s="59">
        <f>IF($Y204="","",IF(INDEX($D$6:$D$40000,$Y204)="","",INDEX($D$6:$D$40000,$Y204)))</f>
        <v/>
      </c>
      <c r="AB204">
        <f>IF($Y204="","",INDEX($L$6:$L$40000,$Y204)&amp;"")</f>
        <v/>
      </c>
    </row>
    <row r="205">
      <c r="Y205" s="47">
        <f>IFERROR(MATCH(Library!M205,$M$6:$M$40000,0),"")</f>
        <v/>
      </c>
      <c r="Z205">
        <f>IF($Y205="","",INDEX($C$6:$C$40000,$Y205)&amp;"")</f>
        <v/>
      </c>
      <c r="AA205" s="59">
        <f>IF($Y205="","",IF(INDEX($D$6:$D$40000,$Y205)="","",INDEX($D$6:$D$40000,$Y205)))</f>
        <v/>
      </c>
      <c r="AB205">
        <f>IF($Y205="","",INDEX($L$6:$L$40000,$Y205)&amp;"")</f>
        <v/>
      </c>
    </row>
    <row r="206">
      <c r="Y206" s="47">
        <f>IFERROR(MATCH(Library!M206,$M$6:$M$40000,0),"")</f>
        <v/>
      </c>
      <c r="Z206">
        <f>IF($Y206="","",INDEX($C$6:$C$40000,$Y206)&amp;"")</f>
        <v/>
      </c>
      <c r="AA206" s="59">
        <f>IF($Y206="","",IF(INDEX($D$6:$D$40000,$Y206)="","",INDEX($D$6:$D$40000,$Y206)))</f>
        <v/>
      </c>
      <c r="AB206">
        <f>IF($Y206="","",INDEX($L$6:$L$40000,$Y206)&amp;"")</f>
        <v/>
      </c>
    </row>
    <row r="207">
      <c r="Y207" s="47">
        <f>IFERROR(MATCH(Library!M207,$M$6:$M$40000,0),"")</f>
        <v/>
      </c>
      <c r="Z207">
        <f>IF($Y207="","",INDEX($C$6:$C$40000,$Y207)&amp;"")</f>
        <v/>
      </c>
      <c r="AA207" s="59">
        <f>IF($Y207="","",IF(INDEX($D$6:$D$40000,$Y207)="","",INDEX($D$6:$D$40000,$Y207)))</f>
        <v/>
      </c>
      <c r="AB207">
        <f>IF($Y207="","",INDEX($L$6:$L$40000,$Y207)&amp;"")</f>
        <v/>
      </c>
    </row>
    <row r="208">
      <c r="Y208" s="47">
        <f>IFERROR(MATCH(Library!M208,$M$6:$M$40000,0),"")</f>
        <v/>
      </c>
      <c r="Z208">
        <f>IF($Y208="","",INDEX($C$6:$C$40000,$Y208)&amp;"")</f>
        <v/>
      </c>
      <c r="AA208" s="59">
        <f>IF($Y208="","",IF(INDEX($D$6:$D$40000,$Y208)="","",INDEX($D$6:$D$40000,$Y208)))</f>
        <v/>
      </c>
      <c r="AB208">
        <f>IF($Y208="","",INDEX($L$6:$L$40000,$Y208)&amp;"")</f>
        <v/>
      </c>
    </row>
    <row r="209">
      <c r="Y209" s="47">
        <f>IFERROR(MATCH(Library!M209,$M$6:$M$40000,0),"")</f>
        <v/>
      </c>
      <c r="Z209">
        <f>IF($Y209="","",INDEX($C$6:$C$40000,$Y209)&amp;"")</f>
        <v/>
      </c>
      <c r="AA209" s="59">
        <f>IF($Y209="","",IF(INDEX($D$6:$D$40000,$Y209)="","",INDEX($D$6:$D$40000,$Y209)))</f>
        <v/>
      </c>
      <c r="AB209">
        <f>IF($Y209="","",INDEX($L$6:$L$40000,$Y209)&amp;"")</f>
        <v/>
      </c>
    </row>
    <row r="210">
      <c r="Y210" s="47">
        <f>IFERROR(MATCH(Library!M210,$M$6:$M$40000,0),"")</f>
        <v/>
      </c>
      <c r="Z210">
        <f>IF($Y210="","",INDEX($C$6:$C$40000,$Y210)&amp;"")</f>
        <v/>
      </c>
      <c r="AA210" s="59">
        <f>IF($Y210="","",IF(INDEX($D$6:$D$40000,$Y210)="","",INDEX($D$6:$D$40000,$Y210)))</f>
        <v/>
      </c>
      <c r="AB210">
        <f>IF($Y210="","",INDEX($L$6:$L$40000,$Y210)&amp;"")</f>
        <v/>
      </c>
    </row>
    <row r="211">
      <c r="Y211" s="47">
        <f>IFERROR(MATCH(Library!M211,$M$6:$M$40000,0),"")</f>
        <v/>
      </c>
      <c r="Z211">
        <f>IF($Y211="","",INDEX($C$6:$C$40000,$Y211)&amp;"")</f>
        <v/>
      </c>
      <c r="AA211" s="59">
        <f>IF($Y211="","",IF(INDEX($D$6:$D$40000,$Y211)="","",INDEX($D$6:$D$40000,$Y211)))</f>
        <v/>
      </c>
      <c r="AB211">
        <f>IF($Y211="","",INDEX($L$6:$L$40000,$Y211)&amp;"")</f>
        <v/>
      </c>
    </row>
    <row r="212">
      <c r="Y212" s="47">
        <f>IFERROR(MATCH(Library!M212,$M$6:$M$40000,0),"")</f>
        <v/>
      </c>
      <c r="Z212">
        <f>IF($Y212="","",INDEX($C$6:$C$40000,$Y212)&amp;"")</f>
        <v/>
      </c>
      <c r="AA212" s="59">
        <f>IF($Y212="","",IF(INDEX($D$6:$D$40000,$Y212)="","",INDEX($D$6:$D$40000,$Y212)))</f>
        <v/>
      </c>
      <c r="AB212">
        <f>IF($Y212="","",INDEX($L$6:$L$40000,$Y212)&amp;"")</f>
        <v/>
      </c>
    </row>
    <row r="213">
      <c r="Y213" s="47">
        <f>IFERROR(MATCH(Library!M213,$M$6:$M$40000,0),"")</f>
        <v/>
      </c>
      <c r="Z213">
        <f>IF($Y213="","",INDEX($C$6:$C$40000,$Y213)&amp;"")</f>
        <v/>
      </c>
      <c r="AA213" s="59">
        <f>IF($Y213="","",IF(INDEX($D$6:$D$40000,$Y213)="","",INDEX($D$6:$D$40000,$Y213)))</f>
        <v/>
      </c>
      <c r="AB213">
        <f>IF($Y213="","",INDEX($L$6:$L$40000,$Y213)&amp;"")</f>
        <v/>
      </c>
    </row>
    <row r="214">
      <c r="Y214" s="47">
        <f>IFERROR(MATCH(Library!M214,$M$6:$M$40000,0),"")</f>
        <v/>
      </c>
      <c r="Z214">
        <f>IF($Y214="","",INDEX($C$6:$C$40000,$Y214)&amp;"")</f>
        <v/>
      </c>
      <c r="AA214" s="59">
        <f>IF($Y214="","",IF(INDEX($D$6:$D$40000,$Y214)="","",INDEX($D$6:$D$40000,$Y214)))</f>
        <v/>
      </c>
      <c r="AB214">
        <f>IF($Y214="","",INDEX($L$6:$L$40000,$Y214)&amp;"")</f>
        <v/>
      </c>
    </row>
    <row r="215">
      <c r="Y215" s="47">
        <f>IFERROR(MATCH(Library!M215,$M$6:$M$40000,0),"")</f>
        <v/>
      </c>
      <c r="Z215">
        <f>IF($Y215="","",INDEX($C$6:$C$40000,$Y215)&amp;"")</f>
        <v/>
      </c>
      <c r="AA215" s="59">
        <f>IF($Y215="","",IF(INDEX($D$6:$D$40000,$Y215)="","",INDEX($D$6:$D$40000,$Y215)))</f>
        <v/>
      </c>
      <c r="AB215">
        <f>IF($Y215="","",INDEX($L$6:$L$40000,$Y215)&amp;"")</f>
        <v/>
      </c>
    </row>
    <row r="216">
      <c r="Y216" s="47">
        <f>IFERROR(MATCH(Library!M216,$M$6:$M$40000,0),"")</f>
        <v/>
      </c>
      <c r="Z216">
        <f>IF($Y216="","",INDEX($C$6:$C$40000,$Y216)&amp;"")</f>
        <v/>
      </c>
      <c r="AA216" s="59">
        <f>IF($Y216="","",IF(INDEX($D$6:$D$40000,$Y216)="","",INDEX($D$6:$D$40000,$Y216)))</f>
        <v/>
      </c>
      <c r="AB216">
        <f>IF($Y216="","",INDEX($L$6:$L$40000,$Y216)&amp;"")</f>
        <v/>
      </c>
    </row>
    <row r="217">
      <c r="Y217" s="47">
        <f>IFERROR(MATCH(Library!M217,$M$6:$M$40000,0),"")</f>
        <v/>
      </c>
      <c r="Z217">
        <f>IF($Y217="","",INDEX($C$6:$C$40000,$Y217)&amp;"")</f>
        <v/>
      </c>
      <c r="AA217" s="59">
        <f>IF($Y217="","",IF(INDEX($D$6:$D$40000,$Y217)="","",INDEX($D$6:$D$40000,$Y217)))</f>
        <v/>
      </c>
      <c r="AB217">
        <f>IF($Y217="","",INDEX($L$6:$L$40000,$Y217)&amp;"")</f>
        <v/>
      </c>
    </row>
    <row r="218">
      <c r="Y218" s="47">
        <f>IFERROR(MATCH(Library!M218,$M$6:$M$40000,0),"")</f>
        <v/>
      </c>
      <c r="Z218">
        <f>IF($Y218="","",INDEX($C$6:$C$40000,$Y218)&amp;"")</f>
        <v/>
      </c>
      <c r="AA218" s="59">
        <f>IF($Y218="","",IF(INDEX($D$6:$D$40000,$Y218)="","",INDEX($D$6:$D$40000,$Y218)))</f>
        <v/>
      </c>
      <c r="AB218">
        <f>IF($Y218="","",INDEX($L$6:$L$40000,$Y218)&amp;"")</f>
        <v/>
      </c>
    </row>
    <row r="219">
      <c r="Y219" s="47">
        <f>IFERROR(MATCH(Library!M219,$M$6:$M$40000,0),"")</f>
        <v/>
      </c>
      <c r="Z219">
        <f>IF($Y219="","",INDEX($C$6:$C$40000,$Y219)&amp;"")</f>
        <v/>
      </c>
      <c r="AA219" s="59">
        <f>IF($Y219="","",IF(INDEX($D$6:$D$40000,$Y219)="","",INDEX($D$6:$D$40000,$Y219)))</f>
        <v/>
      </c>
      <c r="AB219">
        <f>IF($Y219="","",INDEX($L$6:$L$40000,$Y219)&amp;"")</f>
        <v/>
      </c>
    </row>
    <row r="220">
      <c r="Y220" s="47">
        <f>IFERROR(MATCH(Library!M220,$M$6:$M$40000,0),"")</f>
        <v/>
      </c>
      <c r="Z220">
        <f>IF($Y220="","",INDEX($C$6:$C$40000,$Y220)&amp;"")</f>
        <v/>
      </c>
      <c r="AA220" s="59">
        <f>IF($Y220="","",IF(INDEX($D$6:$D$40000,$Y220)="","",INDEX($D$6:$D$40000,$Y220)))</f>
        <v/>
      </c>
      <c r="AB220">
        <f>IF($Y220="","",INDEX($L$6:$L$40000,$Y220)&amp;"")</f>
        <v/>
      </c>
    </row>
    <row r="221">
      <c r="Y221" s="47">
        <f>IFERROR(MATCH(Library!M221,$M$6:$M$40000,0),"")</f>
        <v/>
      </c>
      <c r="Z221">
        <f>IF($Y221="","",INDEX($C$6:$C$40000,$Y221)&amp;"")</f>
        <v/>
      </c>
      <c r="AA221" s="59">
        <f>IF($Y221="","",IF(INDEX($D$6:$D$40000,$Y221)="","",INDEX($D$6:$D$40000,$Y221)))</f>
        <v/>
      </c>
      <c r="AB221">
        <f>IF($Y221="","",INDEX($L$6:$L$40000,$Y221)&amp;"")</f>
        <v/>
      </c>
    </row>
    <row r="222">
      <c r="Y222" s="47">
        <f>IFERROR(MATCH(Library!M222,$M$6:$M$40000,0),"")</f>
        <v/>
      </c>
      <c r="Z222">
        <f>IF($Y222="","",INDEX($C$6:$C$40000,$Y222)&amp;"")</f>
        <v/>
      </c>
      <c r="AA222" s="59">
        <f>IF($Y222="","",IF(INDEX($D$6:$D$40000,$Y222)="","",INDEX($D$6:$D$40000,$Y222)))</f>
        <v/>
      </c>
      <c r="AB222">
        <f>IF($Y222="","",INDEX($L$6:$L$40000,$Y222)&amp;"")</f>
        <v/>
      </c>
    </row>
    <row r="223">
      <c r="Y223" s="47">
        <f>IFERROR(MATCH(Library!M223,$M$6:$M$40000,0),"")</f>
        <v/>
      </c>
      <c r="Z223">
        <f>IF($Y223="","",INDEX($C$6:$C$40000,$Y223)&amp;"")</f>
        <v/>
      </c>
      <c r="AA223" s="59">
        <f>IF($Y223="","",IF(INDEX($D$6:$D$40000,$Y223)="","",INDEX($D$6:$D$40000,$Y223)))</f>
        <v/>
      </c>
      <c r="AB223">
        <f>IF($Y223="","",INDEX($L$6:$L$40000,$Y223)&amp;"")</f>
        <v/>
      </c>
    </row>
    <row r="224">
      <c r="Y224" s="47">
        <f>IFERROR(MATCH(Library!M224,$M$6:$M$40000,0),"")</f>
        <v/>
      </c>
      <c r="Z224">
        <f>IF($Y224="","",INDEX($C$6:$C$40000,$Y224)&amp;"")</f>
        <v/>
      </c>
      <c r="AA224" s="59">
        <f>IF($Y224="","",IF(INDEX($D$6:$D$40000,$Y224)="","",INDEX($D$6:$D$40000,$Y224)))</f>
        <v/>
      </c>
      <c r="AB224">
        <f>IF($Y224="","",INDEX($L$6:$L$40000,$Y224)&amp;"")</f>
        <v/>
      </c>
    </row>
    <row r="225">
      <c r="Y225" s="47">
        <f>IFERROR(MATCH(Library!M225,$M$6:$M$40000,0),"")</f>
        <v/>
      </c>
      <c r="Z225">
        <f>IF($Y225="","",INDEX($C$6:$C$40000,$Y225)&amp;"")</f>
        <v/>
      </c>
      <c r="AA225" s="59">
        <f>IF($Y225="","",IF(INDEX($D$6:$D$40000,$Y225)="","",INDEX($D$6:$D$40000,$Y225)))</f>
        <v/>
      </c>
      <c r="AB225">
        <f>IF($Y225="","",INDEX($L$6:$L$40000,$Y225)&amp;"")</f>
        <v/>
      </c>
    </row>
    <row r="226">
      <c r="Y226" s="47">
        <f>IFERROR(MATCH(Library!M226,$M$6:$M$40000,0),"")</f>
        <v/>
      </c>
      <c r="Z226">
        <f>IF($Y226="","",INDEX($C$6:$C$40000,$Y226)&amp;"")</f>
        <v/>
      </c>
      <c r="AA226" s="59">
        <f>IF($Y226="","",IF(INDEX($D$6:$D$40000,$Y226)="","",INDEX($D$6:$D$40000,$Y226)))</f>
        <v/>
      </c>
      <c r="AB226">
        <f>IF($Y226="","",INDEX($L$6:$L$40000,$Y226)&amp;"")</f>
        <v/>
      </c>
    </row>
    <row r="227">
      <c r="Y227" s="47">
        <f>IFERROR(MATCH(Library!M227,$M$6:$M$40000,0),"")</f>
        <v/>
      </c>
      <c r="Z227">
        <f>IF($Y227="","",INDEX($C$6:$C$40000,$Y227)&amp;"")</f>
        <v/>
      </c>
      <c r="AA227" s="59">
        <f>IF($Y227="","",IF(INDEX($D$6:$D$40000,$Y227)="","",INDEX($D$6:$D$40000,$Y227)))</f>
        <v/>
      </c>
      <c r="AB227">
        <f>IF($Y227="","",INDEX($L$6:$L$40000,$Y227)&amp;"")</f>
        <v/>
      </c>
    </row>
    <row r="228">
      <c r="Y228" s="47">
        <f>IFERROR(MATCH(Library!M228,$M$6:$M$40000,0),"")</f>
        <v/>
      </c>
      <c r="Z228">
        <f>IF($Y228="","",INDEX($C$6:$C$40000,$Y228)&amp;"")</f>
        <v/>
      </c>
      <c r="AA228" s="59">
        <f>IF($Y228="","",IF(INDEX($D$6:$D$40000,$Y228)="","",INDEX($D$6:$D$40000,$Y228)))</f>
        <v/>
      </c>
      <c r="AB228">
        <f>IF($Y228="","",INDEX($L$6:$L$40000,$Y228)&amp;"")</f>
        <v/>
      </c>
    </row>
    <row r="229">
      <c r="Y229" s="47">
        <f>IFERROR(MATCH(Library!M229,$M$6:$M$40000,0),"")</f>
        <v/>
      </c>
      <c r="Z229">
        <f>IF($Y229="","",INDEX($C$6:$C$40000,$Y229)&amp;"")</f>
        <v/>
      </c>
      <c r="AA229" s="59">
        <f>IF($Y229="","",IF(INDEX($D$6:$D$40000,$Y229)="","",INDEX($D$6:$D$40000,$Y229)))</f>
        <v/>
      </c>
      <c r="AB229">
        <f>IF($Y229="","",INDEX($L$6:$L$40000,$Y229)&amp;"")</f>
        <v/>
      </c>
    </row>
    <row r="230">
      <c r="Y230" s="47">
        <f>IFERROR(MATCH(Library!M230,$M$6:$M$40000,0),"")</f>
        <v/>
      </c>
      <c r="Z230">
        <f>IF($Y230="","",INDEX($C$6:$C$40000,$Y230)&amp;"")</f>
        <v/>
      </c>
      <c r="AA230" s="59">
        <f>IF($Y230="","",IF(INDEX($D$6:$D$40000,$Y230)="","",INDEX($D$6:$D$40000,$Y230)))</f>
        <v/>
      </c>
      <c r="AB230">
        <f>IF($Y230="","",INDEX($L$6:$L$40000,$Y230)&amp;"")</f>
        <v/>
      </c>
    </row>
    <row r="231">
      <c r="Y231" s="47">
        <f>IFERROR(MATCH(Library!M231,$M$6:$M$40000,0),"")</f>
        <v/>
      </c>
      <c r="Z231">
        <f>IF($Y231="","",INDEX($C$6:$C$40000,$Y231)&amp;"")</f>
        <v/>
      </c>
      <c r="AA231" s="59">
        <f>IF($Y231="","",IF(INDEX($D$6:$D$40000,$Y231)="","",INDEX($D$6:$D$40000,$Y231)))</f>
        <v/>
      </c>
      <c r="AB231">
        <f>IF($Y231="","",INDEX($L$6:$L$40000,$Y231)&amp;"")</f>
        <v/>
      </c>
    </row>
    <row r="232">
      <c r="Y232" s="47">
        <f>IFERROR(MATCH(Library!M232,$M$6:$M$40000,0),"")</f>
        <v/>
      </c>
      <c r="Z232">
        <f>IF($Y232="","",INDEX($C$6:$C$40000,$Y232)&amp;"")</f>
        <v/>
      </c>
      <c r="AA232" s="59">
        <f>IF($Y232="","",IF(INDEX($D$6:$D$40000,$Y232)="","",INDEX($D$6:$D$40000,$Y232)))</f>
        <v/>
      </c>
      <c r="AB232">
        <f>IF($Y232="","",INDEX($L$6:$L$40000,$Y232)&amp;"")</f>
        <v/>
      </c>
    </row>
    <row r="233">
      <c r="Y233" s="47">
        <f>IFERROR(MATCH(Library!M233,$M$6:$M$40000,0),"")</f>
        <v/>
      </c>
      <c r="Z233">
        <f>IF($Y233="","",INDEX($C$6:$C$40000,$Y233)&amp;"")</f>
        <v/>
      </c>
      <c r="AA233" s="59">
        <f>IF($Y233="","",IF(INDEX($D$6:$D$40000,$Y233)="","",INDEX($D$6:$D$40000,$Y233)))</f>
        <v/>
      </c>
      <c r="AB233">
        <f>IF($Y233="","",INDEX($L$6:$L$40000,$Y233)&amp;"")</f>
        <v/>
      </c>
    </row>
    <row r="234">
      <c r="Y234" s="47">
        <f>IFERROR(MATCH(Library!M234,$M$6:$M$40000,0),"")</f>
        <v/>
      </c>
      <c r="Z234">
        <f>IF($Y234="","",INDEX($C$6:$C$40000,$Y234)&amp;"")</f>
        <v/>
      </c>
      <c r="AA234" s="59">
        <f>IF($Y234="","",IF(INDEX($D$6:$D$40000,$Y234)="","",INDEX($D$6:$D$40000,$Y234)))</f>
        <v/>
      </c>
      <c r="AB234">
        <f>IF($Y234="","",INDEX($L$6:$L$40000,$Y234)&amp;"")</f>
        <v/>
      </c>
    </row>
    <row r="235">
      <c r="Y235" s="47">
        <f>IFERROR(MATCH(Library!M235,$M$6:$M$40000,0),"")</f>
        <v/>
      </c>
      <c r="Z235">
        <f>IF($Y235="","",INDEX($C$6:$C$40000,$Y235)&amp;"")</f>
        <v/>
      </c>
      <c r="AA235" s="59">
        <f>IF($Y235="","",IF(INDEX($D$6:$D$40000,$Y235)="","",INDEX($D$6:$D$40000,$Y235)))</f>
        <v/>
      </c>
      <c r="AB235">
        <f>IF($Y235="","",INDEX($L$6:$L$40000,$Y235)&amp;"")</f>
        <v/>
      </c>
    </row>
    <row r="236">
      <c r="Y236" s="47">
        <f>IFERROR(MATCH(Library!M236,$M$6:$M$40000,0),"")</f>
        <v/>
      </c>
      <c r="Z236">
        <f>IF($Y236="","",INDEX($C$6:$C$40000,$Y236)&amp;"")</f>
        <v/>
      </c>
      <c r="AA236" s="59">
        <f>IF($Y236="","",IF(INDEX($D$6:$D$40000,$Y236)="","",INDEX($D$6:$D$40000,$Y236)))</f>
        <v/>
      </c>
      <c r="AB236">
        <f>IF($Y236="","",INDEX($L$6:$L$40000,$Y236)&amp;"")</f>
        <v/>
      </c>
    </row>
    <row r="237">
      <c r="Y237" s="47">
        <f>IFERROR(MATCH(Library!M237,$M$6:$M$40000,0),"")</f>
        <v/>
      </c>
      <c r="Z237">
        <f>IF($Y237="","",INDEX($C$6:$C$40000,$Y237)&amp;"")</f>
        <v/>
      </c>
      <c r="AA237" s="59">
        <f>IF($Y237="","",IF(INDEX($D$6:$D$40000,$Y237)="","",INDEX($D$6:$D$40000,$Y237)))</f>
        <v/>
      </c>
      <c r="AB237">
        <f>IF($Y237="","",INDEX($L$6:$L$40000,$Y237)&amp;"")</f>
        <v/>
      </c>
    </row>
    <row r="238">
      <c r="Y238" s="47">
        <f>IFERROR(MATCH(Library!M238,$M$6:$M$40000,0),"")</f>
        <v/>
      </c>
      <c r="Z238">
        <f>IF($Y238="","",INDEX($C$6:$C$40000,$Y238)&amp;"")</f>
        <v/>
      </c>
      <c r="AA238" s="59">
        <f>IF($Y238="","",IF(INDEX($D$6:$D$40000,$Y238)="","",INDEX($D$6:$D$40000,$Y238)))</f>
        <v/>
      </c>
      <c r="AB238">
        <f>IF($Y238="","",INDEX($L$6:$L$40000,$Y238)&amp;"")</f>
        <v/>
      </c>
    </row>
    <row r="239">
      <c r="Y239" s="47">
        <f>IFERROR(MATCH(Library!M239,$M$6:$M$40000,0),"")</f>
        <v/>
      </c>
      <c r="Z239">
        <f>IF($Y239="","",INDEX($C$6:$C$40000,$Y239)&amp;"")</f>
        <v/>
      </c>
      <c r="AA239" s="59">
        <f>IF($Y239="","",IF(INDEX($D$6:$D$40000,$Y239)="","",INDEX($D$6:$D$40000,$Y239)))</f>
        <v/>
      </c>
      <c r="AB239">
        <f>IF($Y239="","",INDEX($L$6:$L$40000,$Y239)&amp;"")</f>
        <v/>
      </c>
    </row>
    <row r="240">
      <c r="Y240" s="47">
        <f>IFERROR(MATCH(Library!M240,$M$6:$M$40000,0),"")</f>
        <v/>
      </c>
      <c r="Z240">
        <f>IF($Y240="","",INDEX($C$6:$C$40000,$Y240)&amp;"")</f>
        <v/>
      </c>
      <c r="AA240" s="59">
        <f>IF($Y240="","",IF(INDEX($D$6:$D$40000,$Y240)="","",INDEX($D$6:$D$40000,$Y240)))</f>
        <v/>
      </c>
      <c r="AB240">
        <f>IF($Y240="","",INDEX($L$6:$L$40000,$Y240)&amp;"")</f>
        <v/>
      </c>
    </row>
    <row r="241">
      <c r="Y241" s="47">
        <f>IFERROR(MATCH(Library!M241,$M$6:$M$40000,0),"")</f>
        <v/>
      </c>
      <c r="Z241">
        <f>IF($Y241="","",INDEX($C$6:$C$40000,$Y241)&amp;"")</f>
        <v/>
      </c>
      <c r="AA241" s="59">
        <f>IF($Y241="","",IF(INDEX($D$6:$D$40000,$Y241)="","",INDEX($D$6:$D$40000,$Y241)))</f>
        <v/>
      </c>
      <c r="AB241">
        <f>IF($Y241="","",INDEX($L$6:$L$40000,$Y241)&amp;"")</f>
        <v/>
      </c>
    </row>
    <row r="242">
      <c r="Y242" s="47">
        <f>IFERROR(MATCH(Library!M242,$M$6:$M$40000,0),"")</f>
        <v/>
      </c>
      <c r="Z242">
        <f>IF($Y242="","",INDEX($C$6:$C$40000,$Y242)&amp;"")</f>
        <v/>
      </c>
      <c r="AA242" s="59">
        <f>IF($Y242="","",IF(INDEX($D$6:$D$40000,$Y242)="","",INDEX($D$6:$D$40000,$Y242)))</f>
        <v/>
      </c>
      <c r="AB242">
        <f>IF($Y242="","",INDEX($L$6:$L$40000,$Y242)&amp;"")</f>
        <v/>
      </c>
    </row>
    <row r="243">
      <c r="Y243" s="47">
        <f>IFERROR(MATCH(Library!M243,$M$6:$M$40000,0),"")</f>
        <v/>
      </c>
      <c r="Z243">
        <f>IF($Y243="","",INDEX($C$6:$C$40000,$Y243)&amp;"")</f>
        <v/>
      </c>
      <c r="AA243" s="59">
        <f>IF($Y243="","",IF(INDEX($D$6:$D$40000,$Y243)="","",INDEX($D$6:$D$40000,$Y243)))</f>
        <v/>
      </c>
      <c r="AB243">
        <f>IF($Y243="","",INDEX($L$6:$L$40000,$Y243)&amp;"")</f>
        <v/>
      </c>
    </row>
    <row r="244">
      <c r="Y244" s="47">
        <f>IFERROR(MATCH(Library!M244,$M$6:$M$40000,0),"")</f>
        <v/>
      </c>
      <c r="Z244">
        <f>IF($Y244="","",INDEX($C$6:$C$40000,$Y244)&amp;"")</f>
        <v/>
      </c>
      <c r="AA244" s="59">
        <f>IF($Y244="","",IF(INDEX($D$6:$D$40000,$Y244)="","",INDEX($D$6:$D$40000,$Y244)))</f>
        <v/>
      </c>
      <c r="AB244">
        <f>IF($Y244="","",INDEX($L$6:$L$40000,$Y244)&amp;"")</f>
        <v/>
      </c>
    </row>
    <row r="245">
      <c r="Y245" s="47">
        <f>IFERROR(MATCH(Library!M245,$M$6:$M$40000,0),"")</f>
        <v/>
      </c>
      <c r="Z245">
        <f>IF($Y245="","",INDEX($C$6:$C$40000,$Y245)&amp;"")</f>
        <v/>
      </c>
      <c r="AA245" s="59">
        <f>IF($Y245="","",IF(INDEX($D$6:$D$40000,$Y245)="","",INDEX($D$6:$D$40000,$Y245)))</f>
        <v/>
      </c>
      <c r="AB245">
        <f>IF($Y245="","",INDEX($L$6:$L$40000,$Y245)&amp;"")</f>
        <v/>
      </c>
    </row>
    <row r="246">
      <c r="Y246" s="47">
        <f>IFERROR(MATCH(Library!M246,$M$6:$M$40000,0),"")</f>
        <v/>
      </c>
      <c r="Z246">
        <f>IF($Y246="","",INDEX($C$6:$C$40000,$Y246)&amp;"")</f>
        <v/>
      </c>
      <c r="AA246" s="59">
        <f>IF($Y246="","",IF(INDEX($D$6:$D$40000,$Y246)="","",INDEX($D$6:$D$40000,$Y246)))</f>
        <v/>
      </c>
      <c r="AB246">
        <f>IF($Y246="","",INDEX($L$6:$L$40000,$Y246)&amp;"")</f>
        <v/>
      </c>
    </row>
    <row r="247">
      <c r="Y247" s="47">
        <f>IFERROR(MATCH(Library!M247,$M$6:$M$40000,0),"")</f>
        <v/>
      </c>
      <c r="Z247">
        <f>IF($Y247="","",INDEX($C$6:$C$40000,$Y247)&amp;"")</f>
        <v/>
      </c>
      <c r="AA247" s="59">
        <f>IF($Y247="","",IF(INDEX($D$6:$D$40000,$Y247)="","",INDEX($D$6:$D$40000,$Y247)))</f>
        <v/>
      </c>
      <c r="AB247">
        <f>IF($Y247="","",INDEX($L$6:$L$40000,$Y247)&amp;"")</f>
        <v/>
      </c>
    </row>
    <row r="248">
      <c r="Y248" s="47">
        <f>IFERROR(MATCH(Library!M248,$M$6:$M$40000,0),"")</f>
        <v/>
      </c>
      <c r="Z248">
        <f>IF($Y248="","",INDEX($C$6:$C$40000,$Y248)&amp;"")</f>
        <v/>
      </c>
      <c r="AA248" s="59">
        <f>IF($Y248="","",IF(INDEX($D$6:$D$40000,$Y248)="","",INDEX($D$6:$D$40000,$Y248)))</f>
        <v/>
      </c>
      <c r="AB248">
        <f>IF($Y248="","",INDEX($L$6:$L$40000,$Y248)&amp;"")</f>
        <v/>
      </c>
    </row>
    <row r="249">
      <c r="Y249" s="47">
        <f>IFERROR(MATCH(Library!M249,$M$6:$M$40000,0),"")</f>
        <v/>
      </c>
      <c r="Z249">
        <f>IF($Y249="","",INDEX($C$6:$C$40000,$Y249)&amp;"")</f>
        <v/>
      </c>
      <c r="AA249" s="59">
        <f>IF($Y249="","",IF(INDEX($D$6:$D$40000,$Y249)="","",INDEX($D$6:$D$40000,$Y249)))</f>
        <v/>
      </c>
      <c r="AB249">
        <f>IF($Y249="","",INDEX($L$6:$L$40000,$Y249)&amp;"")</f>
        <v/>
      </c>
    </row>
    <row r="250">
      <c r="Y250" s="47">
        <f>IFERROR(MATCH(Library!M250,$M$6:$M$40000,0),"")</f>
        <v/>
      </c>
      <c r="Z250">
        <f>IF($Y250="","",INDEX($C$6:$C$40000,$Y250)&amp;"")</f>
        <v/>
      </c>
      <c r="AA250" s="59">
        <f>IF($Y250="","",IF(INDEX($D$6:$D$40000,$Y250)="","",INDEX($D$6:$D$40000,$Y250)))</f>
        <v/>
      </c>
      <c r="AB250">
        <f>IF($Y250="","",INDEX($L$6:$L$40000,$Y250)&amp;"")</f>
        <v/>
      </c>
    </row>
    <row r="251">
      <c r="Y251" s="47">
        <f>IFERROR(MATCH(Library!M251,$M$6:$M$40000,0),"")</f>
        <v/>
      </c>
      <c r="Z251">
        <f>IF($Y251="","",INDEX($C$6:$C$40000,$Y251)&amp;"")</f>
        <v/>
      </c>
      <c r="AA251" s="59">
        <f>IF($Y251="","",IF(INDEX($D$6:$D$40000,$Y251)="","",INDEX($D$6:$D$40000,$Y251)))</f>
        <v/>
      </c>
      <c r="AB251">
        <f>IF($Y251="","",INDEX($L$6:$L$40000,$Y251)&amp;"")</f>
        <v/>
      </c>
    </row>
    <row r="252">
      <c r="Y252" s="47">
        <f>IFERROR(MATCH(Library!M252,$M$6:$M$40000,0),"")</f>
        <v/>
      </c>
      <c r="Z252">
        <f>IF($Y252="","",INDEX($C$6:$C$40000,$Y252)&amp;"")</f>
        <v/>
      </c>
      <c r="AA252" s="59">
        <f>IF($Y252="","",IF(INDEX($D$6:$D$40000,$Y252)="","",INDEX($D$6:$D$40000,$Y252)))</f>
        <v/>
      </c>
      <c r="AB252">
        <f>IF($Y252="","",INDEX($L$6:$L$40000,$Y252)&amp;"")</f>
        <v/>
      </c>
    </row>
    <row r="253">
      <c r="Y253" s="47">
        <f>IFERROR(MATCH(Library!M253,$M$6:$M$40000,0),"")</f>
        <v/>
      </c>
      <c r="Z253">
        <f>IF($Y253="","",INDEX($C$6:$C$40000,$Y253)&amp;"")</f>
        <v/>
      </c>
      <c r="AA253" s="59">
        <f>IF($Y253="","",IF(INDEX($D$6:$D$40000,$Y253)="","",INDEX($D$6:$D$40000,$Y253)))</f>
        <v/>
      </c>
      <c r="AB253">
        <f>IF($Y253="","",INDEX($L$6:$L$40000,$Y253)&amp;"")</f>
        <v/>
      </c>
    </row>
    <row r="254">
      <c r="Y254" s="47">
        <f>IFERROR(MATCH(Library!M254,$M$6:$M$40000,0),"")</f>
        <v/>
      </c>
      <c r="Z254">
        <f>IF($Y254="","",INDEX($C$6:$C$40000,$Y254)&amp;"")</f>
        <v/>
      </c>
      <c r="AA254" s="59">
        <f>IF($Y254="","",IF(INDEX($D$6:$D$40000,$Y254)="","",INDEX($D$6:$D$40000,$Y254)))</f>
        <v/>
      </c>
      <c r="AB254">
        <f>IF($Y254="","",INDEX($L$6:$L$40000,$Y254)&amp;"")</f>
        <v/>
      </c>
    </row>
    <row r="255">
      <c r="Y255" s="47">
        <f>IFERROR(MATCH(Library!M255,$M$6:$M$40000,0),"")</f>
        <v/>
      </c>
      <c r="Z255">
        <f>IF($Y255="","",INDEX($C$6:$C$40000,$Y255)&amp;"")</f>
        <v/>
      </c>
      <c r="AA255" s="59">
        <f>IF($Y255="","",IF(INDEX($D$6:$D$40000,$Y255)="","",INDEX($D$6:$D$40000,$Y255)))</f>
        <v/>
      </c>
      <c r="AB255">
        <f>IF($Y255="","",INDEX($L$6:$L$40000,$Y255)&amp;"")</f>
        <v/>
      </c>
    </row>
    <row r="256">
      <c r="Y256" s="47">
        <f>IFERROR(MATCH(Library!M256,$M$6:$M$40000,0),"")</f>
        <v/>
      </c>
      <c r="Z256">
        <f>IF($Y256="","",INDEX($C$6:$C$40000,$Y256)&amp;"")</f>
        <v/>
      </c>
      <c r="AA256" s="59">
        <f>IF($Y256="","",IF(INDEX($D$6:$D$40000,$Y256)="","",INDEX($D$6:$D$40000,$Y256)))</f>
        <v/>
      </c>
      <c r="AB256">
        <f>IF($Y256="","",INDEX($L$6:$L$40000,$Y256)&amp;"")</f>
        <v/>
      </c>
    </row>
    <row r="257">
      <c r="Y257" s="47">
        <f>IFERROR(MATCH(Library!M257,$M$6:$M$40000,0),"")</f>
        <v/>
      </c>
      <c r="Z257">
        <f>IF($Y257="","",INDEX($C$6:$C$40000,$Y257)&amp;"")</f>
        <v/>
      </c>
      <c r="AA257" s="59">
        <f>IF($Y257="","",IF(INDEX($D$6:$D$40000,$Y257)="","",INDEX($D$6:$D$40000,$Y257)))</f>
        <v/>
      </c>
      <c r="AB257">
        <f>IF($Y257="","",INDEX($L$6:$L$40000,$Y257)&amp;"")</f>
        <v/>
      </c>
    </row>
    <row r="258">
      <c r="Y258" s="47">
        <f>IFERROR(MATCH(Library!M258,$M$6:$M$40000,0),"")</f>
        <v/>
      </c>
      <c r="Z258">
        <f>IF($Y258="","",INDEX($C$6:$C$40000,$Y258)&amp;"")</f>
        <v/>
      </c>
      <c r="AA258" s="59">
        <f>IF($Y258="","",IF(INDEX($D$6:$D$40000,$Y258)="","",INDEX($D$6:$D$40000,$Y258)))</f>
        <v/>
      </c>
      <c r="AB258">
        <f>IF($Y258="","",INDEX($L$6:$L$40000,$Y258)&amp;"")</f>
        <v/>
      </c>
    </row>
    <row r="259">
      <c r="Y259" s="47">
        <f>IFERROR(MATCH(Library!M259,$M$6:$M$40000,0),"")</f>
        <v/>
      </c>
      <c r="Z259">
        <f>IF($Y259="","",INDEX($C$6:$C$40000,$Y259)&amp;"")</f>
        <v/>
      </c>
      <c r="AA259" s="59">
        <f>IF($Y259="","",IF(INDEX($D$6:$D$40000,$Y259)="","",INDEX($D$6:$D$40000,$Y259)))</f>
        <v/>
      </c>
      <c r="AB259">
        <f>IF($Y259="","",INDEX($L$6:$L$40000,$Y259)&amp;"")</f>
        <v/>
      </c>
    </row>
    <row r="260">
      <c r="Y260" s="47">
        <f>IFERROR(MATCH(Library!M260,$M$6:$M$40000,0),"")</f>
        <v/>
      </c>
      <c r="Z260">
        <f>IF($Y260="","",INDEX($C$6:$C$40000,$Y260)&amp;"")</f>
        <v/>
      </c>
      <c r="AA260" s="59">
        <f>IF($Y260="","",IF(INDEX($D$6:$D$40000,$Y260)="","",INDEX($D$6:$D$40000,$Y260)))</f>
        <v/>
      </c>
      <c r="AB260">
        <f>IF($Y260="","",INDEX($L$6:$L$40000,$Y260)&amp;"")</f>
        <v/>
      </c>
    </row>
    <row r="261">
      <c r="Y261" s="47">
        <f>IFERROR(MATCH(Library!M261,$M$6:$M$40000,0),"")</f>
        <v/>
      </c>
      <c r="Z261">
        <f>IF($Y261="","",INDEX($C$6:$C$40000,$Y261)&amp;"")</f>
        <v/>
      </c>
      <c r="AA261" s="59">
        <f>IF($Y261="","",IF(INDEX($D$6:$D$40000,$Y261)="","",INDEX($D$6:$D$40000,$Y261)))</f>
        <v/>
      </c>
      <c r="AB261">
        <f>IF($Y261="","",INDEX($L$6:$L$40000,$Y261)&amp;"")</f>
        <v/>
      </c>
    </row>
    <row r="262">
      <c r="Y262" s="47">
        <f>IFERROR(MATCH(Library!M262,$M$6:$M$40000,0),"")</f>
        <v/>
      </c>
      <c r="Z262">
        <f>IF($Y262="","",INDEX($C$6:$C$40000,$Y262)&amp;"")</f>
        <v/>
      </c>
      <c r="AA262" s="59">
        <f>IF($Y262="","",IF(INDEX($D$6:$D$40000,$Y262)="","",INDEX($D$6:$D$40000,$Y262)))</f>
        <v/>
      </c>
      <c r="AB262">
        <f>IF($Y262="","",INDEX($L$6:$L$40000,$Y262)&amp;"")</f>
        <v/>
      </c>
    </row>
    <row r="263">
      <c r="Y263" s="47">
        <f>IFERROR(MATCH(Library!M263,$M$6:$M$40000,0),"")</f>
        <v/>
      </c>
      <c r="Z263">
        <f>IF($Y263="","",INDEX($C$6:$C$40000,$Y263)&amp;"")</f>
        <v/>
      </c>
      <c r="AA263" s="59">
        <f>IF($Y263="","",IF(INDEX($D$6:$D$40000,$Y263)="","",INDEX($D$6:$D$40000,$Y263)))</f>
        <v/>
      </c>
      <c r="AB263">
        <f>IF($Y263="","",INDEX($L$6:$L$40000,$Y263)&amp;"")</f>
        <v/>
      </c>
    </row>
    <row r="264">
      <c r="Y264" s="47">
        <f>IFERROR(MATCH(Library!M264,$M$6:$M$40000,0),"")</f>
        <v/>
      </c>
      <c r="Z264">
        <f>IF($Y264="","",INDEX($C$6:$C$40000,$Y264)&amp;"")</f>
        <v/>
      </c>
      <c r="AA264" s="59">
        <f>IF($Y264="","",IF(INDEX($D$6:$D$40000,$Y264)="","",INDEX($D$6:$D$40000,$Y264)))</f>
        <v/>
      </c>
      <c r="AB264">
        <f>IF($Y264="","",INDEX($L$6:$L$40000,$Y264)&amp;"")</f>
        <v/>
      </c>
    </row>
    <row r="265">
      <c r="Y265" s="47">
        <f>IFERROR(MATCH(Library!M265,$M$6:$M$40000,0),"")</f>
        <v/>
      </c>
      <c r="Z265">
        <f>IF($Y265="","",INDEX($C$6:$C$40000,$Y265)&amp;"")</f>
        <v/>
      </c>
      <c r="AA265" s="59">
        <f>IF($Y265="","",IF(INDEX($D$6:$D$40000,$Y265)="","",INDEX($D$6:$D$40000,$Y265)))</f>
        <v/>
      </c>
      <c r="AB265">
        <f>IF($Y265="","",INDEX($L$6:$L$40000,$Y265)&amp;"")</f>
        <v/>
      </c>
    </row>
    <row r="266">
      <c r="Y266" s="47">
        <f>IFERROR(MATCH(Library!M266,$M$6:$M$40000,0),"")</f>
        <v/>
      </c>
      <c r="Z266">
        <f>IF($Y266="","",INDEX($C$6:$C$40000,$Y266)&amp;"")</f>
        <v/>
      </c>
      <c r="AA266" s="59">
        <f>IF($Y266="","",IF(INDEX($D$6:$D$40000,$Y266)="","",INDEX($D$6:$D$40000,$Y266)))</f>
        <v/>
      </c>
      <c r="AB266">
        <f>IF($Y266="","",INDEX($L$6:$L$40000,$Y266)&amp;"")</f>
        <v/>
      </c>
    </row>
    <row r="267">
      <c r="Y267" s="47">
        <f>IFERROR(MATCH(Library!M267,$M$6:$M$40000,0),"")</f>
        <v/>
      </c>
      <c r="Z267">
        <f>IF($Y267="","",INDEX($C$6:$C$40000,$Y267)&amp;"")</f>
        <v/>
      </c>
      <c r="AA267" s="59">
        <f>IF($Y267="","",IF(INDEX($D$6:$D$40000,$Y267)="","",INDEX($D$6:$D$40000,$Y267)))</f>
        <v/>
      </c>
      <c r="AB267">
        <f>IF($Y267="","",INDEX($L$6:$L$40000,$Y267)&amp;"")</f>
        <v/>
      </c>
    </row>
    <row r="268">
      <c r="Y268" s="47">
        <f>IFERROR(MATCH(Library!M268,$M$6:$M$40000,0),"")</f>
        <v/>
      </c>
      <c r="Z268">
        <f>IF($Y268="","",INDEX($C$6:$C$40000,$Y268)&amp;"")</f>
        <v/>
      </c>
      <c r="AA268" s="59">
        <f>IF($Y268="","",IF(INDEX($D$6:$D$40000,$Y268)="","",INDEX($D$6:$D$40000,$Y268)))</f>
        <v/>
      </c>
      <c r="AB268">
        <f>IF($Y268="","",INDEX($L$6:$L$40000,$Y268)&amp;"")</f>
        <v/>
      </c>
    </row>
    <row r="269">
      <c r="Y269" s="47">
        <f>IFERROR(MATCH(Library!M269,$M$6:$M$40000,0),"")</f>
        <v/>
      </c>
      <c r="Z269">
        <f>IF($Y269="","",INDEX($C$6:$C$40000,$Y269)&amp;"")</f>
        <v/>
      </c>
      <c r="AA269" s="59">
        <f>IF($Y269="","",IF(INDEX($D$6:$D$40000,$Y269)="","",INDEX($D$6:$D$40000,$Y269)))</f>
        <v/>
      </c>
      <c r="AB269">
        <f>IF($Y269="","",INDEX($L$6:$L$40000,$Y269)&amp;"")</f>
        <v/>
      </c>
    </row>
    <row r="270">
      <c r="Y270" s="47">
        <f>IFERROR(MATCH(Library!M270,$M$6:$M$40000,0),"")</f>
        <v/>
      </c>
      <c r="Z270">
        <f>IF($Y270="","",INDEX($C$6:$C$40000,$Y270)&amp;"")</f>
        <v/>
      </c>
      <c r="AA270" s="59">
        <f>IF($Y270="","",IF(INDEX($D$6:$D$40000,$Y270)="","",INDEX($D$6:$D$40000,$Y270)))</f>
        <v/>
      </c>
      <c r="AB270">
        <f>IF($Y270="","",INDEX($L$6:$L$40000,$Y270)&amp;"")</f>
        <v/>
      </c>
    </row>
    <row r="271">
      <c r="Y271" s="47">
        <f>IFERROR(MATCH(Library!M271,$M$6:$M$40000,0),"")</f>
        <v/>
      </c>
      <c r="Z271">
        <f>IF($Y271="","",INDEX($C$6:$C$40000,$Y271)&amp;"")</f>
        <v/>
      </c>
      <c r="AA271" s="59">
        <f>IF($Y271="","",IF(INDEX($D$6:$D$40000,$Y271)="","",INDEX($D$6:$D$40000,$Y271)))</f>
        <v/>
      </c>
      <c r="AB271">
        <f>IF($Y271="","",INDEX($L$6:$L$40000,$Y271)&amp;"")</f>
        <v/>
      </c>
    </row>
    <row r="272">
      <c r="Y272" s="47">
        <f>IFERROR(MATCH(Library!M272,$M$6:$M$40000,0),"")</f>
        <v/>
      </c>
      <c r="Z272">
        <f>IF($Y272="","",INDEX($C$6:$C$40000,$Y272)&amp;"")</f>
        <v/>
      </c>
      <c r="AA272" s="59">
        <f>IF($Y272="","",IF(INDEX($D$6:$D$40000,$Y272)="","",INDEX($D$6:$D$40000,$Y272)))</f>
        <v/>
      </c>
      <c r="AB272">
        <f>IF($Y272="","",INDEX($L$6:$L$40000,$Y272)&amp;"")</f>
        <v/>
      </c>
    </row>
    <row r="273">
      <c r="Y273" s="47">
        <f>IFERROR(MATCH(Library!M273,$M$6:$M$40000,0),"")</f>
        <v/>
      </c>
      <c r="Z273">
        <f>IF($Y273="","",INDEX($C$6:$C$40000,$Y273)&amp;"")</f>
        <v/>
      </c>
      <c r="AA273" s="59">
        <f>IF($Y273="","",IF(INDEX($D$6:$D$40000,$Y273)="","",INDEX($D$6:$D$40000,$Y273)))</f>
        <v/>
      </c>
      <c r="AB273">
        <f>IF($Y273="","",INDEX($L$6:$L$40000,$Y273)&amp;"")</f>
        <v/>
      </c>
    </row>
    <row r="274">
      <c r="Y274" s="47">
        <f>IFERROR(MATCH(Library!M274,$M$6:$M$40000,0),"")</f>
        <v/>
      </c>
      <c r="Z274">
        <f>IF($Y274="","",INDEX($C$6:$C$40000,$Y274)&amp;"")</f>
        <v/>
      </c>
      <c r="AA274" s="59">
        <f>IF($Y274="","",IF(INDEX($D$6:$D$40000,$Y274)="","",INDEX($D$6:$D$40000,$Y274)))</f>
        <v/>
      </c>
      <c r="AB274">
        <f>IF($Y274="","",INDEX($L$6:$L$40000,$Y274)&amp;"")</f>
        <v/>
      </c>
    </row>
    <row r="275">
      <c r="Y275" s="47">
        <f>IFERROR(MATCH(Library!M275,$M$6:$M$40000,0),"")</f>
        <v/>
      </c>
      <c r="Z275">
        <f>IF($Y275="","",INDEX($C$6:$C$40000,$Y275)&amp;"")</f>
        <v/>
      </c>
      <c r="AA275" s="59">
        <f>IF($Y275="","",IF(INDEX($D$6:$D$40000,$Y275)="","",INDEX($D$6:$D$40000,$Y275)))</f>
        <v/>
      </c>
      <c r="AB275">
        <f>IF($Y275="","",INDEX($L$6:$L$40000,$Y275)&amp;"")</f>
        <v/>
      </c>
    </row>
    <row r="276">
      <c r="Y276" s="47">
        <f>IFERROR(MATCH(Library!M276,$M$6:$M$40000,0),"")</f>
        <v/>
      </c>
      <c r="Z276">
        <f>IF($Y276="","",INDEX($C$6:$C$40000,$Y276)&amp;"")</f>
        <v/>
      </c>
      <c r="AA276" s="59">
        <f>IF($Y276="","",IF(INDEX($D$6:$D$40000,$Y276)="","",INDEX($D$6:$D$40000,$Y276)))</f>
        <v/>
      </c>
      <c r="AB276">
        <f>IF($Y276="","",INDEX($L$6:$L$40000,$Y276)&amp;"")</f>
        <v/>
      </c>
    </row>
    <row r="277">
      <c r="Y277" s="47">
        <f>IFERROR(MATCH(Library!M277,$M$6:$M$40000,0),"")</f>
        <v/>
      </c>
      <c r="Z277">
        <f>IF($Y277="","",INDEX($C$6:$C$40000,$Y277)&amp;"")</f>
        <v/>
      </c>
      <c r="AA277" s="59">
        <f>IF($Y277="","",IF(INDEX($D$6:$D$40000,$Y277)="","",INDEX($D$6:$D$40000,$Y277)))</f>
        <v/>
      </c>
      <c r="AB277">
        <f>IF($Y277="","",INDEX($L$6:$L$40000,$Y277)&amp;"")</f>
        <v/>
      </c>
    </row>
    <row r="278">
      <c r="Y278" s="47">
        <f>IFERROR(MATCH(Library!M278,$M$6:$M$40000,0),"")</f>
        <v/>
      </c>
      <c r="Z278">
        <f>IF($Y278="","",INDEX($C$6:$C$40000,$Y278)&amp;"")</f>
        <v/>
      </c>
      <c r="AA278" s="59">
        <f>IF($Y278="","",IF(INDEX($D$6:$D$40000,$Y278)="","",INDEX($D$6:$D$40000,$Y278)))</f>
        <v/>
      </c>
      <c r="AB278">
        <f>IF($Y278="","",INDEX($L$6:$L$40000,$Y278)&amp;"")</f>
        <v/>
      </c>
    </row>
    <row r="279">
      <c r="Y279" s="47">
        <f>IFERROR(MATCH(Library!M279,$M$6:$M$40000,0),"")</f>
        <v/>
      </c>
      <c r="Z279">
        <f>IF($Y279="","",INDEX($C$6:$C$40000,$Y279)&amp;"")</f>
        <v/>
      </c>
      <c r="AA279" s="59">
        <f>IF($Y279="","",IF(INDEX($D$6:$D$40000,$Y279)="","",INDEX($D$6:$D$40000,$Y279)))</f>
        <v/>
      </c>
      <c r="AB279">
        <f>IF($Y279="","",INDEX($L$6:$L$40000,$Y279)&amp;"")</f>
        <v/>
      </c>
    </row>
    <row r="280">
      <c r="Y280" s="47">
        <f>IFERROR(MATCH(Library!M280,$M$6:$M$40000,0),"")</f>
        <v/>
      </c>
      <c r="Z280">
        <f>IF($Y280="","",INDEX($C$6:$C$40000,$Y280)&amp;"")</f>
        <v/>
      </c>
      <c r="AA280" s="59">
        <f>IF($Y280="","",IF(INDEX($D$6:$D$40000,$Y280)="","",INDEX($D$6:$D$40000,$Y280)))</f>
        <v/>
      </c>
      <c r="AB280">
        <f>IF($Y280="","",INDEX($L$6:$L$40000,$Y280)&amp;"")</f>
        <v/>
      </c>
    </row>
    <row r="281">
      <c r="Y281" s="47">
        <f>IFERROR(MATCH(Library!M281,$M$6:$M$40000,0),"")</f>
        <v/>
      </c>
      <c r="Z281">
        <f>IF($Y281="","",INDEX($C$6:$C$40000,$Y281)&amp;"")</f>
        <v/>
      </c>
      <c r="AA281" s="59">
        <f>IF($Y281="","",IF(INDEX($D$6:$D$40000,$Y281)="","",INDEX($D$6:$D$40000,$Y281)))</f>
        <v/>
      </c>
      <c r="AB281">
        <f>IF($Y281="","",INDEX($L$6:$L$40000,$Y281)&amp;"")</f>
        <v/>
      </c>
    </row>
    <row r="282">
      <c r="Y282" s="47">
        <f>IFERROR(MATCH(Library!M282,$M$6:$M$40000,0),"")</f>
        <v/>
      </c>
      <c r="Z282">
        <f>IF($Y282="","",INDEX($C$6:$C$40000,$Y282)&amp;"")</f>
        <v/>
      </c>
      <c r="AA282" s="59">
        <f>IF($Y282="","",IF(INDEX($D$6:$D$40000,$Y282)="","",INDEX($D$6:$D$40000,$Y282)))</f>
        <v/>
      </c>
      <c r="AB282">
        <f>IF($Y282="","",INDEX($L$6:$L$40000,$Y282)&amp;"")</f>
        <v/>
      </c>
    </row>
    <row r="283">
      <c r="Y283" s="47">
        <f>IFERROR(MATCH(Library!M283,$M$6:$M$40000,0),"")</f>
        <v/>
      </c>
      <c r="Z283">
        <f>IF($Y283="","",INDEX($C$6:$C$40000,$Y283)&amp;"")</f>
        <v/>
      </c>
      <c r="AA283" s="59">
        <f>IF($Y283="","",IF(INDEX($D$6:$D$40000,$Y283)="","",INDEX($D$6:$D$40000,$Y283)))</f>
        <v/>
      </c>
      <c r="AB283">
        <f>IF($Y283="","",INDEX($L$6:$L$40000,$Y283)&amp;"")</f>
        <v/>
      </c>
    </row>
    <row r="284">
      <c r="Y284" s="47">
        <f>IFERROR(MATCH(Library!M284,$M$6:$M$40000,0),"")</f>
        <v/>
      </c>
      <c r="Z284">
        <f>IF($Y284="","",INDEX($C$6:$C$40000,$Y284)&amp;"")</f>
        <v/>
      </c>
      <c r="AA284" s="59">
        <f>IF($Y284="","",IF(INDEX($D$6:$D$40000,$Y284)="","",INDEX($D$6:$D$40000,$Y284)))</f>
        <v/>
      </c>
      <c r="AB284">
        <f>IF($Y284="","",INDEX($L$6:$L$40000,$Y284)&amp;"")</f>
        <v/>
      </c>
    </row>
    <row r="285">
      <c r="Y285" s="47">
        <f>IFERROR(MATCH(Library!M285,$M$6:$M$40000,0),"")</f>
        <v/>
      </c>
      <c r="Z285">
        <f>IF($Y285="","",INDEX($C$6:$C$40000,$Y285)&amp;"")</f>
        <v/>
      </c>
      <c r="AA285" s="59">
        <f>IF($Y285="","",IF(INDEX($D$6:$D$40000,$Y285)="","",INDEX($D$6:$D$40000,$Y285)))</f>
        <v/>
      </c>
      <c r="AB285">
        <f>IF($Y285="","",INDEX($L$6:$L$40000,$Y285)&amp;"")</f>
        <v/>
      </c>
    </row>
    <row r="286">
      <c r="Y286" s="47">
        <f>IFERROR(MATCH(Library!M286,$M$6:$M$40000,0),"")</f>
        <v/>
      </c>
      <c r="Z286">
        <f>IF($Y286="","",INDEX($C$6:$C$40000,$Y286)&amp;"")</f>
        <v/>
      </c>
      <c r="AA286" s="59">
        <f>IF($Y286="","",IF(INDEX($D$6:$D$40000,$Y286)="","",INDEX($D$6:$D$40000,$Y286)))</f>
        <v/>
      </c>
      <c r="AB286">
        <f>IF($Y286="","",INDEX($L$6:$L$40000,$Y286)&amp;"")</f>
        <v/>
      </c>
    </row>
    <row r="287">
      <c r="Y287" s="47">
        <f>IFERROR(MATCH(Library!M287,$M$6:$M$40000,0),"")</f>
        <v/>
      </c>
      <c r="Z287">
        <f>IF($Y287="","",INDEX($C$6:$C$40000,$Y287)&amp;"")</f>
        <v/>
      </c>
      <c r="AA287" s="59">
        <f>IF($Y287="","",IF(INDEX($D$6:$D$40000,$Y287)="","",INDEX($D$6:$D$40000,$Y287)))</f>
        <v/>
      </c>
      <c r="AB287">
        <f>IF($Y287="","",INDEX($L$6:$L$40000,$Y287)&amp;"")</f>
        <v/>
      </c>
    </row>
    <row r="288">
      <c r="Y288" s="47">
        <f>IFERROR(MATCH(Library!M288,$M$6:$M$40000,0),"")</f>
        <v/>
      </c>
      <c r="Z288">
        <f>IF($Y288="","",INDEX($C$6:$C$40000,$Y288)&amp;"")</f>
        <v/>
      </c>
      <c r="AA288" s="59">
        <f>IF($Y288="","",IF(INDEX($D$6:$D$40000,$Y288)="","",INDEX($D$6:$D$40000,$Y288)))</f>
        <v/>
      </c>
      <c r="AB288">
        <f>IF($Y288="","",INDEX($L$6:$L$40000,$Y288)&amp;"")</f>
        <v/>
      </c>
    </row>
    <row r="289">
      <c r="Y289" s="47">
        <f>IFERROR(MATCH(Library!M289,$M$6:$M$40000,0),"")</f>
        <v/>
      </c>
      <c r="Z289">
        <f>IF($Y289="","",INDEX($C$6:$C$40000,$Y289)&amp;"")</f>
        <v/>
      </c>
      <c r="AA289" s="59">
        <f>IF($Y289="","",IF(INDEX($D$6:$D$40000,$Y289)="","",INDEX($D$6:$D$40000,$Y289)))</f>
        <v/>
      </c>
      <c r="AB289">
        <f>IF($Y289="","",INDEX($L$6:$L$40000,$Y289)&amp;"")</f>
        <v/>
      </c>
    </row>
    <row r="290">
      <c r="Y290" s="47">
        <f>IFERROR(MATCH(Library!M290,$M$6:$M$40000,0),"")</f>
        <v/>
      </c>
      <c r="Z290">
        <f>IF($Y290="","",INDEX($C$6:$C$40000,$Y290)&amp;"")</f>
        <v/>
      </c>
      <c r="AA290" s="59">
        <f>IF($Y290="","",IF(INDEX($D$6:$D$40000,$Y290)="","",INDEX($D$6:$D$40000,$Y290)))</f>
        <v/>
      </c>
      <c r="AB290">
        <f>IF($Y290="","",INDEX($L$6:$L$40000,$Y290)&amp;"")</f>
        <v/>
      </c>
    </row>
    <row r="291">
      <c r="Y291" s="47">
        <f>IFERROR(MATCH(Library!M291,$M$6:$M$40000,0),"")</f>
        <v/>
      </c>
      <c r="Z291">
        <f>IF($Y291="","",INDEX($C$6:$C$40000,$Y291)&amp;"")</f>
        <v/>
      </c>
      <c r="AA291" s="59">
        <f>IF($Y291="","",IF(INDEX($D$6:$D$40000,$Y291)="","",INDEX($D$6:$D$40000,$Y291)))</f>
        <v/>
      </c>
      <c r="AB291">
        <f>IF($Y291="","",INDEX($L$6:$L$40000,$Y291)&amp;"")</f>
        <v/>
      </c>
    </row>
    <row r="292">
      <c r="Y292" s="47">
        <f>IFERROR(MATCH(Library!M292,$M$6:$M$40000,0),"")</f>
        <v/>
      </c>
      <c r="Z292">
        <f>IF($Y292="","",INDEX($C$6:$C$40000,$Y292)&amp;"")</f>
        <v/>
      </c>
      <c r="AA292" s="59">
        <f>IF($Y292="","",IF(INDEX($D$6:$D$40000,$Y292)="","",INDEX($D$6:$D$40000,$Y292)))</f>
        <v/>
      </c>
      <c r="AB292">
        <f>IF($Y292="","",INDEX($L$6:$L$40000,$Y292)&amp;"")</f>
        <v/>
      </c>
    </row>
    <row r="293">
      <c r="Y293" s="47">
        <f>IFERROR(MATCH(Library!M293,$M$6:$M$40000,0),"")</f>
        <v/>
      </c>
      <c r="Z293">
        <f>IF($Y293="","",INDEX($C$6:$C$40000,$Y293)&amp;"")</f>
        <v/>
      </c>
      <c r="AA293" s="59">
        <f>IF($Y293="","",IF(INDEX($D$6:$D$40000,$Y293)="","",INDEX($D$6:$D$40000,$Y293)))</f>
        <v/>
      </c>
      <c r="AB293">
        <f>IF($Y293="","",INDEX($L$6:$L$40000,$Y293)&amp;"")</f>
        <v/>
      </c>
    </row>
    <row r="294">
      <c r="Y294" s="47">
        <f>IFERROR(MATCH(Library!M294,$M$6:$M$40000,0),"")</f>
        <v/>
      </c>
      <c r="Z294">
        <f>IF($Y294="","",INDEX($C$6:$C$40000,$Y294)&amp;"")</f>
        <v/>
      </c>
      <c r="AA294" s="59">
        <f>IF($Y294="","",IF(INDEX($D$6:$D$40000,$Y294)="","",INDEX($D$6:$D$40000,$Y294)))</f>
        <v/>
      </c>
      <c r="AB294">
        <f>IF($Y294="","",INDEX($L$6:$L$40000,$Y294)&amp;"")</f>
        <v/>
      </c>
    </row>
    <row r="295">
      <c r="Y295" s="47">
        <f>IFERROR(MATCH(Library!M295,$M$6:$M$40000,0),"")</f>
        <v/>
      </c>
      <c r="Z295">
        <f>IF($Y295="","",INDEX($C$6:$C$40000,$Y295)&amp;"")</f>
        <v/>
      </c>
      <c r="AA295" s="59">
        <f>IF($Y295="","",IF(INDEX($D$6:$D$40000,$Y295)="","",INDEX($D$6:$D$40000,$Y295)))</f>
        <v/>
      </c>
      <c r="AB295">
        <f>IF($Y295="","",INDEX($L$6:$L$40000,$Y295)&amp;"")</f>
        <v/>
      </c>
    </row>
    <row r="296">
      <c r="Y296" s="47">
        <f>IFERROR(MATCH(Library!M296,$M$6:$M$40000,0),"")</f>
        <v/>
      </c>
      <c r="Z296">
        <f>IF($Y296="","",INDEX($C$6:$C$40000,$Y296)&amp;"")</f>
        <v/>
      </c>
      <c r="AA296" s="59">
        <f>IF($Y296="","",IF(INDEX($D$6:$D$40000,$Y296)="","",INDEX($D$6:$D$40000,$Y296)))</f>
        <v/>
      </c>
      <c r="AB296">
        <f>IF($Y296="","",INDEX($L$6:$L$40000,$Y296)&amp;"")</f>
        <v/>
      </c>
    </row>
    <row r="297">
      <c r="Y297" s="47">
        <f>IFERROR(MATCH(Library!M297,$M$6:$M$40000,0),"")</f>
        <v/>
      </c>
      <c r="Z297">
        <f>IF($Y297="","",INDEX($C$6:$C$40000,$Y297)&amp;"")</f>
        <v/>
      </c>
      <c r="AA297" s="59">
        <f>IF($Y297="","",IF(INDEX($D$6:$D$40000,$Y297)="","",INDEX($D$6:$D$40000,$Y297)))</f>
        <v/>
      </c>
      <c r="AB297">
        <f>IF($Y297="","",INDEX($L$6:$L$40000,$Y297)&amp;"")</f>
        <v/>
      </c>
    </row>
    <row r="298">
      <c r="Y298" s="47">
        <f>IFERROR(MATCH(Library!M298,$M$6:$M$40000,0),"")</f>
        <v/>
      </c>
      <c r="Z298">
        <f>IF($Y298="","",INDEX($C$6:$C$40000,$Y298)&amp;"")</f>
        <v/>
      </c>
      <c r="AA298" s="59">
        <f>IF($Y298="","",IF(INDEX($D$6:$D$40000,$Y298)="","",INDEX($D$6:$D$40000,$Y298)))</f>
        <v/>
      </c>
      <c r="AB298">
        <f>IF($Y298="","",INDEX($L$6:$L$40000,$Y298)&amp;"")</f>
        <v/>
      </c>
    </row>
    <row r="299">
      <c r="Y299" s="47">
        <f>IFERROR(MATCH(Library!M299,$M$6:$M$40000,0),"")</f>
        <v/>
      </c>
      <c r="Z299">
        <f>IF($Y299="","",INDEX($C$6:$C$40000,$Y299)&amp;"")</f>
        <v/>
      </c>
      <c r="AA299" s="59">
        <f>IF($Y299="","",IF(INDEX($D$6:$D$40000,$Y299)="","",INDEX($D$6:$D$40000,$Y299)))</f>
        <v/>
      </c>
      <c r="AB299">
        <f>IF($Y299="","",INDEX($L$6:$L$40000,$Y299)&amp;"")</f>
        <v/>
      </c>
    </row>
    <row r="300">
      <c r="Y300" s="47">
        <f>IFERROR(MATCH(Library!M300,$M$6:$M$40000,0),"")</f>
        <v/>
      </c>
      <c r="Z300">
        <f>IF($Y300="","",INDEX($C$6:$C$40000,$Y300)&amp;"")</f>
        <v/>
      </c>
      <c r="AA300" s="59">
        <f>IF($Y300="","",IF(INDEX($D$6:$D$40000,$Y300)="","",INDEX($D$6:$D$40000,$Y300)))</f>
        <v/>
      </c>
      <c r="AB300">
        <f>IF($Y300="","",INDEX($L$6:$L$40000,$Y300)&amp;"")</f>
        <v/>
      </c>
    </row>
    <row r="301">
      <c r="Y301" s="47">
        <f>IFERROR(MATCH(Library!M301,$M$6:$M$40000,0),"")</f>
        <v/>
      </c>
      <c r="Z301">
        <f>IF($Y301="","",INDEX($C$6:$C$40000,$Y301)&amp;"")</f>
        <v/>
      </c>
      <c r="AA301" s="59">
        <f>IF($Y301="","",IF(INDEX($D$6:$D$40000,$Y301)="","",INDEX($D$6:$D$40000,$Y301)))</f>
        <v/>
      </c>
      <c r="AB301">
        <f>IF($Y301="","",INDEX($L$6:$L$40000,$Y301)&amp;"")</f>
        <v/>
      </c>
    </row>
    <row r="302">
      <c r="Y302" s="47">
        <f>IFERROR(MATCH(Library!M302,$M$6:$M$40000,0),"")</f>
        <v/>
      </c>
      <c r="Z302">
        <f>IF($Y302="","",INDEX($C$6:$C$40000,$Y302)&amp;"")</f>
        <v/>
      </c>
      <c r="AA302" s="59">
        <f>IF($Y302="","",IF(INDEX($D$6:$D$40000,$Y302)="","",INDEX($D$6:$D$40000,$Y302)))</f>
        <v/>
      </c>
      <c r="AB302">
        <f>IF($Y302="","",INDEX($L$6:$L$40000,$Y302)&amp;"")</f>
        <v/>
      </c>
    </row>
    <row r="303">
      <c r="Y303" s="47">
        <f>IFERROR(MATCH(Library!M303,$M$6:$M$40000,0),"")</f>
        <v/>
      </c>
      <c r="Z303">
        <f>IF($Y303="","",INDEX($C$6:$C$40000,$Y303)&amp;"")</f>
        <v/>
      </c>
      <c r="AA303" s="59">
        <f>IF($Y303="","",IF(INDEX($D$6:$D$40000,$Y303)="","",INDEX($D$6:$D$40000,$Y303)))</f>
        <v/>
      </c>
      <c r="AB303">
        <f>IF($Y303="","",INDEX($L$6:$L$40000,$Y303)&amp;"")</f>
        <v/>
      </c>
    </row>
    <row r="304">
      <c r="Y304" s="47">
        <f>IFERROR(MATCH(Library!M304,$M$6:$M$40000,0),"")</f>
        <v/>
      </c>
      <c r="Z304">
        <f>IF($Y304="","",INDEX($C$6:$C$40000,$Y304)&amp;"")</f>
        <v/>
      </c>
      <c r="AA304" s="59">
        <f>IF($Y304="","",IF(INDEX($D$6:$D$40000,$Y304)="","",INDEX($D$6:$D$40000,$Y304)))</f>
        <v/>
      </c>
      <c r="AB304">
        <f>IF($Y304="","",INDEX($L$6:$L$40000,$Y304)&amp;"")</f>
        <v/>
      </c>
    </row>
    <row r="305">
      <c r="Y305" s="47">
        <f>IFERROR(MATCH(Library!M305,$M$6:$M$40000,0),"")</f>
        <v/>
      </c>
      <c r="Z305">
        <f>IF($Y305="","",INDEX($C$6:$C$40000,$Y305)&amp;"")</f>
        <v/>
      </c>
      <c r="AA305" s="59">
        <f>IF($Y305="","",IF(INDEX($D$6:$D$40000,$Y305)="","",INDEX($D$6:$D$40000,$Y305)))</f>
        <v/>
      </c>
      <c r="AB305">
        <f>IF($Y305="","",INDEX($L$6:$L$40000,$Y305)&amp;"")</f>
        <v/>
      </c>
    </row>
    <row r="306">
      <c r="Y306" s="47">
        <f>IFERROR(MATCH(Library!M306,$M$6:$M$40000,0),"")</f>
        <v/>
      </c>
      <c r="Z306">
        <f>IF($Y306="","",INDEX($C$6:$C$40000,$Y306)&amp;"")</f>
        <v/>
      </c>
      <c r="AA306" s="59">
        <f>IF($Y306="","",IF(INDEX($D$6:$D$40000,$Y306)="","",INDEX($D$6:$D$40000,$Y306)))</f>
        <v/>
      </c>
      <c r="AB306">
        <f>IF($Y306="","",INDEX($L$6:$L$40000,$Y306)&amp;"")</f>
        <v/>
      </c>
    </row>
    <row r="307">
      <c r="Y307" s="47">
        <f>IFERROR(MATCH(Library!M307,$M$6:$M$40000,0),"")</f>
        <v/>
      </c>
      <c r="Z307">
        <f>IF($Y307="","",INDEX($C$6:$C$40000,$Y307)&amp;"")</f>
        <v/>
      </c>
      <c r="AA307" s="59">
        <f>IF($Y307="","",IF(INDEX($D$6:$D$40000,$Y307)="","",INDEX($D$6:$D$40000,$Y307)))</f>
        <v/>
      </c>
      <c r="AB307">
        <f>IF($Y307="","",INDEX($L$6:$L$40000,$Y307)&amp;"")</f>
        <v/>
      </c>
    </row>
    <row r="308">
      <c r="Y308" s="47">
        <f>IFERROR(MATCH(Library!M308,$M$6:$M$40000,0),"")</f>
        <v/>
      </c>
      <c r="Z308">
        <f>IF($Y308="","",INDEX($C$6:$C$40000,$Y308)&amp;"")</f>
        <v/>
      </c>
      <c r="AA308" s="59">
        <f>IF($Y308="","",IF(INDEX($D$6:$D$40000,$Y308)="","",INDEX($D$6:$D$40000,$Y308)))</f>
        <v/>
      </c>
      <c r="AB308">
        <f>IF($Y308="","",INDEX($L$6:$L$40000,$Y308)&amp;"")</f>
        <v/>
      </c>
    </row>
    <row r="309">
      <c r="Y309" s="47">
        <f>IFERROR(MATCH(Library!M309,$M$6:$M$40000,0),"")</f>
        <v/>
      </c>
      <c r="Z309">
        <f>IF($Y309="","",INDEX($C$6:$C$40000,$Y309)&amp;"")</f>
        <v/>
      </c>
      <c r="AA309" s="59">
        <f>IF($Y309="","",IF(INDEX($D$6:$D$40000,$Y309)="","",INDEX($D$6:$D$40000,$Y309)))</f>
        <v/>
      </c>
      <c r="AB309">
        <f>IF($Y309="","",INDEX($L$6:$L$40000,$Y309)&amp;"")</f>
        <v/>
      </c>
    </row>
    <row r="310">
      <c r="Y310" s="47">
        <f>IFERROR(MATCH(Library!M310,$M$6:$M$40000,0),"")</f>
        <v/>
      </c>
      <c r="Z310">
        <f>IF($Y310="","",INDEX($C$6:$C$40000,$Y310)&amp;"")</f>
        <v/>
      </c>
      <c r="AA310" s="59">
        <f>IF($Y310="","",IF(INDEX($D$6:$D$40000,$Y310)="","",INDEX($D$6:$D$40000,$Y310)))</f>
        <v/>
      </c>
      <c r="AB310">
        <f>IF($Y310="","",INDEX($L$6:$L$40000,$Y310)&amp;"")</f>
        <v/>
      </c>
    </row>
    <row r="311">
      <c r="Y311" s="47">
        <f>IFERROR(MATCH(Library!M311,$M$6:$M$40000,0),"")</f>
        <v/>
      </c>
      <c r="Z311">
        <f>IF($Y311="","",INDEX($C$6:$C$40000,$Y311)&amp;"")</f>
        <v/>
      </c>
      <c r="AA311" s="59">
        <f>IF($Y311="","",IF(INDEX($D$6:$D$40000,$Y311)="","",INDEX($D$6:$D$40000,$Y311)))</f>
        <v/>
      </c>
      <c r="AB311">
        <f>IF($Y311="","",INDEX($L$6:$L$40000,$Y311)&amp;"")</f>
        <v/>
      </c>
    </row>
    <row r="312">
      <c r="Y312" s="47">
        <f>IFERROR(MATCH(Library!M312,$M$6:$M$40000,0),"")</f>
        <v/>
      </c>
      <c r="Z312">
        <f>IF($Y312="","",INDEX($C$6:$C$40000,$Y312)&amp;"")</f>
        <v/>
      </c>
      <c r="AA312" s="59">
        <f>IF($Y312="","",IF(INDEX($D$6:$D$40000,$Y312)="","",INDEX($D$6:$D$40000,$Y312)))</f>
        <v/>
      </c>
      <c r="AB312">
        <f>IF($Y312="","",INDEX($L$6:$L$40000,$Y312)&amp;"")</f>
        <v/>
      </c>
    </row>
    <row r="313">
      <c r="Y313" s="47">
        <f>IFERROR(MATCH(Library!M313,$M$6:$M$40000,0),"")</f>
        <v/>
      </c>
      <c r="Z313">
        <f>IF($Y313="","",INDEX($C$6:$C$40000,$Y313)&amp;"")</f>
        <v/>
      </c>
      <c r="AA313" s="59">
        <f>IF($Y313="","",IF(INDEX($D$6:$D$40000,$Y313)="","",INDEX($D$6:$D$40000,$Y313)))</f>
        <v/>
      </c>
      <c r="AB313">
        <f>IF($Y313="","",INDEX($L$6:$L$40000,$Y313)&amp;"")</f>
        <v/>
      </c>
    </row>
    <row r="314">
      <c r="Y314" s="47">
        <f>IFERROR(MATCH(Library!M314,$M$6:$M$40000,0),"")</f>
        <v/>
      </c>
      <c r="Z314">
        <f>IF($Y314="","",INDEX($C$6:$C$40000,$Y314)&amp;"")</f>
        <v/>
      </c>
      <c r="AA314" s="59">
        <f>IF($Y314="","",IF(INDEX($D$6:$D$40000,$Y314)="","",INDEX($D$6:$D$40000,$Y314)))</f>
        <v/>
      </c>
      <c r="AB314">
        <f>IF($Y314="","",INDEX($L$6:$L$40000,$Y314)&amp;"")</f>
        <v/>
      </c>
    </row>
    <row r="315">
      <c r="Y315" s="47">
        <f>IFERROR(MATCH(Library!M315,$M$6:$M$40000,0),"")</f>
        <v/>
      </c>
      <c r="Z315">
        <f>IF($Y315="","",INDEX($C$6:$C$40000,$Y315)&amp;"")</f>
        <v/>
      </c>
      <c r="AA315" s="59">
        <f>IF($Y315="","",IF(INDEX($D$6:$D$40000,$Y315)="","",INDEX($D$6:$D$40000,$Y315)))</f>
        <v/>
      </c>
      <c r="AB315">
        <f>IF($Y315="","",INDEX($L$6:$L$40000,$Y315)&amp;"")</f>
        <v/>
      </c>
    </row>
    <row r="316">
      <c r="Y316" s="47">
        <f>IFERROR(MATCH(Library!M316,$M$6:$M$40000,0),"")</f>
        <v/>
      </c>
      <c r="Z316">
        <f>IF($Y316="","",INDEX($C$6:$C$40000,$Y316)&amp;"")</f>
        <v/>
      </c>
      <c r="AA316" s="59">
        <f>IF($Y316="","",IF(INDEX($D$6:$D$40000,$Y316)="","",INDEX($D$6:$D$40000,$Y316)))</f>
        <v/>
      </c>
      <c r="AB316">
        <f>IF($Y316="","",INDEX($L$6:$L$40000,$Y316)&amp;"")</f>
        <v/>
      </c>
    </row>
    <row r="317">
      <c r="Y317" s="47">
        <f>IFERROR(MATCH(Library!M317,$M$6:$M$40000,0),"")</f>
        <v/>
      </c>
      <c r="Z317">
        <f>IF($Y317="","",INDEX($C$6:$C$40000,$Y317)&amp;"")</f>
        <v/>
      </c>
      <c r="AA317" s="59">
        <f>IF($Y317="","",IF(INDEX($D$6:$D$40000,$Y317)="","",INDEX($D$6:$D$40000,$Y317)))</f>
        <v/>
      </c>
      <c r="AB317">
        <f>IF($Y317="","",INDEX($L$6:$L$40000,$Y317)&amp;"")</f>
        <v/>
      </c>
    </row>
    <row r="318">
      <c r="Y318" s="47">
        <f>IFERROR(MATCH(Library!M318,$M$6:$M$40000,0),"")</f>
        <v/>
      </c>
      <c r="Z318">
        <f>IF($Y318="","",INDEX($C$6:$C$40000,$Y318)&amp;"")</f>
        <v/>
      </c>
      <c r="AA318" s="59">
        <f>IF($Y318="","",IF(INDEX($D$6:$D$40000,$Y318)="","",INDEX($D$6:$D$40000,$Y318)))</f>
        <v/>
      </c>
      <c r="AB318">
        <f>IF($Y318="","",INDEX($L$6:$L$40000,$Y318)&amp;"")</f>
        <v/>
      </c>
    </row>
    <row r="319">
      <c r="Y319" s="47">
        <f>IFERROR(MATCH(Library!M319,$M$6:$M$40000,0),"")</f>
        <v/>
      </c>
      <c r="Z319">
        <f>IF($Y319="","",INDEX($C$6:$C$40000,$Y319)&amp;"")</f>
        <v/>
      </c>
      <c r="AA319" s="59">
        <f>IF($Y319="","",IF(INDEX($D$6:$D$40000,$Y319)="","",INDEX($D$6:$D$40000,$Y319)))</f>
        <v/>
      </c>
      <c r="AB319">
        <f>IF($Y319="","",INDEX($L$6:$L$40000,$Y319)&amp;"")</f>
        <v/>
      </c>
    </row>
    <row r="320">
      <c r="Y320" s="47">
        <f>IFERROR(MATCH(Library!M320,$M$6:$M$40000,0),"")</f>
        <v/>
      </c>
      <c r="Z320">
        <f>IF($Y320="","",INDEX($C$6:$C$40000,$Y320)&amp;"")</f>
        <v/>
      </c>
      <c r="AA320" s="59">
        <f>IF($Y320="","",IF(INDEX($D$6:$D$40000,$Y320)="","",INDEX($D$6:$D$40000,$Y320)))</f>
        <v/>
      </c>
      <c r="AB320">
        <f>IF($Y320="","",INDEX($L$6:$L$40000,$Y320)&amp;"")</f>
        <v/>
      </c>
    </row>
    <row r="321">
      <c r="Y321" s="47">
        <f>IFERROR(MATCH(Library!M321,$M$6:$M$40000,0),"")</f>
        <v/>
      </c>
      <c r="Z321">
        <f>IF($Y321="","",INDEX($C$6:$C$40000,$Y321)&amp;"")</f>
        <v/>
      </c>
      <c r="AA321" s="59">
        <f>IF($Y321="","",IF(INDEX($D$6:$D$40000,$Y321)="","",INDEX($D$6:$D$40000,$Y321)))</f>
        <v/>
      </c>
      <c r="AB321">
        <f>IF($Y321="","",INDEX($L$6:$L$40000,$Y321)&amp;"")</f>
        <v/>
      </c>
    </row>
    <row r="322">
      <c r="Y322" s="47">
        <f>IFERROR(MATCH(Library!M322,$M$6:$M$40000,0),"")</f>
        <v/>
      </c>
      <c r="Z322">
        <f>IF($Y322="","",INDEX($C$6:$C$40000,$Y322)&amp;"")</f>
        <v/>
      </c>
      <c r="AA322" s="59">
        <f>IF($Y322="","",IF(INDEX($D$6:$D$40000,$Y322)="","",INDEX($D$6:$D$40000,$Y322)))</f>
        <v/>
      </c>
      <c r="AB322">
        <f>IF($Y322="","",INDEX($L$6:$L$40000,$Y322)&amp;"")</f>
        <v/>
      </c>
    </row>
    <row r="323">
      <c r="Y323" s="47">
        <f>IFERROR(MATCH(Library!M323,$M$6:$M$40000,0),"")</f>
        <v/>
      </c>
      <c r="Z323">
        <f>IF($Y323="","",INDEX($C$6:$C$40000,$Y323)&amp;"")</f>
        <v/>
      </c>
      <c r="AA323" s="59">
        <f>IF($Y323="","",IF(INDEX($D$6:$D$40000,$Y323)="","",INDEX($D$6:$D$40000,$Y323)))</f>
        <v/>
      </c>
      <c r="AB323">
        <f>IF($Y323="","",INDEX($L$6:$L$40000,$Y323)&amp;"")</f>
        <v/>
      </c>
    </row>
    <row r="324">
      <c r="Y324" s="47">
        <f>IFERROR(MATCH(Library!M324,$M$6:$M$40000,0),"")</f>
        <v/>
      </c>
      <c r="Z324">
        <f>IF($Y324="","",INDEX($C$6:$C$40000,$Y324)&amp;"")</f>
        <v/>
      </c>
      <c r="AA324" s="59">
        <f>IF($Y324="","",IF(INDEX($D$6:$D$40000,$Y324)="","",INDEX($D$6:$D$40000,$Y324)))</f>
        <v/>
      </c>
      <c r="AB324">
        <f>IF($Y324="","",INDEX($L$6:$L$40000,$Y324)&amp;"")</f>
        <v/>
      </c>
    </row>
    <row r="325">
      <c r="Y325" s="47">
        <f>IFERROR(MATCH(Library!M325,$M$6:$M$40000,0),"")</f>
        <v/>
      </c>
      <c r="Z325">
        <f>IF($Y325="","",INDEX($C$6:$C$40000,$Y325)&amp;"")</f>
        <v/>
      </c>
      <c r="AA325" s="59">
        <f>IF($Y325="","",IF(INDEX($D$6:$D$40000,$Y325)="","",INDEX($D$6:$D$40000,$Y325)))</f>
        <v/>
      </c>
      <c r="AB325">
        <f>IF($Y325="","",INDEX($L$6:$L$40000,$Y325)&amp;"")</f>
        <v/>
      </c>
    </row>
    <row r="326">
      <c r="Y326" s="47">
        <f>IFERROR(MATCH(Library!M326,$M$6:$M$40000,0),"")</f>
        <v/>
      </c>
      <c r="Z326">
        <f>IF($Y326="","",INDEX($C$6:$C$40000,$Y326)&amp;"")</f>
        <v/>
      </c>
      <c r="AA326" s="59">
        <f>IF($Y326="","",IF(INDEX($D$6:$D$40000,$Y326)="","",INDEX($D$6:$D$40000,$Y326)))</f>
        <v/>
      </c>
      <c r="AB326">
        <f>IF($Y326="","",INDEX($L$6:$L$40000,$Y326)&amp;"")</f>
        <v/>
      </c>
    </row>
    <row r="327">
      <c r="Y327" s="47">
        <f>IFERROR(MATCH(Library!M327,$M$6:$M$40000,0),"")</f>
        <v/>
      </c>
      <c r="Z327">
        <f>IF($Y327="","",INDEX($C$6:$C$40000,$Y327)&amp;"")</f>
        <v/>
      </c>
      <c r="AA327" s="59">
        <f>IF($Y327="","",IF(INDEX($D$6:$D$40000,$Y327)="","",INDEX($D$6:$D$40000,$Y327)))</f>
        <v/>
      </c>
      <c r="AB327">
        <f>IF($Y327="","",INDEX($L$6:$L$40000,$Y327)&amp;"")</f>
        <v/>
      </c>
    </row>
    <row r="328">
      <c r="Y328" s="47">
        <f>IFERROR(MATCH(Library!M328,$M$6:$M$40000,0),"")</f>
        <v/>
      </c>
      <c r="Z328">
        <f>IF($Y328="","",INDEX($C$6:$C$40000,$Y328)&amp;"")</f>
        <v/>
      </c>
      <c r="AA328" s="59">
        <f>IF($Y328="","",IF(INDEX($D$6:$D$40000,$Y328)="","",INDEX($D$6:$D$40000,$Y328)))</f>
        <v/>
      </c>
      <c r="AB328">
        <f>IF($Y328="","",INDEX($L$6:$L$40000,$Y328)&amp;"")</f>
        <v/>
      </c>
    </row>
    <row r="329">
      <c r="Y329" s="47">
        <f>IFERROR(MATCH(Library!M329,$M$6:$M$40000,0),"")</f>
        <v/>
      </c>
      <c r="Z329">
        <f>IF($Y329="","",INDEX($C$6:$C$40000,$Y329)&amp;"")</f>
        <v/>
      </c>
      <c r="AA329" s="59">
        <f>IF($Y329="","",IF(INDEX($D$6:$D$40000,$Y329)="","",INDEX($D$6:$D$40000,$Y329)))</f>
        <v/>
      </c>
      <c r="AB329">
        <f>IF($Y329="","",INDEX($L$6:$L$40000,$Y329)&amp;"")</f>
        <v/>
      </c>
    </row>
    <row r="330">
      <c r="Y330" s="47">
        <f>IFERROR(MATCH(Library!M330,$M$6:$M$40000,0),"")</f>
        <v/>
      </c>
      <c r="Z330">
        <f>IF($Y330="","",INDEX($C$6:$C$40000,$Y330)&amp;"")</f>
        <v/>
      </c>
      <c r="AA330" s="59">
        <f>IF($Y330="","",IF(INDEX($D$6:$D$40000,$Y330)="","",INDEX($D$6:$D$40000,$Y330)))</f>
        <v/>
      </c>
      <c r="AB330">
        <f>IF($Y330="","",INDEX($L$6:$L$40000,$Y330)&amp;"")</f>
        <v/>
      </c>
    </row>
    <row r="331">
      <c r="Y331" s="47">
        <f>IFERROR(MATCH(Library!M331,$M$6:$M$40000,0),"")</f>
        <v/>
      </c>
      <c r="Z331">
        <f>IF($Y331="","",INDEX($C$6:$C$40000,$Y331)&amp;"")</f>
        <v/>
      </c>
      <c r="AA331" s="59">
        <f>IF($Y331="","",IF(INDEX($D$6:$D$40000,$Y331)="","",INDEX($D$6:$D$40000,$Y331)))</f>
        <v/>
      </c>
      <c r="AB331">
        <f>IF($Y331="","",INDEX($L$6:$L$40000,$Y331)&amp;"")</f>
        <v/>
      </c>
    </row>
    <row r="332">
      <c r="Y332" s="47">
        <f>IFERROR(MATCH(Library!M332,$M$6:$M$40000,0),"")</f>
        <v/>
      </c>
      <c r="Z332">
        <f>IF($Y332="","",INDEX($C$6:$C$40000,$Y332)&amp;"")</f>
        <v/>
      </c>
      <c r="AA332" s="59">
        <f>IF($Y332="","",IF(INDEX($D$6:$D$40000,$Y332)="","",INDEX($D$6:$D$40000,$Y332)))</f>
        <v/>
      </c>
      <c r="AB332">
        <f>IF($Y332="","",INDEX($L$6:$L$40000,$Y332)&amp;"")</f>
        <v/>
      </c>
    </row>
    <row r="333">
      <c r="Y333" s="47">
        <f>IFERROR(MATCH(Library!M333,$M$6:$M$40000,0),"")</f>
        <v/>
      </c>
      <c r="Z333">
        <f>IF($Y333="","",INDEX($C$6:$C$40000,$Y333)&amp;"")</f>
        <v/>
      </c>
      <c r="AA333" s="59">
        <f>IF($Y333="","",IF(INDEX($D$6:$D$40000,$Y333)="","",INDEX($D$6:$D$40000,$Y333)))</f>
        <v/>
      </c>
      <c r="AB333">
        <f>IF($Y333="","",INDEX($L$6:$L$40000,$Y333)&amp;"")</f>
        <v/>
      </c>
    </row>
    <row r="334">
      <c r="Y334" s="47">
        <f>IFERROR(MATCH(Library!M334,$M$6:$M$40000,0),"")</f>
        <v/>
      </c>
      <c r="Z334">
        <f>IF($Y334="","",INDEX($C$6:$C$40000,$Y334)&amp;"")</f>
        <v/>
      </c>
      <c r="AA334" s="59">
        <f>IF($Y334="","",IF(INDEX($D$6:$D$40000,$Y334)="","",INDEX($D$6:$D$40000,$Y334)))</f>
        <v/>
      </c>
      <c r="AB334">
        <f>IF($Y334="","",INDEX($L$6:$L$40000,$Y334)&amp;"")</f>
        <v/>
      </c>
    </row>
    <row r="335">
      <c r="Y335" s="47">
        <f>IFERROR(MATCH(Library!M335,$M$6:$M$40000,0),"")</f>
        <v/>
      </c>
      <c r="Z335">
        <f>IF($Y335="","",INDEX($C$6:$C$40000,$Y335)&amp;"")</f>
        <v/>
      </c>
      <c r="AA335" s="59">
        <f>IF($Y335="","",IF(INDEX($D$6:$D$40000,$Y335)="","",INDEX($D$6:$D$40000,$Y335)))</f>
        <v/>
      </c>
      <c r="AB335">
        <f>IF($Y335="","",INDEX($L$6:$L$40000,$Y335)&amp;"")</f>
        <v/>
      </c>
    </row>
    <row r="336">
      <c r="Y336" s="47">
        <f>IFERROR(MATCH(Library!M336,$M$6:$M$40000,0),"")</f>
        <v/>
      </c>
      <c r="Z336">
        <f>IF($Y336="","",INDEX($C$6:$C$40000,$Y336)&amp;"")</f>
        <v/>
      </c>
      <c r="AA336" s="59">
        <f>IF($Y336="","",IF(INDEX($D$6:$D$40000,$Y336)="","",INDEX($D$6:$D$40000,$Y336)))</f>
        <v/>
      </c>
      <c r="AB336">
        <f>IF($Y336="","",INDEX($L$6:$L$40000,$Y336)&amp;"")</f>
        <v/>
      </c>
    </row>
    <row r="337">
      <c r="Y337" s="47">
        <f>IFERROR(MATCH(Library!M337,$M$6:$M$40000,0),"")</f>
        <v/>
      </c>
      <c r="Z337">
        <f>IF($Y337="","",INDEX($C$6:$C$40000,$Y337)&amp;"")</f>
        <v/>
      </c>
      <c r="AA337" s="59">
        <f>IF($Y337="","",IF(INDEX($D$6:$D$40000,$Y337)="","",INDEX($D$6:$D$40000,$Y337)))</f>
        <v/>
      </c>
      <c r="AB337">
        <f>IF($Y337="","",INDEX($L$6:$L$40000,$Y337)&amp;"")</f>
        <v/>
      </c>
    </row>
    <row r="338">
      <c r="Y338" s="47">
        <f>IFERROR(MATCH(Library!M338,$M$6:$M$40000,0),"")</f>
        <v/>
      </c>
      <c r="Z338">
        <f>IF($Y338="","",INDEX($C$6:$C$40000,$Y338)&amp;"")</f>
        <v/>
      </c>
      <c r="AA338" s="59">
        <f>IF($Y338="","",IF(INDEX($D$6:$D$40000,$Y338)="","",INDEX($D$6:$D$40000,$Y338)))</f>
        <v/>
      </c>
      <c r="AB338">
        <f>IF($Y338="","",INDEX($L$6:$L$40000,$Y338)&amp;"")</f>
        <v/>
      </c>
    </row>
    <row r="339">
      <c r="Y339" s="47">
        <f>IFERROR(MATCH(Library!M339,$M$6:$M$40000,0),"")</f>
        <v/>
      </c>
      <c r="Z339">
        <f>IF($Y339="","",INDEX($C$6:$C$40000,$Y339)&amp;"")</f>
        <v/>
      </c>
      <c r="AA339" s="59">
        <f>IF($Y339="","",IF(INDEX($D$6:$D$40000,$Y339)="","",INDEX($D$6:$D$40000,$Y339)))</f>
        <v/>
      </c>
      <c r="AB339">
        <f>IF($Y339="","",INDEX($L$6:$L$40000,$Y339)&amp;"")</f>
        <v/>
      </c>
    </row>
    <row r="340">
      <c r="Y340" s="47">
        <f>IFERROR(MATCH(Library!M340,$M$6:$M$40000,0),"")</f>
        <v/>
      </c>
      <c r="Z340">
        <f>IF($Y340="","",INDEX($C$6:$C$40000,$Y340)&amp;"")</f>
        <v/>
      </c>
      <c r="AA340" s="59">
        <f>IF($Y340="","",IF(INDEX($D$6:$D$40000,$Y340)="","",INDEX($D$6:$D$40000,$Y340)))</f>
        <v/>
      </c>
      <c r="AB340">
        <f>IF($Y340="","",INDEX($L$6:$L$40000,$Y340)&amp;"")</f>
        <v/>
      </c>
    </row>
    <row r="341">
      <c r="Y341" s="47">
        <f>IFERROR(MATCH(Library!M341,$M$6:$M$40000,0),"")</f>
        <v/>
      </c>
      <c r="Z341">
        <f>IF($Y341="","",INDEX($C$6:$C$40000,$Y341)&amp;"")</f>
        <v/>
      </c>
      <c r="AA341" s="59">
        <f>IF($Y341="","",IF(INDEX($D$6:$D$40000,$Y341)="","",INDEX($D$6:$D$40000,$Y341)))</f>
        <v/>
      </c>
      <c r="AB341">
        <f>IF($Y341="","",INDEX($L$6:$L$40000,$Y341)&amp;"")</f>
        <v/>
      </c>
    </row>
    <row r="342">
      <c r="Y342" s="47">
        <f>IFERROR(MATCH(Library!M342,$M$6:$M$40000,0),"")</f>
        <v/>
      </c>
      <c r="Z342">
        <f>IF($Y342="","",INDEX($C$6:$C$40000,$Y342)&amp;"")</f>
        <v/>
      </c>
      <c r="AA342" s="59">
        <f>IF($Y342="","",IF(INDEX($D$6:$D$40000,$Y342)="","",INDEX($D$6:$D$40000,$Y342)))</f>
        <v/>
      </c>
      <c r="AB342">
        <f>IF($Y342="","",INDEX($L$6:$L$40000,$Y342)&amp;"")</f>
        <v/>
      </c>
    </row>
    <row r="343">
      <c r="Y343" s="47">
        <f>IFERROR(MATCH(Library!M343,$M$6:$M$40000,0),"")</f>
        <v/>
      </c>
      <c r="Z343">
        <f>IF($Y343="","",INDEX($C$6:$C$40000,$Y343)&amp;"")</f>
        <v/>
      </c>
      <c r="AA343" s="59">
        <f>IF($Y343="","",IF(INDEX($D$6:$D$40000,$Y343)="","",INDEX($D$6:$D$40000,$Y343)))</f>
        <v/>
      </c>
      <c r="AB343">
        <f>IF($Y343="","",INDEX($L$6:$L$40000,$Y343)&amp;"")</f>
        <v/>
      </c>
    </row>
    <row r="344">
      <c r="Y344" s="47">
        <f>IFERROR(MATCH(Library!M344,$M$6:$M$40000,0),"")</f>
        <v/>
      </c>
      <c r="Z344">
        <f>IF($Y344="","",INDEX($C$6:$C$40000,$Y344)&amp;"")</f>
        <v/>
      </c>
      <c r="AA344" s="59">
        <f>IF($Y344="","",IF(INDEX($D$6:$D$40000,$Y344)="","",INDEX($D$6:$D$40000,$Y344)))</f>
        <v/>
      </c>
      <c r="AB344">
        <f>IF($Y344="","",INDEX($L$6:$L$40000,$Y344)&amp;"")</f>
        <v/>
      </c>
    </row>
    <row r="345">
      <c r="Y345" s="47">
        <f>IFERROR(MATCH(Library!M345,$M$6:$M$40000,0),"")</f>
        <v/>
      </c>
      <c r="Z345">
        <f>IF($Y345="","",INDEX($C$6:$C$40000,$Y345)&amp;"")</f>
        <v/>
      </c>
      <c r="AA345" s="59">
        <f>IF($Y345="","",IF(INDEX($D$6:$D$40000,$Y345)="","",INDEX($D$6:$D$40000,$Y345)))</f>
        <v/>
      </c>
      <c r="AB345">
        <f>IF($Y345="","",INDEX($L$6:$L$40000,$Y345)&amp;"")</f>
        <v/>
      </c>
    </row>
    <row r="346">
      <c r="Y346" s="47">
        <f>IFERROR(MATCH(Library!M346,$M$6:$M$40000,0),"")</f>
        <v/>
      </c>
      <c r="Z346">
        <f>IF($Y346="","",INDEX($C$6:$C$40000,$Y346)&amp;"")</f>
        <v/>
      </c>
      <c r="AA346" s="59">
        <f>IF($Y346="","",IF(INDEX($D$6:$D$40000,$Y346)="","",INDEX($D$6:$D$40000,$Y346)))</f>
        <v/>
      </c>
      <c r="AB346">
        <f>IF($Y346="","",INDEX($L$6:$L$40000,$Y346)&amp;"")</f>
        <v/>
      </c>
    </row>
    <row r="347">
      <c r="Y347" s="47">
        <f>IFERROR(MATCH(Library!M347,$M$6:$M$40000,0),"")</f>
        <v/>
      </c>
      <c r="Z347">
        <f>IF($Y347="","",INDEX($C$6:$C$40000,$Y347)&amp;"")</f>
        <v/>
      </c>
      <c r="AA347" s="59">
        <f>IF($Y347="","",IF(INDEX($D$6:$D$40000,$Y347)="","",INDEX($D$6:$D$40000,$Y347)))</f>
        <v/>
      </c>
      <c r="AB347">
        <f>IF($Y347="","",INDEX($L$6:$L$40000,$Y347)&amp;"")</f>
        <v/>
      </c>
    </row>
    <row r="348">
      <c r="Y348" s="47">
        <f>IFERROR(MATCH(Library!M348,$M$6:$M$40000,0),"")</f>
        <v/>
      </c>
      <c r="Z348">
        <f>IF($Y348="","",INDEX($C$6:$C$40000,$Y348)&amp;"")</f>
        <v/>
      </c>
      <c r="AA348" s="59">
        <f>IF($Y348="","",IF(INDEX($D$6:$D$40000,$Y348)="","",INDEX($D$6:$D$40000,$Y348)))</f>
        <v/>
      </c>
      <c r="AB348">
        <f>IF($Y348="","",INDEX($L$6:$L$40000,$Y348)&amp;"")</f>
        <v/>
      </c>
    </row>
    <row r="349">
      <c r="Y349" s="47">
        <f>IFERROR(MATCH(Library!M349,$M$6:$M$40000,0),"")</f>
        <v/>
      </c>
      <c r="Z349">
        <f>IF($Y349="","",INDEX($C$6:$C$40000,$Y349)&amp;"")</f>
        <v/>
      </c>
      <c r="AA349" s="59">
        <f>IF($Y349="","",IF(INDEX($D$6:$D$40000,$Y349)="","",INDEX($D$6:$D$40000,$Y349)))</f>
        <v/>
      </c>
      <c r="AB349">
        <f>IF($Y349="","",INDEX($L$6:$L$40000,$Y349)&amp;"")</f>
        <v/>
      </c>
    </row>
    <row r="350">
      <c r="Y350" s="47">
        <f>IFERROR(MATCH(Library!M350,$M$6:$M$40000,0),"")</f>
        <v/>
      </c>
      <c r="Z350">
        <f>IF($Y350="","",INDEX($C$6:$C$40000,$Y350)&amp;"")</f>
        <v/>
      </c>
      <c r="AA350" s="59">
        <f>IF($Y350="","",IF(INDEX($D$6:$D$40000,$Y350)="","",INDEX($D$6:$D$40000,$Y350)))</f>
        <v/>
      </c>
      <c r="AB350">
        <f>IF($Y350="","",INDEX($L$6:$L$40000,$Y350)&amp;"")</f>
        <v/>
      </c>
    </row>
    <row r="351">
      <c r="Y351" s="47">
        <f>IFERROR(MATCH(Library!M351,$M$6:$M$40000,0),"")</f>
        <v/>
      </c>
      <c r="Z351">
        <f>IF($Y351="","",INDEX($C$6:$C$40000,$Y351)&amp;"")</f>
        <v/>
      </c>
      <c r="AA351" s="59">
        <f>IF($Y351="","",IF(INDEX($D$6:$D$40000,$Y351)="","",INDEX($D$6:$D$40000,$Y351)))</f>
        <v/>
      </c>
      <c r="AB351">
        <f>IF($Y351="","",INDEX($L$6:$L$40000,$Y351)&amp;"")</f>
        <v/>
      </c>
    </row>
    <row r="352">
      <c r="Y352" s="47">
        <f>IFERROR(MATCH(Library!M352,$M$6:$M$40000,0),"")</f>
        <v/>
      </c>
      <c r="Z352">
        <f>IF($Y352="","",INDEX($C$6:$C$40000,$Y352)&amp;"")</f>
        <v/>
      </c>
      <c r="AA352" s="59">
        <f>IF($Y352="","",IF(INDEX($D$6:$D$40000,$Y352)="","",INDEX($D$6:$D$40000,$Y352)))</f>
        <v/>
      </c>
      <c r="AB352">
        <f>IF($Y352="","",INDEX($L$6:$L$40000,$Y352)&amp;"")</f>
        <v/>
      </c>
    </row>
    <row r="353">
      <c r="Y353" s="47">
        <f>IFERROR(MATCH(Library!M353,$M$6:$M$40000,0),"")</f>
        <v/>
      </c>
      <c r="Z353">
        <f>IF($Y353="","",INDEX($C$6:$C$40000,$Y353)&amp;"")</f>
        <v/>
      </c>
      <c r="AA353" s="59">
        <f>IF($Y353="","",IF(INDEX($D$6:$D$40000,$Y353)="","",INDEX($D$6:$D$40000,$Y353)))</f>
        <v/>
      </c>
      <c r="AB353">
        <f>IF($Y353="","",INDEX($L$6:$L$40000,$Y353)&amp;"")</f>
        <v/>
      </c>
    </row>
    <row r="354">
      <c r="Y354" s="47">
        <f>IFERROR(MATCH(Library!M354,$M$6:$M$40000,0),"")</f>
        <v/>
      </c>
      <c r="Z354">
        <f>IF($Y354="","",INDEX($C$6:$C$40000,$Y354)&amp;"")</f>
        <v/>
      </c>
      <c r="AA354" s="59">
        <f>IF($Y354="","",IF(INDEX($D$6:$D$40000,$Y354)="","",INDEX($D$6:$D$40000,$Y354)))</f>
        <v/>
      </c>
      <c r="AB354">
        <f>IF($Y354="","",INDEX($L$6:$L$40000,$Y354)&amp;"")</f>
        <v/>
      </c>
    </row>
    <row r="355">
      <c r="Y355" s="47">
        <f>IFERROR(MATCH(Library!M355,$M$6:$M$40000,0),"")</f>
        <v/>
      </c>
      <c r="Z355">
        <f>IF($Y355="","",INDEX($C$6:$C$40000,$Y355)&amp;"")</f>
        <v/>
      </c>
      <c r="AA355" s="59">
        <f>IF($Y355="","",IF(INDEX($D$6:$D$40000,$Y355)="","",INDEX($D$6:$D$40000,$Y355)))</f>
        <v/>
      </c>
      <c r="AB355">
        <f>IF($Y355="","",INDEX($L$6:$L$40000,$Y355)&amp;"")</f>
        <v/>
      </c>
    </row>
    <row r="356">
      <c r="Y356" s="47">
        <f>IFERROR(MATCH(Library!M356,$M$6:$M$40000,0),"")</f>
        <v/>
      </c>
      <c r="Z356">
        <f>IF($Y356="","",INDEX($C$6:$C$40000,$Y356)&amp;"")</f>
        <v/>
      </c>
      <c r="AA356" s="59">
        <f>IF($Y356="","",IF(INDEX($D$6:$D$40000,$Y356)="","",INDEX($D$6:$D$40000,$Y356)))</f>
        <v/>
      </c>
      <c r="AB356">
        <f>IF($Y356="","",INDEX($L$6:$L$40000,$Y356)&amp;"")</f>
        <v/>
      </c>
    </row>
    <row r="357">
      <c r="Y357" s="47">
        <f>IFERROR(MATCH(Library!M357,$M$6:$M$40000,0),"")</f>
        <v/>
      </c>
      <c r="Z357">
        <f>IF($Y357="","",INDEX($C$6:$C$40000,$Y357)&amp;"")</f>
        <v/>
      </c>
      <c r="AA357" s="59">
        <f>IF($Y357="","",IF(INDEX($D$6:$D$40000,$Y357)="","",INDEX($D$6:$D$40000,$Y357)))</f>
        <v/>
      </c>
      <c r="AB357">
        <f>IF($Y357="","",INDEX($L$6:$L$40000,$Y357)&amp;"")</f>
        <v/>
      </c>
    </row>
    <row r="358">
      <c r="Y358" s="47">
        <f>IFERROR(MATCH(Library!M358,$M$6:$M$40000,0),"")</f>
        <v/>
      </c>
      <c r="Z358">
        <f>IF($Y358="","",INDEX($C$6:$C$40000,$Y358)&amp;"")</f>
        <v/>
      </c>
      <c r="AA358" s="59">
        <f>IF($Y358="","",IF(INDEX($D$6:$D$40000,$Y358)="","",INDEX($D$6:$D$40000,$Y358)))</f>
        <v/>
      </c>
      <c r="AB358">
        <f>IF($Y358="","",INDEX($L$6:$L$40000,$Y358)&amp;"")</f>
        <v/>
      </c>
    </row>
    <row r="359">
      <c r="Y359" s="47">
        <f>IFERROR(MATCH(Library!M359,$M$6:$M$40000,0),"")</f>
        <v/>
      </c>
      <c r="Z359">
        <f>IF($Y359="","",INDEX($C$6:$C$40000,$Y359)&amp;"")</f>
        <v/>
      </c>
      <c r="AA359" s="59">
        <f>IF($Y359="","",IF(INDEX($D$6:$D$40000,$Y359)="","",INDEX($D$6:$D$40000,$Y359)))</f>
        <v/>
      </c>
      <c r="AB359">
        <f>IF($Y359="","",INDEX($L$6:$L$40000,$Y359)&amp;"")</f>
        <v/>
      </c>
    </row>
    <row r="360">
      <c r="Y360" s="47">
        <f>IFERROR(MATCH(Library!M360,$M$6:$M$40000,0),"")</f>
        <v/>
      </c>
      <c r="Z360">
        <f>IF($Y360="","",INDEX($C$6:$C$40000,$Y360)&amp;"")</f>
        <v/>
      </c>
      <c r="AA360" s="59">
        <f>IF($Y360="","",IF(INDEX($D$6:$D$40000,$Y360)="","",INDEX($D$6:$D$40000,$Y360)))</f>
        <v/>
      </c>
      <c r="AB360">
        <f>IF($Y360="","",INDEX($L$6:$L$40000,$Y360)&amp;"")</f>
        <v/>
      </c>
    </row>
    <row r="361">
      <c r="Y361" s="47">
        <f>IFERROR(MATCH(Library!M361,$M$6:$M$40000,0),"")</f>
        <v/>
      </c>
      <c r="Z361">
        <f>IF($Y361="","",INDEX($C$6:$C$40000,$Y361)&amp;"")</f>
        <v/>
      </c>
      <c r="AA361" s="59">
        <f>IF($Y361="","",IF(INDEX($D$6:$D$40000,$Y361)="","",INDEX($D$6:$D$40000,$Y361)))</f>
        <v/>
      </c>
      <c r="AB361">
        <f>IF($Y361="","",INDEX($L$6:$L$40000,$Y361)&amp;"")</f>
        <v/>
      </c>
    </row>
    <row r="362">
      <c r="Y362" s="47">
        <f>IFERROR(MATCH(Library!M362,$M$6:$M$40000,0),"")</f>
        <v/>
      </c>
      <c r="Z362">
        <f>IF($Y362="","",INDEX($C$6:$C$40000,$Y362)&amp;"")</f>
        <v/>
      </c>
      <c r="AA362" s="59">
        <f>IF($Y362="","",IF(INDEX($D$6:$D$40000,$Y362)="","",INDEX($D$6:$D$40000,$Y362)))</f>
        <v/>
      </c>
      <c r="AB362">
        <f>IF($Y362="","",INDEX($L$6:$L$40000,$Y362)&amp;"")</f>
        <v/>
      </c>
    </row>
    <row r="363">
      <c r="Y363" s="47">
        <f>IFERROR(MATCH(Library!M363,$M$6:$M$40000,0),"")</f>
        <v/>
      </c>
      <c r="Z363">
        <f>IF($Y363="","",INDEX($C$6:$C$40000,$Y363)&amp;"")</f>
        <v/>
      </c>
      <c r="AA363" s="59">
        <f>IF($Y363="","",IF(INDEX($D$6:$D$40000,$Y363)="","",INDEX($D$6:$D$40000,$Y363)))</f>
        <v/>
      </c>
      <c r="AB363">
        <f>IF($Y363="","",INDEX($L$6:$L$40000,$Y363)&amp;"")</f>
        <v/>
      </c>
    </row>
    <row r="364">
      <c r="Y364" s="47">
        <f>IFERROR(MATCH(Library!M364,$M$6:$M$40000,0),"")</f>
        <v/>
      </c>
      <c r="Z364">
        <f>IF($Y364="","",INDEX($C$6:$C$40000,$Y364)&amp;"")</f>
        <v/>
      </c>
      <c r="AA364" s="59">
        <f>IF($Y364="","",IF(INDEX($D$6:$D$40000,$Y364)="","",INDEX($D$6:$D$40000,$Y364)))</f>
        <v/>
      </c>
      <c r="AB364">
        <f>IF($Y364="","",INDEX($L$6:$L$40000,$Y364)&amp;"")</f>
        <v/>
      </c>
    </row>
    <row r="365">
      <c r="Y365" s="47">
        <f>IFERROR(MATCH(Library!M365,$M$6:$M$40000,0),"")</f>
        <v/>
      </c>
      <c r="Z365">
        <f>IF($Y365="","",INDEX($C$6:$C$40000,$Y365)&amp;"")</f>
        <v/>
      </c>
      <c r="AA365" s="59">
        <f>IF($Y365="","",IF(INDEX($D$6:$D$40000,$Y365)="","",INDEX($D$6:$D$40000,$Y365)))</f>
        <v/>
      </c>
      <c r="AB365">
        <f>IF($Y365="","",INDEX($L$6:$L$40000,$Y365)&amp;"")</f>
        <v/>
      </c>
    </row>
    <row r="366">
      <c r="Y366" s="47">
        <f>IFERROR(MATCH(Library!M366,$M$6:$M$40000,0),"")</f>
        <v/>
      </c>
      <c r="Z366">
        <f>IF($Y366="","",INDEX($C$6:$C$40000,$Y366)&amp;"")</f>
        <v/>
      </c>
      <c r="AA366" s="59">
        <f>IF($Y366="","",IF(INDEX($D$6:$D$40000,$Y366)="","",INDEX($D$6:$D$40000,$Y366)))</f>
        <v/>
      </c>
      <c r="AB366">
        <f>IF($Y366="","",INDEX($L$6:$L$40000,$Y366)&amp;"")</f>
        <v/>
      </c>
    </row>
    <row r="367">
      <c r="Y367" s="47">
        <f>IFERROR(MATCH(Library!M367,$M$6:$M$40000,0),"")</f>
        <v/>
      </c>
      <c r="Z367">
        <f>IF($Y367="","",INDEX($C$6:$C$40000,$Y367)&amp;"")</f>
        <v/>
      </c>
      <c r="AA367" s="59">
        <f>IF($Y367="","",IF(INDEX($D$6:$D$40000,$Y367)="","",INDEX($D$6:$D$40000,$Y367)))</f>
        <v/>
      </c>
      <c r="AB367">
        <f>IF($Y367="","",INDEX($L$6:$L$40000,$Y367)&amp;"")</f>
        <v/>
      </c>
    </row>
    <row r="368">
      <c r="Y368" s="47">
        <f>IFERROR(MATCH(Library!M368,$M$6:$M$40000,0),"")</f>
        <v/>
      </c>
      <c r="Z368">
        <f>IF($Y368="","",INDEX($C$6:$C$40000,$Y368)&amp;"")</f>
        <v/>
      </c>
      <c r="AA368" s="59">
        <f>IF($Y368="","",IF(INDEX($D$6:$D$40000,$Y368)="","",INDEX($D$6:$D$40000,$Y368)))</f>
        <v/>
      </c>
      <c r="AB368">
        <f>IF($Y368="","",INDEX($L$6:$L$40000,$Y368)&amp;"")</f>
        <v/>
      </c>
    </row>
    <row r="369">
      <c r="Y369" s="47">
        <f>IFERROR(MATCH(Library!M369,$M$6:$M$40000,0),"")</f>
        <v/>
      </c>
      <c r="Z369">
        <f>IF($Y369="","",INDEX($C$6:$C$40000,$Y369)&amp;"")</f>
        <v/>
      </c>
      <c r="AA369" s="59">
        <f>IF($Y369="","",IF(INDEX($D$6:$D$40000,$Y369)="","",INDEX($D$6:$D$40000,$Y369)))</f>
        <v/>
      </c>
      <c r="AB369">
        <f>IF($Y369="","",INDEX($L$6:$L$40000,$Y369)&amp;"")</f>
        <v/>
      </c>
    </row>
    <row r="370">
      <c r="Y370" s="47">
        <f>IFERROR(MATCH(Library!M370,$M$6:$M$40000,0),"")</f>
        <v/>
      </c>
      <c r="Z370">
        <f>IF($Y370="","",INDEX($C$6:$C$40000,$Y370)&amp;"")</f>
        <v/>
      </c>
      <c r="AA370" s="59">
        <f>IF($Y370="","",IF(INDEX($D$6:$D$40000,$Y370)="","",INDEX($D$6:$D$40000,$Y370)))</f>
        <v/>
      </c>
      <c r="AB370">
        <f>IF($Y370="","",INDEX($L$6:$L$40000,$Y370)&amp;"")</f>
        <v/>
      </c>
    </row>
    <row r="371">
      <c r="Y371" s="47">
        <f>IFERROR(MATCH(Library!M371,$M$6:$M$40000,0),"")</f>
        <v/>
      </c>
      <c r="Z371">
        <f>IF($Y371="","",INDEX($C$6:$C$40000,$Y371)&amp;"")</f>
        <v/>
      </c>
      <c r="AA371" s="59">
        <f>IF($Y371="","",IF(INDEX($D$6:$D$40000,$Y371)="","",INDEX($D$6:$D$40000,$Y371)))</f>
        <v/>
      </c>
      <c r="AB371">
        <f>IF($Y371="","",INDEX($L$6:$L$40000,$Y371)&amp;"")</f>
        <v/>
      </c>
    </row>
    <row r="372">
      <c r="Y372" s="47">
        <f>IFERROR(MATCH(Library!M372,$M$6:$M$40000,0),"")</f>
        <v/>
      </c>
      <c r="Z372">
        <f>IF($Y372="","",INDEX($C$6:$C$40000,$Y372)&amp;"")</f>
        <v/>
      </c>
      <c r="AA372" s="59">
        <f>IF($Y372="","",IF(INDEX($D$6:$D$40000,$Y372)="","",INDEX($D$6:$D$40000,$Y372)))</f>
        <v/>
      </c>
      <c r="AB372">
        <f>IF($Y372="","",INDEX($L$6:$L$40000,$Y372)&amp;"")</f>
        <v/>
      </c>
    </row>
    <row r="373">
      <c r="Y373" s="47">
        <f>IFERROR(MATCH(Library!M373,$M$6:$M$40000,0),"")</f>
        <v/>
      </c>
      <c r="Z373">
        <f>IF($Y373="","",INDEX($C$6:$C$40000,$Y373)&amp;"")</f>
        <v/>
      </c>
      <c r="AA373" s="59">
        <f>IF($Y373="","",IF(INDEX($D$6:$D$40000,$Y373)="","",INDEX($D$6:$D$40000,$Y373)))</f>
        <v/>
      </c>
      <c r="AB373">
        <f>IF($Y373="","",INDEX($L$6:$L$40000,$Y373)&amp;"")</f>
        <v/>
      </c>
    </row>
    <row r="374">
      <c r="Y374" s="47">
        <f>IFERROR(MATCH(Library!M374,$M$6:$M$40000,0),"")</f>
        <v/>
      </c>
      <c r="Z374">
        <f>IF($Y374="","",INDEX($C$6:$C$40000,$Y374)&amp;"")</f>
        <v/>
      </c>
      <c r="AA374" s="59">
        <f>IF($Y374="","",IF(INDEX($D$6:$D$40000,$Y374)="","",INDEX($D$6:$D$40000,$Y374)))</f>
        <v/>
      </c>
      <c r="AB374">
        <f>IF($Y374="","",INDEX($L$6:$L$40000,$Y374)&amp;"")</f>
        <v/>
      </c>
    </row>
    <row r="375">
      <c r="Y375" s="47">
        <f>IFERROR(MATCH(Library!M375,$M$6:$M$40000,0),"")</f>
        <v/>
      </c>
      <c r="Z375">
        <f>IF($Y375="","",INDEX($C$6:$C$40000,$Y375)&amp;"")</f>
        <v/>
      </c>
      <c r="AA375" s="59">
        <f>IF($Y375="","",IF(INDEX($D$6:$D$40000,$Y375)="","",INDEX($D$6:$D$40000,$Y375)))</f>
        <v/>
      </c>
      <c r="AB375">
        <f>IF($Y375="","",INDEX($L$6:$L$40000,$Y375)&amp;"")</f>
        <v/>
      </c>
    </row>
    <row r="376">
      <c r="Y376" s="47">
        <f>IFERROR(MATCH(Library!M376,$M$6:$M$40000,0),"")</f>
        <v/>
      </c>
      <c r="Z376">
        <f>IF($Y376="","",INDEX($C$6:$C$40000,$Y376)&amp;"")</f>
        <v/>
      </c>
      <c r="AA376" s="59">
        <f>IF($Y376="","",IF(INDEX($D$6:$D$40000,$Y376)="","",INDEX($D$6:$D$40000,$Y376)))</f>
        <v/>
      </c>
      <c r="AB376">
        <f>IF($Y376="","",INDEX($L$6:$L$40000,$Y376)&amp;"")</f>
        <v/>
      </c>
    </row>
    <row r="377">
      <c r="Y377" s="47">
        <f>IFERROR(MATCH(Library!M377,$M$6:$M$40000,0),"")</f>
        <v/>
      </c>
      <c r="Z377">
        <f>IF($Y377="","",INDEX($C$6:$C$40000,$Y377)&amp;"")</f>
        <v/>
      </c>
      <c r="AA377" s="59">
        <f>IF($Y377="","",IF(INDEX($D$6:$D$40000,$Y377)="","",INDEX($D$6:$D$40000,$Y377)))</f>
        <v/>
      </c>
      <c r="AB377">
        <f>IF($Y377="","",INDEX($L$6:$L$40000,$Y377)&amp;"")</f>
        <v/>
      </c>
    </row>
    <row r="378">
      <c r="Y378" s="47">
        <f>IFERROR(MATCH(Library!M378,$M$6:$M$40000,0),"")</f>
        <v/>
      </c>
      <c r="Z378">
        <f>IF($Y378="","",INDEX($C$6:$C$40000,$Y378)&amp;"")</f>
        <v/>
      </c>
      <c r="AA378" s="59">
        <f>IF($Y378="","",IF(INDEX($D$6:$D$40000,$Y378)="","",INDEX($D$6:$D$40000,$Y378)))</f>
        <v/>
      </c>
      <c r="AB378">
        <f>IF($Y378="","",INDEX($L$6:$L$40000,$Y378)&amp;"")</f>
        <v/>
      </c>
    </row>
    <row r="379">
      <c r="Y379" s="47">
        <f>IFERROR(MATCH(Library!M379,$M$6:$M$40000,0),"")</f>
        <v/>
      </c>
      <c r="Z379">
        <f>IF($Y379="","",INDEX($C$6:$C$40000,$Y379)&amp;"")</f>
        <v/>
      </c>
      <c r="AA379" s="59">
        <f>IF($Y379="","",IF(INDEX($D$6:$D$40000,$Y379)="","",INDEX($D$6:$D$40000,$Y379)))</f>
        <v/>
      </c>
      <c r="AB379">
        <f>IF($Y379="","",INDEX($L$6:$L$40000,$Y379)&amp;"")</f>
        <v/>
      </c>
    </row>
    <row r="380">
      <c r="Y380" s="47">
        <f>IFERROR(MATCH(Library!M380,$M$6:$M$40000,0),"")</f>
        <v/>
      </c>
      <c r="Z380">
        <f>IF($Y380="","",INDEX($C$6:$C$40000,$Y380)&amp;"")</f>
        <v/>
      </c>
      <c r="AA380" s="59">
        <f>IF($Y380="","",IF(INDEX($D$6:$D$40000,$Y380)="","",INDEX($D$6:$D$40000,$Y380)))</f>
        <v/>
      </c>
      <c r="AB380">
        <f>IF($Y380="","",INDEX($L$6:$L$40000,$Y380)&amp;"")</f>
        <v/>
      </c>
    </row>
    <row r="381">
      <c r="Y381" s="47">
        <f>IFERROR(MATCH(Library!M381,$M$6:$M$40000,0),"")</f>
        <v/>
      </c>
      <c r="Z381">
        <f>IF($Y381="","",INDEX($C$6:$C$40000,$Y381)&amp;"")</f>
        <v/>
      </c>
      <c r="AA381" s="59">
        <f>IF($Y381="","",IF(INDEX($D$6:$D$40000,$Y381)="","",INDEX($D$6:$D$40000,$Y381)))</f>
        <v/>
      </c>
      <c r="AB381">
        <f>IF($Y381="","",INDEX($L$6:$L$40000,$Y381)&amp;"")</f>
        <v/>
      </c>
    </row>
    <row r="382">
      <c r="Y382" s="47">
        <f>IFERROR(MATCH(Library!M382,$M$6:$M$40000,0),"")</f>
        <v/>
      </c>
      <c r="Z382">
        <f>IF($Y382="","",INDEX($C$6:$C$40000,$Y382)&amp;"")</f>
        <v/>
      </c>
      <c r="AA382" s="59">
        <f>IF($Y382="","",IF(INDEX($D$6:$D$40000,$Y382)="","",INDEX($D$6:$D$40000,$Y382)))</f>
        <v/>
      </c>
      <c r="AB382">
        <f>IF($Y382="","",INDEX($L$6:$L$40000,$Y382)&amp;"")</f>
        <v/>
      </c>
    </row>
    <row r="383">
      <c r="Y383" s="47">
        <f>IFERROR(MATCH(Library!M383,$M$6:$M$40000,0),"")</f>
        <v/>
      </c>
      <c r="Z383">
        <f>IF($Y383="","",INDEX($C$6:$C$40000,$Y383)&amp;"")</f>
        <v/>
      </c>
      <c r="AA383" s="59">
        <f>IF($Y383="","",IF(INDEX($D$6:$D$40000,$Y383)="","",INDEX($D$6:$D$40000,$Y383)))</f>
        <v/>
      </c>
      <c r="AB383">
        <f>IF($Y383="","",INDEX($L$6:$L$40000,$Y383)&amp;"")</f>
        <v/>
      </c>
    </row>
    <row r="384">
      <c r="Y384" s="47">
        <f>IFERROR(MATCH(Library!M384,$M$6:$M$40000,0),"")</f>
        <v/>
      </c>
      <c r="Z384">
        <f>IF($Y384="","",INDEX($C$6:$C$40000,$Y384)&amp;"")</f>
        <v/>
      </c>
      <c r="AA384" s="59">
        <f>IF($Y384="","",IF(INDEX($D$6:$D$40000,$Y384)="","",INDEX($D$6:$D$40000,$Y384)))</f>
        <v/>
      </c>
      <c r="AB384">
        <f>IF($Y384="","",INDEX($L$6:$L$40000,$Y384)&amp;"")</f>
        <v/>
      </c>
    </row>
    <row r="385">
      <c r="Y385" s="47">
        <f>IFERROR(MATCH(Library!M385,$M$6:$M$40000,0),"")</f>
        <v/>
      </c>
      <c r="Z385">
        <f>IF($Y385="","",INDEX($C$6:$C$40000,$Y385)&amp;"")</f>
        <v/>
      </c>
      <c r="AA385" s="59">
        <f>IF($Y385="","",IF(INDEX($D$6:$D$40000,$Y385)="","",INDEX($D$6:$D$40000,$Y385)))</f>
        <v/>
      </c>
      <c r="AB385">
        <f>IF($Y385="","",INDEX($L$6:$L$40000,$Y385)&amp;"")</f>
        <v/>
      </c>
    </row>
    <row r="386">
      <c r="Y386" s="47">
        <f>IFERROR(MATCH(Library!M386,$M$6:$M$40000,0),"")</f>
        <v/>
      </c>
      <c r="Z386">
        <f>IF($Y386="","",INDEX($C$6:$C$40000,$Y386)&amp;"")</f>
        <v/>
      </c>
      <c r="AA386" s="59">
        <f>IF($Y386="","",IF(INDEX($D$6:$D$40000,$Y386)="","",INDEX($D$6:$D$40000,$Y386)))</f>
        <v/>
      </c>
      <c r="AB386">
        <f>IF($Y386="","",INDEX($L$6:$L$40000,$Y386)&amp;"")</f>
        <v/>
      </c>
    </row>
    <row r="387">
      <c r="Y387" s="47">
        <f>IFERROR(MATCH(Library!M387,$M$6:$M$40000,0),"")</f>
        <v/>
      </c>
      <c r="Z387">
        <f>IF($Y387="","",INDEX($C$6:$C$40000,$Y387)&amp;"")</f>
        <v/>
      </c>
      <c r="AA387" s="59">
        <f>IF($Y387="","",IF(INDEX($D$6:$D$40000,$Y387)="","",INDEX($D$6:$D$40000,$Y387)))</f>
        <v/>
      </c>
      <c r="AB387">
        <f>IF($Y387="","",INDEX($L$6:$L$40000,$Y387)&amp;"")</f>
        <v/>
      </c>
    </row>
    <row r="388">
      <c r="Y388" s="47">
        <f>IFERROR(MATCH(Library!M388,$M$6:$M$40000,0),"")</f>
        <v/>
      </c>
      <c r="Z388">
        <f>IF($Y388="","",INDEX($C$6:$C$40000,$Y388)&amp;"")</f>
        <v/>
      </c>
      <c r="AA388" s="59">
        <f>IF($Y388="","",IF(INDEX($D$6:$D$40000,$Y388)="","",INDEX($D$6:$D$40000,$Y388)))</f>
        <v/>
      </c>
      <c r="AB388">
        <f>IF($Y388="","",INDEX($L$6:$L$40000,$Y388)&amp;"")</f>
        <v/>
      </c>
    </row>
    <row r="389">
      <c r="Y389" s="47">
        <f>IFERROR(MATCH(Library!M389,$M$6:$M$40000,0),"")</f>
        <v/>
      </c>
      <c r="Z389">
        <f>IF($Y389="","",INDEX($C$6:$C$40000,$Y389)&amp;"")</f>
        <v/>
      </c>
      <c r="AA389" s="59">
        <f>IF($Y389="","",IF(INDEX($D$6:$D$40000,$Y389)="","",INDEX($D$6:$D$40000,$Y389)))</f>
        <v/>
      </c>
      <c r="AB389">
        <f>IF($Y389="","",INDEX($L$6:$L$40000,$Y389)&amp;"")</f>
        <v/>
      </c>
    </row>
    <row r="390">
      <c r="Y390" s="47">
        <f>IFERROR(MATCH(Library!M390,$M$6:$M$40000,0),"")</f>
        <v/>
      </c>
      <c r="Z390">
        <f>IF($Y390="","",INDEX($C$6:$C$40000,$Y390)&amp;"")</f>
        <v/>
      </c>
      <c r="AA390" s="59">
        <f>IF($Y390="","",IF(INDEX($D$6:$D$40000,$Y390)="","",INDEX($D$6:$D$40000,$Y390)))</f>
        <v/>
      </c>
      <c r="AB390">
        <f>IF($Y390="","",INDEX($L$6:$L$40000,$Y390)&amp;"")</f>
        <v/>
      </c>
    </row>
    <row r="391">
      <c r="Y391" s="47">
        <f>IFERROR(MATCH(Library!M391,$M$6:$M$40000,0),"")</f>
        <v/>
      </c>
      <c r="Z391">
        <f>IF($Y391="","",INDEX($C$6:$C$40000,$Y391)&amp;"")</f>
        <v/>
      </c>
      <c r="AA391" s="59">
        <f>IF($Y391="","",IF(INDEX($D$6:$D$40000,$Y391)="","",INDEX($D$6:$D$40000,$Y391)))</f>
        <v/>
      </c>
      <c r="AB391">
        <f>IF($Y391="","",INDEX($L$6:$L$40000,$Y391)&amp;"")</f>
        <v/>
      </c>
    </row>
    <row r="392">
      <c r="Y392" s="47">
        <f>IFERROR(MATCH(Library!M392,$M$6:$M$40000,0),"")</f>
        <v/>
      </c>
      <c r="Z392">
        <f>IF($Y392="","",INDEX($C$6:$C$40000,$Y392)&amp;"")</f>
        <v/>
      </c>
      <c r="AA392" s="59">
        <f>IF($Y392="","",IF(INDEX($D$6:$D$40000,$Y392)="","",INDEX($D$6:$D$40000,$Y392)))</f>
        <v/>
      </c>
      <c r="AB392">
        <f>IF($Y392="","",INDEX($L$6:$L$40000,$Y392)&amp;"")</f>
        <v/>
      </c>
    </row>
    <row r="393">
      <c r="Y393" s="47">
        <f>IFERROR(MATCH(Library!M393,$M$6:$M$40000,0),"")</f>
        <v/>
      </c>
      <c r="Z393">
        <f>IF($Y393="","",INDEX($C$6:$C$40000,$Y393)&amp;"")</f>
        <v/>
      </c>
      <c r="AA393" s="59">
        <f>IF($Y393="","",IF(INDEX($D$6:$D$40000,$Y393)="","",INDEX($D$6:$D$40000,$Y393)))</f>
        <v/>
      </c>
      <c r="AB393">
        <f>IF($Y393="","",INDEX($L$6:$L$40000,$Y393)&amp;"")</f>
        <v/>
      </c>
    </row>
    <row r="394">
      <c r="Y394" s="47">
        <f>IFERROR(MATCH(Library!M394,$M$6:$M$40000,0),"")</f>
        <v/>
      </c>
      <c r="Z394">
        <f>IF($Y394="","",INDEX($C$6:$C$40000,$Y394)&amp;"")</f>
        <v/>
      </c>
      <c r="AA394" s="59">
        <f>IF($Y394="","",IF(INDEX($D$6:$D$40000,$Y394)="","",INDEX($D$6:$D$40000,$Y394)))</f>
        <v/>
      </c>
      <c r="AB394">
        <f>IF($Y394="","",INDEX($L$6:$L$40000,$Y394)&amp;"")</f>
        <v/>
      </c>
    </row>
    <row r="395">
      <c r="Y395" s="47">
        <f>IFERROR(MATCH(Library!M395,$M$6:$M$40000,0),"")</f>
        <v/>
      </c>
      <c r="Z395">
        <f>IF($Y395="","",INDEX($C$6:$C$40000,$Y395)&amp;"")</f>
        <v/>
      </c>
      <c r="AA395" s="59">
        <f>IF($Y395="","",IF(INDEX($D$6:$D$40000,$Y395)="","",INDEX($D$6:$D$40000,$Y395)))</f>
        <v/>
      </c>
      <c r="AB395">
        <f>IF($Y395="","",INDEX($L$6:$L$40000,$Y395)&amp;"")</f>
        <v/>
      </c>
    </row>
    <row r="396">
      <c r="Y396" s="47">
        <f>IFERROR(MATCH(Library!M396,$M$6:$M$40000,0),"")</f>
        <v/>
      </c>
      <c r="Z396">
        <f>IF($Y396="","",INDEX($C$6:$C$40000,$Y396)&amp;"")</f>
        <v/>
      </c>
      <c r="AA396" s="59">
        <f>IF($Y396="","",IF(INDEX($D$6:$D$40000,$Y396)="","",INDEX($D$6:$D$40000,$Y396)))</f>
        <v/>
      </c>
      <c r="AB396">
        <f>IF($Y396="","",INDEX($L$6:$L$40000,$Y396)&amp;"")</f>
        <v/>
      </c>
    </row>
    <row r="397">
      <c r="Y397" s="47">
        <f>IFERROR(MATCH(Library!M397,$M$6:$M$40000,0),"")</f>
        <v/>
      </c>
      <c r="Z397">
        <f>IF($Y397="","",INDEX($C$6:$C$40000,$Y397)&amp;"")</f>
        <v/>
      </c>
      <c r="AA397" s="59">
        <f>IF($Y397="","",IF(INDEX($D$6:$D$40000,$Y397)="","",INDEX($D$6:$D$40000,$Y397)))</f>
        <v/>
      </c>
      <c r="AB397">
        <f>IF($Y397="","",INDEX($L$6:$L$40000,$Y397)&amp;"")</f>
        <v/>
      </c>
    </row>
    <row r="398">
      <c r="Y398" s="47">
        <f>IFERROR(MATCH(Library!M398,$M$6:$M$40000,0),"")</f>
        <v/>
      </c>
      <c r="Z398">
        <f>IF($Y398="","",INDEX($C$6:$C$40000,$Y398)&amp;"")</f>
        <v/>
      </c>
      <c r="AA398" s="59">
        <f>IF($Y398="","",IF(INDEX($D$6:$D$40000,$Y398)="","",INDEX($D$6:$D$40000,$Y398)))</f>
        <v/>
      </c>
      <c r="AB398">
        <f>IF($Y398="","",INDEX($L$6:$L$40000,$Y398)&amp;"")</f>
        <v/>
      </c>
    </row>
    <row r="399">
      <c r="Y399" s="47">
        <f>IFERROR(MATCH(Library!M399,$M$6:$M$40000,0),"")</f>
        <v/>
      </c>
      <c r="Z399">
        <f>IF($Y399="","",INDEX($C$6:$C$40000,$Y399)&amp;"")</f>
        <v/>
      </c>
      <c r="AA399" s="59">
        <f>IF($Y399="","",IF(INDEX($D$6:$D$40000,$Y399)="","",INDEX($D$6:$D$40000,$Y399)))</f>
        <v/>
      </c>
      <c r="AB399">
        <f>IF($Y399="","",INDEX($L$6:$L$40000,$Y399)&amp;"")</f>
        <v/>
      </c>
    </row>
    <row r="400">
      <c r="Y400" s="47">
        <f>IFERROR(MATCH(Library!M400,$M$6:$M$40000,0),"")</f>
        <v/>
      </c>
      <c r="Z400">
        <f>IF($Y400="","",INDEX($C$6:$C$40000,$Y400)&amp;"")</f>
        <v/>
      </c>
      <c r="AA400" s="59">
        <f>IF($Y400="","",IF(INDEX($D$6:$D$40000,$Y400)="","",INDEX($D$6:$D$40000,$Y400)))</f>
        <v/>
      </c>
      <c r="AB400">
        <f>IF($Y400="","",INDEX($L$6:$L$40000,$Y400)&amp;"")</f>
        <v/>
      </c>
    </row>
    <row r="401">
      <c r="Y401" s="47">
        <f>IFERROR(MATCH(Library!M401,$M$6:$M$40000,0),"")</f>
        <v/>
      </c>
      <c r="Z401">
        <f>IF($Y401="","",INDEX($C$6:$C$40000,$Y401)&amp;"")</f>
        <v/>
      </c>
      <c r="AA401" s="59">
        <f>IF($Y401="","",IF(INDEX($D$6:$D$40000,$Y401)="","",INDEX($D$6:$D$40000,$Y401)))</f>
        <v/>
      </c>
      <c r="AB401">
        <f>IF($Y401="","",INDEX($L$6:$L$40000,$Y401)&amp;"")</f>
        <v/>
      </c>
    </row>
    <row r="402">
      <c r="Y402" s="47">
        <f>IFERROR(MATCH(Library!M402,$M$6:$M$40000,0),"")</f>
        <v/>
      </c>
      <c r="Z402">
        <f>IF($Y402="","",INDEX($C$6:$C$40000,$Y402)&amp;"")</f>
        <v/>
      </c>
      <c r="AA402" s="59">
        <f>IF($Y402="","",IF(INDEX($D$6:$D$40000,$Y402)="","",INDEX($D$6:$D$40000,$Y402)))</f>
        <v/>
      </c>
      <c r="AB402">
        <f>IF($Y402="","",INDEX($L$6:$L$40000,$Y402)&amp;"")</f>
        <v/>
      </c>
    </row>
    <row r="403">
      <c r="Y403" s="47">
        <f>IFERROR(MATCH(Library!M403,$M$6:$M$40000,0),"")</f>
        <v/>
      </c>
      <c r="Z403">
        <f>IF($Y403="","",INDEX($C$6:$C$40000,$Y403)&amp;"")</f>
        <v/>
      </c>
      <c r="AA403" s="59">
        <f>IF($Y403="","",IF(INDEX($D$6:$D$40000,$Y403)="","",INDEX($D$6:$D$40000,$Y403)))</f>
        <v/>
      </c>
      <c r="AB403">
        <f>IF($Y403="","",INDEX($L$6:$L$40000,$Y403)&amp;"")</f>
        <v/>
      </c>
    </row>
    <row r="404">
      <c r="Y404" s="47">
        <f>IFERROR(MATCH(Library!M404,$M$6:$M$40000,0),"")</f>
        <v/>
      </c>
      <c r="Z404">
        <f>IF($Y404="","",INDEX($C$6:$C$40000,$Y404)&amp;"")</f>
        <v/>
      </c>
      <c r="AA404" s="59">
        <f>IF($Y404="","",IF(INDEX($D$6:$D$40000,$Y404)="","",INDEX($D$6:$D$40000,$Y404)))</f>
        <v/>
      </c>
      <c r="AB404">
        <f>IF($Y404="","",INDEX($L$6:$L$40000,$Y404)&amp;"")</f>
        <v/>
      </c>
    </row>
    <row r="405">
      <c r="Y405" s="47">
        <f>IFERROR(MATCH(Library!M405,$M$6:$M$40000,0),"")</f>
        <v/>
      </c>
      <c r="Z405">
        <f>IF($Y405="","",INDEX($C$6:$C$40000,$Y405)&amp;"")</f>
        <v/>
      </c>
      <c r="AA405" s="59">
        <f>IF($Y405="","",IF(INDEX($D$6:$D$40000,$Y405)="","",INDEX($D$6:$D$40000,$Y405)))</f>
        <v/>
      </c>
      <c r="AB405">
        <f>IF($Y405="","",INDEX($L$6:$L$40000,$Y405)&amp;"")</f>
        <v/>
      </c>
    </row>
    <row r="406">
      <c r="Y406" s="47">
        <f>IFERROR(MATCH(Library!M406,$M$6:$M$40000,0),"")</f>
        <v/>
      </c>
      <c r="Z406">
        <f>IF($Y406="","",INDEX($C$6:$C$40000,$Y406)&amp;"")</f>
        <v/>
      </c>
      <c r="AA406" s="59">
        <f>IF($Y406="","",IF(INDEX($D$6:$D$40000,$Y406)="","",INDEX($D$6:$D$40000,$Y406)))</f>
        <v/>
      </c>
      <c r="AB406">
        <f>IF($Y406="","",INDEX($L$6:$L$40000,$Y406)&amp;"")</f>
        <v/>
      </c>
    </row>
    <row r="407">
      <c r="Y407" s="47">
        <f>IFERROR(MATCH(Library!M407,$M$6:$M$40000,0),"")</f>
        <v/>
      </c>
      <c r="Z407">
        <f>IF($Y407="","",INDEX($C$6:$C$40000,$Y407)&amp;"")</f>
        <v/>
      </c>
      <c r="AA407" s="59">
        <f>IF($Y407="","",IF(INDEX($D$6:$D$40000,$Y407)="","",INDEX($D$6:$D$40000,$Y407)))</f>
        <v/>
      </c>
      <c r="AB407">
        <f>IF($Y407="","",INDEX($L$6:$L$40000,$Y407)&amp;"")</f>
        <v/>
      </c>
    </row>
    <row r="408">
      <c r="Y408" s="47">
        <f>IFERROR(MATCH(Library!M408,$M$6:$M$40000,0),"")</f>
        <v/>
      </c>
      <c r="Z408">
        <f>IF($Y408="","",INDEX($C$6:$C$40000,$Y408)&amp;"")</f>
        <v/>
      </c>
      <c r="AA408" s="59">
        <f>IF($Y408="","",IF(INDEX($D$6:$D$40000,$Y408)="","",INDEX($D$6:$D$40000,$Y408)))</f>
        <v/>
      </c>
      <c r="AB408">
        <f>IF($Y408="","",INDEX($L$6:$L$40000,$Y408)&amp;"")</f>
        <v/>
      </c>
    </row>
    <row r="409">
      <c r="Y409" s="47">
        <f>IFERROR(MATCH(Library!M409,$M$6:$M$40000,0),"")</f>
        <v/>
      </c>
      <c r="Z409">
        <f>IF($Y409="","",INDEX($C$6:$C$40000,$Y409)&amp;"")</f>
        <v/>
      </c>
      <c r="AA409" s="59">
        <f>IF($Y409="","",IF(INDEX($D$6:$D$40000,$Y409)="","",INDEX($D$6:$D$40000,$Y409)))</f>
        <v/>
      </c>
      <c r="AB409">
        <f>IF($Y409="","",INDEX($L$6:$L$40000,$Y409)&amp;"")</f>
        <v/>
      </c>
    </row>
    <row r="410">
      <c r="Y410" s="47">
        <f>IFERROR(MATCH(Library!M410,$M$6:$M$40000,0),"")</f>
        <v/>
      </c>
      <c r="Z410">
        <f>IF($Y410="","",INDEX($C$6:$C$40000,$Y410)&amp;"")</f>
        <v/>
      </c>
      <c r="AA410" s="59">
        <f>IF($Y410="","",IF(INDEX($D$6:$D$40000,$Y410)="","",INDEX($D$6:$D$40000,$Y410)))</f>
        <v/>
      </c>
      <c r="AB410">
        <f>IF($Y410="","",INDEX($L$6:$L$40000,$Y410)&amp;"")</f>
        <v/>
      </c>
    </row>
    <row r="411">
      <c r="Y411" s="47">
        <f>IFERROR(MATCH(Library!M411,$M$6:$M$40000,0),"")</f>
        <v/>
      </c>
      <c r="Z411">
        <f>IF($Y411="","",INDEX($C$6:$C$40000,$Y411)&amp;"")</f>
        <v/>
      </c>
      <c r="AA411" s="59">
        <f>IF($Y411="","",IF(INDEX($D$6:$D$40000,$Y411)="","",INDEX($D$6:$D$40000,$Y411)))</f>
        <v/>
      </c>
      <c r="AB411">
        <f>IF($Y411="","",INDEX($L$6:$L$40000,$Y411)&amp;"")</f>
        <v/>
      </c>
    </row>
    <row r="412">
      <c r="Y412" s="47">
        <f>IFERROR(MATCH(Library!M412,$M$6:$M$40000,0),"")</f>
        <v/>
      </c>
      <c r="Z412">
        <f>IF($Y412="","",INDEX($C$6:$C$40000,$Y412)&amp;"")</f>
        <v/>
      </c>
      <c r="AA412" s="59">
        <f>IF($Y412="","",IF(INDEX($D$6:$D$40000,$Y412)="","",INDEX($D$6:$D$40000,$Y412)))</f>
        <v/>
      </c>
      <c r="AB412">
        <f>IF($Y412="","",INDEX($L$6:$L$40000,$Y412)&amp;"")</f>
        <v/>
      </c>
    </row>
    <row r="413">
      <c r="Y413" s="47">
        <f>IFERROR(MATCH(Library!M413,$M$6:$M$40000,0),"")</f>
        <v/>
      </c>
      <c r="Z413">
        <f>IF($Y413="","",INDEX($C$6:$C$40000,$Y413)&amp;"")</f>
        <v/>
      </c>
      <c r="AA413" s="59">
        <f>IF($Y413="","",IF(INDEX($D$6:$D$40000,$Y413)="","",INDEX($D$6:$D$40000,$Y413)))</f>
        <v/>
      </c>
      <c r="AB413">
        <f>IF($Y413="","",INDEX($L$6:$L$40000,$Y413)&amp;"")</f>
        <v/>
      </c>
    </row>
    <row r="414">
      <c r="Y414" s="47">
        <f>IFERROR(MATCH(Library!M414,$M$6:$M$40000,0),"")</f>
        <v/>
      </c>
      <c r="Z414">
        <f>IF($Y414="","",INDEX($C$6:$C$40000,$Y414)&amp;"")</f>
        <v/>
      </c>
      <c r="AA414" s="59">
        <f>IF($Y414="","",IF(INDEX($D$6:$D$40000,$Y414)="","",INDEX($D$6:$D$40000,$Y414)))</f>
        <v/>
      </c>
      <c r="AB414">
        <f>IF($Y414="","",INDEX($L$6:$L$40000,$Y414)&amp;"")</f>
        <v/>
      </c>
    </row>
    <row r="415">
      <c r="Y415" s="47">
        <f>IFERROR(MATCH(Library!M415,$M$6:$M$40000,0),"")</f>
        <v/>
      </c>
      <c r="Z415">
        <f>IF($Y415="","",INDEX($C$6:$C$40000,$Y415)&amp;"")</f>
        <v/>
      </c>
      <c r="AA415" s="59">
        <f>IF($Y415="","",IF(INDEX($D$6:$D$40000,$Y415)="","",INDEX($D$6:$D$40000,$Y415)))</f>
        <v/>
      </c>
      <c r="AB415">
        <f>IF($Y415="","",INDEX($L$6:$L$40000,$Y415)&amp;"")</f>
        <v/>
      </c>
    </row>
    <row r="416">
      <c r="Y416" s="47">
        <f>IFERROR(MATCH(Library!M416,$M$6:$M$40000,0),"")</f>
        <v/>
      </c>
      <c r="Z416">
        <f>IF($Y416="","",INDEX($C$6:$C$40000,$Y416)&amp;"")</f>
        <v/>
      </c>
      <c r="AA416" s="59">
        <f>IF($Y416="","",IF(INDEX($D$6:$D$40000,$Y416)="","",INDEX($D$6:$D$40000,$Y416)))</f>
        <v/>
      </c>
      <c r="AB416">
        <f>IF($Y416="","",INDEX($L$6:$L$40000,$Y416)&amp;"")</f>
        <v/>
      </c>
    </row>
    <row r="417">
      <c r="Y417" s="47">
        <f>IFERROR(MATCH(Library!M417,$M$6:$M$40000,0),"")</f>
        <v/>
      </c>
      <c r="Z417">
        <f>IF($Y417="","",INDEX($C$6:$C$40000,$Y417)&amp;"")</f>
        <v/>
      </c>
      <c r="AA417" s="59">
        <f>IF($Y417="","",IF(INDEX($D$6:$D$40000,$Y417)="","",INDEX($D$6:$D$40000,$Y417)))</f>
        <v/>
      </c>
      <c r="AB417">
        <f>IF($Y417="","",INDEX($L$6:$L$40000,$Y417)&amp;"")</f>
        <v/>
      </c>
    </row>
    <row r="418">
      <c r="Y418" s="47">
        <f>IFERROR(MATCH(Library!M418,$M$6:$M$40000,0),"")</f>
        <v/>
      </c>
      <c r="Z418">
        <f>IF($Y418="","",INDEX($C$6:$C$40000,$Y418)&amp;"")</f>
        <v/>
      </c>
      <c r="AA418" s="59">
        <f>IF($Y418="","",IF(INDEX($D$6:$D$40000,$Y418)="","",INDEX($D$6:$D$40000,$Y418)))</f>
        <v/>
      </c>
      <c r="AB418">
        <f>IF($Y418="","",INDEX($L$6:$L$40000,$Y418)&amp;"")</f>
        <v/>
      </c>
    </row>
    <row r="419">
      <c r="Y419" s="47">
        <f>IFERROR(MATCH(Library!M419,$M$6:$M$40000,0),"")</f>
        <v/>
      </c>
      <c r="Z419">
        <f>IF($Y419="","",INDEX($C$6:$C$40000,$Y419)&amp;"")</f>
        <v/>
      </c>
      <c r="AA419" s="59">
        <f>IF($Y419="","",IF(INDEX($D$6:$D$40000,$Y419)="","",INDEX($D$6:$D$40000,$Y419)))</f>
        <v/>
      </c>
      <c r="AB419">
        <f>IF($Y419="","",INDEX($L$6:$L$40000,$Y419)&amp;"")</f>
        <v/>
      </c>
    </row>
    <row r="420">
      <c r="Y420" s="47">
        <f>IFERROR(MATCH(Library!M420,$M$6:$M$40000,0),"")</f>
        <v/>
      </c>
      <c r="Z420">
        <f>IF($Y420="","",INDEX($C$6:$C$40000,$Y420)&amp;"")</f>
        <v/>
      </c>
      <c r="AA420" s="59">
        <f>IF($Y420="","",IF(INDEX($D$6:$D$40000,$Y420)="","",INDEX($D$6:$D$40000,$Y420)))</f>
        <v/>
      </c>
      <c r="AB420">
        <f>IF($Y420="","",INDEX($L$6:$L$40000,$Y420)&amp;"")</f>
        <v/>
      </c>
    </row>
    <row r="421">
      <c r="Y421" s="47">
        <f>IFERROR(MATCH(Library!M421,$M$6:$M$40000,0),"")</f>
        <v/>
      </c>
      <c r="Z421">
        <f>IF($Y421="","",INDEX($C$6:$C$40000,$Y421)&amp;"")</f>
        <v/>
      </c>
      <c r="AA421" s="59">
        <f>IF($Y421="","",IF(INDEX($D$6:$D$40000,$Y421)="","",INDEX($D$6:$D$40000,$Y421)))</f>
        <v/>
      </c>
      <c r="AB421">
        <f>IF($Y421="","",INDEX($L$6:$L$40000,$Y421)&amp;"")</f>
        <v/>
      </c>
    </row>
    <row r="422">
      <c r="Y422" s="47">
        <f>IFERROR(MATCH(Library!M422,$M$6:$M$40000,0),"")</f>
        <v/>
      </c>
      <c r="Z422">
        <f>IF($Y422="","",INDEX($C$6:$C$40000,$Y422)&amp;"")</f>
        <v/>
      </c>
      <c r="AA422" s="59">
        <f>IF($Y422="","",IF(INDEX($D$6:$D$40000,$Y422)="","",INDEX($D$6:$D$40000,$Y422)))</f>
        <v/>
      </c>
      <c r="AB422">
        <f>IF($Y422="","",INDEX($L$6:$L$40000,$Y422)&amp;"")</f>
        <v/>
      </c>
    </row>
    <row r="423">
      <c r="Y423" s="47">
        <f>IFERROR(MATCH(Library!M423,$M$6:$M$40000,0),"")</f>
        <v/>
      </c>
      <c r="Z423">
        <f>IF($Y423="","",INDEX($C$6:$C$40000,$Y423)&amp;"")</f>
        <v/>
      </c>
      <c r="AA423" s="59">
        <f>IF($Y423="","",IF(INDEX($D$6:$D$40000,$Y423)="","",INDEX($D$6:$D$40000,$Y423)))</f>
        <v/>
      </c>
      <c r="AB423">
        <f>IF($Y423="","",INDEX($L$6:$L$40000,$Y423)&amp;"")</f>
        <v/>
      </c>
    </row>
    <row r="424">
      <c r="Y424" s="47">
        <f>IFERROR(MATCH(Library!M424,$M$6:$M$40000,0),"")</f>
        <v/>
      </c>
      <c r="Z424">
        <f>IF($Y424="","",INDEX($C$6:$C$40000,$Y424)&amp;"")</f>
        <v/>
      </c>
      <c r="AA424" s="59">
        <f>IF($Y424="","",IF(INDEX($D$6:$D$40000,$Y424)="","",INDEX($D$6:$D$40000,$Y424)))</f>
        <v/>
      </c>
      <c r="AB424">
        <f>IF($Y424="","",INDEX($L$6:$L$40000,$Y424)&amp;"")</f>
        <v/>
      </c>
    </row>
    <row r="425">
      <c r="Y425" s="47">
        <f>IFERROR(MATCH(Library!M425,$M$6:$M$40000,0),"")</f>
        <v/>
      </c>
      <c r="Z425">
        <f>IF($Y425="","",INDEX($C$6:$C$40000,$Y425)&amp;"")</f>
        <v/>
      </c>
      <c r="AA425" s="59">
        <f>IF($Y425="","",IF(INDEX($D$6:$D$40000,$Y425)="","",INDEX($D$6:$D$40000,$Y425)))</f>
        <v/>
      </c>
      <c r="AB425">
        <f>IF($Y425="","",INDEX($L$6:$L$40000,$Y425)&amp;"")</f>
        <v/>
      </c>
    </row>
    <row r="426">
      <c r="Y426" s="47">
        <f>IFERROR(MATCH(Library!M426,$M$6:$M$40000,0),"")</f>
        <v/>
      </c>
      <c r="Z426">
        <f>IF($Y426="","",INDEX($C$6:$C$40000,$Y426)&amp;"")</f>
        <v/>
      </c>
      <c r="AA426" s="59">
        <f>IF($Y426="","",IF(INDEX($D$6:$D$40000,$Y426)="","",INDEX($D$6:$D$40000,$Y426)))</f>
        <v/>
      </c>
      <c r="AB426">
        <f>IF($Y426="","",INDEX($L$6:$L$40000,$Y426)&amp;"")</f>
        <v/>
      </c>
    </row>
    <row r="427">
      <c r="Y427" s="47">
        <f>IFERROR(MATCH(Library!M427,$M$6:$M$40000,0),"")</f>
        <v/>
      </c>
      <c r="Z427">
        <f>IF($Y427="","",INDEX($C$6:$C$40000,$Y427)&amp;"")</f>
        <v/>
      </c>
      <c r="AA427" s="59">
        <f>IF($Y427="","",IF(INDEX($D$6:$D$40000,$Y427)="","",INDEX($D$6:$D$40000,$Y427)))</f>
        <v/>
      </c>
      <c r="AB427">
        <f>IF($Y427="","",INDEX($L$6:$L$40000,$Y427)&amp;"")</f>
        <v/>
      </c>
    </row>
    <row r="428">
      <c r="Y428" s="47">
        <f>IFERROR(MATCH(Library!M428,$M$6:$M$40000,0),"")</f>
        <v/>
      </c>
      <c r="Z428">
        <f>IF($Y428="","",INDEX($C$6:$C$40000,$Y428)&amp;"")</f>
        <v/>
      </c>
      <c r="AA428" s="59">
        <f>IF($Y428="","",IF(INDEX($D$6:$D$40000,$Y428)="","",INDEX($D$6:$D$40000,$Y428)))</f>
        <v/>
      </c>
      <c r="AB428">
        <f>IF($Y428="","",INDEX($L$6:$L$40000,$Y428)&amp;"")</f>
        <v/>
      </c>
    </row>
    <row r="429">
      <c r="Y429" s="47">
        <f>IFERROR(MATCH(Library!M429,$M$6:$M$40000,0),"")</f>
        <v/>
      </c>
      <c r="Z429">
        <f>IF($Y429="","",INDEX($C$6:$C$40000,$Y429)&amp;"")</f>
        <v/>
      </c>
      <c r="AA429" s="59">
        <f>IF($Y429="","",IF(INDEX($D$6:$D$40000,$Y429)="","",INDEX($D$6:$D$40000,$Y429)))</f>
        <v/>
      </c>
      <c r="AB429">
        <f>IF($Y429="","",INDEX($L$6:$L$40000,$Y429)&amp;"")</f>
        <v/>
      </c>
    </row>
    <row r="430">
      <c r="Y430" s="47">
        <f>IFERROR(MATCH(Library!M430,$M$6:$M$40000,0),"")</f>
        <v/>
      </c>
      <c r="Z430">
        <f>IF($Y430="","",INDEX($C$6:$C$40000,$Y430)&amp;"")</f>
        <v/>
      </c>
      <c r="AA430" s="59">
        <f>IF($Y430="","",IF(INDEX($D$6:$D$40000,$Y430)="","",INDEX($D$6:$D$40000,$Y430)))</f>
        <v/>
      </c>
      <c r="AB430">
        <f>IF($Y430="","",INDEX($L$6:$L$40000,$Y430)&amp;"")</f>
        <v/>
      </c>
    </row>
    <row r="431">
      <c r="Y431" s="47">
        <f>IFERROR(MATCH(Library!M431,$M$6:$M$40000,0),"")</f>
        <v/>
      </c>
      <c r="Z431">
        <f>IF($Y431="","",INDEX($C$6:$C$40000,$Y431)&amp;"")</f>
        <v/>
      </c>
      <c r="AA431" s="59">
        <f>IF($Y431="","",IF(INDEX($D$6:$D$40000,$Y431)="","",INDEX($D$6:$D$40000,$Y431)))</f>
        <v/>
      </c>
      <c r="AB431">
        <f>IF($Y431="","",INDEX($L$6:$L$40000,$Y431)&amp;"")</f>
        <v/>
      </c>
    </row>
    <row r="432">
      <c r="Y432" s="47">
        <f>IFERROR(MATCH(Library!M432,$M$6:$M$40000,0),"")</f>
        <v/>
      </c>
      <c r="Z432">
        <f>IF($Y432="","",INDEX($C$6:$C$40000,$Y432)&amp;"")</f>
        <v/>
      </c>
      <c r="AA432" s="59">
        <f>IF($Y432="","",IF(INDEX($D$6:$D$40000,$Y432)="","",INDEX($D$6:$D$40000,$Y432)))</f>
        <v/>
      </c>
      <c r="AB432">
        <f>IF($Y432="","",INDEX($L$6:$L$40000,$Y432)&amp;"")</f>
        <v/>
      </c>
    </row>
    <row r="433">
      <c r="Y433" s="47">
        <f>IFERROR(MATCH(Library!M433,$M$6:$M$40000,0),"")</f>
        <v/>
      </c>
      <c r="Z433">
        <f>IF($Y433="","",INDEX($C$6:$C$40000,$Y433)&amp;"")</f>
        <v/>
      </c>
      <c r="AA433" s="59">
        <f>IF($Y433="","",IF(INDEX($D$6:$D$40000,$Y433)="","",INDEX($D$6:$D$40000,$Y433)))</f>
        <v/>
      </c>
      <c r="AB433">
        <f>IF($Y433="","",INDEX($L$6:$L$40000,$Y433)&amp;"")</f>
        <v/>
      </c>
    </row>
    <row r="434">
      <c r="Y434" s="47">
        <f>IFERROR(MATCH(Library!M434,$M$6:$M$40000,0),"")</f>
        <v/>
      </c>
      <c r="Z434">
        <f>IF($Y434="","",INDEX($C$6:$C$40000,$Y434)&amp;"")</f>
        <v/>
      </c>
      <c r="AA434" s="59">
        <f>IF($Y434="","",IF(INDEX($D$6:$D$40000,$Y434)="","",INDEX($D$6:$D$40000,$Y434)))</f>
        <v/>
      </c>
      <c r="AB434">
        <f>IF($Y434="","",INDEX($L$6:$L$40000,$Y434)&amp;"")</f>
        <v/>
      </c>
    </row>
    <row r="435">
      <c r="Y435" s="47">
        <f>IFERROR(MATCH(Library!M435,$M$6:$M$40000,0),"")</f>
        <v/>
      </c>
      <c r="Z435">
        <f>IF($Y435="","",INDEX($C$6:$C$40000,$Y435)&amp;"")</f>
        <v/>
      </c>
      <c r="AA435" s="59">
        <f>IF($Y435="","",IF(INDEX($D$6:$D$40000,$Y435)="","",INDEX($D$6:$D$40000,$Y435)))</f>
        <v/>
      </c>
      <c r="AB435">
        <f>IF($Y435="","",INDEX($L$6:$L$40000,$Y435)&amp;"")</f>
        <v/>
      </c>
    </row>
    <row r="436">
      <c r="Y436" s="47">
        <f>IFERROR(MATCH(Library!M436,$M$6:$M$40000,0),"")</f>
        <v/>
      </c>
      <c r="Z436">
        <f>IF($Y436="","",INDEX($C$6:$C$40000,$Y436)&amp;"")</f>
        <v/>
      </c>
      <c r="AA436" s="59">
        <f>IF($Y436="","",IF(INDEX($D$6:$D$40000,$Y436)="","",INDEX($D$6:$D$40000,$Y436)))</f>
        <v/>
      </c>
      <c r="AB436">
        <f>IF($Y436="","",INDEX($L$6:$L$40000,$Y436)&amp;"")</f>
        <v/>
      </c>
    </row>
    <row r="437">
      <c r="Y437" s="47">
        <f>IFERROR(MATCH(Library!M437,$M$6:$M$40000,0),"")</f>
        <v/>
      </c>
      <c r="Z437">
        <f>IF($Y437="","",INDEX($C$6:$C$40000,$Y437)&amp;"")</f>
        <v/>
      </c>
      <c r="AA437" s="59">
        <f>IF($Y437="","",IF(INDEX($D$6:$D$40000,$Y437)="","",INDEX($D$6:$D$40000,$Y437)))</f>
        <v/>
      </c>
      <c r="AB437">
        <f>IF($Y437="","",INDEX($L$6:$L$40000,$Y437)&amp;"")</f>
        <v/>
      </c>
    </row>
    <row r="438">
      <c r="Y438" s="47">
        <f>IFERROR(MATCH(Library!M438,$M$6:$M$40000,0),"")</f>
        <v/>
      </c>
      <c r="Z438">
        <f>IF($Y438="","",INDEX($C$6:$C$40000,$Y438)&amp;"")</f>
        <v/>
      </c>
      <c r="AA438" s="59">
        <f>IF($Y438="","",IF(INDEX($D$6:$D$40000,$Y438)="","",INDEX($D$6:$D$40000,$Y438)))</f>
        <v/>
      </c>
      <c r="AB438">
        <f>IF($Y438="","",INDEX($L$6:$L$40000,$Y438)&amp;"")</f>
        <v/>
      </c>
    </row>
    <row r="439">
      <c r="Y439" s="47">
        <f>IFERROR(MATCH(Library!M439,$M$6:$M$40000,0),"")</f>
        <v/>
      </c>
      <c r="Z439">
        <f>IF($Y439="","",INDEX($C$6:$C$40000,$Y439)&amp;"")</f>
        <v/>
      </c>
      <c r="AA439" s="59">
        <f>IF($Y439="","",IF(INDEX($D$6:$D$40000,$Y439)="","",INDEX($D$6:$D$40000,$Y439)))</f>
        <v/>
      </c>
      <c r="AB439">
        <f>IF($Y439="","",INDEX($L$6:$L$40000,$Y439)&amp;"")</f>
        <v/>
      </c>
    </row>
    <row r="440">
      <c r="Y440" s="47">
        <f>IFERROR(MATCH(Library!M440,$M$6:$M$40000,0),"")</f>
        <v/>
      </c>
      <c r="Z440">
        <f>IF($Y440="","",INDEX($C$6:$C$40000,$Y440)&amp;"")</f>
        <v/>
      </c>
      <c r="AA440" s="59">
        <f>IF($Y440="","",IF(INDEX($D$6:$D$40000,$Y440)="","",INDEX($D$6:$D$40000,$Y440)))</f>
        <v/>
      </c>
      <c r="AB440">
        <f>IF($Y440="","",INDEX($L$6:$L$40000,$Y440)&amp;"")</f>
        <v/>
      </c>
    </row>
    <row r="441">
      <c r="Y441" s="47">
        <f>IFERROR(MATCH(Library!M441,$M$6:$M$40000,0),"")</f>
        <v/>
      </c>
      <c r="Z441">
        <f>IF($Y441="","",INDEX($C$6:$C$40000,$Y441)&amp;"")</f>
        <v/>
      </c>
      <c r="AA441" s="59">
        <f>IF($Y441="","",IF(INDEX($D$6:$D$40000,$Y441)="","",INDEX($D$6:$D$40000,$Y441)))</f>
        <v/>
      </c>
      <c r="AB441">
        <f>IF($Y441="","",INDEX($L$6:$L$40000,$Y441)&amp;"")</f>
        <v/>
      </c>
    </row>
    <row r="442">
      <c r="Y442" s="47">
        <f>IFERROR(MATCH(Library!M442,$M$6:$M$40000,0),"")</f>
        <v/>
      </c>
      <c r="Z442">
        <f>IF($Y442="","",INDEX($C$6:$C$40000,$Y442)&amp;"")</f>
        <v/>
      </c>
      <c r="AA442" s="59">
        <f>IF($Y442="","",IF(INDEX($D$6:$D$40000,$Y442)="","",INDEX($D$6:$D$40000,$Y442)))</f>
        <v/>
      </c>
      <c r="AB442">
        <f>IF($Y442="","",INDEX($L$6:$L$40000,$Y442)&amp;"")</f>
        <v/>
      </c>
    </row>
    <row r="443">
      <c r="Y443" s="47">
        <f>IFERROR(MATCH(Library!M443,$M$6:$M$40000,0),"")</f>
        <v/>
      </c>
      <c r="Z443">
        <f>IF($Y443="","",INDEX($C$6:$C$40000,$Y443)&amp;"")</f>
        <v/>
      </c>
      <c r="AA443" s="59">
        <f>IF($Y443="","",IF(INDEX($D$6:$D$40000,$Y443)="","",INDEX($D$6:$D$40000,$Y443)))</f>
        <v/>
      </c>
      <c r="AB443">
        <f>IF($Y443="","",INDEX($L$6:$L$40000,$Y443)&amp;"")</f>
        <v/>
      </c>
    </row>
    <row r="444">
      <c r="Y444" s="47">
        <f>IFERROR(MATCH(Library!M444,$M$6:$M$40000,0),"")</f>
        <v/>
      </c>
      <c r="Z444">
        <f>IF($Y444="","",INDEX($C$6:$C$40000,$Y444)&amp;"")</f>
        <v/>
      </c>
      <c r="AA444" s="59">
        <f>IF($Y444="","",IF(INDEX($D$6:$D$40000,$Y444)="","",INDEX($D$6:$D$40000,$Y444)))</f>
        <v/>
      </c>
      <c r="AB444">
        <f>IF($Y444="","",INDEX($L$6:$L$40000,$Y444)&amp;"")</f>
        <v/>
      </c>
    </row>
    <row r="445">
      <c r="Y445" s="47">
        <f>IFERROR(MATCH(Library!M445,$M$6:$M$40000,0),"")</f>
        <v/>
      </c>
      <c r="Z445">
        <f>IF($Y445="","",INDEX($C$6:$C$40000,$Y445)&amp;"")</f>
        <v/>
      </c>
      <c r="AA445" s="59">
        <f>IF($Y445="","",IF(INDEX($D$6:$D$40000,$Y445)="","",INDEX($D$6:$D$40000,$Y445)))</f>
        <v/>
      </c>
      <c r="AB445">
        <f>IF($Y445="","",INDEX($L$6:$L$40000,$Y445)&amp;"")</f>
        <v/>
      </c>
    </row>
    <row r="446">
      <c r="Y446" s="47">
        <f>IFERROR(MATCH(Library!M446,$M$6:$M$40000,0),"")</f>
        <v/>
      </c>
      <c r="Z446">
        <f>IF($Y446="","",INDEX($C$6:$C$40000,$Y446)&amp;"")</f>
        <v/>
      </c>
      <c r="AA446" s="59">
        <f>IF($Y446="","",IF(INDEX($D$6:$D$40000,$Y446)="","",INDEX($D$6:$D$40000,$Y446)))</f>
        <v/>
      </c>
      <c r="AB446">
        <f>IF($Y446="","",INDEX($L$6:$L$40000,$Y446)&amp;"")</f>
        <v/>
      </c>
    </row>
    <row r="447">
      <c r="Y447" s="47">
        <f>IFERROR(MATCH(Library!M447,$M$6:$M$40000,0),"")</f>
        <v/>
      </c>
      <c r="Z447">
        <f>IF($Y447="","",INDEX($C$6:$C$40000,$Y447)&amp;"")</f>
        <v/>
      </c>
      <c r="AA447" s="59">
        <f>IF($Y447="","",IF(INDEX($D$6:$D$40000,$Y447)="","",INDEX($D$6:$D$40000,$Y447)))</f>
        <v/>
      </c>
      <c r="AB447">
        <f>IF($Y447="","",INDEX($L$6:$L$40000,$Y447)&amp;"")</f>
        <v/>
      </c>
    </row>
    <row r="448">
      <c r="Y448" s="47">
        <f>IFERROR(MATCH(Library!M448,$M$6:$M$40000,0),"")</f>
        <v/>
      </c>
      <c r="Z448">
        <f>IF($Y448="","",INDEX($C$6:$C$40000,$Y448)&amp;"")</f>
        <v/>
      </c>
      <c r="AA448" s="59">
        <f>IF($Y448="","",IF(INDEX($D$6:$D$40000,$Y448)="","",INDEX($D$6:$D$40000,$Y448)))</f>
        <v/>
      </c>
      <c r="AB448">
        <f>IF($Y448="","",INDEX($L$6:$L$40000,$Y448)&amp;"")</f>
        <v/>
      </c>
    </row>
    <row r="449">
      <c r="Y449" s="47">
        <f>IFERROR(MATCH(Library!M449,$M$6:$M$40000,0),"")</f>
        <v/>
      </c>
      <c r="Z449">
        <f>IF($Y449="","",INDEX($C$6:$C$40000,$Y449)&amp;"")</f>
        <v/>
      </c>
      <c r="AA449" s="59">
        <f>IF($Y449="","",IF(INDEX($D$6:$D$40000,$Y449)="","",INDEX($D$6:$D$40000,$Y449)))</f>
        <v/>
      </c>
      <c r="AB449">
        <f>IF($Y449="","",INDEX($L$6:$L$40000,$Y449)&amp;"")</f>
        <v/>
      </c>
    </row>
    <row r="450">
      <c r="Y450" s="47">
        <f>IFERROR(MATCH(Library!M450,$M$6:$M$40000,0),"")</f>
        <v/>
      </c>
      <c r="Z450">
        <f>IF($Y450="","",INDEX($C$6:$C$40000,$Y450)&amp;"")</f>
        <v/>
      </c>
      <c r="AA450" s="59">
        <f>IF($Y450="","",IF(INDEX($D$6:$D$40000,$Y450)="","",INDEX($D$6:$D$40000,$Y450)))</f>
        <v/>
      </c>
      <c r="AB450">
        <f>IF($Y450="","",INDEX($L$6:$L$40000,$Y450)&amp;"")</f>
        <v/>
      </c>
    </row>
    <row r="451">
      <c r="Y451" s="47">
        <f>IFERROR(MATCH(Library!M451,$M$6:$M$40000,0),"")</f>
        <v/>
      </c>
      <c r="Z451">
        <f>IF($Y451="","",INDEX($C$6:$C$40000,$Y451)&amp;"")</f>
        <v/>
      </c>
      <c r="AA451" s="59">
        <f>IF($Y451="","",IF(INDEX($D$6:$D$40000,$Y451)="","",INDEX($D$6:$D$40000,$Y451)))</f>
        <v/>
      </c>
      <c r="AB451">
        <f>IF($Y451="","",INDEX($L$6:$L$40000,$Y451)&amp;"")</f>
        <v/>
      </c>
    </row>
    <row r="452">
      <c r="Y452" s="47">
        <f>IFERROR(MATCH(Library!M452,$M$6:$M$40000,0),"")</f>
        <v/>
      </c>
      <c r="Z452">
        <f>IF($Y452="","",INDEX($C$6:$C$40000,$Y452)&amp;"")</f>
        <v/>
      </c>
      <c r="AA452" s="59">
        <f>IF($Y452="","",IF(INDEX($D$6:$D$40000,$Y452)="","",INDEX($D$6:$D$40000,$Y452)))</f>
        <v/>
      </c>
      <c r="AB452">
        <f>IF($Y452="","",INDEX($L$6:$L$40000,$Y452)&amp;"")</f>
        <v/>
      </c>
    </row>
    <row r="453">
      <c r="Y453" s="47">
        <f>IFERROR(MATCH(Library!M453,$M$6:$M$40000,0),"")</f>
        <v/>
      </c>
      <c r="Z453">
        <f>IF($Y453="","",INDEX($C$6:$C$40000,$Y453)&amp;"")</f>
        <v/>
      </c>
      <c r="AA453" s="59">
        <f>IF($Y453="","",IF(INDEX($D$6:$D$40000,$Y453)="","",INDEX($D$6:$D$40000,$Y453)))</f>
        <v/>
      </c>
      <c r="AB453">
        <f>IF($Y453="","",INDEX($L$6:$L$40000,$Y453)&amp;"")</f>
        <v/>
      </c>
    </row>
    <row r="454">
      <c r="Y454" s="47">
        <f>IFERROR(MATCH(Library!M454,$M$6:$M$40000,0),"")</f>
        <v/>
      </c>
      <c r="Z454">
        <f>IF($Y454="","",INDEX($C$6:$C$40000,$Y454)&amp;"")</f>
        <v/>
      </c>
      <c r="AA454" s="59">
        <f>IF($Y454="","",IF(INDEX($D$6:$D$40000,$Y454)="","",INDEX($D$6:$D$40000,$Y454)))</f>
        <v/>
      </c>
      <c r="AB454">
        <f>IF($Y454="","",INDEX($L$6:$L$40000,$Y454)&amp;"")</f>
        <v/>
      </c>
    </row>
    <row r="455">
      <c r="Y455" s="47">
        <f>IFERROR(MATCH(Library!M455,$M$6:$M$40000,0),"")</f>
        <v/>
      </c>
      <c r="Z455">
        <f>IF($Y455="","",INDEX($C$6:$C$40000,$Y455)&amp;"")</f>
        <v/>
      </c>
      <c r="AA455" s="59">
        <f>IF($Y455="","",IF(INDEX($D$6:$D$40000,$Y455)="","",INDEX($D$6:$D$40000,$Y455)))</f>
        <v/>
      </c>
      <c r="AB455">
        <f>IF($Y455="","",INDEX($L$6:$L$40000,$Y455)&amp;"")</f>
        <v/>
      </c>
    </row>
    <row r="456">
      <c r="Y456" s="47">
        <f>IFERROR(MATCH(Library!M456,$M$6:$M$40000,0),"")</f>
        <v/>
      </c>
      <c r="Z456">
        <f>IF($Y456="","",INDEX($C$6:$C$40000,$Y456)&amp;"")</f>
        <v/>
      </c>
      <c r="AA456" s="59">
        <f>IF($Y456="","",IF(INDEX($D$6:$D$40000,$Y456)="","",INDEX($D$6:$D$40000,$Y456)))</f>
        <v/>
      </c>
      <c r="AB456">
        <f>IF($Y456="","",INDEX($L$6:$L$40000,$Y456)&amp;"")</f>
        <v/>
      </c>
    </row>
    <row r="457">
      <c r="Y457" s="47">
        <f>IFERROR(MATCH(Library!M457,$M$6:$M$40000,0),"")</f>
        <v/>
      </c>
      <c r="Z457">
        <f>IF($Y457="","",INDEX($C$6:$C$40000,$Y457)&amp;"")</f>
        <v/>
      </c>
      <c r="AA457" s="59">
        <f>IF($Y457="","",IF(INDEX($D$6:$D$40000,$Y457)="","",INDEX($D$6:$D$40000,$Y457)))</f>
        <v/>
      </c>
      <c r="AB457">
        <f>IF($Y457="","",INDEX($L$6:$L$40000,$Y457)&amp;"")</f>
        <v/>
      </c>
    </row>
    <row r="458">
      <c r="Y458" s="47">
        <f>IFERROR(MATCH(Library!M458,$M$6:$M$40000,0),"")</f>
        <v/>
      </c>
      <c r="Z458">
        <f>IF($Y458="","",INDEX($C$6:$C$40000,$Y458)&amp;"")</f>
        <v/>
      </c>
      <c r="AA458" s="59">
        <f>IF($Y458="","",IF(INDEX($D$6:$D$40000,$Y458)="","",INDEX($D$6:$D$40000,$Y458)))</f>
        <v/>
      </c>
      <c r="AB458">
        <f>IF($Y458="","",INDEX($L$6:$L$40000,$Y458)&amp;"")</f>
        <v/>
      </c>
    </row>
    <row r="459">
      <c r="Y459" s="47">
        <f>IFERROR(MATCH(Library!M459,$M$6:$M$40000,0),"")</f>
        <v/>
      </c>
      <c r="Z459">
        <f>IF($Y459="","",INDEX($C$6:$C$40000,$Y459)&amp;"")</f>
        <v/>
      </c>
      <c r="AA459" s="59">
        <f>IF($Y459="","",IF(INDEX($D$6:$D$40000,$Y459)="","",INDEX($D$6:$D$40000,$Y459)))</f>
        <v/>
      </c>
      <c r="AB459">
        <f>IF($Y459="","",INDEX($L$6:$L$40000,$Y459)&amp;"")</f>
        <v/>
      </c>
    </row>
    <row r="460">
      <c r="Y460" s="47">
        <f>IFERROR(MATCH(Library!M460,$M$6:$M$40000,0),"")</f>
        <v/>
      </c>
      <c r="Z460">
        <f>IF($Y460="","",INDEX($C$6:$C$40000,$Y460)&amp;"")</f>
        <v/>
      </c>
      <c r="AA460" s="59">
        <f>IF($Y460="","",IF(INDEX($D$6:$D$40000,$Y460)="","",INDEX($D$6:$D$40000,$Y460)))</f>
        <v/>
      </c>
      <c r="AB460">
        <f>IF($Y460="","",INDEX($L$6:$L$40000,$Y460)&amp;"")</f>
        <v/>
      </c>
    </row>
    <row r="461">
      <c r="Y461" s="47">
        <f>IFERROR(MATCH(Library!M461,$M$6:$M$40000,0),"")</f>
        <v/>
      </c>
      <c r="Z461">
        <f>IF($Y461="","",INDEX($C$6:$C$40000,$Y461)&amp;"")</f>
        <v/>
      </c>
      <c r="AA461" s="59">
        <f>IF($Y461="","",IF(INDEX($D$6:$D$40000,$Y461)="","",INDEX($D$6:$D$40000,$Y461)))</f>
        <v/>
      </c>
      <c r="AB461">
        <f>IF($Y461="","",INDEX($L$6:$L$40000,$Y461)&amp;"")</f>
        <v/>
      </c>
    </row>
    <row r="462">
      <c r="Y462" s="47">
        <f>IFERROR(MATCH(Library!M462,$M$6:$M$40000,0),"")</f>
        <v/>
      </c>
      <c r="Z462">
        <f>IF($Y462="","",INDEX($C$6:$C$40000,$Y462)&amp;"")</f>
        <v/>
      </c>
      <c r="AA462" s="59">
        <f>IF($Y462="","",IF(INDEX($D$6:$D$40000,$Y462)="","",INDEX($D$6:$D$40000,$Y462)))</f>
        <v/>
      </c>
      <c r="AB462">
        <f>IF($Y462="","",INDEX($L$6:$L$40000,$Y462)&amp;"")</f>
        <v/>
      </c>
    </row>
    <row r="463">
      <c r="Y463" s="47">
        <f>IFERROR(MATCH(Library!M463,$M$6:$M$40000,0),"")</f>
        <v/>
      </c>
      <c r="Z463">
        <f>IF($Y463="","",INDEX($C$6:$C$40000,$Y463)&amp;"")</f>
        <v/>
      </c>
      <c r="AA463" s="59">
        <f>IF($Y463="","",IF(INDEX($D$6:$D$40000,$Y463)="","",INDEX($D$6:$D$40000,$Y463)))</f>
        <v/>
      </c>
      <c r="AB463">
        <f>IF($Y463="","",INDEX($L$6:$L$40000,$Y463)&amp;"")</f>
        <v/>
      </c>
    </row>
    <row r="464">
      <c r="Y464" s="47">
        <f>IFERROR(MATCH(Library!M464,$M$6:$M$40000,0),"")</f>
        <v/>
      </c>
      <c r="Z464">
        <f>IF($Y464="","",INDEX($C$6:$C$40000,$Y464)&amp;"")</f>
        <v/>
      </c>
      <c r="AA464" s="59">
        <f>IF($Y464="","",IF(INDEX($D$6:$D$40000,$Y464)="","",INDEX($D$6:$D$40000,$Y464)))</f>
        <v/>
      </c>
      <c r="AB464">
        <f>IF($Y464="","",INDEX($L$6:$L$40000,$Y464)&amp;"")</f>
        <v/>
      </c>
    </row>
    <row r="465">
      <c r="Y465" s="47">
        <f>IFERROR(MATCH(Library!M465,$M$6:$M$40000,0),"")</f>
        <v/>
      </c>
      <c r="Z465">
        <f>IF($Y465="","",INDEX($C$6:$C$40000,$Y465)&amp;"")</f>
        <v/>
      </c>
      <c r="AA465" s="59">
        <f>IF($Y465="","",IF(INDEX($D$6:$D$40000,$Y465)="","",INDEX($D$6:$D$40000,$Y465)))</f>
        <v/>
      </c>
      <c r="AB465">
        <f>IF($Y465="","",INDEX($L$6:$L$40000,$Y465)&amp;"")</f>
        <v/>
      </c>
    </row>
    <row r="466">
      <c r="Y466" s="47">
        <f>IFERROR(MATCH(Library!M466,$M$6:$M$40000,0),"")</f>
        <v/>
      </c>
      <c r="Z466">
        <f>IF($Y466="","",INDEX($C$6:$C$40000,$Y466)&amp;"")</f>
        <v/>
      </c>
      <c r="AA466" s="59">
        <f>IF($Y466="","",IF(INDEX($D$6:$D$40000,$Y466)="","",INDEX($D$6:$D$40000,$Y466)))</f>
        <v/>
      </c>
      <c r="AB466">
        <f>IF($Y466="","",INDEX($L$6:$L$40000,$Y466)&amp;"")</f>
        <v/>
      </c>
    </row>
    <row r="467">
      <c r="Y467" s="47">
        <f>IFERROR(MATCH(Library!M467,$M$6:$M$40000,0),"")</f>
        <v/>
      </c>
      <c r="Z467">
        <f>IF($Y467="","",INDEX($C$6:$C$40000,$Y467)&amp;"")</f>
        <v/>
      </c>
      <c r="AA467" s="59">
        <f>IF($Y467="","",IF(INDEX($D$6:$D$40000,$Y467)="","",INDEX($D$6:$D$40000,$Y467)))</f>
        <v/>
      </c>
      <c r="AB467">
        <f>IF($Y467="","",INDEX($L$6:$L$40000,$Y467)&amp;"")</f>
        <v/>
      </c>
    </row>
    <row r="468">
      <c r="Y468" s="47">
        <f>IFERROR(MATCH(Library!M468,$M$6:$M$40000,0),"")</f>
        <v/>
      </c>
      <c r="Z468">
        <f>IF($Y468="","",INDEX($C$6:$C$40000,$Y468)&amp;"")</f>
        <v/>
      </c>
      <c r="AA468" s="59">
        <f>IF($Y468="","",IF(INDEX($D$6:$D$40000,$Y468)="","",INDEX($D$6:$D$40000,$Y468)))</f>
        <v/>
      </c>
      <c r="AB468">
        <f>IF($Y468="","",INDEX($L$6:$L$40000,$Y468)&amp;"")</f>
        <v/>
      </c>
    </row>
    <row r="469">
      <c r="Y469" s="47">
        <f>IFERROR(MATCH(Library!M469,$M$6:$M$40000,0),"")</f>
        <v/>
      </c>
      <c r="Z469">
        <f>IF($Y469="","",INDEX($C$6:$C$40000,$Y469)&amp;"")</f>
        <v/>
      </c>
      <c r="AA469" s="59">
        <f>IF($Y469="","",IF(INDEX($D$6:$D$40000,$Y469)="","",INDEX($D$6:$D$40000,$Y469)))</f>
        <v/>
      </c>
      <c r="AB469">
        <f>IF($Y469="","",INDEX($L$6:$L$40000,$Y469)&amp;"")</f>
        <v/>
      </c>
    </row>
    <row r="470">
      <c r="Y470" s="47">
        <f>IFERROR(MATCH(Library!M470,$M$6:$M$40000,0),"")</f>
        <v/>
      </c>
      <c r="Z470">
        <f>IF($Y470="","",INDEX($C$6:$C$40000,$Y470)&amp;"")</f>
        <v/>
      </c>
      <c r="AA470" s="59">
        <f>IF($Y470="","",IF(INDEX($D$6:$D$40000,$Y470)="","",INDEX($D$6:$D$40000,$Y470)))</f>
        <v/>
      </c>
      <c r="AB470">
        <f>IF($Y470="","",INDEX($L$6:$L$40000,$Y470)&amp;"")</f>
        <v/>
      </c>
    </row>
    <row r="471">
      <c r="Y471" s="47">
        <f>IFERROR(MATCH(Library!M471,$M$6:$M$40000,0),"")</f>
        <v/>
      </c>
      <c r="Z471">
        <f>IF($Y471="","",INDEX($C$6:$C$40000,$Y471)&amp;"")</f>
        <v/>
      </c>
      <c r="AA471" s="59">
        <f>IF($Y471="","",IF(INDEX($D$6:$D$40000,$Y471)="","",INDEX($D$6:$D$40000,$Y471)))</f>
        <v/>
      </c>
      <c r="AB471">
        <f>IF($Y471="","",INDEX($L$6:$L$40000,$Y471)&amp;"")</f>
        <v/>
      </c>
    </row>
    <row r="472">
      <c r="Y472" s="47">
        <f>IFERROR(MATCH(Library!M472,$M$6:$M$40000,0),"")</f>
        <v/>
      </c>
      <c r="Z472">
        <f>IF($Y472="","",INDEX($C$6:$C$40000,$Y472)&amp;"")</f>
        <v/>
      </c>
      <c r="AA472" s="59">
        <f>IF($Y472="","",IF(INDEX($D$6:$D$40000,$Y472)="","",INDEX($D$6:$D$40000,$Y472)))</f>
        <v/>
      </c>
      <c r="AB472">
        <f>IF($Y472="","",INDEX($L$6:$L$40000,$Y472)&amp;"")</f>
        <v/>
      </c>
    </row>
    <row r="473">
      <c r="Y473" s="47">
        <f>IFERROR(MATCH(Library!M473,$M$6:$M$40000,0),"")</f>
        <v/>
      </c>
      <c r="Z473">
        <f>IF($Y473="","",INDEX($C$6:$C$40000,$Y473)&amp;"")</f>
        <v/>
      </c>
      <c r="AA473" s="59">
        <f>IF($Y473="","",IF(INDEX($D$6:$D$40000,$Y473)="","",INDEX($D$6:$D$40000,$Y473)))</f>
        <v/>
      </c>
      <c r="AB473">
        <f>IF($Y473="","",INDEX($L$6:$L$40000,$Y473)&amp;"")</f>
        <v/>
      </c>
    </row>
    <row r="474">
      <c r="Y474" s="47">
        <f>IFERROR(MATCH(Library!M474,$M$6:$M$40000,0),"")</f>
        <v/>
      </c>
      <c r="Z474">
        <f>IF($Y474="","",INDEX($C$6:$C$40000,$Y474)&amp;"")</f>
        <v/>
      </c>
      <c r="AA474" s="59">
        <f>IF($Y474="","",IF(INDEX($D$6:$D$40000,$Y474)="","",INDEX($D$6:$D$40000,$Y474)))</f>
        <v/>
      </c>
      <c r="AB474">
        <f>IF($Y474="","",INDEX($L$6:$L$40000,$Y474)&amp;"")</f>
        <v/>
      </c>
    </row>
    <row r="475">
      <c r="Y475" s="47">
        <f>IFERROR(MATCH(Library!M475,$M$6:$M$40000,0),"")</f>
        <v/>
      </c>
      <c r="Z475">
        <f>IF($Y475="","",INDEX($C$6:$C$40000,$Y475)&amp;"")</f>
        <v/>
      </c>
      <c r="AA475" s="59">
        <f>IF($Y475="","",IF(INDEX($D$6:$D$40000,$Y475)="","",INDEX($D$6:$D$40000,$Y475)))</f>
        <v/>
      </c>
      <c r="AB475">
        <f>IF($Y475="","",INDEX($L$6:$L$40000,$Y475)&amp;"")</f>
        <v/>
      </c>
    </row>
    <row r="476">
      <c r="Y476" s="47">
        <f>IFERROR(MATCH(Library!M476,$M$6:$M$40000,0),"")</f>
        <v/>
      </c>
      <c r="Z476">
        <f>IF($Y476="","",INDEX($C$6:$C$40000,$Y476)&amp;"")</f>
        <v/>
      </c>
      <c r="AA476" s="59">
        <f>IF($Y476="","",IF(INDEX($D$6:$D$40000,$Y476)="","",INDEX($D$6:$D$40000,$Y476)))</f>
        <v/>
      </c>
      <c r="AB476">
        <f>IF($Y476="","",INDEX($L$6:$L$40000,$Y476)&amp;"")</f>
        <v/>
      </c>
    </row>
    <row r="477">
      <c r="Y477" s="47">
        <f>IFERROR(MATCH(Library!M477,$M$6:$M$40000,0),"")</f>
        <v/>
      </c>
      <c r="Z477">
        <f>IF($Y477="","",INDEX($C$6:$C$40000,$Y477)&amp;"")</f>
        <v/>
      </c>
      <c r="AA477" s="59">
        <f>IF($Y477="","",IF(INDEX($D$6:$D$40000,$Y477)="","",INDEX($D$6:$D$40000,$Y477)))</f>
        <v/>
      </c>
      <c r="AB477">
        <f>IF($Y477="","",INDEX($L$6:$L$40000,$Y477)&amp;"")</f>
        <v/>
      </c>
    </row>
    <row r="478">
      <c r="Y478" s="47">
        <f>IFERROR(MATCH(Library!M478,$M$6:$M$40000,0),"")</f>
        <v/>
      </c>
      <c r="Z478">
        <f>IF($Y478="","",INDEX($C$6:$C$40000,$Y478)&amp;"")</f>
        <v/>
      </c>
      <c r="AA478" s="59">
        <f>IF($Y478="","",IF(INDEX($D$6:$D$40000,$Y478)="","",INDEX($D$6:$D$40000,$Y478)))</f>
        <v/>
      </c>
      <c r="AB478">
        <f>IF($Y478="","",INDEX($L$6:$L$40000,$Y478)&amp;"")</f>
        <v/>
      </c>
    </row>
    <row r="479">
      <c r="Y479" s="47">
        <f>IFERROR(MATCH(Library!M479,$M$6:$M$40000,0),"")</f>
        <v/>
      </c>
      <c r="Z479">
        <f>IF($Y479="","",INDEX($C$6:$C$40000,$Y479)&amp;"")</f>
        <v/>
      </c>
      <c r="AA479" s="59">
        <f>IF($Y479="","",IF(INDEX($D$6:$D$40000,$Y479)="","",INDEX($D$6:$D$40000,$Y479)))</f>
        <v/>
      </c>
      <c r="AB479">
        <f>IF($Y479="","",INDEX($L$6:$L$40000,$Y479)&amp;"")</f>
        <v/>
      </c>
    </row>
    <row r="480">
      <c r="Y480" s="47">
        <f>IFERROR(MATCH(Library!M480,$M$6:$M$40000,0),"")</f>
        <v/>
      </c>
      <c r="Z480">
        <f>IF($Y480="","",INDEX($C$6:$C$40000,$Y480)&amp;"")</f>
        <v/>
      </c>
      <c r="AA480" s="59">
        <f>IF($Y480="","",IF(INDEX($D$6:$D$40000,$Y480)="","",INDEX($D$6:$D$40000,$Y480)))</f>
        <v/>
      </c>
      <c r="AB480">
        <f>IF($Y480="","",INDEX($L$6:$L$40000,$Y480)&amp;"")</f>
        <v/>
      </c>
    </row>
    <row r="481">
      <c r="Y481" s="47">
        <f>IFERROR(MATCH(Library!M481,$M$6:$M$40000,0),"")</f>
        <v/>
      </c>
      <c r="Z481">
        <f>IF($Y481="","",INDEX($C$6:$C$40000,$Y481)&amp;"")</f>
        <v/>
      </c>
      <c r="AA481" s="59">
        <f>IF($Y481="","",IF(INDEX($D$6:$D$40000,$Y481)="","",INDEX($D$6:$D$40000,$Y481)))</f>
        <v/>
      </c>
      <c r="AB481">
        <f>IF($Y481="","",INDEX($L$6:$L$40000,$Y481)&amp;"")</f>
        <v/>
      </c>
    </row>
    <row r="482">
      <c r="Y482" s="47">
        <f>IFERROR(MATCH(Library!M482,$M$6:$M$40000,0),"")</f>
        <v/>
      </c>
      <c r="Z482">
        <f>IF($Y482="","",INDEX($C$6:$C$40000,$Y482)&amp;"")</f>
        <v/>
      </c>
      <c r="AA482" s="59">
        <f>IF($Y482="","",IF(INDEX($D$6:$D$40000,$Y482)="","",INDEX($D$6:$D$40000,$Y482)))</f>
        <v/>
      </c>
      <c r="AB482">
        <f>IF($Y482="","",INDEX($L$6:$L$40000,$Y482)&amp;"")</f>
        <v/>
      </c>
    </row>
    <row r="483">
      <c r="Y483" s="47">
        <f>IFERROR(MATCH(Library!M483,$M$6:$M$40000,0),"")</f>
        <v/>
      </c>
      <c r="Z483">
        <f>IF($Y483="","",INDEX($C$6:$C$40000,$Y483)&amp;"")</f>
        <v/>
      </c>
      <c r="AA483" s="59">
        <f>IF($Y483="","",IF(INDEX($D$6:$D$40000,$Y483)="","",INDEX($D$6:$D$40000,$Y483)))</f>
        <v/>
      </c>
      <c r="AB483">
        <f>IF($Y483="","",INDEX($L$6:$L$40000,$Y483)&amp;"")</f>
        <v/>
      </c>
    </row>
    <row r="484">
      <c r="Y484" s="47">
        <f>IFERROR(MATCH(Library!M484,$M$6:$M$40000,0),"")</f>
        <v/>
      </c>
      <c r="Z484">
        <f>IF($Y484="","",INDEX($C$6:$C$40000,$Y484)&amp;"")</f>
        <v/>
      </c>
      <c r="AA484" s="59">
        <f>IF($Y484="","",IF(INDEX($D$6:$D$40000,$Y484)="","",INDEX($D$6:$D$40000,$Y484)))</f>
        <v/>
      </c>
      <c r="AB484">
        <f>IF($Y484="","",INDEX($L$6:$L$40000,$Y484)&amp;"")</f>
        <v/>
      </c>
    </row>
    <row r="485">
      <c r="Y485" s="47">
        <f>IFERROR(MATCH(Library!M485,$M$6:$M$40000,0),"")</f>
        <v/>
      </c>
      <c r="Z485">
        <f>IF($Y485="","",INDEX($C$6:$C$40000,$Y485)&amp;"")</f>
        <v/>
      </c>
      <c r="AA485" s="59">
        <f>IF($Y485="","",IF(INDEX($D$6:$D$40000,$Y485)="","",INDEX($D$6:$D$40000,$Y485)))</f>
        <v/>
      </c>
      <c r="AB485">
        <f>IF($Y485="","",INDEX($L$6:$L$40000,$Y485)&amp;"")</f>
        <v/>
      </c>
    </row>
    <row r="486">
      <c r="Y486" s="47">
        <f>IFERROR(MATCH(Library!M486,$M$6:$M$40000,0),"")</f>
        <v/>
      </c>
      <c r="Z486">
        <f>IF($Y486="","",INDEX($C$6:$C$40000,$Y486)&amp;"")</f>
        <v/>
      </c>
      <c r="AA486" s="59">
        <f>IF($Y486="","",IF(INDEX($D$6:$D$40000,$Y486)="","",INDEX($D$6:$D$40000,$Y486)))</f>
        <v/>
      </c>
      <c r="AB486">
        <f>IF($Y486="","",INDEX($L$6:$L$40000,$Y486)&amp;"")</f>
        <v/>
      </c>
    </row>
    <row r="487">
      <c r="Y487" s="47">
        <f>IFERROR(MATCH(Library!M487,$M$6:$M$40000,0),"")</f>
        <v/>
      </c>
      <c r="Z487">
        <f>IF($Y487="","",INDEX($C$6:$C$40000,$Y487)&amp;"")</f>
        <v/>
      </c>
      <c r="AA487" s="59">
        <f>IF($Y487="","",IF(INDEX($D$6:$D$40000,$Y487)="","",INDEX($D$6:$D$40000,$Y487)))</f>
        <v/>
      </c>
      <c r="AB487">
        <f>IF($Y487="","",INDEX($L$6:$L$40000,$Y487)&amp;"")</f>
        <v/>
      </c>
    </row>
    <row r="488">
      <c r="Y488" s="47">
        <f>IFERROR(MATCH(Library!M488,$M$6:$M$40000,0),"")</f>
        <v/>
      </c>
      <c r="Z488">
        <f>IF($Y488="","",INDEX($C$6:$C$40000,$Y488)&amp;"")</f>
        <v/>
      </c>
      <c r="AA488" s="59">
        <f>IF($Y488="","",IF(INDEX($D$6:$D$40000,$Y488)="","",INDEX($D$6:$D$40000,$Y488)))</f>
        <v/>
      </c>
      <c r="AB488">
        <f>IF($Y488="","",INDEX($L$6:$L$40000,$Y488)&amp;"")</f>
        <v/>
      </c>
    </row>
    <row r="489">
      <c r="Y489" s="47">
        <f>IFERROR(MATCH(Library!M489,$M$6:$M$40000,0),"")</f>
        <v/>
      </c>
      <c r="Z489">
        <f>IF($Y489="","",INDEX($C$6:$C$40000,$Y489)&amp;"")</f>
        <v/>
      </c>
      <c r="AA489" s="59">
        <f>IF($Y489="","",IF(INDEX($D$6:$D$40000,$Y489)="","",INDEX($D$6:$D$40000,$Y489)))</f>
        <v/>
      </c>
      <c r="AB489">
        <f>IF($Y489="","",INDEX($L$6:$L$40000,$Y489)&amp;"")</f>
        <v/>
      </c>
    </row>
    <row r="490">
      <c r="Y490" s="47">
        <f>IFERROR(MATCH(Library!M490,$M$6:$M$40000,0),"")</f>
        <v/>
      </c>
      <c r="Z490">
        <f>IF($Y490="","",INDEX($C$6:$C$40000,$Y490)&amp;"")</f>
        <v/>
      </c>
      <c r="AA490" s="59">
        <f>IF($Y490="","",IF(INDEX($D$6:$D$40000,$Y490)="","",INDEX($D$6:$D$40000,$Y490)))</f>
        <v/>
      </c>
      <c r="AB490">
        <f>IF($Y490="","",INDEX($L$6:$L$40000,$Y490)&amp;"")</f>
        <v/>
      </c>
    </row>
    <row r="491">
      <c r="Y491" s="47">
        <f>IFERROR(MATCH(Library!M491,$M$6:$M$40000,0),"")</f>
        <v/>
      </c>
      <c r="Z491">
        <f>IF($Y491="","",INDEX($C$6:$C$40000,$Y491)&amp;"")</f>
        <v/>
      </c>
      <c r="AA491" s="59">
        <f>IF($Y491="","",IF(INDEX($D$6:$D$40000,$Y491)="","",INDEX($D$6:$D$40000,$Y491)))</f>
        <v/>
      </c>
      <c r="AB491">
        <f>IF($Y491="","",INDEX($L$6:$L$40000,$Y491)&amp;"")</f>
        <v/>
      </c>
    </row>
    <row r="492">
      <c r="Y492" s="47">
        <f>IFERROR(MATCH(Library!M492,$M$6:$M$40000,0),"")</f>
        <v/>
      </c>
      <c r="Z492">
        <f>IF($Y492="","",INDEX($C$6:$C$40000,$Y492)&amp;"")</f>
        <v/>
      </c>
      <c r="AA492" s="59">
        <f>IF($Y492="","",IF(INDEX($D$6:$D$40000,$Y492)="","",INDEX($D$6:$D$40000,$Y492)))</f>
        <v/>
      </c>
      <c r="AB492">
        <f>IF($Y492="","",INDEX($L$6:$L$40000,$Y492)&amp;"")</f>
        <v/>
      </c>
    </row>
    <row r="493">
      <c r="Y493" s="47">
        <f>IFERROR(MATCH(Library!M493,$M$6:$M$40000,0),"")</f>
        <v/>
      </c>
      <c r="Z493">
        <f>IF($Y493="","",INDEX($C$6:$C$40000,$Y493)&amp;"")</f>
        <v/>
      </c>
      <c r="AA493" s="59">
        <f>IF($Y493="","",IF(INDEX($D$6:$D$40000,$Y493)="","",INDEX($D$6:$D$40000,$Y493)))</f>
        <v/>
      </c>
      <c r="AB493">
        <f>IF($Y493="","",INDEX($L$6:$L$40000,$Y493)&amp;"")</f>
        <v/>
      </c>
    </row>
    <row r="494">
      <c r="Y494" s="47">
        <f>IFERROR(MATCH(Library!M494,$M$6:$M$40000,0),"")</f>
        <v/>
      </c>
      <c r="Z494">
        <f>IF($Y494="","",INDEX($C$6:$C$40000,$Y494)&amp;"")</f>
        <v/>
      </c>
      <c r="AA494" s="59">
        <f>IF($Y494="","",IF(INDEX($D$6:$D$40000,$Y494)="","",INDEX($D$6:$D$40000,$Y494)))</f>
        <v/>
      </c>
      <c r="AB494">
        <f>IF($Y494="","",INDEX($L$6:$L$40000,$Y494)&amp;"")</f>
        <v/>
      </c>
    </row>
    <row r="495">
      <c r="Y495" s="47">
        <f>IFERROR(MATCH(Library!M495,$M$6:$M$40000,0),"")</f>
        <v/>
      </c>
      <c r="Z495">
        <f>IF($Y495="","",INDEX($C$6:$C$40000,$Y495)&amp;"")</f>
        <v/>
      </c>
      <c r="AA495" s="59">
        <f>IF($Y495="","",IF(INDEX($D$6:$D$40000,$Y495)="","",INDEX($D$6:$D$40000,$Y495)))</f>
        <v/>
      </c>
      <c r="AB495">
        <f>IF($Y495="","",INDEX($L$6:$L$40000,$Y495)&amp;"")</f>
        <v/>
      </c>
    </row>
    <row r="496">
      <c r="Y496" s="47">
        <f>IFERROR(MATCH(Library!M496,$M$6:$M$40000,0),"")</f>
        <v/>
      </c>
      <c r="Z496">
        <f>IF($Y496="","",INDEX($C$6:$C$40000,$Y496)&amp;"")</f>
        <v/>
      </c>
      <c r="AA496" s="59">
        <f>IF($Y496="","",IF(INDEX($D$6:$D$40000,$Y496)="","",INDEX($D$6:$D$40000,$Y496)))</f>
        <v/>
      </c>
      <c r="AB496">
        <f>IF($Y496="","",INDEX($L$6:$L$40000,$Y496)&amp;"")</f>
        <v/>
      </c>
    </row>
    <row r="497">
      <c r="Y497" s="47">
        <f>IFERROR(MATCH(Library!M497,$M$6:$M$40000,0),"")</f>
        <v/>
      </c>
      <c r="Z497">
        <f>IF($Y497="","",INDEX($C$6:$C$40000,$Y497)&amp;"")</f>
        <v/>
      </c>
      <c r="AA497" s="59">
        <f>IF($Y497="","",IF(INDEX($D$6:$D$40000,$Y497)="","",INDEX($D$6:$D$40000,$Y497)))</f>
        <v/>
      </c>
      <c r="AB497">
        <f>IF($Y497="","",INDEX($L$6:$L$40000,$Y497)&amp;"")</f>
        <v/>
      </c>
    </row>
    <row r="498">
      <c r="Y498" s="47">
        <f>IFERROR(MATCH(Library!M498,$M$6:$M$40000,0),"")</f>
        <v/>
      </c>
      <c r="Z498">
        <f>IF($Y498="","",INDEX($C$6:$C$40000,$Y498)&amp;"")</f>
        <v/>
      </c>
      <c r="AA498" s="59">
        <f>IF($Y498="","",IF(INDEX($D$6:$D$40000,$Y498)="","",INDEX($D$6:$D$40000,$Y498)))</f>
        <v/>
      </c>
      <c r="AB498">
        <f>IF($Y498="","",INDEX($L$6:$L$40000,$Y498)&amp;"")</f>
        <v/>
      </c>
    </row>
    <row r="499">
      <c r="Y499" s="47">
        <f>IFERROR(MATCH(Library!M499,$M$6:$M$40000,0),"")</f>
        <v/>
      </c>
      <c r="Z499">
        <f>IF($Y499="","",INDEX($C$6:$C$40000,$Y499)&amp;"")</f>
        <v/>
      </c>
      <c r="AA499" s="59">
        <f>IF($Y499="","",IF(INDEX($D$6:$D$40000,$Y499)="","",INDEX($D$6:$D$40000,$Y499)))</f>
        <v/>
      </c>
      <c r="AB499">
        <f>IF($Y499="","",INDEX($L$6:$L$40000,$Y499)&amp;"")</f>
        <v/>
      </c>
    </row>
    <row r="500">
      <c r="Y500" s="47">
        <f>IFERROR(MATCH(Library!M500,$M$6:$M$40000,0),"")</f>
        <v/>
      </c>
      <c r="Z500">
        <f>IF($Y500="","",INDEX($C$6:$C$40000,$Y500)&amp;"")</f>
        <v/>
      </c>
      <c r="AA500" s="59">
        <f>IF($Y500="","",IF(INDEX($D$6:$D$40000,$Y500)="","",INDEX($D$6:$D$40000,$Y500)))</f>
        <v/>
      </c>
      <c r="AB500">
        <f>IF($Y500="","",INDEX($L$6:$L$40000,$Y500)&amp;"")</f>
        <v/>
      </c>
    </row>
    <row r="501">
      <c r="Y501" s="47">
        <f>IFERROR(MATCH(Library!M501,$M$6:$M$40000,0),"")</f>
        <v/>
      </c>
      <c r="Z501">
        <f>IF($Y501="","",INDEX($C$6:$C$40000,$Y501)&amp;"")</f>
        <v/>
      </c>
      <c r="AA501" s="59">
        <f>IF($Y501="","",IF(INDEX($D$6:$D$40000,$Y501)="","",INDEX($D$6:$D$40000,$Y501)))</f>
        <v/>
      </c>
      <c r="AB501">
        <f>IF($Y501="","",INDEX($L$6:$L$40000,$Y501)&amp;"")</f>
        <v/>
      </c>
    </row>
    <row r="502">
      <c r="Y502" s="47">
        <f>IFERROR(MATCH(Library!M502,$M$6:$M$40000,0),"")</f>
        <v/>
      </c>
      <c r="Z502">
        <f>IF($Y502="","",INDEX($C$6:$C$40000,$Y502)&amp;"")</f>
        <v/>
      </c>
      <c r="AA502" s="59">
        <f>IF($Y502="","",IF(INDEX($D$6:$D$40000,$Y502)="","",INDEX($D$6:$D$40000,$Y502)))</f>
        <v/>
      </c>
      <c r="AB502">
        <f>IF($Y502="","",INDEX($L$6:$L$40000,$Y502)&amp;"")</f>
        <v/>
      </c>
    </row>
    <row r="503">
      <c r="Y503" s="47">
        <f>IFERROR(MATCH(Library!M503,$M$6:$M$40000,0),"")</f>
        <v/>
      </c>
      <c r="Z503">
        <f>IF($Y503="","",INDEX($C$6:$C$40000,$Y503)&amp;"")</f>
        <v/>
      </c>
      <c r="AA503" s="59">
        <f>IF($Y503="","",IF(INDEX($D$6:$D$40000,$Y503)="","",INDEX($D$6:$D$40000,$Y503)))</f>
        <v/>
      </c>
      <c r="AB503">
        <f>IF($Y503="","",INDEX($L$6:$L$40000,$Y503)&amp;"")</f>
        <v/>
      </c>
    </row>
    <row r="504">
      <c r="Y504" s="47">
        <f>IFERROR(MATCH(Library!M504,$M$6:$M$40000,0),"")</f>
        <v/>
      </c>
      <c r="Z504">
        <f>IF($Y504="","",INDEX($C$6:$C$40000,$Y504)&amp;"")</f>
        <v/>
      </c>
      <c r="AA504" s="59">
        <f>IF($Y504="","",IF(INDEX($D$6:$D$40000,$Y504)="","",INDEX($D$6:$D$40000,$Y504)))</f>
        <v/>
      </c>
      <c r="AB504">
        <f>IF($Y504="","",INDEX($L$6:$L$40000,$Y504)&amp;"")</f>
        <v/>
      </c>
    </row>
    <row r="505">
      <c r="Y505" s="47">
        <f>IFERROR(MATCH(Library!M505,$M$6:$M$40000,0),"")</f>
        <v/>
      </c>
      <c r="Z505">
        <f>IF($Y505="","",INDEX($C$6:$C$40000,$Y505)&amp;"")</f>
        <v/>
      </c>
      <c r="AA505" s="59">
        <f>IF($Y505="","",IF(INDEX($D$6:$D$40000,$Y505)="","",INDEX($D$6:$D$40000,$Y505)))</f>
        <v/>
      </c>
      <c r="AB505">
        <f>IF($Y505="","",INDEX($L$6:$L$40000,$Y505)&amp;"")</f>
        <v/>
      </c>
    </row>
    <row r="506">
      <c r="Y506" s="47">
        <f>IFERROR(MATCH(Library!M506,$M$6:$M$40000,0),"")</f>
        <v/>
      </c>
      <c r="Z506">
        <f>IF($Y506="","",INDEX($C$6:$C$40000,$Y506)&amp;"")</f>
        <v/>
      </c>
      <c r="AA506" s="59">
        <f>IF($Y506="","",IF(INDEX($D$6:$D$40000,$Y506)="","",INDEX($D$6:$D$40000,$Y506)))</f>
        <v/>
      </c>
      <c r="AB506">
        <f>IF($Y506="","",INDEX($L$6:$L$40000,$Y506)&amp;"")</f>
        <v/>
      </c>
    </row>
    <row r="507">
      <c r="Y507" s="47">
        <f>IFERROR(MATCH(Library!M507,$M$6:$M$40000,0),"")</f>
        <v/>
      </c>
      <c r="Z507">
        <f>IF($Y507="","",INDEX($C$6:$C$40000,$Y507)&amp;"")</f>
        <v/>
      </c>
      <c r="AA507" s="59">
        <f>IF($Y507="","",IF(INDEX($D$6:$D$40000,$Y507)="","",INDEX($D$6:$D$40000,$Y507)))</f>
        <v/>
      </c>
      <c r="AB507">
        <f>IF($Y507="","",INDEX($L$6:$L$40000,$Y507)&amp;"")</f>
        <v/>
      </c>
    </row>
    <row r="508">
      <c r="Y508" s="47">
        <f>IFERROR(MATCH(Library!M508,$M$6:$M$40000,0),"")</f>
        <v/>
      </c>
      <c r="Z508">
        <f>IF($Y508="","",INDEX($C$6:$C$40000,$Y508)&amp;"")</f>
        <v/>
      </c>
      <c r="AA508" s="59">
        <f>IF($Y508="","",IF(INDEX($D$6:$D$40000,$Y508)="","",INDEX($D$6:$D$40000,$Y508)))</f>
        <v/>
      </c>
      <c r="AB508">
        <f>IF($Y508="","",INDEX($L$6:$L$40000,$Y508)&amp;"")</f>
        <v/>
      </c>
    </row>
    <row r="509">
      <c r="Y509" s="47">
        <f>IFERROR(MATCH(Library!M509,$M$6:$M$40000,0),"")</f>
        <v/>
      </c>
      <c r="Z509">
        <f>IF($Y509="","",INDEX($C$6:$C$40000,$Y509)&amp;"")</f>
        <v/>
      </c>
      <c r="AA509" s="59">
        <f>IF($Y509="","",IF(INDEX($D$6:$D$40000,$Y509)="","",INDEX($D$6:$D$40000,$Y509)))</f>
        <v/>
      </c>
      <c r="AB509">
        <f>IF($Y509="","",INDEX($L$6:$L$40000,$Y509)&amp;"")</f>
        <v/>
      </c>
    </row>
    <row r="510">
      <c r="Y510" s="47">
        <f>IFERROR(MATCH(Library!M510,$M$6:$M$40000,0),"")</f>
        <v/>
      </c>
      <c r="Z510">
        <f>IF($Y510="","",INDEX($C$6:$C$40000,$Y510)&amp;"")</f>
        <v/>
      </c>
      <c r="AA510" s="59">
        <f>IF($Y510="","",IF(INDEX($D$6:$D$40000,$Y510)="","",INDEX($D$6:$D$40000,$Y510)))</f>
        <v/>
      </c>
      <c r="AB510">
        <f>IF($Y510="","",INDEX($L$6:$L$40000,$Y510)&amp;"")</f>
        <v/>
      </c>
    </row>
    <row r="511">
      <c r="Y511" s="47">
        <f>IFERROR(MATCH(Library!M511,$M$6:$M$40000,0),"")</f>
        <v/>
      </c>
      <c r="Z511">
        <f>IF($Y511="","",INDEX($C$6:$C$40000,$Y511)&amp;"")</f>
        <v/>
      </c>
      <c r="AA511" s="59">
        <f>IF($Y511="","",IF(INDEX($D$6:$D$40000,$Y511)="","",INDEX($D$6:$D$40000,$Y511)))</f>
        <v/>
      </c>
      <c r="AB511">
        <f>IF($Y511="","",INDEX($L$6:$L$40000,$Y511)&amp;"")</f>
        <v/>
      </c>
    </row>
    <row r="512">
      <c r="Y512" s="47">
        <f>IFERROR(MATCH(Library!M512,$M$6:$M$40000,0),"")</f>
        <v/>
      </c>
      <c r="Z512">
        <f>IF($Y512="","",INDEX($C$6:$C$40000,$Y512)&amp;"")</f>
        <v/>
      </c>
      <c r="AA512" s="59">
        <f>IF($Y512="","",IF(INDEX($D$6:$D$40000,$Y512)="","",INDEX($D$6:$D$40000,$Y512)))</f>
        <v/>
      </c>
      <c r="AB512">
        <f>IF($Y512="","",INDEX($L$6:$L$40000,$Y512)&amp;"")</f>
        <v/>
      </c>
    </row>
    <row r="513">
      <c r="Y513" s="47">
        <f>IFERROR(MATCH(Library!M513,$M$6:$M$40000,0),"")</f>
        <v/>
      </c>
      <c r="Z513">
        <f>IF($Y513="","",INDEX($C$6:$C$40000,$Y513)&amp;"")</f>
        <v/>
      </c>
      <c r="AA513" s="59">
        <f>IF($Y513="","",IF(INDEX($D$6:$D$40000,$Y513)="","",INDEX($D$6:$D$40000,$Y513)))</f>
        <v/>
      </c>
      <c r="AB513">
        <f>IF($Y513="","",INDEX($L$6:$L$40000,$Y513)&amp;"")</f>
        <v/>
      </c>
    </row>
    <row r="514">
      <c r="Y514" s="47">
        <f>IFERROR(MATCH(Library!M514,$M$6:$M$40000,0),"")</f>
        <v/>
      </c>
      <c r="Z514">
        <f>IF($Y514="","",INDEX($C$6:$C$40000,$Y514)&amp;"")</f>
        <v/>
      </c>
      <c r="AA514" s="59">
        <f>IF($Y514="","",IF(INDEX($D$6:$D$40000,$Y514)="","",INDEX($D$6:$D$40000,$Y514)))</f>
        <v/>
      </c>
      <c r="AB514">
        <f>IF($Y514="","",INDEX($L$6:$L$40000,$Y514)&amp;"")</f>
        <v/>
      </c>
    </row>
    <row r="515">
      <c r="Y515" s="47">
        <f>IFERROR(MATCH(Library!M515,$M$6:$M$40000,0),"")</f>
        <v/>
      </c>
      <c r="Z515">
        <f>IF($Y515="","",INDEX($C$6:$C$40000,$Y515)&amp;"")</f>
        <v/>
      </c>
      <c r="AA515" s="59">
        <f>IF($Y515="","",IF(INDEX($D$6:$D$40000,$Y515)="","",INDEX($D$6:$D$40000,$Y515)))</f>
        <v/>
      </c>
      <c r="AB515">
        <f>IF($Y515="","",INDEX($L$6:$L$40000,$Y515)&amp;"")</f>
        <v/>
      </c>
    </row>
    <row r="516">
      <c r="Y516" s="47">
        <f>IFERROR(MATCH(Library!M516,$M$6:$M$40000,0),"")</f>
        <v/>
      </c>
      <c r="Z516">
        <f>IF($Y516="","",INDEX($C$6:$C$40000,$Y516)&amp;"")</f>
        <v/>
      </c>
      <c r="AA516" s="59">
        <f>IF($Y516="","",IF(INDEX($D$6:$D$40000,$Y516)="","",INDEX($D$6:$D$40000,$Y516)))</f>
        <v/>
      </c>
      <c r="AB516">
        <f>IF($Y516="","",INDEX($L$6:$L$40000,$Y516)&amp;"")</f>
        <v/>
      </c>
    </row>
    <row r="517">
      <c r="Y517" s="47">
        <f>IFERROR(MATCH(Library!M517,$M$6:$M$40000,0),"")</f>
        <v/>
      </c>
      <c r="Z517">
        <f>IF($Y517="","",INDEX($C$6:$C$40000,$Y517)&amp;"")</f>
        <v/>
      </c>
      <c r="AA517" s="59">
        <f>IF($Y517="","",IF(INDEX($D$6:$D$40000,$Y517)="","",INDEX($D$6:$D$40000,$Y517)))</f>
        <v/>
      </c>
      <c r="AB517">
        <f>IF($Y517="","",INDEX($L$6:$L$40000,$Y517)&amp;"")</f>
        <v/>
      </c>
    </row>
    <row r="518">
      <c r="Y518" s="47">
        <f>IFERROR(MATCH(Library!M518,$M$6:$M$40000,0),"")</f>
        <v/>
      </c>
      <c r="Z518">
        <f>IF($Y518="","",INDEX($C$6:$C$40000,$Y518)&amp;"")</f>
        <v/>
      </c>
      <c r="AA518" s="59">
        <f>IF($Y518="","",IF(INDEX($D$6:$D$40000,$Y518)="","",INDEX($D$6:$D$40000,$Y518)))</f>
        <v/>
      </c>
      <c r="AB518">
        <f>IF($Y518="","",INDEX($L$6:$L$40000,$Y518)&amp;"")</f>
        <v/>
      </c>
    </row>
    <row r="519">
      <c r="Y519" s="47">
        <f>IFERROR(MATCH(Library!M519,$M$6:$M$40000,0),"")</f>
        <v/>
      </c>
      <c r="Z519">
        <f>IF($Y519="","",INDEX($C$6:$C$40000,$Y519)&amp;"")</f>
        <v/>
      </c>
      <c r="AA519" s="59">
        <f>IF($Y519="","",IF(INDEX($D$6:$D$40000,$Y519)="","",INDEX($D$6:$D$40000,$Y519)))</f>
        <v/>
      </c>
      <c r="AB519">
        <f>IF($Y519="","",INDEX($L$6:$L$40000,$Y519)&amp;"")</f>
        <v/>
      </c>
    </row>
    <row r="520">
      <c r="Y520" s="47">
        <f>IFERROR(MATCH(Library!M520,$M$6:$M$40000,0),"")</f>
        <v/>
      </c>
      <c r="Z520">
        <f>IF($Y520="","",INDEX($C$6:$C$40000,$Y520)&amp;"")</f>
        <v/>
      </c>
      <c r="AA520" s="59">
        <f>IF($Y520="","",IF(INDEX($D$6:$D$40000,$Y520)="","",INDEX($D$6:$D$40000,$Y520)))</f>
        <v/>
      </c>
      <c r="AB520">
        <f>IF($Y520="","",INDEX($L$6:$L$40000,$Y520)&amp;"")</f>
        <v/>
      </c>
    </row>
    <row r="521">
      <c r="Y521" s="47">
        <f>IFERROR(MATCH(Library!M521,$M$6:$M$40000,0),"")</f>
        <v/>
      </c>
      <c r="Z521">
        <f>IF($Y521="","",INDEX($C$6:$C$40000,$Y521)&amp;"")</f>
        <v/>
      </c>
      <c r="AA521" s="59">
        <f>IF($Y521="","",IF(INDEX($D$6:$D$40000,$Y521)="","",INDEX($D$6:$D$40000,$Y521)))</f>
        <v/>
      </c>
      <c r="AB521">
        <f>IF($Y521="","",INDEX($L$6:$L$40000,$Y521)&amp;"")</f>
        <v/>
      </c>
    </row>
    <row r="522">
      <c r="Y522" s="47">
        <f>IFERROR(MATCH(Library!M522,$M$6:$M$40000,0),"")</f>
        <v/>
      </c>
      <c r="Z522">
        <f>IF($Y522="","",INDEX($C$6:$C$40000,$Y522)&amp;"")</f>
        <v/>
      </c>
      <c r="AA522" s="59">
        <f>IF($Y522="","",IF(INDEX($D$6:$D$40000,$Y522)="","",INDEX($D$6:$D$40000,$Y522)))</f>
        <v/>
      </c>
      <c r="AB522">
        <f>IF($Y522="","",INDEX($L$6:$L$40000,$Y522)&amp;"")</f>
        <v/>
      </c>
    </row>
    <row r="523">
      <c r="Y523" s="47">
        <f>IFERROR(MATCH(Library!M523,$M$6:$M$40000,0),"")</f>
        <v/>
      </c>
      <c r="Z523">
        <f>IF($Y523="","",INDEX($C$6:$C$40000,$Y523)&amp;"")</f>
        <v/>
      </c>
      <c r="AA523" s="59">
        <f>IF($Y523="","",IF(INDEX($D$6:$D$40000,$Y523)="","",INDEX($D$6:$D$40000,$Y523)))</f>
        <v/>
      </c>
      <c r="AB523">
        <f>IF($Y523="","",INDEX($L$6:$L$40000,$Y523)&amp;"")</f>
        <v/>
      </c>
    </row>
    <row r="524">
      <c r="Y524" s="47">
        <f>IFERROR(MATCH(Library!M524,$M$6:$M$40000,0),"")</f>
        <v/>
      </c>
      <c r="Z524">
        <f>IF($Y524="","",INDEX($C$6:$C$40000,$Y524)&amp;"")</f>
        <v/>
      </c>
      <c r="AA524" s="59">
        <f>IF($Y524="","",IF(INDEX($D$6:$D$40000,$Y524)="","",INDEX($D$6:$D$40000,$Y524)))</f>
        <v/>
      </c>
      <c r="AB524">
        <f>IF($Y524="","",INDEX($L$6:$L$40000,$Y524)&amp;"")</f>
        <v/>
      </c>
    </row>
    <row r="525">
      <c r="Y525" s="47">
        <f>IFERROR(MATCH(Library!M525,$M$6:$M$40000,0),"")</f>
        <v/>
      </c>
      <c r="Z525">
        <f>IF($Y525="","",INDEX($C$6:$C$40000,$Y525)&amp;"")</f>
        <v/>
      </c>
      <c r="AA525" s="59">
        <f>IF($Y525="","",IF(INDEX($D$6:$D$40000,$Y525)="","",INDEX($D$6:$D$40000,$Y525)))</f>
        <v/>
      </c>
      <c r="AB525">
        <f>IF($Y525="","",INDEX($L$6:$L$40000,$Y525)&amp;"")</f>
        <v/>
      </c>
    </row>
    <row r="526">
      <c r="Y526" s="47">
        <f>IFERROR(MATCH(Library!M526,$M$6:$M$40000,0),"")</f>
        <v/>
      </c>
      <c r="Z526">
        <f>IF($Y526="","",INDEX($C$6:$C$40000,$Y526)&amp;"")</f>
        <v/>
      </c>
      <c r="AA526" s="59">
        <f>IF($Y526="","",IF(INDEX($D$6:$D$40000,$Y526)="","",INDEX($D$6:$D$40000,$Y526)))</f>
        <v/>
      </c>
      <c r="AB526">
        <f>IF($Y526="","",INDEX($L$6:$L$40000,$Y526)&amp;"")</f>
        <v/>
      </c>
    </row>
    <row r="527">
      <c r="Y527" s="47">
        <f>IFERROR(MATCH(Library!M527,$M$6:$M$40000,0),"")</f>
        <v/>
      </c>
      <c r="Z527">
        <f>IF($Y527="","",INDEX($C$6:$C$40000,$Y527)&amp;"")</f>
        <v/>
      </c>
      <c r="AA527" s="59">
        <f>IF($Y527="","",IF(INDEX($D$6:$D$40000,$Y527)="","",INDEX($D$6:$D$40000,$Y527)))</f>
        <v/>
      </c>
      <c r="AB527">
        <f>IF($Y527="","",INDEX($L$6:$L$40000,$Y527)&amp;"")</f>
        <v/>
      </c>
    </row>
    <row r="528">
      <c r="Y528" s="47">
        <f>IFERROR(MATCH(Library!M528,$M$6:$M$40000,0),"")</f>
        <v/>
      </c>
      <c r="Z528">
        <f>IF($Y528="","",INDEX($C$6:$C$40000,$Y528)&amp;"")</f>
        <v/>
      </c>
      <c r="AA528" s="59">
        <f>IF($Y528="","",IF(INDEX($D$6:$D$40000,$Y528)="","",INDEX($D$6:$D$40000,$Y528)))</f>
        <v/>
      </c>
      <c r="AB528">
        <f>IF($Y528="","",INDEX($L$6:$L$40000,$Y528)&amp;"")</f>
        <v/>
      </c>
    </row>
    <row r="529">
      <c r="Y529" s="47">
        <f>IFERROR(MATCH(Library!M529,$M$6:$M$40000,0),"")</f>
        <v/>
      </c>
      <c r="Z529">
        <f>IF($Y529="","",INDEX($C$6:$C$40000,$Y529)&amp;"")</f>
        <v/>
      </c>
      <c r="AA529" s="59">
        <f>IF($Y529="","",IF(INDEX($D$6:$D$40000,$Y529)="","",INDEX($D$6:$D$40000,$Y529)))</f>
        <v/>
      </c>
      <c r="AB529">
        <f>IF($Y529="","",INDEX($L$6:$L$40000,$Y529)&amp;"")</f>
        <v/>
      </c>
    </row>
    <row r="530">
      <c r="Y530" s="47">
        <f>IFERROR(MATCH(Library!M530,$M$6:$M$40000,0),"")</f>
        <v/>
      </c>
      <c r="Z530">
        <f>IF($Y530="","",INDEX($C$6:$C$40000,$Y530)&amp;"")</f>
        <v/>
      </c>
      <c r="AA530" s="59">
        <f>IF($Y530="","",IF(INDEX($D$6:$D$40000,$Y530)="","",INDEX($D$6:$D$40000,$Y530)))</f>
        <v/>
      </c>
      <c r="AB530">
        <f>IF($Y530="","",INDEX($L$6:$L$40000,$Y530)&amp;"")</f>
        <v/>
      </c>
    </row>
    <row r="531">
      <c r="Y531" s="47">
        <f>IFERROR(MATCH(Library!M531,$M$6:$M$40000,0),"")</f>
        <v/>
      </c>
      <c r="Z531">
        <f>IF($Y531="","",INDEX($C$6:$C$40000,$Y531)&amp;"")</f>
        <v/>
      </c>
      <c r="AA531" s="59">
        <f>IF($Y531="","",IF(INDEX($D$6:$D$40000,$Y531)="","",INDEX($D$6:$D$40000,$Y531)))</f>
        <v/>
      </c>
      <c r="AB531">
        <f>IF($Y531="","",INDEX($L$6:$L$40000,$Y531)&amp;"")</f>
        <v/>
      </c>
    </row>
    <row r="532">
      <c r="Y532" s="47">
        <f>IFERROR(MATCH(Library!M532,$M$6:$M$40000,0),"")</f>
        <v/>
      </c>
      <c r="Z532">
        <f>IF($Y532="","",INDEX($C$6:$C$40000,$Y532)&amp;"")</f>
        <v/>
      </c>
      <c r="AA532" s="59">
        <f>IF($Y532="","",IF(INDEX($D$6:$D$40000,$Y532)="","",INDEX($D$6:$D$40000,$Y532)))</f>
        <v/>
      </c>
      <c r="AB532">
        <f>IF($Y532="","",INDEX($L$6:$L$40000,$Y532)&amp;"")</f>
        <v/>
      </c>
    </row>
    <row r="533">
      <c r="Y533" s="47">
        <f>IFERROR(MATCH(Library!M533,$M$6:$M$40000,0),"")</f>
        <v/>
      </c>
      <c r="Z533">
        <f>IF($Y533="","",INDEX($C$6:$C$40000,$Y533)&amp;"")</f>
        <v/>
      </c>
      <c r="AA533" s="59">
        <f>IF($Y533="","",IF(INDEX($D$6:$D$40000,$Y533)="","",INDEX($D$6:$D$40000,$Y533)))</f>
        <v/>
      </c>
      <c r="AB533">
        <f>IF($Y533="","",INDEX($L$6:$L$40000,$Y533)&amp;"")</f>
        <v/>
      </c>
    </row>
    <row r="534">
      <c r="Y534" s="47">
        <f>IFERROR(MATCH(Library!M534,$M$6:$M$40000,0),"")</f>
        <v/>
      </c>
      <c r="Z534">
        <f>IF($Y534="","",INDEX($C$6:$C$40000,$Y534)&amp;"")</f>
        <v/>
      </c>
      <c r="AA534" s="59">
        <f>IF($Y534="","",IF(INDEX($D$6:$D$40000,$Y534)="","",INDEX($D$6:$D$40000,$Y534)))</f>
        <v/>
      </c>
      <c r="AB534">
        <f>IF($Y534="","",INDEX($L$6:$L$40000,$Y534)&amp;"")</f>
        <v/>
      </c>
    </row>
    <row r="535">
      <c r="Y535" s="47">
        <f>IFERROR(MATCH(Library!M535,$M$6:$M$40000,0),"")</f>
        <v/>
      </c>
      <c r="Z535">
        <f>IF($Y535="","",INDEX($C$6:$C$40000,$Y535)&amp;"")</f>
        <v/>
      </c>
      <c r="AA535" s="59">
        <f>IF($Y535="","",IF(INDEX($D$6:$D$40000,$Y535)="","",INDEX($D$6:$D$40000,$Y535)))</f>
        <v/>
      </c>
      <c r="AB535">
        <f>IF($Y535="","",INDEX($L$6:$L$40000,$Y535)&amp;"")</f>
        <v/>
      </c>
    </row>
    <row r="536">
      <c r="Y536" s="47">
        <f>IFERROR(MATCH(Library!M536,$M$6:$M$40000,0),"")</f>
        <v/>
      </c>
      <c r="Z536">
        <f>IF($Y536="","",INDEX($C$6:$C$40000,$Y536)&amp;"")</f>
        <v/>
      </c>
      <c r="AA536" s="59">
        <f>IF($Y536="","",IF(INDEX($D$6:$D$40000,$Y536)="","",INDEX($D$6:$D$40000,$Y536)))</f>
        <v/>
      </c>
      <c r="AB536">
        <f>IF($Y536="","",INDEX($L$6:$L$40000,$Y536)&amp;"")</f>
        <v/>
      </c>
    </row>
    <row r="537">
      <c r="Y537" s="47">
        <f>IFERROR(MATCH(Library!M537,$M$6:$M$40000,0),"")</f>
        <v/>
      </c>
      <c r="Z537">
        <f>IF($Y537="","",INDEX($C$6:$C$40000,$Y537)&amp;"")</f>
        <v/>
      </c>
      <c r="AA537" s="59">
        <f>IF($Y537="","",IF(INDEX($D$6:$D$40000,$Y537)="","",INDEX($D$6:$D$40000,$Y537)))</f>
        <v/>
      </c>
      <c r="AB537">
        <f>IF($Y537="","",INDEX($L$6:$L$40000,$Y537)&amp;"")</f>
        <v/>
      </c>
    </row>
    <row r="538">
      <c r="Y538" s="47">
        <f>IFERROR(MATCH(Library!M538,$M$6:$M$40000,0),"")</f>
        <v/>
      </c>
      <c r="Z538">
        <f>IF($Y538="","",INDEX($C$6:$C$40000,$Y538)&amp;"")</f>
        <v/>
      </c>
      <c r="AA538" s="59">
        <f>IF($Y538="","",IF(INDEX($D$6:$D$40000,$Y538)="","",INDEX($D$6:$D$40000,$Y538)))</f>
        <v/>
      </c>
      <c r="AB538">
        <f>IF($Y538="","",INDEX($L$6:$L$40000,$Y538)&amp;"")</f>
        <v/>
      </c>
    </row>
    <row r="539">
      <c r="Y539" s="47">
        <f>IFERROR(MATCH(Library!M539,$M$6:$M$40000,0),"")</f>
        <v/>
      </c>
      <c r="Z539">
        <f>IF($Y539="","",INDEX($C$6:$C$40000,$Y539)&amp;"")</f>
        <v/>
      </c>
      <c r="AA539" s="59">
        <f>IF($Y539="","",IF(INDEX($D$6:$D$40000,$Y539)="","",INDEX($D$6:$D$40000,$Y539)))</f>
        <v/>
      </c>
      <c r="AB539">
        <f>IF($Y539="","",INDEX($L$6:$L$40000,$Y539)&amp;"")</f>
        <v/>
      </c>
    </row>
    <row r="540">
      <c r="Y540" s="47">
        <f>IFERROR(MATCH(Library!M540,$M$6:$M$40000,0),"")</f>
        <v/>
      </c>
      <c r="Z540">
        <f>IF($Y540="","",INDEX($C$6:$C$40000,$Y540)&amp;"")</f>
        <v/>
      </c>
      <c r="AA540" s="59">
        <f>IF($Y540="","",IF(INDEX($D$6:$D$40000,$Y540)="","",INDEX($D$6:$D$40000,$Y540)))</f>
        <v/>
      </c>
      <c r="AB540">
        <f>IF($Y540="","",INDEX($L$6:$L$40000,$Y540)&amp;"")</f>
        <v/>
      </c>
    </row>
    <row r="541">
      <c r="Y541" s="47">
        <f>IFERROR(MATCH(Library!M541,$M$6:$M$40000,0),"")</f>
        <v/>
      </c>
      <c r="Z541">
        <f>IF($Y541="","",INDEX($C$6:$C$40000,$Y541)&amp;"")</f>
        <v/>
      </c>
      <c r="AA541" s="59">
        <f>IF($Y541="","",IF(INDEX($D$6:$D$40000,$Y541)="","",INDEX($D$6:$D$40000,$Y541)))</f>
        <v/>
      </c>
      <c r="AB541">
        <f>IF($Y541="","",INDEX($L$6:$L$40000,$Y541)&amp;"")</f>
        <v/>
      </c>
    </row>
    <row r="542">
      <c r="Y542" s="47">
        <f>IFERROR(MATCH(Library!M542,$M$6:$M$40000,0),"")</f>
        <v/>
      </c>
      <c r="Z542">
        <f>IF($Y542="","",INDEX($C$6:$C$40000,$Y542)&amp;"")</f>
        <v/>
      </c>
      <c r="AA542" s="59">
        <f>IF($Y542="","",IF(INDEX($D$6:$D$40000,$Y542)="","",INDEX($D$6:$D$40000,$Y542)))</f>
        <v/>
      </c>
      <c r="AB542">
        <f>IF($Y542="","",INDEX($L$6:$L$40000,$Y542)&amp;"")</f>
        <v/>
      </c>
    </row>
    <row r="543">
      <c r="Y543" s="47">
        <f>IFERROR(MATCH(Library!M543,$M$6:$M$40000,0),"")</f>
        <v/>
      </c>
      <c r="Z543">
        <f>IF($Y543="","",INDEX($C$6:$C$40000,$Y543)&amp;"")</f>
        <v/>
      </c>
      <c r="AA543" s="59">
        <f>IF($Y543="","",IF(INDEX($D$6:$D$40000,$Y543)="","",INDEX($D$6:$D$40000,$Y543)))</f>
        <v/>
      </c>
      <c r="AB543">
        <f>IF($Y543="","",INDEX($L$6:$L$40000,$Y543)&amp;"")</f>
        <v/>
      </c>
    </row>
    <row r="544">
      <c r="Y544" s="47">
        <f>IFERROR(MATCH(Library!M544,$M$6:$M$40000,0),"")</f>
        <v/>
      </c>
      <c r="Z544">
        <f>IF($Y544="","",INDEX($C$6:$C$40000,$Y544)&amp;"")</f>
        <v/>
      </c>
      <c r="AA544" s="59">
        <f>IF($Y544="","",IF(INDEX($D$6:$D$40000,$Y544)="","",INDEX($D$6:$D$40000,$Y544)))</f>
        <v/>
      </c>
      <c r="AB544">
        <f>IF($Y544="","",INDEX($L$6:$L$40000,$Y544)&amp;"")</f>
        <v/>
      </c>
    </row>
    <row r="545">
      <c r="Y545" s="47">
        <f>IFERROR(MATCH(Library!M545,$M$6:$M$40000,0),"")</f>
        <v/>
      </c>
      <c r="Z545">
        <f>IF($Y545="","",INDEX($C$6:$C$40000,$Y545)&amp;"")</f>
        <v/>
      </c>
      <c r="AA545" s="59">
        <f>IF($Y545="","",IF(INDEX($D$6:$D$40000,$Y545)="","",INDEX($D$6:$D$40000,$Y545)))</f>
        <v/>
      </c>
      <c r="AB545">
        <f>IF($Y545="","",INDEX($L$6:$L$40000,$Y545)&amp;"")</f>
        <v/>
      </c>
    </row>
    <row r="546">
      <c r="Y546" s="47">
        <f>IFERROR(MATCH(Library!M546,$M$6:$M$40000,0),"")</f>
        <v/>
      </c>
      <c r="Z546">
        <f>IF($Y546="","",INDEX($C$6:$C$40000,$Y546)&amp;"")</f>
        <v/>
      </c>
      <c r="AA546" s="59">
        <f>IF($Y546="","",IF(INDEX($D$6:$D$40000,$Y546)="","",INDEX($D$6:$D$40000,$Y546)))</f>
        <v/>
      </c>
      <c r="AB546">
        <f>IF($Y546="","",INDEX($L$6:$L$40000,$Y546)&amp;"")</f>
        <v/>
      </c>
    </row>
    <row r="547">
      <c r="Y547" s="47">
        <f>IFERROR(MATCH(Library!M547,$M$6:$M$40000,0),"")</f>
        <v/>
      </c>
      <c r="Z547">
        <f>IF($Y547="","",INDEX($C$6:$C$40000,$Y547)&amp;"")</f>
        <v/>
      </c>
      <c r="AA547" s="59">
        <f>IF($Y547="","",IF(INDEX($D$6:$D$40000,$Y547)="","",INDEX($D$6:$D$40000,$Y547)))</f>
        <v/>
      </c>
      <c r="AB547">
        <f>IF($Y547="","",INDEX($L$6:$L$40000,$Y547)&amp;"")</f>
        <v/>
      </c>
    </row>
    <row r="548">
      <c r="Y548" s="47">
        <f>IFERROR(MATCH(Library!M548,$M$6:$M$40000,0),"")</f>
        <v/>
      </c>
      <c r="Z548">
        <f>IF($Y548="","",INDEX($C$6:$C$40000,$Y548)&amp;"")</f>
        <v/>
      </c>
      <c r="AA548" s="59">
        <f>IF($Y548="","",IF(INDEX($D$6:$D$40000,$Y548)="","",INDEX($D$6:$D$40000,$Y548)))</f>
        <v/>
      </c>
      <c r="AB548">
        <f>IF($Y548="","",INDEX($L$6:$L$40000,$Y548)&amp;"")</f>
        <v/>
      </c>
    </row>
    <row r="549">
      <c r="Y549" s="47">
        <f>IFERROR(MATCH(Library!M549,$M$6:$M$40000,0),"")</f>
        <v/>
      </c>
      <c r="Z549">
        <f>IF($Y549="","",INDEX($C$6:$C$40000,$Y549)&amp;"")</f>
        <v/>
      </c>
      <c r="AA549" s="59">
        <f>IF($Y549="","",IF(INDEX($D$6:$D$40000,$Y549)="","",INDEX($D$6:$D$40000,$Y549)))</f>
        <v/>
      </c>
      <c r="AB549">
        <f>IF($Y549="","",INDEX($L$6:$L$40000,$Y549)&amp;"")</f>
        <v/>
      </c>
    </row>
    <row r="550">
      <c r="Y550" s="47">
        <f>IFERROR(MATCH(Library!M550,$M$6:$M$40000,0),"")</f>
        <v/>
      </c>
      <c r="Z550">
        <f>IF($Y550="","",INDEX($C$6:$C$40000,$Y550)&amp;"")</f>
        <v/>
      </c>
      <c r="AA550" s="59">
        <f>IF($Y550="","",IF(INDEX($D$6:$D$40000,$Y550)="","",INDEX($D$6:$D$40000,$Y550)))</f>
        <v/>
      </c>
      <c r="AB550">
        <f>IF($Y550="","",INDEX($L$6:$L$40000,$Y550)&amp;"")</f>
        <v/>
      </c>
    </row>
    <row r="551">
      <c r="Y551" s="47">
        <f>IFERROR(MATCH(Library!M551,$M$6:$M$40000,0),"")</f>
        <v/>
      </c>
      <c r="Z551">
        <f>IF($Y551="","",INDEX($C$6:$C$40000,$Y551)&amp;"")</f>
        <v/>
      </c>
      <c r="AA551" s="59">
        <f>IF($Y551="","",IF(INDEX($D$6:$D$40000,$Y551)="","",INDEX($D$6:$D$40000,$Y551)))</f>
        <v/>
      </c>
      <c r="AB551">
        <f>IF($Y551="","",INDEX($L$6:$L$40000,$Y551)&amp;"")</f>
        <v/>
      </c>
    </row>
    <row r="552">
      <c r="Y552" s="47">
        <f>IFERROR(MATCH(Library!M552,$M$6:$M$40000,0),"")</f>
        <v/>
      </c>
      <c r="Z552">
        <f>IF($Y552="","",INDEX($C$6:$C$40000,$Y552)&amp;"")</f>
        <v/>
      </c>
      <c r="AA552" s="59">
        <f>IF($Y552="","",IF(INDEX($D$6:$D$40000,$Y552)="","",INDEX($D$6:$D$40000,$Y552)))</f>
        <v/>
      </c>
      <c r="AB552">
        <f>IF($Y552="","",INDEX($L$6:$L$40000,$Y552)&amp;"")</f>
        <v/>
      </c>
    </row>
    <row r="553">
      <c r="Y553" s="47">
        <f>IFERROR(MATCH(Library!M553,$M$6:$M$40000,0),"")</f>
        <v/>
      </c>
      <c r="Z553">
        <f>IF($Y553="","",INDEX($C$6:$C$40000,$Y553)&amp;"")</f>
        <v/>
      </c>
      <c r="AA553" s="59">
        <f>IF($Y553="","",IF(INDEX($D$6:$D$40000,$Y553)="","",INDEX($D$6:$D$40000,$Y553)))</f>
        <v/>
      </c>
      <c r="AB553">
        <f>IF($Y553="","",INDEX($L$6:$L$40000,$Y553)&amp;"")</f>
        <v/>
      </c>
    </row>
    <row r="554">
      <c r="Y554" s="47">
        <f>IFERROR(MATCH(Library!M554,$M$6:$M$40000,0),"")</f>
        <v/>
      </c>
      <c r="Z554">
        <f>IF($Y554="","",INDEX($C$6:$C$40000,$Y554)&amp;"")</f>
        <v/>
      </c>
      <c r="AA554" s="59">
        <f>IF($Y554="","",IF(INDEX($D$6:$D$40000,$Y554)="","",INDEX($D$6:$D$40000,$Y554)))</f>
        <v/>
      </c>
      <c r="AB554">
        <f>IF($Y554="","",INDEX($L$6:$L$40000,$Y554)&amp;"")</f>
        <v/>
      </c>
    </row>
    <row r="555">
      <c r="Y555" s="47">
        <f>IFERROR(MATCH(Library!M555,$M$6:$M$40000,0),"")</f>
        <v/>
      </c>
      <c r="Z555">
        <f>IF($Y555="","",INDEX($C$6:$C$40000,$Y555)&amp;"")</f>
        <v/>
      </c>
      <c r="AA555" s="59">
        <f>IF($Y555="","",IF(INDEX($D$6:$D$40000,$Y555)="","",INDEX($D$6:$D$40000,$Y555)))</f>
        <v/>
      </c>
      <c r="AB555">
        <f>IF($Y555="","",INDEX($L$6:$L$40000,$Y555)&amp;"")</f>
        <v/>
      </c>
    </row>
    <row r="556">
      <c r="Y556" s="47">
        <f>IFERROR(MATCH(Library!M556,$M$6:$M$40000,0),"")</f>
        <v/>
      </c>
      <c r="Z556">
        <f>IF($Y556="","",INDEX($C$6:$C$40000,$Y556)&amp;"")</f>
        <v/>
      </c>
      <c r="AA556" s="59">
        <f>IF($Y556="","",IF(INDEX($D$6:$D$40000,$Y556)="","",INDEX($D$6:$D$40000,$Y556)))</f>
        <v/>
      </c>
      <c r="AB556">
        <f>IF($Y556="","",INDEX($L$6:$L$40000,$Y556)&amp;"")</f>
        <v/>
      </c>
    </row>
    <row r="557">
      <c r="Y557" s="47">
        <f>IFERROR(MATCH(Library!M557,$M$6:$M$40000,0),"")</f>
        <v/>
      </c>
      <c r="Z557">
        <f>IF($Y557="","",INDEX($C$6:$C$40000,$Y557)&amp;"")</f>
        <v/>
      </c>
      <c r="AA557" s="59">
        <f>IF($Y557="","",IF(INDEX($D$6:$D$40000,$Y557)="","",INDEX($D$6:$D$40000,$Y557)))</f>
        <v/>
      </c>
      <c r="AB557">
        <f>IF($Y557="","",INDEX($L$6:$L$40000,$Y557)&amp;"")</f>
        <v/>
      </c>
    </row>
    <row r="558">
      <c r="Y558" s="47">
        <f>IFERROR(MATCH(Library!M558,$M$6:$M$40000,0),"")</f>
        <v/>
      </c>
      <c r="Z558">
        <f>IF($Y558="","",INDEX($C$6:$C$40000,$Y558)&amp;"")</f>
        <v/>
      </c>
      <c r="AA558" s="59">
        <f>IF($Y558="","",IF(INDEX($D$6:$D$40000,$Y558)="","",INDEX($D$6:$D$40000,$Y558)))</f>
        <v/>
      </c>
      <c r="AB558">
        <f>IF($Y558="","",INDEX($L$6:$L$40000,$Y558)&amp;"")</f>
        <v/>
      </c>
    </row>
    <row r="559">
      <c r="Y559" s="47">
        <f>IFERROR(MATCH(Library!M559,$M$6:$M$40000,0),"")</f>
        <v/>
      </c>
      <c r="Z559">
        <f>IF($Y559="","",INDEX($C$6:$C$40000,$Y559)&amp;"")</f>
        <v/>
      </c>
      <c r="AA559" s="59">
        <f>IF($Y559="","",IF(INDEX($D$6:$D$40000,$Y559)="","",INDEX($D$6:$D$40000,$Y559)))</f>
        <v/>
      </c>
      <c r="AB559">
        <f>IF($Y559="","",INDEX($L$6:$L$40000,$Y559)&amp;"")</f>
        <v/>
      </c>
    </row>
    <row r="560">
      <c r="Y560" s="47">
        <f>IFERROR(MATCH(Library!M560,$M$6:$M$40000,0),"")</f>
        <v/>
      </c>
      <c r="Z560">
        <f>IF($Y560="","",INDEX($C$6:$C$40000,$Y560)&amp;"")</f>
        <v/>
      </c>
      <c r="AA560" s="59">
        <f>IF($Y560="","",IF(INDEX($D$6:$D$40000,$Y560)="","",INDEX($D$6:$D$40000,$Y560)))</f>
        <v/>
      </c>
      <c r="AB560">
        <f>IF($Y560="","",INDEX($L$6:$L$40000,$Y560)&amp;"")</f>
        <v/>
      </c>
    </row>
    <row r="561">
      <c r="Y561" s="47">
        <f>IFERROR(MATCH(Library!M561,$M$6:$M$40000,0),"")</f>
        <v/>
      </c>
      <c r="Z561">
        <f>IF($Y561="","",INDEX($C$6:$C$40000,$Y561)&amp;"")</f>
        <v/>
      </c>
      <c r="AA561" s="59">
        <f>IF($Y561="","",IF(INDEX($D$6:$D$40000,$Y561)="","",INDEX($D$6:$D$40000,$Y561)))</f>
        <v/>
      </c>
      <c r="AB561">
        <f>IF($Y561="","",INDEX($L$6:$L$40000,$Y561)&amp;"")</f>
        <v/>
      </c>
    </row>
    <row r="562">
      <c r="Y562" s="47">
        <f>IFERROR(MATCH(Library!M562,$M$6:$M$40000,0),"")</f>
        <v/>
      </c>
      <c r="Z562">
        <f>IF($Y562="","",INDEX($C$6:$C$40000,$Y562)&amp;"")</f>
        <v/>
      </c>
      <c r="AA562" s="59">
        <f>IF($Y562="","",IF(INDEX($D$6:$D$40000,$Y562)="","",INDEX($D$6:$D$40000,$Y562)))</f>
        <v/>
      </c>
      <c r="AB562">
        <f>IF($Y562="","",INDEX($L$6:$L$40000,$Y562)&amp;"")</f>
        <v/>
      </c>
    </row>
    <row r="563">
      <c r="Y563" s="47">
        <f>IFERROR(MATCH(Library!M563,$M$6:$M$40000,0),"")</f>
        <v/>
      </c>
      <c r="Z563">
        <f>IF($Y563="","",INDEX($C$6:$C$40000,$Y563)&amp;"")</f>
        <v/>
      </c>
      <c r="AA563" s="59">
        <f>IF($Y563="","",IF(INDEX($D$6:$D$40000,$Y563)="","",INDEX($D$6:$D$40000,$Y563)))</f>
        <v/>
      </c>
      <c r="AB563">
        <f>IF($Y563="","",INDEX($L$6:$L$40000,$Y563)&amp;"")</f>
        <v/>
      </c>
    </row>
    <row r="564">
      <c r="Y564" s="47">
        <f>IFERROR(MATCH(Library!M564,$M$6:$M$40000,0),"")</f>
        <v/>
      </c>
      <c r="Z564">
        <f>IF($Y564="","",INDEX($C$6:$C$40000,$Y564)&amp;"")</f>
        <v/>
      </c>
      <c r="AA564" s="59">
        <f>IF($Y564="","",IF(INDEX($D$6:$D$40000,$Y564)="","",INDEX($D$6:$D$40000,$Y564)))</f>
        <v/>
      </c>
      <c r="AB564">
        <f>IF($Y564="","",INDEX($L$6:$L$40000,$Y564)&amp;"")</f>
        <v/>
      </c>
    </row>
    <row r="565">
      <c r="Y565" s="47">
        <f>IFERROR(MATCH(Library!M565,$M$6:$M$40000,0),"")</f>
        <v/>
      </c>
      <c r="Z565">
        <f>IF($Y565="","",INDEX($C$6:$C$40000,$Y565)&amp;"")</f>
        <v/>
      </c>
      <c r="AA565" s="59">
        <f>IF($Y565="","",IF(INDEX($D$6:$D$40000,$Y565)="","",INDEX($D$6:$D$40000,$Y565)))</f>
        <v/>
      </c>
      <c r="AB565">
        <f>IF($Y565="","",INDEX($L$6:$L$40000,$Y565)&amp;"")</f>
        <v/>
      </c>
    </row>
    <row r="566">
      <c r="Y566" s="47">
        <f>IFERROR(MATCH(Library!M566,$M$6:$M$40000,0),"")</f>
        <v/>
      </c>
      <c r="Z566">
        <f>IF($Y566="","",INDEX($C$6:$C$40000,$Y566)&amp;"")</f>
        <v/>
      </c>
      <c r="AA566" s="59">
        <f>IF($Y566="","",IF(INDEX($D$6:$D$40000,$Y566)="","",INDEX($D$6:$D$40000,$Y566)))</f>
        <v/>
      </c>
      <c r="AB566">
        <f>IF($Y566="","",INDEX($L$6:$L$40000,$Y566)&amp;"")</f>
        <v/>
      </c>
    </row>
    <row r="567">
      <c r="Y567" s="47">
        <f>IFERROR(MATCH(Library!M567,$M$6:$M$40000,0),"")</f>
        <v/>
      </c>
      <c r="Z567">
        <f>IF($Y567="","",INDEX($C$6:$C$40000,$Y567)&amp;"")</f>
        <v/>
      </c>
      <c r="AA567" s="59">
        <f>IF($Y567="","",IF(INDEX($D$6:$D$40000,$Y567)="","",INDEX($D$6:$D$40000,$Y567)))</f>
        <v/>
      </c>
      <c r="AB567">
        <f>IF($Y567="","",INDEX($L$6:$L$40000,$Y567)&amp;"")</f>
        <v/>
      </c>
    </row>
    <row r="568">
      <c r="Y568" s="47">
        <f>IFERROR(MATCH(Library!M568,$M$6:$M$40000,0),"")</f>
        <v/>
      </c>
      <c r="Z568">
        <f>IF($Y568="","",INDEX($C$6:$C$40000,$Y568)&amp;"")</f>
        <v/>
      </c>
      <c r="AA568" s="59">
        <f>IF($Y568="","",IF(INDEX($D$6:$D$40000,$Y568)="","",INDEX($D$6:$D$40000,$Y568)))</f>
        <v/>
      </c>
      <c r="AB568">
        <f>IF($Y568="","",INDEX($L$6:$L$40000,$Y568)&amp;"")</f>
        <v/>
      </c>
    </row>
    <row r="569">
      <c r="Y569" s="47">
        <f>IFERROR(MATCH(Library!M569,$M$6:$M$40000,0),"")</f>
        <v/>
      </c>
      <c r="Z569">
        <f>IF($Y569="","",INDEX($C$6:$C$40000,$Y569)&amp;"")</f>
        <v/>
      </c>
      <c r="AA569" s="59">
        <f>IF($Y569="","",IF(INDEX($D$6:$D$40000,$Y569)="","",INDEX($D$6:$D$40000,$Y569)))</f>
        <v/>
      </c>
      <c r="AB569">
        <f>IF($Y569="","",INDEX($L$6:$L$40000,$Y569)&amp;"")</f>
        <v/>
      </c>
    </row>
    <row r="570">
      <c r="Y570" s="47">
        <f>IFERROR(MATCH(Library!M570,$M$6:$M$40000,0),"")</f>
        <v/>
      </c>
      <c r="Z570">
        <f>IF($Y570="","",INDEX($C$6:$C$40000,$Y570)&amp;"")</f>
        <v/>
      </c>
      <c r="AA570" s="59">
        <f>IF($Y570="","",IF(INDEX($D$6:$D$40000,$Y570)="","",INDEX($D$6:$D$40000,$Y570)))</f>
        <v/>
      </c>
      <c r="AB570">
        <f>IF($Y570="","",INDEX($L$6:$L$40000,$Y570)&amp;"")</f>
        <v/>
      </c>
    </row>
    <row r="571">
      <c r="Y571" s="47">
        <f>IFERROR(MATCH(Library!M571,$M$6:$M$40000,0),"")</f>
        <v/>
      </c>
      <c r="Z571">
        <f>IF($Y571="","",INDEX($C$6:$C$40000,$Y571)&amp;"")</f>
        <v/>
      </c>
      <c r="AA571" s="59">
        <f>IF($Y571="","",IF(INDEX($D$6:$D$40000,$Y571)="","",INDEX($D$6:$D$40000,$Y571)))</f>
        <v/>
      </c>
      <c r="AB571">
        <f>IF($Y571="","",INDEX($L$6:$L$40000,$Y571)&amp;"")</f>
        <v/>
      </c>
    </row>
    <row r="572">
      <c r="Y572" s="47">
        <f>IFERROR(MATCH(Library!M572,$M$6:$M$40000,0),"")</f>
        <v/>
      </c>
      <c r="Z572">
        <f>IF($Y572="","",INDEX($C$6:$C$40000,$Y572)&amp;"")</f>
        <v/>
      </c>
      <c r="AA572" s="59">
        <f>IF($Y572="","",IF(INDEX($D$6:$D$40000,$Y572)="","",INDEX($D$6:$D$40000,$Y572)))</f>
        <v/>
      </c>
      <c r="AB572">
        <f>IF($Y572="","",INDEX($L$6:$L$40000,$Y572)&amp;"")</f>
        <v/>
      </c>
    </row>
    <row r="573">
      <c r="Y573" s="47">
        <f>IFERROR(MATCH(Library!M573,$M$6:$M$40000,0),"")</f>
        <v/>
      </c>
      <c r="Z573">
        <f>IF($Y573="","",INDEX($C$6:$C$40000,$Y573)&amp;"")</f>
        <v/>
      </c>
      <c r="AA573" s="59">
        <f>IF($Y573="","",IF(INDEX($D$6:$D$40000,$Y573)="","",INDEX($D$6:$D$40000,$Y573)))</f>
        <v/>
      </c>
      <c r="AB573">
        <f>IF($Y573="","",INDEX($L$6:$L$40000,$Y573)&amp;"")</f>
        <v/>
      </c>
    </row>
    <row r="574">
      <c r="Y574" s="47">
        <f>IFERROR(MATCH(Library!M574,$M$6:$M$40000,0),"")</f>
        <v/>
      </c>
      <c r="Z574">
        <f>IF($Y574="","",INDEX($C$6:$C$40000,$Y574)&amp;"")</f>
        <v/>
      </c>
      <c r="AA574" s="59">
        <f>IF($Y574="","",IF(INDEX($D$6:$D$40000,$Y574)="","",INDEX($D$6:$D$40000,$Y574)))</f>
        <v/>
      </c>
      <c r="AB574">
        <f>IF($Y574="","",INDEX($L$6:$L$40000,$Y574)&amp;"")</f>
        <v/>
      </c>
    </row>
    <row r="575">
      <c r="Y575" s="47">
        <f>IFERROR(MATCH(Library!M575,$M$6:$M$40000,0),"")</f>
        <v/>
      </c>
      <c r="Z575">
        <f>IF($Y575="","",INDEX($C$6:$C$40000,$Y575)&amp;"")</f>
        <v/>
      </c>
      <c r="AA575" s="59">
        <f>IF($Y575="","",IF(INDEX($D$6:$D$40000,$Y575)="","",INDEX($D$6:$D$40000,$Y575)))</f>
        <v/>
      </c>
      <c r="AB575">
        <f>IF($Y575="","",INDEX($L$6:$L$40000,$Y575)&amp;"")</f>
        <v/>
      </c>
    </row>
    <row r="576">
      <c r="Y576" s="47">
        <f>IFERROR(MATCH(Library!M576,$M$6:$M$40000,0),"")</f>
        <v/>
      </c>
      <c r="Z576">
        <f>IF($Y576="","",INDEX($C$6:$C$40000,$Y576)&amp;"")</f>
        <v/>
      </c>
      <c r="AA576" s="59">
        <f>IF($Y576="","",IF(INDEX($D$6:$D$40000,$Y576)="","",INDEX($D$6:$D$40000,$Y576)))</f>
        <v/>
      </c>
      <c r="AB576">
        <f>IF($Y576="","",INDEX($L$6:$L$40000,$Y576)&amp;"")</f>
        <v/>
      </c>
    </row>
    <row r="577">
      <c r="Y577" s="47">
        <f>IFERROR(MATCH(Library!M577,$M$6:$M$40000,0),"")</f>
        <v/>
      </c>
      <c r="Z577">
        <f>IF($Y577="","",INDEX($C$6:$C$40000,$Y577)&amp;"")</f>
        <v/>
      </c>
      <c r="AA577" s="59">
        <f>IF($Y577="","",IF(INDEX($D$6:$D$40000,$Y577)="","",INDEX($D$6:$D$40000,$Y577)))</f>
        <v/>
      </c>
      <c r="AB577">
        <f>IF($Y577="","",INDEX($L$6:$L$40000,$Y577)&amp;"")</f>
        <v/>
      </c>
    </row>
    <row r="578">
      <c r="Y578" s="47">
        <f>IFERROR(MATCH(Library!M578,$M$6:$M$40000,0),"")</f>
        <v/>
      </c>
      <c r="Z578">
        <f>IF($Y578="","",INDEX($C$6:$C$40000,$Y578)&amp;"")</f>
        <v/>
      </c>
      <c r="AA578" s="59">
        <f>IF($Y578="","",IF(INDEX($D$6:$D$40000,$Y578)="","",INDEX($D$6:$D$40000,$Y578)))</f>
        <v/>
      </c>
      <c r="AB578">
        <f>IF($Y578="","",INDEX($L$6:$L$40000,$Y578)&amp;"")</f>
        <v/>
      </c>
    </row>
    <row r="579">
      <c r="Y579" s="47">
        <f>IFERROR(MATCH(Library!M579,$M$6:$M$40000,0),"")</f>
        <v/>
      </c>
      <c r="Z579">
        <f>IF($Y579="","",INDEX($C$6:$C$40000,$Y579)&amp;"")</f>
        <v/>
      </c>
      <c r="AA579" s="59">
        <f>IF($Y579="","",IF(INDEX($D$6:$D$40000,$Y579)="","",INDEX($D$6:$D$40000,$Y579)))</f>
        <v/>
      </c>
      <c r="AB579">
        <f>IF($Y579="","",INDEX($L$6:$L$40000,$Y579)&amp;"")</f>
        <v/>
      </c>
    </row>
    <row r="580">
      <c r="Y580" s="47">
        <f>IFERROR(MATCH(Library!M580,$M$6:$M$40000,0),"")</f>
        <v/>
      </c>
      <c r="Z580">
        <f>IF($Y580="","",INDEX($C$6:$C$40000,$Y580)&amp;"")</f>
        <v/>
      </c>
      <c r="AA580" s="59">
        <f>IF($Y580="","",IF(INDEX($D$6:$D$40000,$Y580)="","",INDEX($D$6:$D$40000,$Y580)))</f>
        <v/>
      </c>
      <c r="AB580">
        <f>IF($Y580="","",INDEX($L$6:$L$40000,$Y580)&amp;"")</f>
        <v/>
      </c>
    </row>
    <row r="581">
      <c r="Y581" s="47">
        <f>IFERROR(MATCH(Library!M581,$M$6:$M$40000,0),"")</f>
        <v/>
      </c>
      <c r="Z581">
        <f>IF($Y581="","",INDEX($C$6:$C$40000,$Y581)&amp;"")</f>
        <v/>
      </c>
      <c r="AA581" s="59">
        <f>IF($Y581="","",IF(INDEX($D$6:$D$40000,$Y581)="","",INDEX($D$6:$D$40000,$Y581)))</f>
        <v/>
      </c>
      <c r="AB581">
        <f>IF($Y581="","",INDEX($L$6:$L$40000,$Y581)&amp;"")</f>
        <v/>
      </c>
    </row>
    <row r="582">
      <c r="Y582" s="47">
        <f>IFERROR(MATCH(Library!M582,$M$6:$M$40000,0),"")</f>
        <v/>
      </c>
      <c r="Z582">
        <f>IF($Y582="","",INDEX($C$6:$C$40000,$Y582)&amp;"")</f>
        <v/>
      </c>
      <c r="AA582" s="59">
        <f>IF($Y582="","",IF(INDEX($D$6:$D$40000,$Y582)="","",INDEX($D$6:$D$40000,$Y582)))</f>
        <v/>
      </c>
      <c r="AB582">
        <f>IF($Y582="","",INDEX($L$6:$L$40000,$Y582)&amp;"")</f>
        <v/>
      </c>
    </row>
    <row r="583">
      <c r="Y583" s="47">
        <f>IFERROR(MATCH(Library!M583,$M$6:$M$40000,0),"")</f>
        <v/>
      </c>
      <c r="Z583">
        <f>IF($Y583="","",INDEX($C$6:$C$40000,$Y583)&amp;"")</f>
        <v/>
      </c>
      <c r="AA583" s="59">
        <f>IF($Y583="","",IF(INDEX($D$6:$D$40000,$Y583)="","",INDEX($D$6:$D$40000,$Y583)))</f>
        <v/>
      </c>
      <c r="AB583">
        <f>IF($Y583="","",INDEX($L$6:$L$40000,$Y583)&amp;"")</f>
        <v/>
      </c>
    </row>
    <row r="584">
      <c r="Y584" s="47">
        <f>IFERROR(MATCH(Library!M584,$M$6:$M$40000,0),"")</f>
        <v/>
      </c>
      <c r="Z584">
        <f>IF($Y584="","",INDEX($C$6:$C$40000,$Y584)&amp;"")</f>
        <v/>
      </c>
      <c r="AA584" s="59">
        <f>IF($Y584="","",IF(INDEX($D$6:$D$40000,$Y584)="","",INDEX($D$6:$D$40000,$Y584)))</f>
        <v/>
      </c>
      <c r="AB584">
        <f>IF($Y584="","",INDEX($L$6:$L$40000,$Y584)&amp;"")</f>
        <v/>
      </c>
    </row>
    <row r="585">
      <c r="Y585" s="47">
        <f>IFERROR(MATCH(Library!M585,$M$6:$M$40000,0),"")</f>
        <v/>
      </c>
      <c r="Z585">
        <f>IF($Y585="","",INDEX($C$6:$C$40000,$Y585)&amp;"")</f>
        <v/>
      </c>
      <c r="AA585" s="59">
        <f>IF($Y585="","",IF(INDEX($D$6:$D$40000,$Y585)="","",INDEX($D$6:$D$40000,$Y585)))</f>
        <v/>
      </c>
      <c r="AB585">
        <f>IF($Y585="","",INDEX($L$6:$L$40000,$Y585)&amp;"")</f>
        <v/>
      </c>
    </row>
    <row r="586">
      <c r="Y586" s="47">
        <f>IFERROR(MATCH(Library!M586,$M$6:$M$40000,0),"")</f>
        <v/>
      </c>
      <c r="Z586">
        <f>IF($Y586="","",INDEX($C$6:$C$40000,$Y586)&amp;"")</f>
        <v/>
      </c>
      <c r="AA586" s="59">
        <f>IF($Y586="","",IF(INDEX($D$6:$D$40000,$Y586)="","",INDEX($D$6:$D$40000,$Y586)))</f>
        <v/>
      </c>
      <c r="AB586">
        <f>IF($Y586="","",INDEX($L$6:$L$40000,$Y586)&amp;"")</f>
        <v/>
      </c>
    </row>
    <row r="587">
      <c r="Y587" s="47">
        <f>IFERROR(MATCH(Library!M587,$M$6:$M$40000,0),"")</f>
        <v/>
      </c>
      <c r="Z587">
        <f>IF($Y587="","",INDEX($C$6:$C$40000,$Y587)&amp;"")</f>
        <v/>
      </c>
      <c r="AA587" s="59">
        <f>IF($Y587="","",IF(INDEX($D$6:$D$40000,$Y587)="","",INDEX($D$6:$D$40000,$Y587)))</f>
        <v/>
      </c>
      <c r="AB587">
        <f>IF($Y587="","",INDEX($L$6:$L$40000,$Y587)&amp;"")</f>
        <v/>
      </c>
    </row>
    <row r="588">
      <c r="Y588" s="47">
        <f>IFERROR(MATCH(Library!M588,$M$6:$M$40000,0),"")</f>
        <v/>
      </c>
      <c r="Z588">
        <f>IF($Y588="","",INDEX($C$6:$C$40000,$Y588)&amp;"")</f>
        <v/>
      </c>
      <c r="AA588" s="59">
        <f>IF($Y588="","",IF(INDEX($D$6:$D$40000,$Y588)="","",INDEX($D$6:$D$40000,$Y588)))</f>
        <v/>
      </c>
      <c r="AB588">
        <f>IF($Y588="","",INDEX($L$6:$L$40000,$Y588)&amp;"")</f>
        <v/>
      </c>
    </row>
    <row r="589">
      <c r="Y589" s="47">
        <f>IFERROR(MATCH(Library!M589,$M$6:$M$40000,0),"")</f>
        <v/>
      </c>
      <c r="Z589">
        <f>IF($Y589="","",INDEX($C$6:$C$40000,$Y589)&amp;"")</f>
        <v/>
      </c>
      <c r="AA589" s="59">
        <f>IF($Y589="","",IF(INDEX($D$6:$D$40000,$Y589)="","",INDEX($D$6:$D$40000,$Y589)))</f>
        <v/>
      </c>
      <c r="AB589">
        <f>IF($Y589="","",INDEX($L$6:$L$40000,$Y589)&amp;"")</f>
        <v/>
      </c>
    </row>
    <row r="590">
      <c r="Y590" s="47">
        <f>IFERROR(MATCH(Library!M590,$M$6:$M$40000,0),"")</f>
        <v/>
      </c>
      <c r="Z590">
        <f>IF($Y590="","",INDEX($C$6:$C$40000,$Y590)&amp;"")</f>
        <v/>
      </c>
      <c r="AA590" s="59">
        <f>IF($Y590="","",IF(INDEX($D$6:$D$40000,$Y590)="","",INDEX($D$6:$D$40000,$Y590)))</f>
        <v/>
      </c>
      <c r="AB590">
        <f>IF($Y590="","",INDEX($L$6:$L$40000,$Y590)&amp;"")</f>
        <v/>
      </c>
    </row>
    <row r="591">
      <c r="Y591" s="47">
        <f>IFERROR(MATCH(Library!M591,$M$6:$M$40000,0),"")</f>
        <v/>
      </c>
      <c r="Z591">
        <f>IF($Y591="","",INDEX($C$6:$C$40000,$Y591)&amp;"")</f>
        <v/>
      </c>
      <c r="AA591" s="59">
        <f>IF($Y591="","",IF(INDEX($D$6:$D$40000,$Y591)="","",INDEX($D$6:$D$40000,$Y591)))</f>
        <v/>
      </c>
      <c r="AB591">
        <f>IF($Y591="","",INDEX($L$6:$L$40000,$Y591)&amp;"")</f>
        <v/>
      </c>
    </row>
    <row r="592">
      <c r="Y592" s="47">
        <f>IFERROR(MATCH(Library!M592,$M$6:$M$40000,0),"")</f>
        <v/>
      </c>
      <c r="Z592">
        <f>IF($Y592="","",INDEX($C$6:$C$40000,$Y592)&amp;"")</f>
        <v/>
      </c>
      <c r="AA592" s="59">
        <f>IF($Y592="","",IF(INDEX($D$6:$D$40000,$Y592)="","",INDEX($D$6:$D$40000,$Y592)))</f>
        <v/>
      </c>
      <c r="AB592">
        <f>IF($Y592="","",INDEX($L$6:$L$40000,$Y592)&amp;"")</f>
        <v/>
      </c>
    </row>
    <row r="593">
      <c r="Y593" s="47">
        <f>IFERROR(MATCH(Library!M593,$M$6:$M$40000,0),"")</f>
        <v/>
      </c>
      <c r="Z593">
        <f>IF($Y593="","",INDEX($C$6:$C$40000,$Y593)&amp;"")</f>
        <v/>
      </c>
      <c r="AA593" s="59">
        <f>IF($Y593="","",IF(INDEX($D$6:$D$40000,$Y593)="","",INDEX($D$6:$D$40000,$Y593)))</f>
        <v/>
      </c>
      <c r="AB593">
        <f>IF($Y593="","",INDEX($L$6:$L$40000,$Y593)&amp;"")</f>
        <v/>
      </c>
    </row>
    <row r="594">
      <c r="Y594" s="47">
        <f>IFERROR(MATCH(Library!M594,$M$6:$M$40000,0),"")</f>
        <v/>
      </c>
      <c r="Z594">
        <f>IF($Y594="","",INDEX($C$6:$C$40000,$Y594)&amp;"")</f>
        <v/>
      </c>
      <c r="AA594" s="59">
        <f>IF($Y594="","",IF(INDEX($D$6:$D$40000,$Y594)="","",INDEX($D$6:$D$40000,$Y594)))</f>
        <v/>
      </c>
      <c r="AB594">
        <f>IF($Y594="","",INDEX($L$6:$L$40000,$Y594)&amp;"")</f>
        <v/>
      </c>
    </row>
    <row r="595">
      <c r="Y595" s="47">
        <f>IFERROR(MATCH(Library!M595,$M$6:$M$40000,0),"")</f>
        <v/>
      </c>
      <c r="Z595">
        <f>IF($Y595="","",INDEX($C$6:$C$40000,$Y595)&amp;"")</f>
        <v/>
      </c>
      <c r="AA595" s="59">
        <f>IF($Y595="","",IF(INDEX($D$6:$D$40000,$Y595)="","",INDEX($D$6:$D$40000,$Y595)))</f>
        <v/>
      </c>
      <c r="AB595">
        <f>IF($Y595="","",INDEX($L$6:$L$40000,$Y595)&amp;"")</f>
        <v/>
      </c>
    </row>
    <row r="596">
      <c r="Y596" s="47">
        <f>IFERROR(MATCH(Library!M596,$M$6:$M$40000,0),"")</f>
        <v/>
      </c>
      <c r="Z596">
        <f>IF($Y596="","",INDEX($C$6:$C$40000,$Y596)&amp;"")</f>
        <v/>
      </c>
      <c r="AA596" s="59">
        <f>IF($Y596="","",IF(INDEX($D$6:$D$40000,$Y596)="","",INDEX($D$6:$D$40000,$Y596)))</f>
        <v/>
      </c>
      <c r="AB596">
        <f>IF($Y596="","",INDEX($L$6:$L$40000,$Y596)&amp;"")</f>
        <v/>
      </c>
    </row>
    <row r="597">
      <c r="Y597" s="47">
        <f>IFERROR(MATCH(Library!M597,$M$6:$M$40000,0),"")</f>
        <v/>
      </c>
      <c r="Z597">
        <f>IF($Y597="","",INDEX($C$6:$C$40000,$Y597)&amp;"")</f>
        <v/>
      </c>
      <c r="AA597" s="59">
        <f>IF($Y597="","",IF(INDEX($D$6:$D$40000,$Y597)="","",INDEX($D$6:$D$40000,$Y597)))</f>
        <v/>
      </c>
      <c r="AB597">
        <f>IF($Y597="","",INDEX($L$6:$L$40000,$Y597)&amp;"")</f>
        <v/>
      </c>
    </row>
    <row r="598">
      <c r="Y598" s="47">
        <f>IFERROR(MATCH(Library!M598,$M$6:$M$40000,0),"")</f>
        <v/>
      </c>
      <c r="Z598">
        <f>IF($Y598="","",INDEX($C$6:$C$40000,$Y598)&amp;"")</f>
        <v/>
      </c>
      <c r="AA598" s="59">
        <f>IF($Y598="","",IF(INDEX($D$6:$D$40000,$Y598)="","",INDEX($D$6:$D$40000,$Y598)))</f>
        <v/>
      </c>
      <c r="AB598">
        <f>IF($Y598="","",INDEX($L$6:$L$40000,$Y598)&amp;"")</f>
        <v/>
      </c>
    </row>
    <row r="599">
      <c r="Y599" s="47">
        <f>IFERROR(MATCH(Library!M599,$M$6:$M$40000,0),"")</f>
        <v/>
      </c>
      <c r="Z599">
        <f>IF($Y599="","",INDEX($C$6:$C$40000,$Y599)&amp;"")</f>
        <v/>
      </c>
      <c r="AA599" s="59">
        <f>IF($Y599="","",IF(INDEX($D$6:$D$40000,$Y599)="","",INDEX($D$6:$D$40000,$Y599)))</f>
        <v/>
      </c>
      <c r="AB599">
        <f>IF($Y599="","",INDEX($L$6:$L$40000,$Y599)&amp;"")</f>
        <v/>
      </c>
    </row>
    <row r="600">
      <c r="Y600" s="47">
        <f>IFERROR(MATCH(Library!M600,$M$6:$M$40000,0),"")</f>
        <v/>
      </c>
      <c r="Z600">
        <f>IF($Y600="","",INDEX($C$6:$C$40000,$Y600)&amp;"")</f>
        <v/>
      </c>
      <c r="AA600" s="59">
        <f>IF($Y600="","",IF(INDEX($D$6:$D$40000,$Y600)="","",INDEX($D$6:$D$40000,$Y600)))</f>
        <v/>
      </c>
      <c r="AB600">
        <f>IF($Y600="","",INDEX($L$6:$L$40000,$Y600)&amp;"")</f>
        <v/>
      </c>
    </row>
    <row r="601">
      <c r="Y601" s="47">
        <f>IFERROR(MATCH(Library!M601,$M$6:$M$40000,0),"")</f>
        <v/>
      </c>
      <c r="Z601">
        <f>IF($Y601="","",INDEX($C$6:$C$40000,$Y601)&amp;"")</f>
        <v/>
      </c>
      <c r="AA601" s="59">
        <f>IF($Y601="","",IF(INDEX($D$6:$D$40000,$Y601)="","",INDEX($D$6:$D$40000,$Y601)))</f>
        <v/>
      </c>
      <c r="AB601">
        <f>IF($Y601="","",INDEX($L$6:$L$40000,$Y601)&amp;"")</f>
        <v/>
      </c>
    </row>
    <row r="602">
      <c r="Y602" s="47">
        <f>IFERROR(MATCH(Library!M602,$M$6:$M$40000,0),"")</f>
        <v/>
      </c>
      <c r="Z602">
        <f>IF($Y602="","",INDEX($C$6:$C$40000,$Y602)&amp;"")</f>
        <v/>
      </c>
      <c r="AA602" s="59">
        <f>IF($Y602="","",IF(INDEX($D$6:$D$40000,$Y602)="","",INDEX($D$6:$D$40000,$Y602)))</f>
        <v/>
      </c>
      <c r="AB602">
        <f>IF($Y602="","",INDEX($L$6:$L$40000,$Y602)&amp;"")</f>
        <v/>
      </c>
    </row>
    <row r="603">
      <c r="Y603" s="47">
        <f>IFERROR(MATCH(Library!M603,$M$6:$M$40000,0),"")</f>
        <v/>
      </c>
      <c r="Z603">
        <f>IF($Y603="","",INDEX($C$6:$C$40000,$Y603)&amp;"")</f>
        <v/>
      </c>
      <c r="AA603" s="59">
        <f>IF($Y603="","",IF(INDEX($D$6:$D$40000,$Y603)="","",INDEX($D$6:$D$40000,$Y603)))</f>
        <v/>
      </c>
      <c r="AB603">
        <f>IF($Y603="","",INDEX($L$6:$L$40000,$Y603)&amp;"")</f>
        <v/>
      </c>
    </row>
    <row r="604">
      <c r="Y604" s="47">
        <f>IFERROR(MATCH(Library!M604,$M$6:$M$40000,0),"")</f>
        <v/>
      </c>
      <c r="Z604">
        <f>IF($Y604="","",INDEX($C$6:$C$40000,$Y604)&amp;"")</f>
        <v/>
      </c>
      <c r="AA604" s="59">
        <f>IF($Y604="","",IF(INDEX($D$6:$D$40000,$Y604)="","",INDEX($D$6:$D$40000,$Y604)))</f>
        <v/>
      </c>
      <c r="AB604">
        <f>IF($Y604="","",INDEX($L$6:$L$40000,$Y604)&amp;"")</f>
        <v/>
      </c>
    </row>
    <row r="605">
      <c r="Y605" s="47">
        <f>IFERROR(MATCH(Library!M605,$M$6:$M$40000,0),"")</f>
        <v/>
      </c>
      <c r="Z605">
        <f>IF($Y605="","",INDEX($C$6:$C$40000,$Y605)&amp;"")</f>
        <v/>
      </c>
      <c r="AA605" s="59">
        <f>IF($Y605="","",IF(INDEX($D$6:$D$40000,$Y605)="","",INDEX($D$6:$D$40000,$Y605)))</f>
        <v/>
      </c>
      <c r="AB605">
        <f>IF($Y605="","",INDEX($L$6:$L$40000,$Y605)&amp;"")</f>
        <v/>
      </c>
    </row>
    <row r="606">
      <c r="Y606" s="47">
        <f>IFERROR(MATCH(Library!M606,$M$6:$M$40000,0),"")</f>
        <v/>
      </c>
      <c r="Z606">
        <f>IF($Y606="","",INDEX($C$6:$C$40000,$Y606)&amp;"")</f>
        <v/>
      </c>
      <c r="AA606" s="59">
        <f>IF($Y606="","",IF(INDEX($D$6:$D$40000,$Y606)="","",INDEX($D$6:$D$40000,$Y606)))</f>
        <v/>
      </c>
      <c r="AB606">
        <f>IF($Y606="","",INDEX($L$6:$L$40000,$Y606)&amp;"")</f>
        <v/>
      </c>
    </row>
    <row r="607">
      <c r="Y607" s="47">
        <f>IFERROR(MATCH(Library!M607,$M$6:$M$40000,0),"")</f>
        <v/>
      </c>
      <c r="Z607">
        <f>IF($Y607="","",INDEX($C$6:$C$40000,$Y607)&amp;"")</f>
        <v/>
      </c>
      <c r="AA607" s="59">
        <f>IF($Y607="","",IF(INDEX($D$6:$D$40000,$Y607)="","",INDEX($D$6:$D$40000,$Y607)))</f>
        <v/>
      </c>
      <c r="AB607">
        <f>IF($Y607="","",INDEX($L$6:$L$40000,$Y607)&amp;"")</f>
        <v/>
      </c>
    </row>
    <row r="608">
      <c r="Y608" s="47">
        <f>IFERROR(MATCH(Library!M608,$M$6:$M$40000,0),"")</f>
        <v/>
      </c>
      <c r="Z608">
        <f>IF($Y608="","",INDEX($C$6:$C$40000,$Y608)&amp;"")</f>
        <v/>
      </c>
      <c r="AA608" s="59">
        <f>IF($Y608="","",IF(INDEX($D$6:$D$40000,$Y608)="","",INDEX($D$6:$D$40000,$Y608)))</f>
        <v/>
      </c>
      <c r="AB608">
        <f>IF($Y608="","",INDEX($L$6:$L$40000,$Y608)&amp;"")</f>
        <v/>
      </c>
    </row>
    <row r="609">
      <c r="Y609" s="47">
        <f>IFERROR(MATCH(Library!M609,$M$6:$M$40000,0),"")</f>
        <v/>
      </c>
      <c r="Z609">
        <f>IF($Y609="","",INDEX($C$6:$C$40000,$Y609)&amp;"")</f>
        <v/>
      </c>
      <c r="AA609" s="59">
        <f>IF($Y609="","",IF(INDEX($D$6:$D$40000,$Y609)="","",INDEX($D$6:$D$40000,$Y609)))</f>
        <v/>
      </c>
      <c r="AB609">
        <f>IF($Y609="","",INDEX($L$6:$L$40000,$Y609)&amp;"")</f>
        <v/>
      </c>
    </row>
    <row r="610">
      <c r="Y610" s="47">
        <f>IFERROR(MATCH(Library!M610,$M$6:$M$40000,0),"")</f>
        <v/>
      </c>
      <c r="Z610">
        <f>IF($Y610="","",INDEX($C$6:$C$40000,$Y610)&amp;"")</f>
        <v/>
      </c>
      <c r="AA610" s="59">
        <f>IF($Y610="","",IF(INDEX($D$6:$D$40000,$Y610)="","",INDEX($D$6:$D$40000,$Y610)))</f>
        <v/>
      </c>
      <c r="AB610">
        <f>IF($Y610="","",INDEX($L$6:$L$40000,$Y610)&amp;"")</f>
        <v/>
      </c>
    </row>
    <row r="611">
      <c r="Y611" s="47">
        <f>IFERROR(MATCH(Library!M611,$M$6:$M$40000,0),"")</f>
        <v/>
      </c>
      <c r="Z611">
        <f>IF($Y611="","",INDEX($C$6:$C$40000,$Y611)&amp;"")</f>
        <v/>
      </c>
      <c r="AA611" s="59">
        <f>IF($Y611="","",IF(INDEX($D$6:$D$40000,$Y611)="","",INDEX($D$6:$D$40000,$Y611)))</f>
        <v/>
      </c>
      <c r="AB611">
        <f>IF($Y611="","",INDEX($L$6:$L$40000,$Y611)&amp;"")</f>
        <v/>
      </c>
    </row>
    <row r="612">
      <c r="Y612" s="47">
        <f>IFERROR(MATCH(Library!M612,$M$6:$M$40000,0),"")</f>
        <v/>
      </c>
      <c r="Z612">
        <f>IF($Y612="","",INDEX($C$6:$C$40000,$Y612)&amp;"")</f>
        <v/>
      </c>
      <c r="AA612" s="59">
        <f>IF($Y612="","",IF(INDEX($D$6:$D$40000,$Y612)="","",INDEX($D$6:$D$40000,$Y612)))</f>
        <v/>
      </c>
      <c r="AB612">
        <f>IF($Y612="","",INDEX($L$6:$L$40000,$Y612)&amp;"")</f>
        <v/>
      </c>
    </row>
    <row r="613">
      <c r="Y613" s="47">
        <f>IFERROR(MATCH(Library!M613,$M$6:$M$40000,0),"")</f>
        <v/>
      </c>
      <c r="Z613">
        <f>IF($Y613="","",INDEX($C$6:$C$40000,$Y613)&amp;"")</f>
        <v/>
      </c>
      <c r="AA613" s="59">
        <f>IF($Y613="","",IF(INDEX($D$6:$D$40000,$Y613)="","",INDEX($D$6:$D$40000,$Y613)))</f>
        <v/>
      </c>
      <c r="AB613">
        <f>IF($Y613="","",INDEX($L$6:$L$40000,$Y613)&amp;"")</f>
        <v/>
      </c>
    </row>
    <row r="614">
      <c r="Y614" s="47">
        <f>IFERROR(MATCH(Library!M614,$M$6:$M$40000,0),"")</f>
        <v/>
      </c>
      <c r="Z614">
        <f>IF($Y614="","",INDEX($C$6:$C$40000,$Y614)&amp;"")</f>
        <v/>
      </c>
      <c r="AA614" s="59">
        <f>IF($Y614="","",IF(INDEX($D$6:$D$40000,$Y614)="","",INDEX($D$6:$D$40000,$Y614)))</f>
        <v/>
      </c>
      <c r="AB614">
        <f>IF($Y614="","",INDEX($L$6:$L$40000,$Y614)&amp;"")</f>
        <v/>
      </c>
    </row>
    <row r="615">
      <c r="Y615" s="47">
        <f>IFERROR(MATCH(Library!M615,$M$6:$M$40000,0),"")</f>
        <v/>
      </c>
      <c r="Z615">
        <f>IF($Y615="","",INDEX($C$6:$C$40000,$Y615)&amp;"")</f>
        <v/>
      </c>
      <c r="AA615" s="59">
        <f>IF($Y615="","",IF(INDEX($D$6:$D$40000,$Y615)="","",INDEX($D$6:$D$40000,$Y615)))</f>
        <v/>
      </c>
      <c r="AB615">
        <f>IF($Y615="","",INDEX($L$6:$L$40000,$Y615)&amp;"")</f>
        <v/>
      </c>
    </row>
    <row r="616">
      <c r="Y616" s="47">
        <f>IFERROR(MATCH(Library!M616,$M$6:$M$40000,0),"")</f>
        <v/>
      </c>
      <c r="Z616">
        <f>IF($Y616="","",INDEX($C$6:$C$40000,$Y616)&amp;"")</f>
        <v/>
      </c>
      <c r="AA616" s="59">
        <f>IF($Y616="","",IF(INDEX($D$6:$D$40000,$Y616)="","",INDEX($D$6:$D$40000,$Y616)))</f>
        <v/>
      </c>
      <c r="AB616">
        <f>IF($Y616="","",INDEX($L$6:$L$40000,$Y616)&amp;"")</f>
        <v/>
      </c>
    </row>
    <row r="617">
      <c r="Y617" s="47">
        <f>IFERROR(MATCH(Library!M617,$M$6:$M$40000,0),"")</f>
        <v/>
      </c>
      <c r="Z617">
        <f>IF($Y617="","",INDEX($C$6:$C$40000,$Y617)&amp;"")</f>
        <v/>
      </c>
      <c r="AA617" s="59">
        <f>IF($Y617="","",IF(INDEX($D$6:$D$40000,$Y617)="","",INDEX($D$6:$D$40000,$Y617)))</f>
        <v/>
      </c>
      <c r="AB617">
        <f>IF($Y617="","",INDEX($L$6:$L$40000,$Y617)&amp;"")</f>
        <v/>
      </c>
    </row>
    <row r="618">
      <c r="Y618" s="47">
        <f>IFERROR(MATCH(Library!M618,$M$6:$M$40000,0),"")</f>
        <v/>
      </c>
      <c r="Z618">
        <f>IF($Y618="","",INDEX($C$6:$C$40000,$Y618)&amp;"")</f>
        <v/>
      </c>
      <c r="AA618" s="59">
        <f>IF($Y618="","",IF(INDEX($D$6:$D$40000,$Y618)="","",INDEX($D$6:$D$40000,$Y618)))</f>
        <v/>
      </c>
      <c r="AB618">
        <f>IF($Y618="","",INDEX($L$6:$L$40000,$Y618)&amp;"")</f>
        <v/>
      </c>
    </row>
    <row r="619">
      <c r="Y619" s="47">
        <f>IFERROR(MATCH(Library!M619,$M$6:$M$40000,0),"")</f>
        <v/>
      </c>
      <c r="Z619">
        <f>IF($Y619="","",INDEX($C$6:$C$40000,$Y619)&amp;"")</f>
        <v/>
      </c>
      <c r="AA619" s="59">
        <f>IF($Y619="","",IF(INDEX($D$6:$D$40000,$Y619)="","",INDEX($D$6:$D$40000,$Y619)))</f>
        <v/>
      </c>
      <c r="AB619">
        <f>IF($Y619="","",INDEX($L$6:$L$40000,$Y619)&amp;"")</f>
        <v/>
      </c>
    </row>
    <row r="620">
      <c r="Y620" s="47">
        <f>IFERROR(MATCH(Library!M620,$M$6:$M$40000,0),"")</f>
        <v/>
      </c>
      <c r="Z620">
        <f>IF($Y620="","",INDEX($C$6:$C$40000,$Y620)&amp;"")</f>
        <v/>
      </c>
      <c r="AA620" s="59">
        <f>IF($Y620="","",IF(INDEX($D$6:$D$40000,$Y620)="","",INDEX($D$6:$D$40000,$Y620)))</f>
        <v/>
      </c>
      <c r="AB620">
        <f>IF($Y620="","",INDEX($L$6:$L$40000,$Y620)&amp;"")</f>
        <v/>
      </c>
    </row>
    <row r="621">
      <c r="Y621" s="47">
        <f>IFERROR(MATCH(Library!M621,$M$6:$M$40000,0),"")</f>
        <v/>
      </c>
      <c r="Z621">
        <f>IF($Y621="","",INDEX($C$6:$C$40000,$Y621)&amp;"")</f>
        <v/>
      </c>
      <c r="AA621" s="59">
        <f>IF($Y621="","",IF(INDEX($D$6:$D$40000,$Y621)="","",INDEX($D$6:$D$40000,$Y621)))</f>
        <v/>
      </c>
      <c r="AB621">
        <f>IF($Y621="","",INDEX($L$6:$L$40000,$Y621)&amp;"")</f>
        <v/>
      </c>
    </row>
    <row r="622">
      <c r="Y622" s="47">
        <f>IFERROR(MATCH(Library!M622,$M$6:$M$40000,0),"")</f>
        <v/>
      </c>
      <c r="Z622">
        <f>IF($Y622="","",INDEX($C$6:$C$40000,$Y622)&amp;"")</f>
        <v/>
      </c>
      <c r="AA622" s="59">
        <f>IF($Y622="","",IF(INDEX($D$6:$D$40000,$Y622)="","",INDEX($D$6:$D$40000,$Y622)))</f>
        <v/>
      </c>
      <c r="AB622">
        <f>IF($Y622="","",INDEX($L$6:$L$40000,$Y622)&amp;"")</f>
        <v/>
      </c>
    </row>
    <row r="623">
      <c r="Y623" s="47">
        <f>IFERROR(MATCH(Library!M623,$M$6:$M$40000,0),"")</f>
        <v/>
      </c>
      <c r="Z623">
        <f>IF($Y623="","",INDEX($C$6:$C$40000,$Y623)&amp;"")</f>
        <v/>
      </c>
      <c r="AA623" s="59">
        <f>IF($Y623="","",IF(INDEX($D$6:$D$40000,$Y623)="","",INDEX($D$6:$D$40000,$Y623)))</f>
        <v/>
      </c>
      <c r="AB623">
        <f>IF($Y623="","",INDEX($L$6:$L$40000,$Y623)&amp;"")</f>
        <v/>
      </c>
    </row>
    <row r="624">
      <c r="Y624" s="47">
        <f>IFERROR(MATCH(Library!M624,$M$6:$M$40000,0),"")</f>
        <v/>
      </c>
      <c r="Z624">
        <f>IF($Y624="","",INDEX($C$6:$C$40000,$Y624)&amp;"")</f>
        <v/>
      </c>
      <c r="AA624" s="59">
        <f>IF($Y624="","",IF(INDEX($D$6:$D$40000,$Y624)="","",INDEX($D$6:$D$40000,$Y624)))</f>
        <v/>
      </c>
      <c r="AB624">
        <f>IF($Y624="","",INDEX($L$6:$L$40000,$Y624)&amp;"")</f>
        <v/>
      </c>
    </row>
    <row r="625">
      <c r="Y625" s="47">
        <f>IFERROR(MATCH(Library!M625,$M$6:$M$40000,0),"")</f>
        <v/>
      </c>
      <c r="Z625">
        <f>IF($Y625="","",INDEX($C$6:$C$40000,$Y625)&amp;"")</f>
        <v/>
      </c>
      <c r="AA625" s="59">
        <f>IF($Y625="","",IF(INDEX($D$6:$D$40000,$Y625)="","",INDEX($D$6:$D$40000,$Y625)))</f>
        <v/>
      </c>
      <c r="AB625">
        <f>IF($Y625="","",INDEX($L$6:$L$40000,$Y625)&amp;"")</f>
        <v/>
      </c>
    </row>
    <row r="626">
      <c r="Y626" s="47">
        <f>IFERROR(MATCH(Library!M626,$M$6:$M$40000,0),"")</f>
        <v/>
      </c>
      <c r="Z626">
        <f>IF($Y626="","",INDEX($C$6:$C$40000,$Y626)&amp;"")</f>
        <v/>
      </c>
      <c r="AA626" s="59">
        <f>IF($Y626="","",IF(INDEX($D$6:$D$40000,$Y626)="","",INDEX($D$6:$D$40000,$Y626)))</f>
        <v/>
      </c>
      <c r="AB626">
        <f>IF($Y626="","",INDEX($L$6:$L$40000,$Y626)&amp;"")</f>
        <v/>
      </c>
    </row>
    <row r="627">
      <c r="Y627" s="47">
        <f>IFERROR(MATCH(Library!M627,$M$6:$M$40000,0),"")</f>
        <v/>
      </c>
      <c r="Z627">
        <f>IF($Y627="","",INDEX($C$6:$C$40000,$Y627)&amp;"")</f>
        <v/>
      </c>
      <c r="AA627" s="59">
        <f>IF($Y627="","",IF(INDEX($D$6:$D$40000,$Y627)="","",INDEX($D$6:$D$40000,$Y627)))</f>
        <v/>
      </c>
      <c r="AB627">
        <f>IF($Y627="","",INDEX($L$6:$L$40000,$Y627)&amp;"")</f>
        <v/>
      </c>
    </row>
    <row r="628">
      <c r="Y628" s="47">
        <f>IFERROR(MATCH(Library!M628,$M$6:$M$40000,0),"")</f>
        <v/>
      </c>
      <c r="Z628">
        <f>IF($Y628="","",INDEX($C$6:$C$40000,$Y628)&amp;"")</f>
        <v/>
      </c>
      <c r="AA628" s="59">
        <f>IF($Y628="","",IF(INDEX($D$6:$D$40000,$Y628)="","",INDEX($D$6:$D$40000,$Y628)))</f>
        <v/>
      </c>
      <c r="AB628">
        <f>IF($Y628="","",INDEX($L$6:$L$40000,$Y628)&amp;"")</f>
        <v/>
      </c>
    </row>
    <row r="629">
      <c r="Y629" s="47">
        <f>IFERROR(MATCH(Library!M629,$M$6:$M$40000,0),"")</f>
        <v/>
      </c>
      <c r="Z629">
        <f>IF($Y629="","",INDEX($C$6:$C$40000,$Y629)&amp;"")</f>
        <v/>
      </c>
      <c r="AA629" s="59">
        <f>IF($Y629="","",IF(INDEX($D$6:$D$40000,$Y629)="","",INDEX($D$6:$D$40000,$Y629)))</f>
        <v/>
      </c>
      <c r="AB629">
        <f>IF($Y629="","",INDEX($L$6:$L$40000,$Y629)&amp;"")</f>
        <v/>
      </c>
    </row>
    <row r="630">
      <c r="Y630" s="47">
        <f>IFERROR(MATCH(Library!M630,$M$6:$M$40000,0),"")</f>
        <v/>
      </c>
      <c r="Z630">
        <f>IF($Y630="","",INDEX($C$6:$C$40000,$Y630)&amp;"")</f>
        <v/>
      </c>
      <c r="AA630" s="59">
        <f>IF($Y630="","",IF(INDEX($D$6:$D$40000,$Y630)="","",INDEX($D$6:$D$40000,$Y630)))</f>
        <v/>
      </c>
      <c r="AB630">
        <f>IF($Y630="","",INDEX($L$6:$L$40000,$Y630)&amp;"")</f>
        <v/>
      </c>
    </row>
    <row r="631">
      <c r="Y631" s="47">
        <f>IFERROR(MATCH(Library!M631,$M$6:$M$40000,0),"")</f>
        <v/>
      </c>
      <c r="Z631">
        <f>IF($Y631="","",INDEX($C$6:$C$40000,$Y631)&amp;"")</f>
        <v/>
      </c>
      <c r="AA631" s="59">
        <f>IF($Y631="","",IF(INDEX($D$6:$D$40000,$Y631)="","",INDEX($D$6:$D$40000,$Y631)))</f>
        <v/>
      </c>
      <c r="AB631">
        <f>IF($Y631="","",INDEX($L$6:$L$40000,$Y631)&amp;"")</f>
        <v/>
      </c>
    </row>
    <row r="632">
      <c r="Y632" s="47">
        <f>IFERROR(MATCH(Library!M632,$M$6:$M$40000,0),"")</f>
        <v/>
      </c>
      <c r="Z632">
        <f>IF($Y632="","",INDEX($C$6:$C$40000,$Y632)&amp;"")</f>
        <v/>
      </c>
      <c r="AA632" s="59">
        <f>IF($Y632="","",IF(INDEX($D$6:$D$40000,$Y632)="","",INDEX($D$6:$D$40000,$Y632)))</f>
        <v/>
      </c>
      <c r="AB632">
        <f>IF($Y632="","",INDEX($L$6:$L$40000,$Y632)&amp;"")</f>
        <v/>
      </c>
    </row>
    <row r="633">
      <c r="Y633" s="47">
        <f>IFERROR(MATCH(Library!M633,$M$6:$M$40000,0),"")</f>
        <v/>
      </c>
      <c r="Z633">
        <f>IF($Y633="","",INDEX($C$6:$C$40000,$Y633)&amp;"")</f>
        <v/>
      </c>
      <c r="AA633" s="59">
        <f>IF($Y633="","",IF(INDEX($D$6:$D$40000,$Y633)="","",INDEX($D$6:$D$40000,$Y633)))</f>
        <v/>
      </c>
      <c r="AB633">
        <f>IF($Y633="","",INDEX($L$6:$L$40000,$Y633)&amp;"")</f>
        <v/>
      </c>
    </row>
    <row r="634">
      <c r="Y634" s="47">
        <f>IFERROR(MATCH(Library!M634,$M$6:$M$40000,0),"")</f>
        <v/>
      </c>
      <c r="Z634">
        <f>IF($Y634="","",INDEX($C$6:$C$40000,$Y634)&amp;"")</f>
        <v/>
      </c>
      <c r="AA634" s="59">
        <f>IF($Y634="","",IF(INDEX($D$6:$D$40000,$Y634)="","",INDEX($D$6:$D$40000,$Y634)))</f>
        <v/>
      </c>
      <c r="AB634">
        <f>IF($Y634="","",INDEX($L$6:$L$40000,$Y634)&amp;"")</f>
        <v/>
      </c>
    </row>
    <row r="635">
      <c r="Y635" s="47">
        <f>IFERROR(MATCH(Library!M635,$M$6:$M$40000,0),"")</f>
        <v/>
      </c>
      <c r="Z635">
        <f>IF($Y635="","",INDEX($C$6:$C$40000,$Y635)&amp;"")</f>
        <v/>
      </c>
      <c r="AA635" s="59">
        <f>IF($Y635="","",IF(INDEX($D$6:$D$40000,$Y635)="","",INDEX($D$6:$D$40000,$Y635)))</f>
        <v/>
      </c>
      <c r="AB635">
        <f>IF($Y635="","",INDEX($L$6:$L$40000,$Y635)&amp;"")</f>
        <v/>
      </c>
    </row>
    <row r="636">
      <c r="Y636" s="47">
        <f>IFERROR(MATCH(Library!M636,$M$6:$M$40000,0),"")</f>
        <v/>
      </c>
      <c r="Z636">
        <f>IF($Y636="","",INDEX($C$6:$C$40000,$Y636)&amp;"")</f>
        <v/>
      </c>
      <c r="AA636" s="59">
        <f>IF($Y636="","",IF(INDEX($D$6:$D$40000,$Y636)="","",INDEX($D$6:$D$40000,$Y636)))</f>
        <v/>
      </c>
      <c r="AB636">
        <f>IF($Y636="","",INDEX($L$6:$L$40000,$Y636)&amp;"")</f>
        <v/>
      </c>
    </row>
    <row r="637">
      <c r="Y637" s="47">
        <f>IFERROR(MATCH(Library!M637,$M$6:$M$40000,0),"")</f>
        <v/>
      </c>
      <c r="Z637">
        <f>IF($Y637="","",INDEX($C$6:$C$40000,$Y637)&amp;"")</f>
        <v/>
      </c>
      <c r="AA637" s="59">
        <f>IF($Y637="","",IF(INDEX($D$6:$D$40000,$Y637)="","",INDEX($D$6:$D$40000,$Y637)))</f>
        <v/>
      </c>
      <c r="AB637">
        <f>IF($Y637="","",INDEX($L$6:$L$40000,$Y637)&amp;"")</f>
        <v/>
      </c>
    </row>
    <row r="638">
      <c r="Y638" s="47">
        <f>IFERROR(MATCH(Library!M638,$M$6:$M$40000,0),"")</f>
        <v/>
      </c>
      <c r="Z638">
        <f>IF($Y638="","",INDEX($C$6:$C$40000,$Y638)&amp;"")</f>
        <v/>
      </c>
      <c r="AA638" s="59">
        <f>IF($Y638="","",IF(INDEX($D$6:$D$40000,$Y638)="","",INDEX($D$6:$D$40000,$Y638)))</f>
        <v/>
      </c>
      <c r="AB638">
        <f>IF($Y638="","",INDEX($L$6:$L$40000,$Y638)&amp;"")</f>
        <v/>
      </c>
    </row>
    <row r="639">
      <c r="Y639" s="47">
        <f>IFERROR(MATCH(Library!M639,$M$6:$M$40000,0),"")</f>
        <v/>
      </c>
      <c r="Z639">
        <f>IF($Y639="","",INDEX($C$6:$C$40000,$Y639)&amp;"")</f>
        <v/>
      </c>
      <c r="AA639" s="59">
        <f>IF($Y639="","",IF(INDEX($D$6:$D$40000,$Y639)="","",INDEX($D$6:$D$40000,$Y639)))</f>
        <v/>
      </c>
      <c r="AB639">
        <f>IF($Y639="","",INDEX($L$6:$L$40000,$Y639)&amp;"")</f>
        <v/>
      </c>
    </row>
    <row r="640">
      <c r="Y640" s="47">
        <f>IFERROR(MATCH(Library!M640,$M$6:$M$40000,0),"")</f>
        <v/>
      </c>
      <c r="Z640">
        <f>IF($Y640="","",INDEX($C$6:$C$40000,$Y640)&amp;"")</f>
        <v/>
      </c>
      <c r="AA640" s="59">
        <f>IF($Y640="","",IF(INDEX($D$6:$D$40000,$Y640)="","",INDEX($D$6:$D$40000,$Y640)))</f>
        <v/>
      </c>
      <c r="AB640">
        <f>IF($Y640="","",INDEX($L$6:$L$40000,$Y640)&amp;"")</f>
        <v/>
      </c>
    </row>
    <row r="641">
      <c r="Y641" s="47">
        <f>IFERROR(MATCH(Library!M641,$M$6:$M$40000,0),"")</f>
        <v/>
      </c>
      <c r="Z641">
        <f>IF($Y641="","",INDEX($C$6:$C$40000,$Y641)&amp;"")</f>
        <v/>
      </c>
      <c r="AA641" s="59">
        <f>IF($Y641="","",IF(INDEX($D$6:$D$40000,$Y641)="","",INDEX($D$6:$D$40000,$Y641)))</f>
        <v/>
      </c>
      <c r="AB641">
        <f>IF($Y641="","",INDEX($L$6:$L$40000,$Y641)&amp;"")</f>
        <v/>
      </c>
    </row>
    <row r="642">
      <c r="Y642" s="47">
        <f>IFERROR(MATCH(Library!M642,$M$6:$M$40000,0),"")</f>
        <v/>
      </c>
      <c r="Z642">
        <f>IF($Y642="","",INDEX($C$6:$C$40000,$Y642)&amp;"")</f>
        <v/>
      </c>
      <c r="AA642" s="59">
        <f>IF($Y642="","",IF(INDEX($D$6:$D$40000,$Y642)="","",INDEX($D$6:$D$40000,$Y642)))</f>
        <v/>
      </c>
      <c r="AB642">
        <f>IF($Y642="","",INDEX($L$6:$L$40000,$Y642)&amp;"")</f>
        <v/>
      </c>
    </row>
    <row r="643">
      <c r="Y643" s="47">
        <f>IFERROR(MATCH(Library!M643,$M$6:$M$40000,0),"")</f>
        <v/>
      </c>
      <c r="Z643">
        <f>IF($Y643="","",INDEX($C$6:$C$40000,$Y643)&amp;"")</f>
        <v/>
      </c>
      <c r="AA643" s="59">
        <f>IF($Y643="","",IF(INDEX($D$6:$D$40000,$Y643)="","",INDEX($D$6:$D$40000,$Y643)))</f>
        <v/>
      </c>
      <c r="AB643">
        <f>IF($Y643="","",INDEX($L$6:$L$40000,$Y643)&amp;"")</f>
        <v/>
      </c>
    </row>
    <row r="644">
      <c r="Y644" s="47">
        <f>IFERROR(MATCH(Library!M644,$M$6:$M$40000,0),"")</f>
        <v/>
      </c>
      <c r="Z644">
        <f>IF($Y644="","",INDEX($C$6:$C$40000,$Y644)&amp;"")</f>
        <v/>
      </c>
      <c r="AA644" s="59">
        <f>IF($Y644="","",IF(INDEX($D$6:$D$40000,$Y644)="","",INDEX($D$6:$D$40000,$Y644)))</f>
        <v/>
      </c>
      <c r="AB644">
        <f>IF($Y644="","",INDEX($L$6:$L$40000,$Y644)&amp;"")</f>
        <v/>
      </c>
    </row>
    <row r="645">
      <c r="Y645" s="47">
        <f>IFERROR(MATCH(Library!M645,$M$6:$M$40000,0),"")</f>
        <v/>
      </c>
      <c r="Z645">
        <f>IF($Y645="","",INDEX($C$6:$C$40000,$Y645)&amp;"")</f>
        <v/>
      </c>
      <c r="AA645" s="59">
        <f>IF($Y645="","",IF(INDEX($D$6:$D$40000,$Y645)="","",INDEX($D$6:$D$40000,$Y645)))</f>
        <v/>
      </c>
      <c r="AB645">
        <f>IF($Y645="","",INDEX($L$6:$L$40000,$Y645)&amp;"")</f>
        <v/>
      </c>
    </row>
    <row r="646">
      <c r="Y646" s="47">
        <f>IFERROR(MATCH(Library!M646,$M$6:$M$40000,0),"")</f>
        <v/>
      </c>
      <c r="Z646">
        <f>IF($Y646="","",INDEX($C$6:$C$40000,$Y646)&amp;"")</f>
        <v/>
      </c>
      <c r="AA646" s="59">
        <f>IF($Y646="","",IF(INDEX($D$6:$D$40000,$Y646)="","",INDEX($D$6:$D$40000,$Y646)))</f>
        <v/>
      </c>
      <c r="AB646">
        <f>IF($Y646="","",INDEX($L$6:$L$40000,$Y646)&amp;"")</f>
        <v/>
      </c>
    </row>
    <row r="647">
      <c r="Y647" s="47">
        <f>IFERROR(MATCH(Library!M647,$M$6:$M$40000,0),"")</f>
        <v/>
      </c>
      <c r="Z647">
        <f>IF($Y647="","",INDEX($C$6:$C$40000,$Y647)&amp;"")</f>
        <v/>
      </c>
      <c r="AA647" s="59">
        <f>IF($Y647="","",IF(INDEX($D$6:$D$40000,$Y647)="","",INDEX($D$6:$D$40000,$Y647)))</f>
        <v/>
      </c>
      <c r="AB647">
        <f>IF($Y647="","",INDEX($L$6:$L$40000,$Y647)&amp;"")</f>
        <v/>
      </c>
    </row>
    <row r="648">
      <c r="Y648" s="47">
        <f>IFERROR(MATCH(Library!M648,$M$6:$M$40000,0),"")</f>
        <v/>
      </c>
      <c r="Z648">
        <f>IF($Y648="","",INDEX($C$6:$C$40000,$Y648)&amp;"")</f>
        <v/>
      </c>
      <c r="AA648" s="59">
        <f>IF($Y648="","",IF(INDEX($D$6:$D$40000,$Y648)="","",INDEX($D$6:$D$40000,$Y648)))</f>
        <v/>
      </c>
      <c r="AB648">
        <f>IF($Y648="","",INDEX($L$6:$L$40000,$Y648)&amp;"")</f>
        <v/>
      </c>
    </row>
    <row r="649">
      <c r="Y649" s="47">
        <f>IFERROR(MATCH(Library!M649,$M$6:$M$40000,0),"")</f>
        <v/>
      </c>
      <c r="Z649">
        <f>IF($Y649="","",INDEX($C$6:$C$40000,$Y649)&amp;"")</f>
        <v/>
      </c>
      <c r="AA649" s="59">
        <f>IF($Y649="","",IF(INDEX($D$6:$D$40000,$Y649)="","",INDEX($D$6:$D$40000,$Y649)))</f>
        <v/>
      </c>
      <c r="AB649">
        <f>IF($Y649="","",INDEX($L$6:$L$40000,$Y649)&amp;"")</f>
        <v/>
      </c>
    </row>
    <row r="650">
      <c r="Y650" s="47">
        <f>IFERROR(MATCH(Library!M650,$M$6:$M$40000,0),"")</f>
        <v/>
      </c>
      <c r="Z650">
        <f>IF($Y650="","",INDEX($C$6:$C$40000,$Y650)&amp;"")</f>
        <v/>
      </c>
      <c r="AA650" s="59">
        <f>IF($Y650="","",IF(INDEX($D$6:$D$40000,$Y650)="","",INDEX($D$6:$D$40000,$Y650)))</f>
        <v/>
      </c>
      <c r="AB650">
        <f>IF($Y650="","",INDEX($L$6:$L$40000,$Y650)&amp;"")</f>
        <v/>
      </c>
    </row>
    <row r="651">
      <c r="Y651" s="47">
        <f>IFERROR(MATCH(Library!M651,$M$6:$M$40000,0),"")</f>
        <v/>
      </c>
      <c r="Z651">
        <f>IF($Y651="","",INDEX($C$6:$C$40000,$Y651)&amp;"")</f>
        <v/>
      </c>
      <c r="AA651" s="59">
        <f>IF($Y651="","",IF(INDEX($D$6:$D$40000,$Y651)="","",INDEX($D$6:$D$40000,$Y651)))</f>
        <v/>
      </c>
      <c r="AB651">
        <f>IF($Y651="","",INDEX($L$6:$L$40000,$Y651)&amp;"")</f>
        <v/>
      </c>
    </row>
    <row r="652">
      <c r="Y652" s="47">
        <f>IFERROR(MATCH(Library!M652,$M$6:$M$40000,0),"")</f>
        <v/>
      </c>
      <c r="Z652">
        <f>IF($Y652="","",INDEX($C$6:$C$40000,$Y652)&amp;"")</f>
        <v/>
      </c>
      <c r="AA652" s="59">
        <f>IF($Y652="","",IF(INDEX($D$6:$D$40000,$Y652)="","",INDEX($D$6:$D$40000,$Y652)))</f>
        <v/>
      </c>
      <c r="AB652">
        <f>IF($Y652="","",INDEX($L$6:$L$40000,$Y652)&amp;"")</f>
        <v/>
      </c>
    </row>
    <row r="653">
      <c r="Y653" s="47">
        <f>IFERROR(MATCH(Library!M653,$M$6:$M$40000,0),"")</f>
        <v/>
      </c>
      <c r="Z653">
        <f>IF($Y653="","",INDEX($C$6:$C$40000,$Y653)&amp;"")</f>
        <v/>
      </c>
      <c r="AA653" s="59">
        <f>IF($Y653="","",IF(INDEX($D$6:$D$40000,$Y653)="","",INDEX($D$6:$D$40000,$Y653)))</f>
        <v/>
      </c>
      <c r="AB653">
        <f>IF($Y653="","",INDEX($L$6:$L$40000,$Y653)&amp;"")</f>
        <v/>
      </c>
    </row>
    <row r="654">
      <c r="Y654" s="47">
        <f>IFERROR(MATCH(Library!M654,$M$6:$M$40000,0),"")</f>
        <v/>
      </c>
      <c r="Z654">
        <f>IF($Y654="","",INDEX($C$6:$C$40000,$Y654)&amp;"")</f>
        <v/>
      </c>
      <c r="AA654" s="59">
        <f>IF($Y654="","",IF(INDEX($D$6:$D$40000,$Y654)="","",INDEX($D$6:$D$40000,$Y654)))</f>
        <v/>
      </c>
      <c r="AB654">
        <f>IF($Y654="","",INDEX($L$6:$L$40000,$Y654)&amp;"")</f>
        <v/>
      </c>
    </row>
    <row r="655">
      <c r="Y655" s="47">
        <f>IFERROR(MATCH(Library!M655,$M$6:$M$40000,0),"")</f>
        <v/>
      </c>
      <c r="Z655">
        <f>IF($Y655="","",INDEX($C$6:$C$40000,$Y655)&amp;"")</f>
        <v/>
      </c>
      <c r="AA655" s="59">
        <f>IF($Y655="","",IF(INDEX($D$6:$D$40000,$Y655)="","",INDEX($D$6:$D$40000,$Y655)))</f>
        <v/>
      </c>
      <c r="AB655">
        <f>IF($Y655="","",INDEX($L$6:$L$40000,$Y655)&amp;"")</f>
        <v/>
      </c>
    </row>
    <row r="656">
      <c r="Y656" s="47">
        <f>IFERROR(MATCH(Library!M656,$M$6:$M$40000,0),"")</f>
        <v/>
      </c>
      <c r="Z656">
        <f>IF($Y656="","",INDEX($C$6:$C$40000,$Y656)&amp;"")</f>
        <v/>
      </c>
      <c r="AA656" s="59">
        <f>IF($Y656="","",IF(INDEX($D$6:$D$40000,$Y656)="","",INDEX($D$6:$D$40000,$Y656)))</f>
        <v/>
      </c>
      <c r="AB656">
        <f>IF($Y656="","",INDEX($L$6:$L$40000,$Y656)&amp;"")</f>
        <v/>
      </c>
    </row>
    <row r="657">
      <c r="Y657" s="47">
        <f>IFERROR(MATCH(Library!M657,$M$6:$M$40000,0),"")</f>
        <v/>
      </c>
      <c r="Z657">
        <f>IF($Y657="","",INDEX($C$6:$C$40000,$Y657)&amp;"")</f>
        <v/>
      </c>
      <c r="AA657" s="59">
        <f>IF($Y657="","",IF(INDEX($D$6:$D$40000,$Y657)="","",INDEX($D$6:$D$40000,$Y657)))</f>
        <v/>
      </c>
      <c r="AB657">
        <f>IF($Y657="","",INDEX($L$6:$L$40000,$Y657)&amp;"")</f>
        <v/>
      </c>
    </row>
    <row r="658">
      <c r="Y658" s="47">
        <f>IFERROR(MATCH(Library!M658,$M$6:$M$40000,0),"")</f>
        <v/>
      </c>
      <c r="Z658">
        <f>IF($Y658="","",INDEX($C$6:$C$40000,$Y658)&amp;"")</f>
        <v/>
      </c>
      <c r="AA658" s="59">
        <f>IF($Y658="","",IF(INDEX($D$6:$D$40000,$Y658)="","",INDEX($D$6:$D$40000,$Y658)))</f>
        <v/>
      </c>
      <c r="AB658">
        <f>IF($Y658="","",INDEX($L$6:$L$40000,$Y658)&amp;"")</f>
        <v/>
      </c>
    </row>
    <row r="659">
      <c r="Y659" s="47">
        <f>IFERROR(MATCH(Library!M659,$M$6:$M$40000,0),"")</f>
        <v/>
      </c>
      <c r="Z659">
        <f>IF($Y659="","",INDEX($C$6:$C$40000,$Y659)&amp;"")</f>
        <v/>
      </c>
      <c r="AA659" s="59">
        <f>IF($Y659="","",IF(INDEX($D$6:$D$40000,$Y659)="","",INDEX($D$6:$D$40000,$Y659)))</f>
        <v/>
      </c>
      <c r="AB659">
        <f>IF($Y659="","",INDEX($L$6:$L$40000,$Y659)&amp;"")</f>
        <v/>
      </c>
    </row>
    <row r="660">
      <c r="Y660" s="47">
        <f>IFERROR(MATCH(Library!M660,$M$6:$M$40000,0),"")</f>
        <v/>
      </c>
      <c r="Z660">
        <f>IF($Y660="","",INDEX($C$6:$C$40000,$Y660)&amp;"")</f>
        <v/>
      </c>
      <c r="AA660" s="59">
        <f>IF($Y660="","",IF(INDEX($D$6:$D$40000,$Y660)="","",INDEX($D$6:$D$40000,$Y660)))</f>
        <v/>
      </c>
      <c r="AB660">
        <f>IF($Y660="","",INDEX($L$6:$L$40000,$Y660)&amp;"")</f>
        <v/>
      </c>
    </row>
    <row r="661">
      <c r="Y661" s="47">
        <f>IFERROR(MATCH(Library!M661,$M$6:$M$40000,0),"")</f>
        <v/>
      </c>
      <c r="Z661">
        <f>IF($Y661="","",INDEX($C$6:$C$40000,$Y661)&amp;"")</f>
        <v/>
      </c>
      <c r="AA661" s="59">
        <f>IF($Y661="","",IF(INDEX($D$6:$D$40000,$Y661)="","",INDEX($D$6:$D$40000,$Y661)))</f>
        <v/>
      </c>
      <c r="AB661">
        <f>IF($Y661="","",INDEX($L$6:$L$40000,$Y661)&amp;"")</f>
        <v/>
      </c>
    </row>
    <row r="662">
      <c r="Y662" s="47">
        <f>IFERROR(MATCH(Library!M662,$M$6:$M$40000,0),"")</f>
        <v/>
      </c>
      <c r="Z662">
        <f>IF($Y662="","",INDEX($C$6:$C$40000,$Y662)&amp;"")</f>
        <v/>
      </c>
      <c r="AA662" s="59">
        <f>IF($Y662="","",IF(INDEX($D$6:$D$40000,$Y662)="","",INDEX($D$6:$D$40000,$Y662)))</f>
        <v/>
      </c>
      <c r="AB662">
        <f>IF($Y662="","",INDEX($L$6:$L$40000,$Y662)&amp;"")</f>
        <v/>
      </c>
    </row>
    <row r="663">
      <c r="Y663" s="47">
        <f>IFERROR(MATCH(Library!M663,$M$6:$M$40000,0),"")</f>
        <v/>
      </c>
      <c r="Z663">
        <f>IF($Y663="","",INDEX($C$6:$C$40000,$Y663)&amp;"")</f>
        <v/>
      </c>
      <c r="AA663" s="59">
        <f>IF($Y663="","",IF(INDEX($D$6:$D$40000,$Y663)="","",INDEX($D$6:$D$40000,$Y663)))</f>
        <v/>
      </c>
      <c r="AB663">
        <f>IF($Y663="","",INDEX($L$6:$L$40000,$Y663)&amp;"")</f>
        <v/>
      </c>
    </row>
    <row r="664">
      <c r="Y664" s="47">
        <f>IFERROR(MATCH(Library!M664,$M$6:$M$40000,0),"")</f>
        <v/>
      </c>
      <c r="Z664">
        <f>IF($Y664="","",INDEX($C$6:$C$40000,$Y664)&amp;"")</f>
        <v/>
      </c>
      <c r="AA664" s="59">
        <f>IF($Y664="","",IF(INDEX($D$6:$D$40000,$Y664)="","",INDEX($D$6:$D$40000,$Y664)))</f>
        <v/>
      </c>
      <c r="AB664">
        <f>IF($Y664="","",INDEX($L$6:$L$40000,$Y664)&amp;"")</f>
        <v/>
      </c>
    </row>
    <row r="665">
      <c r="Y665" s="47">
        <f>IFERROR(MATCH(Library!M665,$M$6:$M$40000,0),"")</f>
        <v/>
      </c>
      <c r="Z665">
        <f>IF($Y665="","",INDEX($C$6:$C$40000,$Y665)&amp;"")</f>
        <v/>
      </c>
      <c r="AA665" s="59">
        <f>IF($Y665="","",IF(INDEX($D$6:$D$40000,$Y665)="","",INDEX($D$6:$D$40000,$Y665)))</f>
        <v/>
      </c>
      <c r="AB665">
        <f>IF($Y665="","",INDEX($L$6:$L$40000,$Y665)&amp;"")</f>
        <v/>
      </c>
    </row>
    <row r="666">
      <c r="Y666" s="47">
        <f>IFERROR(MATCH(Library!M666,$M$6:$M$40000,0),"")</f>
        <v/>
      </c>
      <c r="Z666">
        <f>IF($Y666="","",INDEX($C$6:$C$40000,$Y666)&amp;"")</f>
        <v/>
      </c>
      <c r="AA666" s="59">
        <f>IF($Y666="","",IF(INDEX($D$6:$D$40000,$Y666)="","",INDEX($D$6:$D$40000,$Y666)))</f>
        <v/>
      </c>
      <c r="AB666">
        <f>IF($Y666="","",INDEX($L$6:$L$40000,$Y666)&amp;"")</f>
        <v/>
      </c>
    </row>
    <row r="667">
      <c r="Y667" s="47">
        <f>IFERROR(MATCH(Library!M667,$M$6:$M$40000,0),"")</f>
        <v/>
      </c>
      <c r="Z667">
        <f>IF($Y667="","",INDEX($C$6:$C$40000,$Y667)&amp;"")</f>
        <v/>
      </c>
      <c r="AA667" s="59">
        <f>IF($Y667="","",IF(INDEX($D$6:$D$40000,$Y667)="","",INDEX($D$6:$D$40000,$Y667)))</f>
        <v/>
      </c>
      <c r="AB667">
        <f>IF($Y667="","",INDEX($L$6:$L$40000,$Y667)&amp;"")</f>
        <v/>
      </c>
    </row>
    <row r="668">
      <c r="Y668" s="47">
        <f>IFERROR(MATCH(Library!M668,$M$6:$M$40000,0),"")</f>
        <v/>
      </c>
      <c r="Z668">
        <f>IF($Y668="","",INDEX($C$6:$C$40000,$Y668)&amp;"")</f>
        <v/>
      </c>
      <c r="AA668" s="59">
        <f>IF($Y668="","",IF(INDEX($D$6:$D$40000,$Y668)="","",INDEX($D$6:$D$40000,$Y668)))</f>
        <v/>
      </c>
      <c r="AB668">
        <f>IF($Y668="","",INDEX($L$6:$L$40000,$Y668)&amp;"")</f>
        <v/>
      </c>
    </row>
    <row r="669">
      <c r="Y669" s="47">
        <f>IFERROR(MATCH(Library!M669,$M$6:$M$40000,0),"")</f>
        <v/>
      </c>
      <c r="Z669">
        <f>IF($Y669="","",INDEX($C$6:$C$40000,$Y669)&amp;"")</f>
        <v/>
      </c>
      <c r="AA669" s="59">
        <f>IF($Y669="","",IF(INDEX($D$6:$D$40000,$Y669)="","",INDEX($D$6:$D$40000,$Y669)))</f>
        <v/>
      </c>
      <c r="AB669">
        <f>IF($Y669="","",INDEX($L$6:$L$40000,$Y669)&amp;"")</f>
        <v/>
      </c>
    </row>
    <row r="670">
      <c r="Y670" s="47">
        <f>IFERROR(MATCH(Library!M670,$M$6:$M$40000,0),"")</f>
        <v/>
      </c>
      <c r="Z670">
        <f>IF($Y670="","",INDEX($C$6:$C$40000,$Y670)&amp;"")</f>
        <v/>
      </c>
      <c r="AA670" s="59">
        <f>IF($Y670="","",IF(INDEX($D$6:$D$40000,$Y670)="","",INDEX($D$6:$D$40000,$Y670)))</f>
        <v/>
      </c>
      <c r="AB670">
        <f>IF($Y670="","",INDEX($L$6:$L$40000,$Y670)&amp;"")</f>
        <v/>
      </c>
    </row>
    <row r="671">
      <c r="Y671" s="47">
        <f>IFERROR(MATCH(Library!M671,$M$6:$M$40000,0),"")</f>
        <v/>
      </c>
      <c r="Z671">
        <f>IF($Y671="","",INDEX($C$6:$C$40000,$Y671)&amp;"")</f>
        <v/>
      </c>
      <c r="AA671" s="59">
        <f>IF($Y671="","",IF(INDEX($D$6:$D$40000,$Y671)="","",INDEX($D$6:$D$40000,$Y671)))</f>
        <v/>
      </c>
      <c r="AB671">
        <f>IF($Y671="","",INDEX($L$6:$L$40000,$Y671)&amp;"")</f>
        <v/>
      </c>
    </row>
    <row r="672">
      <c r="Y672" s="47">
        <f>IFERROR(MATCH(Library!M672,$M$6:$M$40000,0),"")</f>
        <v/>
      </c>
      <c r="Z672">
        <f>IF($Y672="","",INDEX($C$6:$C$40000,$Y672)&amp;"")</f>
        <v/>
      </c>
      <c r="AA672" s="59">
        <f>IF($Y672="","",IF(INDEX($D$6:$D$40000,$Y672)="","",INDEX($D$6:$D$40000,$Y672)))</f>
        <v/>
      </c>
      <c r="AB672">
        <f>IF($Y672="","",INDEX($L$6:$L$40000,$Y672)&amp;"")</f>
        <v/>
      </c>
    </row>
    <row r="673">
      <c r="Y673" s="47">
        <f>IFERROR(MATCH(Library!M673,$M$6:$M$40000,0),"")</f>
        <v/>
      </c>
      <c r="Z673">
        <f>IF($Y673="","",INDEX($C$6:$C$40000,$Y673)&amp;"")</f>
        <v/>
      </c>
      <c r="AA673" s="59">
        <f>IF($Y673="","",IF(INDEX($D$6:$D$40000,$Y673)="","",INDEX($D$6:$D$40000,$Y673)))</f>
        <v/>
      </c>
      <c r="AB673">
        <f>IF($Y673="","",INDEX($L$6:$L$40000,$Y673)&amp;"")</f>
        <v/>
      </c>
    </row>
    <row r="674">
      <c r="Y674" s="47">
        <f>IFERROR(MATCH(Library!M674,$M$6:$M$40000,0),"")</f>
        <v/>
      </c>
      <c r="Z674">
        <f>IF($Y674="","",INDEX($C$6:$C$40000,$Y674)&amp;"")</f>
        <v/>
      </c>
      <c r="AA674" s="59">
        <f>IF($Y674="","",IF(INDEX($D$6:$D$40000,$Y674)="","",INDEX($D$6:$D$40000,$Y674)))</f>
        <v/>
      </c>
      <c r="AB674">
        <f>IF($Y674="","",INDEX($L$6:$L$40000,$Y674)&amp;"")</f>
        <v/>
      </c>
    </row>
    <row r="675">
      <c r="Y675" s="47">
        <f>IFERROR(MATCH(Library!M675,$M$6:$M$40000,0),"")</f>
        <v/>
      </c>
      <c r="Z675">
        <f>IF($Y675="","",INDEX($C$6:$C$40000,$Y675)&amp;"")</f>
        <v/>
      </c>
      <c r="AA675" s="59">
        <f>IF($Y675="","",IF(INDEX($D$6:$D$40000,$Y675)="","",INDEX($D$6:$D$40000,$Y675)))</f>
        <v/>
      </c>
      <c r="AB675">
        <f>IF($Y675="","",INDEX($L$6:$L$40000,$Y675)&amp;"")</f>
        <v/>
      </c>
    </row>
    <row r="676">
      <c r="Y676" s="47">
        <f>IFERROR(MATCH(Library!M676,$M$6:$M$40000,0),"")</f>
        <v/>
      </c>
      <c r="Z676">
        <f>IF($Y676="","",INDEX($C$6:$C$40000,$Y676)&amp;"")</f>
        <v/>
      </c>
      <c r="AA676" s="59">
        <f>IF($Y676="","",IF(INDEX($D$6:$D$40000,$Y676)="","",INDEX($D$6:$D$40000,$Y676)))</f>
        <v/>
      </c>
      <c r="AB676">
        <f>IF($Y676="","",INDEX($L$6:$L$40000,$Y676)&amp;"")</f>
        <v/>
      </c>
    </row>
    <row r="677">
      <c r="Y677" s="47">
        <f>IFERROR(MATCH(Library!M677,$M$6:$M$40000,0),"")</f>
        <v/>
      </c>
      <c r="Z677">
        <f>IF($Y677="","",INDEX($C$6:$C$40000,$Y677)&amp;"")</f>
        <v/>
      </c>
      <c r="AA677" s="59">
        <f>IF($Y677="","",IF(INDEX($D$6:$D$40000,$Y677)="","",INDEX($D$6:$D$40000,$Y677)))</f>
        <v/>
      </c>
      <c r="AB677">
        <f>IF($Y677="","",INDEX($L$6:$L$40000,$Y677)&amp;"")</f>
        <v/>
      </c>
    </row>
    <row r="678">
      <c r="Y678" s="47">
        <f>IFERROR(MATCH(Library!M678,$M$6:$M$40000,0),"")</f>
        <v/>
      </c>
      <c r="Z678">
        <f>IF($Y678="","",INDEX($C$6:$C$40000,$Y678)&amp;"")</f>
        <v/>
      </c>
      <c r="AA678" s="59">
        <f>IF($Y678="","",IF(INDEX($D$6:$D$40000,$Y678)="","",INDEX($D$6:$D$40000,$Y678)))</f>
        <v/>
      </c>
      <c r="AB678">
        <f>IF($Y678="","",INDEX($L$6:$L$40000,$Y678)&amp;"")</f>
        <v/>
      </c>
    </row>
    <row r="679">
      <c r="Y679" s="47">
        <f>IFERROR(MATCH(Library!M679,$M$6:$M$40000,0),"")</f>
        <v/>
      </c>
      <c r="Z679">
        <f>IF($Y679="","",INDEX($C$6:$C$40000,$Y679)&amp;"")</f>
        <v/>
      </c>
      <c r="AA679" s="59">
        <f>IF($Y679="","",IF(INDEX($D$6:$D$40000,$Y679)="","",INDEX($D$6:$D$40000,$Y679)))</f>
        <v/>
      </c>
      <c r="AB679">
        <f>IF($Y679="","",INDEX($L$6:$L$40000,$Y679)&amp;"")</f>
        <v/>
      </c>
    </row>
    <row r="680">
      <c r="Y680" s="47">
        <f>IFERROR(MATCH(Library!M680,$M$6:$M$40000,0),"")</f>
        <v/>
      </c>
      <c r="Z680">
        <f>IF($Y680="","",INDEX($C$6:$C$40000,$Y680)&amp;"")</f>
        <v/>
      </c>
      <c r="AA680" s="59">
        <f>IF($Y680="","",IF(INDEX($D$6:$D$40000,$Y680)="","",INDEX($D$6:$D$40000,$Y680)))</f>
        <v/>
      </c>
      <c r="AB680">
        <f>IF($Y680="","",INDEX($L$6:$L$40000,$Y680)&amp;"")</f>
        <v/>
      </c>
    </row>
    <row r="681">
      <c r="Y681" s="47">
        <f>IFERROR(MATCH(Library!M681,$M$6:$M$40000,0),"")</f>
        <v/>
      </c>
      <c r="Z681">
        <f>IF($Y681="","",INDEX($C$6:$C$40000,$Y681)&amp;"")</f>
        <v/>
      </c>
      <c r="AA681" s="59">
        <f>IF($Y681="","",IF(INDEX($D$6:$D$40000,$Y681)="","",INDEX($D$6:$D$40000,$Y681)))</f>
        <v/>
      </c>
      <c r="AB681">
        <f>IF($Y681="","",INDEX($L$6:$L$40000,$Y681)&amp;"")</f>
        <v/>
      </c>
    </row>
    <row r="682">
      <c r="Y682" s="47">
        <f>IFERROR(MATCH(Library!M682,$M$6:$M$40000,0),"")</f>
        <v/>
      </c>
      <c r="Z682">
        <f>IF($Y682="","",INDEX($C$6:$C$40000,$Y682)&amp;"")</f>
        <v/>
      </c>
      <c r="AA682" s="59">
        <f>IF($Y682="","",IF(INDEX($D$6:$D$40000,$Y682)="","",INDEX($D$6:$D$40000,$Y682)))</f>
        <v/>
      </c>
      <c r="AB682">
        <f>IF($Y682="","",INDEX($L$6:$L$40000,$Y682)&amp;"")</f>
        <v/>
      </c>
    </row>
    <row r="683">
      <c r="Y683" s="47">
        <f>IFERROR(MATCH(Library!M683,$M$6:$M$40000,0),"")</f>
        <v/>
      </c>
      <c r="Z683">
        <f>IF($Y683="","",INDEX($C$6:$C$40000,$Y683)&amp;"")</f>
        <v/>
      </c>
      <c r="AA683" s="59">
        <f>IF($Y683="","",IF(INDEX($D$6:$D$40000,$Y683)="","",INDEX($D$6:$D$40000,$Y683)))</f>
        <v/>
      </c>
      <c r="AB683">
        <f>IF($Y683="","",INDEX($L$6:$L$40000,$Y683)&amp;"")</f>
        <v/>
      </c>
    </row>
    <row r="684">
      <c r="Y684" s="47">
        <f>IFERROR(MATCH(Library!M684,$M$6:$M$40000,0),"")</f>
        <v/>
      </c>
      <c r="Z684">
        <f>IF($Y684="","",INDEX($C$6:$C$40000,$Y684)&amp;"")</f>
        <v/>
      </c>
      <c r="AA684" s="59">
        <f>IF($Y684="","",IF(INDEX($D$6:$D$40000,$Y684)="","",INDEX($D$6:$D$40000,$Y684)))</f>
        <v/>
      </c>
      <c r="AB684">
        <f>IF($Y684="","",INDEX($L$6:$L$40000,$Y684)&amp;"")</f>
        <v/>
      </c>
    </row>
    <row r="685">
      <c r="Y685" s="47">
        <f>IFERROR(MATCH(Library!M685,$M$6:$M$40000,0),"")</f>
        <v/>
      </c>
      <c r="Z685">
        <f>IF($Y685="","",INDEX($C$6:$C$40000,$Y685)&amp;"")</f>
        <v/>
      </c>
      <c r="AA685" s="59">
        <f>IF($Y685="","",IF(INDEX($D$6:$D$40000,$Y685)="","",INDEX($D$6:$D$40000,$Y685)))</f>
        <v/>
      </c>
      <c r="AB685">
        <f>IF($Y685="","",INDEX($L$6:$L$40000,$Y685)&amp;"")</f>
        <v/>
      </c>
    </row>
    <row r="686">
      <c r="Y686" s="47">
        <f>IFERROR(MATCH(Library!M686,$M$6:$M$40000,0),"")</f>
        <v/>
      </c>
      <c r="Z686">
        <f>IF($Y686="","",INDEX($C$6:$C$40000,$Y686)&amp;"")</f>
        <v/>
      </c>
      <c r="AA686" s="59">
        <f>IF($Y686="","",IF(INDEX($D$6:$D$40000,$Y686)="","",INDEX($D$6:$D$40000,$Y686)))</f>
        <v/>
      </c>
      <c r="AB686">
        <f>IF($Y686="","",INDEX($L$6:$L$40000,$Y686)&amp;"")</f>
        <v/>
      </c>
    </row>
    <row r="687">
      <c r="Y687" s="47">
        <f>IFERROR(MATCH(Library!M687,$M$6:$M$40000,0),"")</f>
        <v/>
      </c>
      <c r="Z687">
        <f>IF($Y687="","",INDEX($C$6:$C$40000,$Y687)&amp;"")</f>
        <v/>
      </c>
      <c r="AA687" s="59">
        <f>IF($Y687="","",IF(INDEX($D$6:$D$40000,$Y687)="","",INDEX($D$6:$D$40000,$Y687)))</f>
        <v/>
      </c>
      <c r="AB687">
        <f>IF($Y687="","",INDEX($L$6:$L$40000,$Y687)&amp;"")</f>
        <v/>
      </c>
    </row>
    <row r="688">
      <c r="Y688" s="47">
        <f>IFERROR(MATCH(Library!M688,$M$6:$M$40000,0),"")</f>
        <v/>
      </c>
      <c r="Z688">
        <f>IF($Y688="","",INDEX($C$6:$C$40000,$Y688)&amp;"")</f>
        <v/>
      </c>
      <c r="AA688" s="59">
        <f>IF($Y688="","",IF(INDEX($D$6:$D$40000,$Y688)="","",INDEX($D$6:$D$40000,$Y688)))</f>
        <v/>
      </c>
      <c r="AB688">
        <f>IF($Y688="","",INDEX($L$6:$L$40000,$Y688)&amp;"")</f>
        <v/>
      </c>
    </row>
    <row r="689">
      <c r="Y689" s="47">
        <f>IFERROR(MATCH(Library!M689,$M$6:$M$40000,0),"")</f>
        <v/>
      </c>
      <c r="Z689">
        <f>IF($Y689="","",INDEX($C$6:$C$40000,$Y689)&amp;"")</f>
        <v/>
      </c>
      <c r="AA689" s="59">
        <f>IF($Y689="","",IF(INDEX($D$6:$D$40000,$Y689)="","",INDEX($D$6:$D$40000,$Y689)))</f>
        <v/>
      </c>
      <c r="AB689">
        <f>IF($Y689="","",INDEX($L$6:$L$40000,$Y689)&amp;"")</f>
        <v/>
      </c>
    </row>
    <row r="690">
      <c r="Y690" s="47">
        <f>IFERROR(MATCH(Library!M690,$M$6:$M$40000,0),"")</f>
        <v/>
      </c>
      <c r="Z690">
        <f>IF($Y690="","",INDEX($C$6:$C$40000,$Y690)&amp;"")</f>
        <v/>
      </c>
      <c r="AA690" s="59">
        <f>IF($Y690="","",IF(INDEX($D$6:$D$40000,$Y690)="","",INDEX($D$6:$D$40000,$Y690)))</f>
        <v/>
      </c>
      <c r="AB690">
        <f>IF($Y690="","",INDEX($L$6:$L$40000,$Y690)&amp;"")</f>
        <v/>
      </c>
    </row>
    <row r="691">
      <c r="Y691" s="47">
        <f>IFERROR(MATCH(Library!M691,$M$6:$M$40000,0),"")</f>
        <v/>
      </c>
      <c r="Z691">
        <f>IF($Y691="","",INDEX($C$6:$C$40000,$Y691)&amp;"")</f>
        <v/>
      </c>
      <c r="AA691" s="59">
        <f>IF($Y691="","",IF(INDEX($D$6:$D$40000,$Y691)="","",INDEX($D$6:$D$40000,$Y691)))</f>
        <v/>
      </c>
      <c r="AB691">
        <f>IF($Y691="","",INDEX($L$6:$L$40000,$Y691)&amp;"")</f>
        <v/>
      </c>
    </row>
    <row r="692">
      <c r="Y692" s="47">
        <f>IFERROR(MATCH(Library!M692,$M$6:$M$40000,0),"")</f>
        <v/>
      </c>
      <c r="Z692">
        <f>IF($Y692="","",INDEX($C$6:$C$40000,$Y692)&amp;"")</f>
        <v/>
      </c>
      <c r="AA692" s="59">
        <f>IF($Y692="","",IF(INDEX($D$6:$D$40000,$Y692)="","",INDEX($D$6:$D$40000,$Y692)))</f>
        <v/>
      </c>
      <c r="AB692">
        <f>IF($Y692="","",INDEX($L$6:$L$40000,$Y692)&amp;"")</f>
        <v/>
      </c>
    </row>
    <row r="693">
      <c r="Y693" s="47">
        <f>IFERROR(MATCH(Library!M693,$M$6:$M$40000,0),"")</f>
        <v/>
      </c>
      <c r="Z693">
        <f>IF($Y693="","",INDEX($C$6:$C$40000,$Y693)&amp;"")</f>
        <v/>
      </c>
      <c r="AA693" s="59">
        <f>IF($Y693="","",IF(INDEX($D$6:$D$40000,$Y693)="","",INDEX($D$6:$D$40000,$Y693)))</f>
        <v/>
      </c>
      <c r="AB693">
        <f>IF($Y693="","",INDEX($L$6:$L$40000,$Y693)&amp;"")</f>
        <v/>
      </c>
    </row>
    <row r="694">
      <c r="Y694" s="47">
        <f>IFERROR(MATCH(Library!M694,$M$6:$M$40000,0),"")</f>
        <v/>
      </c>
      <c r="Z694">
        <f>IF($Y694="","",INDEX($C$6:$C$40000,$Y694)&amp;"")</f>
        <v/>
      </c>
      <c r="AA694" s="59">
        <f>IF($Y694="","",IF(INDEX($D$6:$D$40000,$Y694)="","",INDEX($D$6:$D$40000,$Y694)))</f>
        <v/>
      </c>
      <c r="AB694">
        <f>IF($Y694="","",INDEX($L$6:$L$40000,$Y694)&amp;"")</f>
        <v/>
      </c>
    </row>
    <row r="695">
      <c r="Y695" s="47">
        <f>IFERROR(MATCH(Library!M695,$M$6:$M$40000,0),"")</f>
        <v/>
      </c>
      <c r="Z695">
        <f>IF($Y695="","",INDEX($C$6:$C$40000,$Y695)&amp;"")</f>
        <v/>
      </c>
      <c r="AA695" s="59">
        <f>IF($Y695="","",IF(INDEX($D$6:$D$40000,$Y695)="","",INDEX($D$6:$D$40000,$Y695)))</f>
        <v/>
      </c>
      <c r="AB695">
        <f>IF($Y695="","",INDEX($L$6:$L$40000,$Y695)&amp;"")</f>
        <v/>
      </c>
    </row>
    <row r="696">
      <c r="Y696" s="47">
        <f>IFERROR(MATCH(Library!M696,$M$6:$M$40000,0),"")</f>
        <v/>
      </c>
      <c r="Z696">
        <f>IF($Y696="","",INDEX($C$6:$C$40000,$Y696)&amp;"")</f>
        <v/>
      </c>
      <c r="AA696" s="59">
        <f>IF($Y696="","",IF(INDEX($D$6:$D$40000,$Y696)="","",INDEX($D$6:$D$40000,$Y696)))</f>
        <v/>
      </c>
      <c r="AB696">
        <f>IF($Y696="","",INDEX($L$6:$L$40000,$Y696)&amp;"")</f>
        <v/>
      </c>
    </row>
    <row r="697">
      <c r="Y697" s="47">
        <f>IFERROR(MATCH(Library!M697,$M$6:$M$40000,0),"")</f>
        <v/>
      </c>
      <c r="Z697">
        <f>IF($Y697="","",INDEX($C$6:$C$40000,$Y697)&amp;"")</f>
        <v/>
      </c>
      <c r="AA697" s="59">
        <f>IF($Y697="","",IF(INDEX($D$6:$D$40000,$Y697)="","",INDEX($D$6:$D$40000,$Y697)))</f>
        <v/>
      </c>
      <c r="AB697">
        <f>IF($Y697="","",INDEX($L$6:$L$40000,$Y697)&amp;"")</f>
        <v/>
      </c>
    </row>
    <row r="698">
      <c r="Y698" s="47">
        <f>IFERROR(MATCH(Library!M698,$M$6:$M$40000,0),"")</f>
        <v/>
      </c>
      <c r="Z698">
        <f>IF($Y698="","",INDEX($C$6:$C$40000,$Y698)&amp;"")</f>
        <v/>
      </c>
      <c r="AA698" s="59">
        <f>IF($Y698="","",IF(INDEX($D$6:$D$40000,$Y698)="","",INDEX($D$6:$D$40000,$Y698)))</f>
        <v/>
      </c>
      <c r="AB698">
        <f>IF($Y698="","",INDEX($L$6:$L$40000,$Y698)&amp;"")</f>
        <v/>
      </c>
    </row>
    <row r="699">
      <c r="Y699" s="47">
        <f>IFERROR(MATCH(Library!M699,$M$6:$M$40000,0),"")</f>
        <v/>
      </c>
      <c r="Z699">
        <f>IF($Y699="","",INDEX($C$6:$C$40000,$Y699)&amp;"")</f>
        <v/>
      </c>
      <c r="AA699" s="59">
        <f>IF($Y699="","",IF(INDEX($D$6:$D$40000,$Y699)="","",INDEX($D$6:$D$40000,$Y699)))</f>
        <v/>
      </c>
      <c r="AB699">
        <f>IF($Y699="","",INDEX($L$6:$L$40000,$Y699)&amp;"")</f>
        <v/>
      </c>
    </row>
    <row r="700">
      <c r="Y700" s="47">
        <f>IFERROR(MATCH(Library!M700,$M$6:$M$40000,0),"")</f>
        <v/>
      </c>
      <c r="Z700">
        <f>IF($Y700="","",INDEX($C$6:$C$40000,$Y700)&amp;"")</f>
        <v/>
      </c>
      <c r="AA700" s="59">
        <f>IF($Y700="","",IF(INDEX($D$6:$D$40000,$Y700)="","",INDEX($D$6:$D$40000,$Y700)))</f>
        <v/>
      </c>
      <c r="AB700">
        <f>IF($Y700="","",INDEX($L$6:$L$40000,$Y700)&amp;"")</f>
        <v/>
      </c>
    </row>
    <row r="701">
      <c r="Y701" s="47">
        <f>IFERROR(MATCH(Library!M701,$M$6:$M$40000,0),"")</f>
        <v/>
      </c>
      <c r="Z701">
        <f>IF($Y701="","",INDEX($C$6:$C$40000,$Y701)&amp;"")</f>
        <v/>
      </c>
      <c r="AA701" s="59">
        <f>IF($Y701="","",IF(INDEX($D$6:$D$40000,$Y701)="","",INDEX($D$6:$D$40000,$Y701)))</f>
        <v/>
      </c>
      <c r="AB701">
        <f>IF($Y701="","",INDEX($L$6:$L$40000,$Y701)&amp;"")</f>
        <v/>
      </c>
    </row>
    <row r="702">
      <c r="Y702" s="47">
        <f>IFERROR(MATCH(Library!M702,$M$6:$M$40000,0),"")</f>
        <v/>
      </c>
      <c r="Z702">
        <f>IF($Y702="","",INDEX($C$6:$C$40000,$Y702)&amp;"")</f>
        <v/>
      </c>
      <c r="AA702" s="59">
        <f>IF($Y702="","",IF(INDEX($D$6:$D$40000,$Y702)="","",INDEX($D$6:$D$40000,$Y702)))</f>
        <v/>
      </c>
      <c r="AB702">
        <f>IF($Y702="","",INDEX($L$6:$L$40000,$Y702)&amp;"")</f>
        <v/>
      </c>
    </row>
    <row r="703">
      <c r="Y703" s="47">
        <f>IFERROR(MATCH(Library!M703,$M$6:$M$40000,0),"")</f>
        <v/>
      </c>
      <c r="Z703">
        <f>IF($Y703="","",INDEX($C$6:$C$40000,$Y703)&amp;"")</f>
        <v/>
      </c>
      <c r="AA703" s="59">
        <f>IF($Y703="","",IF(INDEX($D$6:$D$40000,$Y703)="","",INDEX($D$6:$D$40000,$Y703)))</f>
        <v/>
      </c>
      <c r="AB703">
        <f>IF($Y703="","",INDEX($L$6:$L$40000,$Y703)&amp;"")</f>
        <v/>
      </c>
    </row>
    <row r="704">
      <c r="Y704" s="47">
        <f>IFERROR(MATCH(Library!M704,$M$6:$M$40000,0),"")</f>
        <v/>
      </c>
      <c r="Z704">
        <f>IF($Y704="","",INDEX($C$6:$C$40000,$Y704)&amp;"")</f>
        <v/>
      </c>
      <c r="AA704" s="59">
        <f>IF($Y704="","",IF(INDEX($D$6:$D$40000,$Y704)="","",INDEX($D$6:$D$40000,$Y704)))</f>
        <v/>
      </c>
      <c r="AB704">
        <f>IF($Y704="","",INDEX($L$6:$L$40000,$Y704)&amp;"")</f>
        <v/>
      </c>
    </row>
    <row r="705">
      <c r="Y705" s="47">
        <f>IFERROR(MATCH(Library!M705,$M$6:$M$40000,0),"")</f>
        <v/>
      </c>
      <c r="Z705">
        <f>IF($Y705="","",INDEX($C$6:$C$40000,$Y705)&amp;"")</f>
        <v/>
      </c>
      <c r="AA705" s="59">
        <f>IF($Y705="","",IF(INDEX($D$6:$D$40000,$Y705)="","",INDEX($D$6:$D$40000,$Y705)))</f>
        <v/>
      </c>
      <c r="AB705">
        <f>IF($Y705="","",INDEX($L$6:$L$40000,$Y705)&amp;"")</f>
        <v/>
      </c>
    </row>
    <row r="706">
      <c r="Y706" s="47">
        <f>IFERROR(MATCH(Library!M706,$M$6:$M$40000,0),"")</f>
        <v/>
      </c>
      <c r="Z706">
        <f>IF($Y706="","",INDEX($C$6:$C$40000,$Y706)&amp;"")</f>
        <v/>
      </c>
      <c r="AA706" s="59">
        <f>IF($Y706="","",IF(INDEX($D$6:$D$40000,$Y706)="","",INDEX($D$6:$D$40000,$Y706)))</f>
        <v/>
      </c>
      <c r="AB706">
        <f>IF($Y706="","",INDEX($L$6:$L$40000,$Y706)&amp;"")</f>
        <v/>
      </c>
    </row>
    <row r="707">
      <c r="Y707" s="47">
        <f>IFERROR(MATCH(Library!M707,$M$6:$M$40000,0),"")</f>
        <v/>
      </c>
      <c r="Z707">
        <f>IF($Y707="","",INDEX($C$6:$C$40000,$Y707)&amp;"")</f>
        <v/>
      </c>
      <c r="AA707" s="59">
        <f>IF($Y707="","",IF(INDEX($D$6:$D$40000,$Y707)="","",INDEX($D$6:$D$40000,$Y707)))</f>
        <v/>
      </c>
      <c r="AB707">
        <f>IF($Y707="","",INDEX($L$6:$L$40000,$Y707)&amp;"")</f>
        <v/>
      </c>
    </row>
    <row r="708">
      <c r="Y708" s="47">
        <f>IFERROR(MATCH(Library!M708,$M$6:$M$40000,0),"")</f>
        <v/>
      </c>
      <c r="Z708">
        <f>IF($Y708="","",INDEX($C$6:$C$40000,$Y708)&amp;"")</f>
        <v/>
      </c>
      <c r="AA708" s="59">
        <f>IF($Y708="","",IF(INDEX($D$6:$D$40000,$Y708)="","",INDEX($D$6:$D$40000,$Y708)))</f>
        <v/>
      </c>
      <c r="AB708">
        <f>IF($Y708="","",INDEX($L$6:$L$40000,$Y708)&amp;"")</f>
        <v/>
      </c>
    </row>
    <row r="709">
      <c r="Y709" s="47">
        <f>IFERROR(MATCH(Library!M709,$M$6:$M$40000,0),"")</f>
        <v/>
      </c>
      <c r="Z709">
        <f>IF($Y709="","",INDEX($C$6:$C$40000,$Y709)&amp;"")</f>
        <v/>
      </c>
      <c r="AA709" s="59">
        <f>IF($Y709="","",IF(INDEX($D$6:$D$40000,$Y709)="","",INDEX($D$6:$D$40000,$Y709)))</f>
        <v/>
      </c>
      <c r="AB709">
        <f>IF($Y709="","",INDEX($L$6:$L$40000,$Y709)&amp;"")</f>
        <v/>
      </c>
    </row>
    <row r="710">
      <c r="Y710" s="47">
        <f>IFERROR(MATCH(Library!M710,$M$6:$M$40000,0),"")</f>
        <v/>
      </c>
      <c r="Z710">
        <f>IF($Y710="","",INDEX($C$6:$C$40000,$Y710)&amp;"")</f>
        <v/>
      </c>
      <c r="AA710" s="59">
        <f>IF($Y710="","",IF(INDEX($D$6:$D$40000,$Y710)="","",INDEX($D$6:$D$40000,$Y710)))</f>
        <v/>
      </c>
      <c r="AB710">
        <f>IF($Y710="","",INDEX($L$6:$L$40000,$Y710)&amp;"")</f>
        <v/>
      </c>
    </row>
    <row r="711">
      <c r="Y711" s="47">
        <f>IFERROR(MATCH(Library!M711,$M$6:$M$40000,0),"")</f>
        <v/>
      </c>
      <c r="Z711">
        <f>IF($Y711="","",INDEX($C$6:$C$40000,$Y711)&amp;"")</f>
        <v/>
      </c>
      <c r="AA711" s="59">
        <f>IF($Y711="","",IF(INDEX($D$6:$D$40000,$Y711)="","",INDEX($D$6:$D$40000,$Y711)))</f>
        <v/>
      </c>
      <c r="AB711">
        <f>IF($Y711="","",INDEX($L$6:$L$40000,$Y711)&amp;"")</f>
        <v/>
      </c>
    </row>
    <row r="712">
      <c r="Y712" s="47">
        <f>IFERROR(MATCH(Library!M712,$M$6:$M$40000,0),"")</f>
        <v/>
      </c>
      <c r="Z712">
        <f>IF($Y712="","",INDEX($C$6:$C$40000,$Y712)&amp;"")</f>
        <v/>
      </c>
      <c r="AA712" s="59">
        <f>IF($Y712="","",IF(INDEX($D$6:$D$40000,$Y712)="","",INDEX($D$6:$D$40000,$Y712)))</f>
        <v/>
      </c>
      <c r="AB712">
        <f>IF($Y712="","",INDEX($L$6:$L$40000,$Y712)&amp;"")</f>
        <v/>
      </c>
    </row>
    <row r="713">
      <c r="Y713" s="47">
        <f>IFERROR(MATCH(Library!M713,$M$6:$M$40000,0),"")</f>
        <v/>
      </c>
      <c r="Z713">
        <f>IF($Y713="","",INDEX($C$6:$C$40000,$Y713)&amp;"")</f>
        <v/>
      </c>
      <c r="AA713" s="59">
        <f>IF($Y713="","",IF(INDEX($D$6:$D$40000,$Y713)="","",INDEX($D$6:$D$40000,$Y713)))</f>
        <v/>
      </c>
      <c r="AB713">
        <f>IF($Y713="","",INDEX($L$6:$L$40000,$Y713)&amp;"")</f>
        <v/>
      </c>
    </row>
    <row r="714">
      <c r="Y714" s="47">
        <f>IFERROR(MATCH(Library!M714,$M$6:$M$40000,0),"")</f>
        <v/>
      </c>
      <c r="Z714">
        <f>IF($Y714="","",INDEX($C$6:$C$40000,$Y714)&amp;"")</f>
        <v/>
      </c>
      <c r="AA714" s="59">
        <f>IF($Y714="","",IF(INDEX($D$6:$D$40000,$Y714)="","",INDEX($D$6:$D$40000,$Y714)))</f>
        <v/>
      </c>
      <c r="AB714">
        <f>IF($Y714="","",INDEX($L$6:$L$40000,$Y714)&amp;"")</f>
        <v/>
      </c>
    </row>
    <row r="715">
      <c r="Y715" s="47">
        <f>IFERROR(MATCH(Library!M715,$M$6:$M$40000,0),"")</f>
        <v/>
      </c>
      <c r="Z715">
        <f>IF($Y715="","",INDEX($C$6:$C$40000,$Y715)&amp;"")</f>
        <v/>
      </c>
      <c r="AA715" s="59">
        <f>IF($Y715="","",IF(INDEX($D$6:$D$40000,$Y715)="","",INDEX($D$6:$D$40000,$Y715)))</f>
        <v/>
      </c>
      <c r="AB715">
        <f>IF($Y715="","",INDEX($L$6:$L$40000,$Y715)&amp;"")</f>
        <v/>
      </c>
    </row>
    <row r="716">
      <c r="Y716" s="47">
        <f>IFERROR(MATCH(Library!M716,$M$6:$M$40000,0),"")</f>
        <v/>
      </c>
      <c r="Z716">
        <f>IF($Y716="","",INDEX($C$6:$C$40000,$Y716)&amp;"")</f>
        <v/>
      </c>
      <c r="AA716" s="59">
        <f>IF($Y716="","",IF(INDEX($D$6:$D$40000,$Y716)="","",INDEX($D$6:$D$40000,$Y716)))</f>
        <v/>
      </c>
      <c r="AB716">
        <f>IF($Y716="","",INDEX($L$6:$L$40000,$Y716)&amp;"")</f>
        <v/>
      </c>
    </row>
    <row r="717">
      <c r="Y717" s="47">
        <f>IFERROR(MATCH(Library!M717,$M$6:$M$40000,0),"")</f>
        <v/>
      </c>
      <c r="Z717">
        <f>IF($Y717="","",INDEX($C$6:$C$40000,$Y717)&amp;"")</f>
        <v/>
      </c>
      <c r="AA717" s="59">
        <f>IF($Y717="","",IF(INDEX($D$6:$D$40000,$Y717)="","",INDEX($D$6:$D$40000,$Y717)))</f>
        <v/>
      </c>
      <c r="AB717">
        <f>IF($Y717="","",INDEX($L$6:$L$40000,$Y717)&amp;"")</f>
        <v/>
      </c>
    </row>
    <row r="718">
      <c r="Y718" s="47">
        <f>IFERROR(MATCH(Library!M718,$M$6:$M$40000,0),"")</f>
        <v/>
      </c>
      <c r="Z718">
        <f>IF($Y718="","",INDEX($C$6:$C$40000,$Y718)&amp;"")</f>
        <v/>
      </c>
      <c r="AA718" s="59">
        <f>IF($Y718="","",IF(INDEX($D$6:$D$40000,$Y718)="","",INDEX($D$6:$D$40000,$Y718)))</f>
        <v/>
      </c>
      <c r="AB718">
        <f>IF($Y718="","",INDEX($L$6:$L$40000,$Y718)&amp;"")</f>
        <v/>
      </c>
    </row>
    <row r="719">
      <c r="Y719" s="47">
        <f>IFERROR(MATCH(Library!M719,$M$6:$M$40000,0),"")</f>
        <v/>
      </c>
      <c r="Z719">
        <f>IF($Y719="","",INDEX($C$6:$C$40000,$Y719)&amp;"")</f>
        <v/>
      </c>
      <c r="AA719" s="59">
        <f>IF($Y719="","",IF(INDEX($D$6:$D$40000,$Y719)="","",INDEX($D$6:$D$40000,$Y719)))</f>
        <v/>
      </c>
      <c r="AB719">
        <f>IF($Y719="","",INDEX($L$6:$L$40000,$Y719)&amp;"")</f>
        <v/>
      </c>
    </row>
    <row r="720">
      <c r="Y720" s="47">
        <f>IFERROR(MATCH(Library!M720,$M$6:$M$40000,0),"")</f>
        <v/>
      </c>
      <c r="Z720">
        <f>IF($Y720="","",INDEX($C$6:$C$40000,$Y720)&amp;"")</f>
        <v/>
      </c>
      <c r="AA720" s="59">
        <f>IF($Y720="","",IF(INDEX($D$6:$D$40000,$Y720)="","",INDEX($D$6:$D$40000,$Y720)))</f>
        <v/>
      </c>
      <c r="AB720">
        <f>IF($Y720="","",INDEX($L$6:$L$40000,$Y720)&amp;"")</f>
        <v/>
      </c>
    </row>
    <row r="721">
      <c r="Y721" s="47">
        <f>IFERROR(MATCH(Library!M721,$M$6:$M$40000,0),"")</f>
        <v/>
      </c>
      <c r="Z721">
        <f>IF($Y721="","",INDEX($C$6:$C$40000,$Y721)&amp;"")</f>
        <v/>
      </c>
      <c r="AA721" s="59">
        <f>IF($Y721="","",IF(INDEX($D$6:$D$40000,$Y721)="","",INDEX($D$6:$D$40000,$Y721)))</f>
        <v/>
      </c>
      <c r="AB721">
        <f>IF($Y721="","",INDEX($L$6:$L$40000,$Y721)&amp;"")</f>
        <v/>
      </c>
    </row>
    <row r="722">
      <c r="Y722" s="47">
        <f>IFERROR(MATCH(Library!M722,$M$6:$M$40000,0),"")</f>
        <v/>
      </c>
      <c r="Z722">
        <f>IF($Y722="","",INDEX($C$6:$C$40000,$Y722)&amp;"")</f>
        <v/>
      </c>
      <c r="AA722" s="59">
        <f>IF($Y722="","",IF(INDEX($D$6:$D$40000,$Y722)="","",INDEX($D$6:$D$40000,$Y722)))</f>
        <v/>
      </c>
      <c r="AB722">
        <f>IF($Y722="","",INDEX($L$6:$L$40000,$Y722)&amp;"")</f>
        <v/>
      </c>
    </row>
    <row r="723">
      <c r="Y723" s="47">
        <f>IFERROR(MATCH(Library!M723,$M$6:$M$40000,0),"")</f>
        <v/>
      </c>
      <c r="Z723">
        <f>IF($Y723="","",INDEX($C$6:$C$40000,$Y723)&amp;"")</f>
        <v/>
      </c>
      <c r="AA723" s="59">
        <f>IF($Y723="","",IF(INDEX($D$6:$D$40000,$Y723)="","",INDEX($D$6:$D$40000,$Y723)))</f>
        <v/>
      </c>
      <c r="AB723">
        <f>IF($Y723="","",INDEX($L$6:$L$40000,$Y723)&amp;"")</f>
        <v/>
      </c>
    </row>
    <row r="724">
      <c r="Y724" s="47">
        <f>IFERROR(MATCH(Library!M724,$M$6:$M$40000,0),"")</f>
        <v/>
      </c>
      <c r="Z724">
        <f>IF($Y724="","",INDEX($C$6:$C$40000,$Y724)&amp;"")</f>
        <v/>
      </c>
      <c r="AA724" s="59">
        <f>IF($Y724="","",IF(INDEX($D$6:$D$40000,$Y724)="","",INDEX($D$6:$D$40000,$Y724)))</f>
        <v/>
      </c>
      <c r="AB724">
        <f>IF($Y724="","",INDEX($L$6:$L$40000,$Y724)&amp;"")</f>
        <v/>
      </c>
    </row>
    <row r="725">
      <c r="Y725" s="47">
        <f>IFERROR(MATCH(Library!M725,$M$6:$M$40000,0),"")</f>
        <v/>
      </c>
      <c r="Z725">
        <f>IF($Y725="","",INDEX($C$6:$C$40000,$Y725)&amp;"")</f>
        <v/>
      </c>
      <c r="AA725" s="59">
        <f>IF($Y725="","",IF(INDEX($D$6:$D$40000,$Y725)="","",INDEX($D$6:$D$40000,$Y725)))</f>
        <v/>
      </c>
      <c r="AB725">
        <f>IF($Y725="","",INDEX($L$6:$L$40000,$Y725)&amp;"")</f>
        <v/>
      </c>
    </row>
    <row r="726">
      <c r="Y726" s="47">
        <f>IFERROR(MATCH(Library!M726,$M$6:$M$40000,0),"")</f>
        <v/>
      </c>
      <c r="Z726">
        <f>IF($Y726="","",INDEX($C$6:$C$40000,$Y726)&amp;"")</f>
        <v/>
      </c>
      <c r="AA726" s="59">
        <f>IF($Y726="","",IF(INDEX($D$6:$D$40000,$Y726)="","",INDEX($D$6:$D$40000,$Y726)))</f>
        <v/>
      </c>
      <c r="AB726">
        <f>IF($Y726="","",INDEX($L$6:$L$40000,$Y726)&amp;"")</f>
        <v/>
      </c>
    </row>
    <row r="727">
      <c r="Y727" s="47">
        <f>IFERROR(MATCH(Library!M727,$M$6:$M$40000,0),"")</f>
        <v/>
      </c>
      <c r="Z727">
        <f>IF($Y727="","",INDEX($C$6:$C$40000,$Y727)&amp;"")</f>
        <v/>
      </c>
      <c r="AA727" s="59">
        <f>IF($Y727="","",IF(INDEX($D$6:$D$40000,$Y727)="","",INDEX($D$6:$D$40000,$Y727)))</f>
        <v/>
      </c>
      <c r="AB727">
        <f>IF($Y727="","",INDEX($L$6:$L$40000,$Y727)&amp;"")</f>
        <v/>
      </c>
    </row>
    <row r="728">
      <c r="Y728" s="47">
        <f>IFERROR(MATCH(Library!M728,$M$6:$M$40000,0),"")</f>
        <v/>
      </c>
      <c r="Z728">
        <f>IF($Y728="","",INDEX($C$6:$C$40000,$Y728)&amp;"")</f>
        <v/>
      </c>
      <c r="AA728" s="59">
        <f>IF($Y728="","",IF(INDEX($D$6:$D$40000,$Y728)="","",INDEX($D$6:$D$40000,$Y728)))</f>
        <v/>
      </c>
      <c r="AB728">
        <f>IF($Y728="","",INDEX($L$6:$L$40000,$Y728)&amp;"")</f>
        <v/>
      </c>
    </row>
    <row r="729">
      <c r="Y729" s="47">
        <f>IFERROR(MATCH(Library!M729,$M$6:$M$40000,0),"")</f>
        <v/>
      </c>
      <c r="Z729">
        <f>IF($Y729="","",INDEX($C$6:$C$40000,$Y729)&amp;"")</f>
        <v/>
      </c>
      <c r="AA729" s="59">
        <f>IF($Y729="","",IF(INDEX($D$6:$D$40000,$Y729)="","",INDEX($D$6:$D$40000,$Y729)))</f>
        <v/>
      </c>
      <c r="AB729">
        <f>IF($Y729="","",INDEX($L$6:$L$40000,$Y729)&amp;"")</f>
        <v/>
      </c>
    </row>
    <row r="730">
      <c r="Y730" s="47">
        <f>IFERROR(MATCH(Library!M730,$M$6:$M$40000,0),"")</f>
        <v/>
      </c>
      <c r="Z730">
        <f>IF($Y730="","",INDEX($C$6:$C$40000,$Y730)&amp;"")</f>
        <v/>
      </c>
      <c r="AA730" s="59">
        <f>IF($Y730="","",IF(INDEX($D$6:$D$40000,$Y730)="","",INDEX($D$6:$D$40000,$Y730)))</f>
        <v/>
      </c>
      <c r="AB730">
        <f>IF($Y730="","",INDEX($L$6:$L$40000,$Y730)&amp;"")</f>
        <v/>
      </c>
    </row>
    <row r="731">
      <c r="Y731" s="47">
        <f>IFERROR(MATCH(Library!M731,$M$6:$M$40000,0),"")</f>
        <v/>
      </c>
      <c r="Z731">
        <f>IF($Y731="","",INDEX($C$6:$C$40000,$Y731)&amp;"")</f>
        <v/>
      </c>
      <c r="AA731" s="59">
        <f>IF($Y731="","",IF(INDEX($D$6:$D$40000,$Y731)="","",INDEX($D$6:$D$40000,$Y731)))</f>
        <v/>
      </c>
      <c r="AB731">
        <f>IF($Y731="","",INDEX($L$6:$L$40000,$Y731)&amp;"")</f>
        <v/>
      </c>
    </row>
    <row r="732">
      <c r="Y732" s="47">
        <f>IFERROR(MATCH(Library!M732,$M$6:$M$40000,0),"")</f>
        <v/>
      </c>
      <c r="Z732">
        <f>IF($Y732="","",INDEX($C$6:$C$40000,$Y732)&amp;"")</f>
        <v/>
      </c>
      <c r="AA732" s="59">
        <f>IF($Y732="","",IF(INDEX($D$6:$D$40000,$Y732)="","",INDEX($D$6:$D$40000,$Y732)))</f>
        <v/>
      </c>
      <c r="AB732">
        <f>IF($Y732="","",INDEX($L$6:$L$40000,$Y732)&amp;"")</f>
        <v/>
      </c>
    </row>
    <row r="733">
      <c r="Y733" s="47">
        <f>IFERROR(MATCH(Library!M733,$M$6:$M$40000,0),"")</f>
        <v/>
      </c>
      <c r="Z733">
        <f>IF($Y733="","",INDEX($C$6:$C$40000,$Y733)&amp;"")</f>
        <v/>
      </c>
      <c r="AA733" s="59">
        <f>IF($Y733="","",IF(INDEX($D$6:$D$40000,$Y733)="","",INDEX($D$6:$D$40000,$Y733)))</f>
        <v/>
      </c>
      <c r="AB733">
        <f>IF($Y733="","",INDEX($L$6:$L$40000,$Y733)&amp;"")</f>
        <v/>
      </c>
    </row>
    <row r="734">
      <c r="Y734" s="47">
        <f>IFERROR(MATCH(Library!M734,$M$6:$M$40000,0),"")</f>
        <v/>
      </c>
      <c r="Z734">
        <f>IF($Y734="","",INDEX($C$6:$C$40000,$Y734)&amp;"")</f>
        <v/>
      </c>
      <c r="AA734" s="59">
        <f>IF($Y734="","",IF(INDEX($D$6:$D$40000,$Y734)="","",INDEX($D$6:$D$40000,$Y734)))</f>
        <v/>
      </c>
      <c r="AB734">
        <f>IF($Y734="","",INDEX($L$6:$L$40000,$Y734)&amp;"")</f>
        <v/>
      </c>
    </row>
    <row r="735">
      <c r="Y735" s="47">
        <f>IFERROR(MATCH(Library!M735,$M$6:$M$40000,0),"")</f>
        <v/>
      </c>
      <c r="Z735">
        <f>IF($Y735="","",INDEX($C$6:$C$40000,$Y735)&amp;"")</f>
        <v/>
      </c>
      <c r="AA735" s="59">
        <f>IF($Y735="","",IF(INDEX($D$6:$D$40000,$Y735)="","",INDEX($D$6:$D$40000,$Y735)))</f>
        <v/>
      </c>
      <c r="AB735">
        <f>IF($Y735="","",INDEX($L$6:$L$40000,$Y735)&amp;"")</f>
        <v/>
      </c>
    </row>
    <row r="736">
      <c r="Y736" s="47">
        <f>IFERROR(MATCH(Library!M736,$M$6:$M$40000,0),"")</f>
        <v/>
      </c>
      <c r="Z736">
        <f>IF($Y736="","",INDEX($C$6:$C$40000,$Y736)&amp;"")</f>
        <v/>
      </c>
      <c r="AA736" s="59">
        <f>IF($Y736="","",IF(INDEX($D$6:$D$40000,$Y736)="","",INDEX($D$6:$D$40000,$Y736)))</f>
        <v/>
      </c>
      <c r="AB736">
        <f>IF($Y736="","",INDEX($L$6:$L$40000,$Y736)&amp;"")</f>
        <v/>
      </c>
    </row>
    <row r="737">
      <c r="Y737" s="47">
        <f>IFERROR(MATCH(Library!M737,$M$6:$M$40000,0),"")</f>
        <v/>
      </c>
      <c r="Z737">
        <f>IF($Y737="","",INDEX($C$6:$C$40000,$Y737)&amp;"")</f>
        <v/>
      </c>
      <c r="AA737" s="59">
        <f>IF($Y737="","",IF(INDEX($D$6:$D$40000,$Y737)="","",INDEX($D$6:$D$40000,$Y737)))</f>
        <v/>
      </c>
      <c r="AB737">
        <f>IF($Y737="","",INDEX($L$6:$L$40000,$Y737)&amp;"")</f>
        <v/>
      </c>
    </row>
    <row r="738">
      <c r="Y738" s="47">
        <f>IFERROR(MATCH(Library!M738,$M$6:$M$40000,0),"")</f>
        <v/>
      </c>
      <c r="Z738">
        <f>IF($Y738="","",INDEX($C$6:$C$40000,$Y738)&amp;"")</f>
        <v/>
      </c>
      <c r="AA738" s="59">
        <f>IF($Y738="","",IF(INDEX($D$6:$D$40000,$Y738)="","",INDEX($D$6:$D$40000,$Y738)))</f>
        <v/>
      </c>
      <c r="AB738">
        <f>IF($Y738="","",INDEX($L$6:$L$40000,$Y738)&amp;"")</f>
        <v/>
      </c>
    </row>
    <row r="739">
      <c r="Y739" s="47">
        <f>IFERROR(MATCH(Library!M739,$M$6:$M$40000,0),"")</f>
        <v/>
      </c>
      <c r="Z739">
        <f>IF($Y739="","",INDEX($C$6:$C$40000,$Y739)&amp;"")</f>
        <v/>
      </c>
      <c r="AA739" s="59">
        <f>IF($Y739="","",IF(INDEX($D$6:$D$40000,$Y739)="","",INDEX($D$6:$D$40000,$Y739)))</f>
        <v/>
      </c>
      <c r="AB739">
        <f>IF($Y739="","",INDEX($L$6:$L$40000,$Y739)&amp;"")</f>
        <v/>
      </c>
    </row>
    <row r="740">
      <c r="Y740" s="47">
        <f>IFERROR(MATCH(Library!M740,$M$6:$M$40000,0),"")</f>
        <v/>
      </c>
      <c r="Z740">
        <f>IF($Y740="","",INDEX($C$6:$C$40000,$Y740)&amp;"")</f>
        <v/>
      </c>
      <c r="AA740" s="59">
        <f>IF($Y740="","",IF(INDEX($D$6:$D$40000,$Y740)="","",INDEX($D$6:$D$40000,$Y740)))</f>
        <v/>
      </c>
      <c r="AB740">
        <f>IF($Y740="","",INDEX($L$6:$L$40000,$Y740)&amp;"")</f>
        <v/>
      </c>
    </row>
    <row r="741">
      <c r="Y741" s="47">
        <f>IFERROR(MATCH(Library!M741,$M$6:$M$40000,0),"")</f>
        <v/>
      </c>
      <c r="Z741">
        <f>IF($Y741="","",INDEX($C$6:$C$40000,$Y741)&amp;"")</f>
        <v/>
      </c>
      <c r="AA741" s="59">
        <f>IF($Y741="","",IF(INDEX($D$6:$D$40000,$Y741)="","",INDEX($D$6:$D$40000,$Y741)))</f>
        <v/>
      </c>
      <c r="AB741">
        <f>IF($Y741="","",INDEX($L$6:$L$40000,$Y741)&amp;"")</f>
        <v/>
      </c>
    </row>
    <row r="742">
      <c r="Y742" s="47">
        <f>IFERROR(MATCH(Library!M742,$M$6:$M$40000,0),"")</f>
        <v/>
      </c>
      <c r="Z742">
        <f>IF($Y742="","",INDEX($C$6:$C$40000,$Y742)&amp;"")</f>
        <v/>
      </c>
      <c r="AA742" s="59">
        <f>IF($Y742="","",IF(INDEX($D$6:$D$40000,$Y742)="","",INDEX($D$6:$D$40000,$Y742)))</f>
        <v/>
      </c>
      <c r="AB742">
        <f>IF($Y742="","",INDEX($L$6:$L$40000,$Y742)&amp;"")</f>
        <v/>
      </c>
    </row>
    <row r="743">
      <c r="Y743" s="47">
        <f>IFERROR(MATCH(Library!M743,$M$6:$M$40000,0),"")</f>
        <v/>
      </c>
      <c r="Z743">
        <f>IF($Y743="","",INDEX($C$6:$C$40000,$Y743)&amp;"")</f>
        <v/>
      </c>
      <c r="AA743" s="59">
        <f>IF($Y743="","",IF(INDEX($D$6:$D$40000,$Y743)="","",INDEX($D$6:$D$40000,$Y743)))</f>
        <v/>
      </c>
      <c r="AB743">
        <f>IF($Y743="","",INDEX($L$6:$L$40000,$Y743)&amp;"")</f>
        <v/>
      </c>
    </row>
    <row r="744">
      <c r="Y744" s="47">
        <f>IFERROR(MATCH(Library!M744,$M$6:$M$40000,0),"")</f>
        <v/>
      </c>
      <c r="Z744">
        <f>IF($Y744="","",INDEX($C$6:$C$40000,$Y744)&amp;"")</f>
        <v/>
      </c>
      <c r="AA744" s="59">
        <f>IF($Y744="","",IF(INDEX($D$6:$D$40000,$Y744)="","",INDEX($D$6:$D$40000,$Y744)))</f>
        <v/>
      </c>
      <c r="AB744">
        <f>IF($Y744="","",INDEX($L$6:$L$40000,$Y744)&amp;"")</f>
        <v/>
      </c>
    </row>
    <row r="745">
      <c r="Y745" s="47">
        <f>IFERROR(MATCH(Library!M745,$M$6:$M$40000,0),"")</f>
        <v/>
      </c>
      <c r="Z745">
        <f>IF($Y745="","",INDEX($C$6:$C$40000,$Y745)&amp;"")</f>
        <v/>
      </c>
      <c r="AA745" s="59">
        <f>IF($Y745="","",IF(INDEX($D$6:$D$40000,$Y745)="","",INDEX($D$6:$D$40000,$Y745)))</f>
        <v/>
      </c>
      <c r="AB745">
        <f>IF($Y745="","",INDEX($L$6:$L$40000,$Y745)&amp;"")</f>
        <v/>
      </c>
    </row>
    <row r="746">
      <c r="Y746" s="47">
        <f>IFERROR(MATCH(Library!M746,$M$6:$M$40000,0),"")</f>
        <v/>
      </c>
      <c r="Z746">
        <f>IF($Y746="","",INDEX($C$6:$C$40000,$Y746)&amp;"")</f>
        <v/>
      </c>
      <c r="AA746" s="59">
        <f>IF($Y746="","",IF(INDEX($D$6:$D$40000,$Y746)="","",INDEX($D$6:$D$40000,$Y746)))</f>
        <v/>
      </c>
      <c r="AB746">
        <f>IF($Y746="","",INDEX($L$6:$L$40000,$Y746)&amp;"")</f>
        <v/>
      </c>
    </row>
    <row r="747">
      <c r="Y747" s="47">
        <f>IFERROR(MATCH(Library!M747,$M$6:$M$40000,0),"")</f>
        <v/>
      </c>
      <c r="Z747">
        <f>IF($Y747="","",INDEX($C$6:$C$40000,$Y747)&amp;"")</f>
        <v/>
      </c>
      <c r="AA747" s="59">
        <f>IF($Y747="","",IF(INDEX($D$6:$D$40000,$Y747)="","",INDEX($D$6:$D$40000,$Y747)))</f>
        <v/>
      </c>
      <c r="AB747">
        <f>IF($Y747="","",INDEX($L$6:$L$40000,$Y747)&amp;"")</f>
        <v/>
      </c>
    </row>
    <row r="748">
      <c r="Y748" s="47">
        <f>IFERROR(MATCH(Library!M748,$M$6:$M$40000,0),"")</f>
        <v/>
      </c>
      <c r="Z748">
        <f>IF($Y748="","",INDEX($C$6:$C$40000,$Y748)&amp;"")</f>
        <v/>
      </c>
      <c r="AA748" s="59">
        <f>IF($Y748="","",IF(INDEX($D$6:$D$40000,$Y748)="","",INDEX($D$6:$D$40000,$Y748)))</f>
        <v/>
      </c>
      <c r="AB748">
        <f>IF($Y748="","",INDEX($L$6:$L$40000,$Y748)&amp;"")</f>
        <v/>
      </c>
    </row>
    <row r="749">
      <c r="Y749" s="47">
        <f>IFERROR(MATCH(Library!M749,$M$6:$M$40000,0),"")</f>
        <v/>
      </c>
      <c r="Z749">
        <f>IF($Y749="","",INDEX($C$6:$C$40000,$Y749)&amp;"")</f>
        <v/>
      </c>
      <c r="AA749" s="59">
        <f>IF($Y749="","",IF(INDEX($D$6:$D$40000,$Y749)="","",INDEX($D$6:$D$40000,$Y749)))</f>
        <v/>
      </c>
      <c r="AB749">
        <f>IF($Y749="","",INDEX($L$6:$L$40000,$Y749)&amp;"")</f>
        <v/>
      </c>
    </row>
    <row r="750">
      <c r="Y750" s="47">
        <f>IFERROR(MATCH(Library!M750,$M$6:$M$40000,0),"")</f>
        <v/>
      </c>
      <c r="Z750">
        <f>IF($Y750="","",INDEX($C$6:$C$40000,$Y750)&amp;"")</f>
        <v/>
      </c>
      <c r="AA750" s="59">
        <f>IF($Y750="","",IF(INDEX($D$6:$D$40000,$Y750)="","",INDEX($D$6:$D$40000,$Y750)))</f>
        <v/>
      </c>
      <c r="AB750">
        <f>IF($Y750="","",INDEX($L$6:$L$40000,$Y750)&amp;"")</f>
        <v/>
      </c>
    </row>
    <row r="751">
      <c r="Y751" s="47">
        <f>IFERROR(MATCH(Library!M751,$M$6:$M$40000,0),"")</f>
        <v/>
      </c>
      <c r="Z751">
        <f>IF($Y751="","",INDEX($C$6:$C$40000,$Y751)&amp;"")</f>
        <v/>
      </c>
      <c r="AA751" s="59">
        <f>IF($Y751="","",IF(INDEX($D$6:$D$40000,$Y751)="","",INDEX($D$6:$D$40000,$Y751)))</f>
        <v/>
      </c>
      <c r="AB751">
        <f>IF($Y751="","",INDEX($L$6:$L$40000,$Y751)&amp;"")</f>
        <v/>
      </c>
    </row>
    <row r="752">
      <c r="Y752" s="47">
        <f>IFERROR(MATCH(Library!M752,$M$6:$M$40000,0),"")</f>
        <v/>
      </c>
      <c r="Z752">
        <f>IF($Y752="","",INDEX($C$6:$C$40000,$Y752)&amp;"")</f>
        <v/>
      </c>
      <c r="AA752" s="59">
        <f>IF($Y752="","",IF(INDEX($D$6:$D$40000,$Y752)="","",INDEX($D$6:$D$40000,$Y752)))</f>
        <v/>
      </c>
      <c r="AB752">
        <f>IF($Y752="","",INDEX($L$6:$L$40000,$Y752)&amp;"")</f>
        <v/>
      </c>
    </row>
    <row r="753">
      <c r="Y753" s="47">
        <f>IFERROR(MATCH(Library!M753,$M$6:$M$40000,0),"")</f>
        <v/>
      </c>
      <c r="Z753">
        <f>IF($Y753="","",INDEX($C$6:$C$40000,$Y753)&amp;"")</f>
        <v/>
      </c>
      <c r="AA753" s="59">
        <f>IF($Y753="","",IF(INDEX($D$6:$D$40000,$Y753)="","",INDEX($D$6:$D$40000,$Y753)))</f>
        <v/>
      </c>
      <c r="AB753">
        <f>IF($Y753="","",INDEX($L$6:$L$40000,$Y753)&amp;"")</f>
        <v/>
      </c>
    </row>
    <row r="754">
      <c r="Y754" s="47">
        <f>IFERROR(MATCH(Library!M754,$M$6:$M$40000,0),"")</f>
        <v/>
      </c>
      <c r="Z754">
        <f>IF($Y754="","",INDEX($C$6:$C$40000,$Y754)&amp;"")</f>
        <v/>
      </c>
      <c r="AA754" s="59">
        <f>IF($Y754="","",IF(INDEX($D$6:$D$40000,$Y754)="","",INDEX($D$6:$D$40000,$Y754)))</f>
        <v/>
      </c>
      <c r="AB754">
        <f>IF($Y754="","",INDEX($L$6:$L$40000,$Y754)&amp;"")</f>
        <v/>
      </c>
    </row>
    <row r="755">
      <c r="Y755" s="47">
        <f>IFERROR(MATCH(Library!M755,$M$6:$M$40000,0),"")</f>
        <v/>
      </c>
      <c r="Z755">
        <f>IF($Y755="","",INDEX($C$6:$C$40000,$Y755)&amp;"")</f>
        <v/>
      </c>
      <c r="AA755" s="59">
        <f>IF($Y755="","",IF(INDEX($D$6:$D$40000,$Y755)="","",INDEX($D$6:$D$40000,$Y755)))</f>
        <v/>
      </c>
      <c r="AB755">
        <f>IF($Y755="","",INDEX($L$6:$L$40000,$Y755)&amp;"")</f>
        <v/>
      </c>
    </row>
    <row r="756">
      <c r="Y756" s="47">
        <f>IFERROR(MATCH(Library!M756,$M$6:$M$40000,0),"")</f>
        <v/>
      </c>
      <c r="Z756">
        <f>IF($Y756="","",INDEX($C$6:$C$40000,$Y756)&amp;"")</f>
        <v/>
      </c>
      <c r="AA756" s="59">
        <f>IF($Y756="","",IF(INDEX($D$6:$D$40000,$Y756)="","",INDEX($D$6:$D$40000,$Y756)))</f>
        <v/>
      </c>
      <c r="AB756">
        <f>IF($Y756="","",INDEX($L$6:$L$40000,$Y756)&amp;"")</f>
        <v/>
      </c>
    </row>
    <row r="757">
      <c r="Y757" s="47">
        <f>IFERROR(MATCH(Library!M757,$M$6:$M$40000,0),"")</f>
        <v/>
      </c>
      <c r="Z757">
        <f>IF($Y757="","",INDEX($C$6:$C$40000,$Y757)&amp;"")</f>
        <v/>
      </c>
      <c r="AA757" s="59">
        <f>IF($Y757="","",IF(INDEX($D$6:$D$40000,$Y757)="","",INDEX($D$6:$D$40000,$Y757)))</f>
        <v/>
      </c>
      <c r="AB757">
        <f>IF($Y757="","",INDEX($L$6:$L$40000,$Y757)&amp;"")</f>
        <v/>
      </c>
    </row>
    <row r="758">
      <c r="Y758" s="47">
        <f>IFERROR(MATCH(Library!M758,$M$6:$M$40000,0),"")</f>
        <v/>
      </c>
      <c r="Z758">
        <f>IF($Y758="","",INDEX($C$6:$C$40000,$Y758)&amp;"")</f>
        <v/>
      </c>
      <c r="AA758" s="59">
        <f>IF($Y758="","",IF(INDEX($D$6:$D$40000,$Y758)="","",INDEX($D$6:$D$40000,$Y758)))</f>
        <v/>
      </c>
      <c r="AB758">
        <f>IF($Y758="","",INDEX($L$6:$L$40000,$Y758)&amp;"")</f>
        <v/>
      </c>
    </row>
    <row r="759">
      <c r="Y759" s="47">
        <f>IFERROR(MATCH(Library!M759,$M$6:$M$40000,0),"")</f>
        <v/>
      </c>
      <c r="Z759">
        <f>IF($Y759="","",INDEX($C$6:$C$40000,$Y759)&amp;"")</f>
        <v/>
      </c>
      <c r="AA759" s="59">
        <f>IF($Y759="","",IF(INDEX($D$6:$D$40000,$Y759)="","",INDEX($D$6:$D$40000,$Y759)))</f>
        <v/>
      </c>
      <c r="AB759">
        <f>IF($Y759="","",INDEX($L$6:$L$40000,$Y759)&amp;"")</f>
        <v/>
      </c>
    </row>
    <row r="760">
      <c r="Y760" s="47">
        <f>IFERROR(MATCH(Library!M760,$M$6:$M$40000,0),"")</f>
        <v/>
      </c>
      <c r="Z760">
        <f>IF($Y760="","",INDEX($C$6:$C$40000,$Y760)&amp;"")</f>
        <v/>
      </c>
      <c r="AA760" s="59">
        <f>IF($Y760="","",IF(INDEX($D$6:$D$40000,$Y760)="","",INDEX($D$6:$D$40000,$Y760)))</f>
        <v/>
      </c>
      <c r="AB760">
        <f>IF($Y760="","",INDEX($L$6:$L$40000,$Y760)&amp;"")</f>
        <v/>
      </c>
    </row>
    <row r="761">
      <c r="Y761" s="47">
        <f>IFERROR(MATCH(Library!M761,$M$6:$M$40000,0),"")</f>
        <v/>
      </c>
      <c r="Z761">
        <f>IF($Y761="","",INDEX($C$6:$C$40000,$Y761)&amp;"")</f>
        <v/>
      </c>
      <c r="AA761" s="59">
        <f>IF($Y761="","",IF(INDEX($D$6:$D$40000,$Y761)="","",INDEX($D$6:$D$40000,$Y761)))</f>
        <v/>
      </c>
      <c r="AB761">
        <f>IF($Y761="","",INDEX($L$6:$L$40000,$Y761)&amp;"")</f>
        <v/>
      </c>
    </row>
    <row r="762">
      <c r="Y762" s="47">
        <f>IFERROR(MATCH(Library!M762,$M$6:$M$40000,0),"")</f>
        <v/>
      </c>
      <c r="Z762">
        <f>IF($Y762="","",INDEX($C$6:$C$40000,$Y762)&amp;"")</f>
        <v/>
      </c>
      <c r="AA762" s="59">
        <f>IF($Y762="","",IF(INDEX($D$6:$D$40000,$Y762)="","",INDEX($D$6:$D$40000,$Y762)))</f>
        <v/>
      </c>
      <c r="AB762">
        <f>IF($Y762="","",INDEX($L$6:$L$40000,$Y762)&amp;"")</f>
        <v/>
      </c>
    </row>
    <row r="763">
      <c r="Y763" s="47">
        <f>IFERROR(MATCH(Library!M763,$M$6:$M$40000,0),"")</f>
        <v/>
      </c>
      <c r="Z763">
        <f>IF($Y763="","",INDEX($C$6:$C$40000,$Y763)&amp;"")</f>
        <v/>
      </c>
      <c r="AA763" s="59">
        <f>IF($Y763="","",IF(INDEX($D$6:$D$40000,$Y763)="","",INDEX($D$6:$D$40000,$Y763)))</f>
        <v/>
      </c>
      <c r="AB763">
        <f>IF($Y763="","",INDEX($L$6:$L$40000,$Y763)&amp;"")</f>
        <v/>
      </c>
    </row>
    <row r="764">
      <c r="Y764" s="47">
        <f>IFERROR(MATCH(Library!M764,$M$6:$M$40000,0),"")</f>
        <v/>
      </c>
      <c r="Z764">
        <f>IF($Y764="","",INDEX($C$6:$C$40000,$Y764)&amp;"")</f>
        <v/>
      </c>
      <c r="AA764" s="59">
        <f>IF($Y764="","",IF(INDEX($D$6:$D$40000,$Y764)="","",INDEX($D$6:$D$40000,$Y764)))</f>
        <v/>
      </c>
      <c r="AB764">
        <f>IF($Y764="","",INDEX($L$6:$L$40000,$Y764)&amp;"")</f>
        <v/>
      </c>
    </row>
    <row r="765">
      <c r="Y765" s="47">
        <f>IFERROR(MATCH(Library!M765,$M$6:$M$40000,0),"")</f>
        <v/>
      </c>
      <c r="Z765">
        <f>IF($Y765="","",INDEX($C$6:$C$40000,$Y765)&amp;"")</f>
        <v/>
      </c>
      <c r="AA765" s="59">
        <f>IF($Y765="","",IF(INDEX($D$6:$D$40000,$Y765)="","",INDEX($D$6:$D$40000,$Y765)))</f>
        <v/>
      </c>
      <c r="AB765">
        <f>IF($Y765="","",INDEX($L$6:$L$40000,$Y765)&amp;"")</f>
        <v/>
      </c>
    </row>
    <row r="766">
      <c r="Y766" s="47">
        <f>IFERROR(MATCH(Library!M766,$M$6:$M$40000,0),"")</f>
        <v/>
      </c>
      <c r="Z766">
        <f>IF($Y766="","",INDEX($C$6:$C$40000,$Y766)&amp;"")</f>
        <v/>
      </c>
      <c r="AA766" s="59">
        <f>IF($Y766="","",IF(INDEX($D$6:$D$40000,$Y766)="","",INDEX($D$6:$D$40000,$Y766)))</f>
        <v/>
      </c>
      <c r="AB766">
        <f>IF($Y766="","",INDEX($L$6:$L$40000,$Y766)&amp;"")</f>
        <v/>
      </c>
    </row>
    <row r="767">
      <c r="Y767" s="47">
        <f>IFERROR(MATCH(Library!M767,$M$6:$M$40000,0),"")</f>
        <v/>
      </c>
      <c r="Z767">
        <f>IF($Y767="","",INDEX($C$6:$C$40000,$Y767)&amp;"")</f>
        <v/>
      </c>
      <c r="AA767" s="59">
        <f>IF($Y767="","",IF(INDEX($D$6:$D$40000,$Y767)="","",INDEX($D$6:$D$40000,$Y767)))</f>
        <v/>
      </c>
      <c r="AB767">
        <f>IF($Y767="","",INDEX($L$6:$L$40000,$Y767)&amp;"")</f>
        <v/>
      </c>
    </row>
    <row r="768">
      <c r="Y768" s="47">
        <f>IFERROR(MATCH(Library!M768,$M$6:$M$40000,0),"")</f>
        <v/>
      </c>
      <c r="Z768">
        <f>IF($Y768="","",INDEX($C$6:$C$40000,$Y768)&amp;"")</f>
        <v/>
      </c>
      <c r="AA768" s="59">
        <f>IF($Y768="","",IF(INDEX($D$6:$D$40000,$Y768)="","",INDEX($D$6:$D$40000,$Y768)))</f>
        <v/>
      </c>
      <c r="AB768">
        <f>IF($Y768="","",INDEX($L$6:$L$40000,$Y768)&amp;"")</f>
        <v/>
      </c>
    </row>
    <row r="769">
      <c r="Y769" s="47">
        <f>IFERROR(MATCH(Library!M769,$M$6:$M$40000,0),"")</f>
        <v/>
      </c>
      <c r="Z769">
        <f>IF($Y769="","",INDEX($C$6:$C$40000,$Y769)&amp;"")</f>
        <v/>
      </c>
      <c r="AA769" s="59">
        <f>IF($Y769="","",IF(INDEX($D$6:$D$40000,$Y769)="","",INDEX($D$6:$D$40000,$Y769)))</f>
        <v/>
      </c>
      <c r="AB769">
        <f>IF($Y769="","",INDEX($L$6:$L$40000,$Y769)&amp;"")</f>
        <v/>
      </c>
    </row>
    <row r="770">
      <c r="Y770" s="47">
        <f>IFERROR(MATCH(Library!M770,$M$6:$M$40000,0),"")</f>
        <v/>
      </c>
      <c r="Z770">
        <f>IF($Y770="","",INDEX($C$6:$C$40000,$Y770)&amp;"")</f>
        <v/>
      </c>
      <c r="AA770" s="59">
        <f>IF($Y770="","",IF(INDEX($D$6:$D$40000,$Y770)="","",INDEX($D$6:$D$40000,$Y770)))</f>
        <v/>
      </c>
      <c r="AB770">
        <f>IF($Y770="","",INDEX($L$6:$L$40000,$Y770)&amp;"")</f>
        <v/>
      </c>
    </row>
    <row r="771">
      <c r="Y771" s="47">
        <f>IFERROR(MATCH(Library!M771,$M$6:$M$40000,0),"")</f>
        <v/>
      </c>
      <c r="Z771">
        <f>IF($Y771="","",INDEX($C$6:$C$40000,$Y771)&amp;"")</f>
        <v/>
      </c>
      <c r="AA771" s="59">
        <f>IF($Y771="","",IF(INDEX($D$6:$D$40000,$Y771)="","",INDEX($D$6:$D$40000,$Y771)))</f>
        <v/>
      </c>
      <c r="AB771">
        <f>IF($Y771="","",INDEX($L$6:$L$40000,$Y771)&amp;"")</f>
        <v/>
      </c>
    </row>
    <row r="772">
      <c r="Y772" s="47">
        <f>IFERROR(MATCH(Library!M772,$M$6:$M$40000,0),"")</f>
        <v/>
      </c>
      <c r="Z772">
        <f>IF($Y772="","",INDEX($C$6:$C$40000,$Y772)&amp;"")</f>
        <v/>
      </c>
      <c r="AA772" s="59">
        <f>IF($Y772="","",IF(INDEX($D$6:$D$40000,$Y772)="","",INDEX($D$6:$D$40000,$Y772)))</f>
        <v/>
      </c>
      <c r="AB772">
        <f>IF($Y772="","",INDEX($L$6:$L$40000,$Y772)&amp;"")</f>
        <v/>
      </c>
    </row>
    <row r="773">
      <c r="Y773" s="47">
        <f>IFERROR(MATCH(Library!M773,$M$6:$M$40000,0),"")</f>
        <v/>
      </c>
      <c r="Z773">
        <f>IF($Y773="","",INDEX($C$6:$C$40000,$Y773)&amp;"")</f>
        <v/>
      </c>
      <c r="AA773" s="59">
        <f>IF($Y773="","",IF(INDEX($D$6:$D$40000,$Y773)="","",INDEX($D$6:$D$40000,$Y773)))</f>
        <v/>
      </c>
      <c r="AB773">
        <f>IF($Y773="","",INDEX($L$6:$L$40000,$Y773)&amp;"")</f>
        <v/>
      </c>
    </row>
    <row r="774">
      <c r="Y774" s="47">
        <f>IFERROR(MATCH(Library!M774,$M$6:$M$40000,0),"")</f>
        <v/>
      </c>
      <c r="Z774">
        <f>IF($Y774="","",INDEX($C$6:$C$40000,$Y774)&amp;"")</f>
        <v/>
      </c>
      <c r="AA774" s="59">
        <f>IF($Y774="","",IF(INDEX($D$6:$D$40000,$Y774)="","",INDEX($D$6:$D$40000,$Y774)))</f>
        <v/>
      </c>
      <c r="AB774">
        <f>IF($Y774="","",INDEX($L$6:$L$40000,$Y774)&amp;"")</f>
        <v/>
      </c>
    </row>
    <row r="775">
      <c r="Y775" s="47">
        <f>IFERROR(MATCH(Library!M775,$M$6:$M$40000,0),"")</f>
        <v/>
      </c>
      <c r="Z775">
        <f>IF($Y775="","",INDEX($C$6:$C$40000,$Y775)&amp;"")</f>
        <v/>
      </c>
      <c r="AA775" s="59">
        <f>IF($Y775="","",IF(INDEX($D$6:$D$40000,$Y775)="","",INDEX($D$6:$D$40000,$Y775)))</f>
        <v/>
      </c>
      <c r="AB775">
        <f>IF($Y775="","",INDEX($L$6:$L$40000,$Y775)&amp;"")</f>
        <v/>
      </c>
    </row>
    <row r="776">
      <c r="Y776" s="47">
        <f>IFERROR(MATCH(Library!M776,$M$6:$M$40000,0),"")</f>
        <v/>
      </c>
      <c r="Z776">
        <f>IF($Y776="","",INDEX($C$6:$C$40000,$Y776)&amp;"")</f>
        <v/>
      </c>
      <c r="AA776" s="59">
        <f>IF($Y776="","",IF(INDEX($D$6:$D$40000,$Y776)="","",INDEX($D$6:$D$40000,$Y776)))</f>
        <v/>
      </c>
      <c r="AB776">
        <f>IF($Y776="","",INDEX($L$6:$L$40000,$Y776)&amp;"")</f>
        <v/>
      </c>
    </row>
    <row r="777">
      <c r="Y777" s="47">
        <f>IFERROR(MATCH(Library!M777,$M$6:$M$40000,0),"")</f>
        <v/>
      </c>
      <c r="Z777">
        <f>IF($Y777="","",INDEX($C$6:$C$40000,$Y777)&amp;"")</f>
        <v/>
      </c>
      <c r="AA777" s="59">
        <f>IF($Y777="","",IF(INDEX($D$6:$D$40000,$Y777)="","",INDEX($D$6:$D$40000,$Y777)))</f>
        <v/>
      </c>
      <c r="AB777">
        <f>IF($Y777="","",INDEX($L$6:$L$40000,$Y777)&amp;"")</f>
        <v/>
      </c>
    </row>
    <row r="778">
      <c r="Y778" s="47">
        <f>IFERROR(MATCH(Library!M778,$M$6:$M$40000,0),"")</f>
        <v/>
      </c>
      <c r="Z778">
        <f>IF($Y778="","",INDEX($C$6:$C$40000,$Y778)&amp;"")</f>
        <v/>
      </c>
      <c r="AA778" s="59">
        <f>IF($Y778="","",IF(INDEX($D$6:$D$40000,$Y778)="","",INDEX($D$6:$D$40000,$Y778)))</f>
        <v/>
      </c>
      <c r="AB778">
        <f>IF($Y778="","",INDEX($L$6:$L$40000,$Y778)&amp;"")</f>
        <v/>
      </c>
    </row>
    <row r="779">
      <c r="Y779" s="47">
        <f>IFERROR(MATCH(Library!M779,$M$6:$M$40000,0),"")</f>
        <v/>
      </c>
      <c r="Z779">
        <f>IF($Y779="","",INDEX($C$6:$C$40000,$Y779)&amp;"")</f>
        <v/>
      </c>
      <c r="AA779" s="59">
        <f>IF($Y779="","",IF(INDEX($D$6:$D$40000,$Y779)="","",INDEX($D$6:$D$40000,$Y779)))</f>
        <v/>
      </c>
      <c r="AB779">
        <f>IF($Y779="","",INDEX($L$6:$L$40000,$Y779)&amp;"")</f>
        <v/>
      </c>
    </row>
    <row r="780">
      <c r="Y780" s="47">
        <f>IFERROR(MATCH(Library!M780,$M$6:$M$40000,0),"")</f>
        <v/>
      </c>
      <c r="Z780">
        <f>IF($Y780="","",INDEX($C$6:$C$40000,$Y780)&amp;"")</f>
        <v/>
      </c>
      <c r="AA780" s="59">
        <f>IF($Y780="","",IF(INDEX($D$6:$D$40000,$Y780)="","",INDEX($D$6:$D$40000,$Y780)))</f>
        <v/>
      </c>
      <c r="AB780">
        <f>IF($Y780="","",INDEX($L$6:$L$40000,$Y780)&amp;"")</f>
        <v/>
      </c>
    </row>
    <row r="781">
      <c r="Y781" s="47">
        <f>IFERROR(MATCH(Library!M781,$M$6:$M$40000,0),"")</f>
        <v/>
      </c>
      <c r="Z781">
        <f>IF($Y781="","",INDEX($C$6:$C$40000,$Y781)&amp;"")</f>
        <v/>
      </c>
      <c r="AA781" s="59">
        <f>IF($Y781="","",IF(INDEX($D$6:$D$40000,$Y781)="","",INDEX($D$6:$D$40000,$Y781)))</f>
        <v/>
      </c>
      <c r="AB781">
        <f>IF($Y781="","",INDEX($L$6:$L$40000,$Y781)&amp;"")</f>
        <v/>
      </c>
    </row>
    <row r="782">
      <c r="Y782" s="47">
        <f>IFERROR(MATCH(Library!M782,$M$6:$M$40000,0),"")</f>
        <v/>
      </c>
      <c r="Z782">
        <f>IF($Y782="","",INDEX($C$6:$C$40000,$Y782)&amp;"")</f>
        <v/>
      </c>
      <c r="AA782" s="59">
        <f>IF($Y782="","",IF(INDEX($D$6:$D$40000,$Y782)="","",INDEX($D$6:$D$40000,$Y782)))</f>
        <v/>
      </c>
      <c r="AB782">
        <f>IF($Y782="","",INDEX($L$6:$L$40000,$Y782)&amp;"")</f>
        <v/>
      </c>
    </row>
    <row r="783">
      <c r="Y783" s="47">
        <f>IFERROR(MATCH(Library!M783,$M$6:$M$40000,0),"")</f>
        <v/>
      </c>
      <c r="Z783">
        <f>IF($Y783="","",INDEX($C$6:$C$40000,$Y783)&amp;"")</f>
        <v/>
      </c>
      <c r="AA783" s="59">
        <f>IF($Y783="","",IF(INDEX($D$6:$D$40000,$Y783)="","",INDEX($D$6:$D$40000,$Y783)))</f>
        <v/>
      </c>
      <c r="AB783">
        <f>IF($Y783="","",INDEX($L$6:$L$40000,$Y783)&amp;"")</f>
        <v/>
      </c>
    </row>
    <row r="784">
      <c r="Y784" s="47">
        <f>IFERROR(MATCH(Library!M784,$M$6:$M$40000,0),"")</f>
        <v/>
      </c>
      <c r="Z784">
        <f>IF($Y784="","",INDEX($C$6:$C$40000,$Y784)&amp;"")</f>
        <v/>
      </c>
      <c r="AA784" s="59">
        <f>IF($Y784="","",IF(INDEX($D$6:$D$40000,$Y784)="","",INDEX($D$6:$D$40000,$Y784)))</f>
        <v/>
      </c>
      <c r="AB784">
        <f>IF($Y784="","",INDEX($L$6:$L$40000,$Y784)&amp;"")</f>
        <v/>
      </c>
    </row>
    <row r="785">
      <c r="Y785" s="47">
        <f>IFERROR(MATCH(Library!M785,$M$6:$M$40000,0),"")</f>
        <v/>
      </c>
      <c r="Z785">
        <f>IF($Y785="","",INDEX($C$6:$C$40000,$Y785)&amp;"")</f>
        <v/>
      </c>
      <c r="AA785" s="59">
        <f>IF($Y785="","",IF(INDEX($D$6:$D$40000,$Y785)="","",INDEX($D$6:$D$40000,$Y785)))</f>
        <v/>
      </c>
      <c r="AB785">
        <f>IF($Y785="","",INDEX($L$6:$L$40000,$Y785)&amp;"")</f>
        <v/>
      </c>
    </row>
    <row r="786">
      <c r="Y786" s="47">
        <f>IFERROR(MATCH(Library!M786,$M$6:$M$40000,0),"")</f>
        <v/>
      </c>
      <c r="Z786">
        <f>IF($Y786="","",INDEX($C$6:$C$40000,$Y786)&amp;"")</f>
        <v/>
      </c>
      <c r="AA786" s="59">
        <f>IF($Y786="","",IF(INDEX($D$6:$D$40000,$Y786)="","",INDEX($D$6:$D$40000,$Y786)))</f>
        <v/>
      </c>
      <c r="AB786">
        <f>IF($Y786="","",INDEX($L$6:$L$40000,$Y786)&amp;"")</f>
        <v/>
      </c>
    </row>
    <row r="787">
      <c r="Y787" s="47">
        <f>IFERROR(MATCH(Library!M787,$M$6:$M$40000,0),"")</f>
        <v/>
      </c>
      <c r="Z787">
        <f>IF($Y787="","",INDEX($C$6:$C$40000,$Y787)&amp;"")</f>
        <v/>
      </c>
      <c r="AA787" s="59">
        <f>IF($Y787="","",IF(INDEX($D$6:$D$40000,$Y787)="","",INDEX($D$6:$D$40000,$Y787)))</f>
        <v/>
      </c>
      <c r="AB787">
        <f>IF($Y787="","",INDEX($L$6:$L$40000,$Y787)&amp;"")</f>
        <v/>
      </c>
    </row>
    <row r="788">
      <c r="Y788" s="47">
        <f>IFERROR(MATCH(Library!M788,$M$6:$M$40000,0),"")</f>
        <v/>
      </c>
      <c r="Z788">
        <f>IF($Y788="","",INDEX($C$6:$C$40000,$Y788)&amp;"")</f>
        <v/>
      </c>
      <c r="AA788" s="59">
        <f>IF($Y788="","",IF(INDEX($D$6:$D$40000,$Y788)="","",INDEX($D$6:$D$40000,$Y788)))</f>
        <v/>
      </c>
      <c r="AB788">
        <f>IF($Y788="","",INDEX($L$6:$L$40000,$Y788)&amp;"")</f>
        <v/>
      </c>
    </row>
    <row r="789">
      <c r="Y789" s="47">
        <f>IFERROR(MATCH(Library!M789,$M$6:$M$40000,0),"")</f>
        <v/>
      </c>
      <c r="Z789">
        <f>IF($Y789="","",INDEX($C$6:$C$40000,$Y789)&amp;"")</f>
        <v/>
      </c>
      <c r="AA789" s="59">
        <f>IF($Y789="","",IF(INDEX($D$6:$D$40000,$Y789)="","",INDEX($D$6:$D$40000,$Y789)))</f>
        <v/>
      </c>
      <c r="AB789">
        <f>IF($Y789="","",INDEX($L$6:$L$40000,$Y789)&amp;"")</f>
        <v/>
      </c>
    </row>
    <row r="790">
      <c r="Y790" s="47">
        <f>IFERROR(MATCH(Library!M790,$M$6:$M$40000,0),"")</f>
        <v/>
      </c>
      <c r="Z790">
        <f>IF($Y790="","",INDEX($C$6:$C$40000,$Y790)&amp;"")</f>
        <v/>
      </c>
      <c r="AA790" s="59">
        <f>IF($Y790="","",IF(INDEX($D$6:$D$40000,$Y790)="","",INDEX($D$6:$D$40000,$Y790)))</f>
        <v/>
      </c>
      <c r="AB790">
        <f>IF($Y790="","",INDEX($L$6:$L$40000,$Y790)&amp;"")</f>
        <v/>
      </c>
    </row>
    <row r="791">
      <c r="Y791" s="47">
        <f>IFERROR(MATCH(Library!M791,$M$6:$M$40000,0),"")</f>
        <v/>
      </c>
      <c r="Z791">
        <f>IF($Y791="","",INDEX($C$6:$C$40000,$Y791)&amp;"")</f>
        <v/>
      </c>
      <c r="AA791" s="59">
        <f>IF($Y791="","",IF(INDEX($D$6:$D$40000,$Y791)="","",INDEX($D$6:$D$40000,$Y791)))</f>
        <v/>
      </c>
      <c r="AB791">
        <f>IF($Y791="","",INDEX($L$6:$L$40000,$Y791)&amp;"")</f>
        <v/>
      </c>
    </row>
    <row r="792">
      <c r="Y792" s="47">
        <f>IFERROR(MATCH(Library!M792,$M$6:$M$40000,0),"")</f>
        <v/>
      </c>
      <c r="Z792">
        <f>IF($Y792="","",INDEX($C$6:$C$40000,$Y792)&amp;"")</f>
        <v/>
      </c>
      <c r="AA792" s="59">
        <f>IF($Y792="","",IF(INDEX($D$6:$D$40000,$Y792)="","",INDEX($D$6:$D$40000,$Y792)))</f>
        <v/>
      </c>
      <c r="AB792">
        <f>IF($Y792="","",INDEX($L$6:$L$40000,$Y792)&amp;"")</f>
        <v/>
      </c>
    </row>
    <row r="793">
      <c r="Y793" s="47">
        <f>IFERROR(MATCH(Library!M793,$M$6:$M$40000,0),"")</f>
        <v/>
      </c>
      <c r="Z793">
        <f>IF($Y793="","",INDEX($C$6:$C$40000,$Y793)&amp;"")</f>
        <v/>
      </c>
      <c r="AA793" s="59">
        <f>IF($Y793="","",IF(INDEX($D$6:$D$40000,$Y793)="","",INDEX($D$6:$D$40000,$Y793)))</f>
        <v/>
      </c>
      <c r="AB793">
        <f>IF($Y793="","",INDEX($L$6:$L$40000,$Y793)&amp;"")</f>
        <v/>
      </c>
    </row>
    <row r="794">
      <c r="Y794" s="47">
        <f>IFERROR(MATCH(Library!M794,$M$6:$M$40000,0),"")</f>
        <v/>
      </c>
      <c r="Z794">
        <f>IF($Y794="","",INDEX($C$6:$C$40000,$Y794)&amp;"")</f>
        <v/>
      </c>
      <c r="AA794" s="59">
        <f>IF($Y794="","",IF(INDEX($D$6:$D$40000,$Y794)="","",INDEX($D$6:$D$40000,$Y794)))</f>
        <v/>
      </c>
      <c r="AB794">
        <f>IF($Y794="","",INDEX($L$6:$L$40000,$Y794)&amp;"")</f>
        <v/>
      </c>
    </row>
    <row r="795">
      <c r="Y795" s="47">
        <f>IFERROR(MATCH(Library!M795,$M$6:$M$40000,0),"")</f>
        <v/>
      </c>
      <c r="Z795">
        <f>IF($Y795="","",INDEX($C$6:$C$40000,$Y795)&amp;"")</f>
        <v/>
      </c>
      <c r="AA795" s="59">
        <f>IF($Y795="","",IF(INDEX($D$6:$D$40000,$Y795)="","",INDEX($D$6:$D$40000,$Y795)))</f>
        <v/>
      </c>
      <c r="AB795">
        <f>IF($Y795="","",INDEX($L$6:$L$40000,$Y795)&amp;"")</f>
        <v/>
      </c>
    </row>
    <row r="796">
      <c r="Y796" s="47">
        <f>IFERROR(MATCH(Library!M796,$M$6:$M$40000,0),"")</f>
        <v/>
      </c>
      <c r="Z796">
        <f>IF($Y796="","",INDEX($C$6:$C$40000,$Y796)&amp;"")</f>
        <v/>
      </c>
      <c r="AA796" s="59">
        <f>IF($Y796="","",IF(INDEX($D$6:$D$40000,$Y796)="","",INDEX($D$6:$D$40000,$Y796)))</f>
        <v/>
      </c>
      <c r="AB796">
        <f>IF($Y796="","",INDEX($L$6:$L$40000,$Y796)&amp;"")</f>
        <v/>
      </c>
    </row>
    <row r="797">
      <c r="Y797" s="47">
        <f>IFERROR(MATCH(Library!M797,$M$6:$M$40000,0),"")</f>
        <v/>
      </c>
      <c r="Z797">
        <f>IF($Y797="","",INDEX($C$6:$C$40000,$Y797)&amp;"")</f>
        <v/>
      </c>
      <c r="AA797" s="59">
        <f>IF($Y797="","",IF(INDEX($D$6:$D$40000,$Y797)="","",INDEX($D$6:$D$40000,$Y797)))</f>
        <v/>
      </c>
      <c r="AB797">
        <f>IF($Y797="","",INDEX($L$6:$L$40000,$Y797)&amp;"")</f>
        <v/>
      </c>
    </row>
    <row r="798">
      <c r="Y798" s="47">
        <f>IFERROR(MATCH(Library!M798,$M$6:$M$40000,0),"")</f>
        <v/>
      </c>
      <c r="Z798">
        <f>IF($Y798="","",INDEX($C$6:$C$40000,$Y798)&amp;"")</f>
        <v/>
      </c>
      <c r="AA798" s="59">
        <f>IF($Y798="","",IF(INDEX($D$6:$D$40000,$Y798)="","",INDEX($D$6:$D$40000,$Y798)))</f>
        <v/>
      </c>
      <c r="AB798">
        <f>IF($Y798="","",INDEX($L$6:$L$40000,$Y798)&amp;"")</f>
        <v/>
      </c>
    </row>
    <row r="799">
      <c r="Y799" s="47">
        <f>IFERROR(MATCH(Library!M799,$M$6:$M$40000,0),"")</f>
        <v/>
      </c>
      <c r="Z799">
        <f>IF($Y799="","",INDEX($C$6:$C$40000,$Y799)&amp;"")</f>
        <v/>
      </c>
      <c r="AA799" s="59">
        <f>IF($Y799="","",IF(INDEX($D$6:$D$40000,$Y799)="","",INDEX($D$6:$D$40000,$Y799)))</f>
        <v/>
      </c>
      <c r="AB799">
        <f>IF($Y799="","",INDEX($L$6:$L$40000,$Y799)&amp;"")</f>
        <v/>
      </c>
    </row>
    <row r="800">
      <c r="Y800" s="47">
        <f>IFERROR(MATCH(Library!M800,$M$6:$M$40000,0),"")</f>
        <v/>
      </c>
      <c r="Z800">
        <f>IF($Y800="","",INDEX($C$6:$C$40000,$Y800)&amp;"")</f>
        <v/>
      </c>
      <c r="AA800" s="59">
        <f>IF($Y800="","",IF(INDEX($D$6:$D$40000,$Y800)="","",INDEX($D$6:$D$40000,$Y800)))</f>
        <v/>
      </c>
      <c r="AB800">
        <f>IF($Y800="","",INDEX($L$6:$L$40000,$Y800)&amp;"")</f>
        <v/>
      </c>
    </row>
    <row r="801">
      <c r="Y801" s="47">
        <f>IFERROR(MATCH(Library!M801,$M$6:$M$40000,0),"")</f>
        <v/>
      </c>
      <c r="Z801">
        <f>IF($Y801="","",INDEX($C$6:$C$40000,$Y801)&amp;"")</f>
        <v/>
      </c>
      <c r="AA801" s="59">
        <f>IF($Y801="","",IF(INDEX($D$6:$D$40000,$Y801)="","",INDEX($D$6:$D$40000,$Y801)))</f>
        <v/>
      </c>
      <c r="AB801">
        <f>IF($Y801="","",INDEX($L$6:$L$40000,$Y801)&amp;"")</f>
        <v/>
      </c>
    </row>
    <row r="802">
      <c r="Y802" s="47">
        <f>IFERROR(MATCH(Library!M802,$M$6:$M$40000,0),"")</f>
        <v/>
      </c>
      <c r="Z802">
        <f>IF($Y802="","",INDEX($C$6:$C$40000,$Y802)&amp;"")</f>
        <v/>
      </c>
      <c r="AA802" s="59">
        <f>IF($Y802="","",IF(INDEX($D$6:$D$40000,$Y802)="","",INDEX($D$6:$D$40000,$Y802)))</f>
        <v/>
      </c>
      <c r="AB802">
        <f>IF($Y802="","",INDEX($L$6:$L$40000,$Y802)&amp;"")</f>
        <v/>
      </c>
    </row>
    <row r="803">
      <c r="Y803" s="47">
        <f>IFERROR(MATCH(Library!M803,$M$6:$M$40000,0),"")</f>
        <v/>
      </c>
      <c r="Z803">
        <f>IF($Y803="","",INDEX($C$6:$C$40000,$Y803)&amp;"")</f>
        <v/>
      </c>
      <c r="AA803" s="59">
        <f>IF($Y803="","",IF(INDEX($D$6:$D$40000,$Y803)="","",INDEX($D$6:$D$40000,$Y803)))</f>
        <v/>
      </c>
      <c r="AB803">
        <f>IF($Y803="","",INDEX($L$6:$L$40000,$Y803)&amp;"")</f>
        <v/>
      </c>
    </row>
    <row r="804">
      <c r="Y804" s="47">
        <f>IFERROR(MATCH(Library!M804,$M$6:$M$40000,0),"")</f>
        <v/>
      </c>
      <c r="Z804">
        <f>IF($Y804="","",INDEX($C$6:$C$40000,$Y804)&amp;"")</f>
        <v/>
      </c>
      <c r="AA804" s="59">
        <f>IF($Y804="","",IF(INDEX($D$6:$D$40000,$Y804)="","",INDEX($D$6:$D$40000,$Y804)))</f>
        <v/>
      </c>
      <c r="AB804">
        <f>IF($Y804="","",INDEX($L$6:$L$40000,$Y804)&amp;"")</f>
        <v/>
      </c>
    </row>
    <row r="805">
      <c r="Y805" s="47">
        <f>IFERROR(MATCH(Library!M805,$M$6:$M$40000,0),"")</f>
        <v/>
      </c>
      <c r="Z805">
        <f>IF($Y805="","",INDEX($C$6:$C$40000,$Y805)&amp;"")</f>
        <v/>
      </c>
      <c r="AA805" s="59">
        <f>IF($Y805="","",IF(INDEX($D$6:$D$40000,$Y805)="","",INDEX($D$6:$D$40000,$Y805)))</f>
        <v/>
      </c>
      <c r="AB805">
        <f>IF($Y805="","",INDEX($L$6:$L$40000,$Y805)&amp;"")</f>
        <v/>
      </c>
    </row>
    <row r="806">
      <c r="Y806" s="47">
        <f>IFERROR(MATCH(Library!M806,$M$6:$M$40000,0),"")</f>
        <v/>
      </c>
      <c r="Z806">
        <f>IF($Y806="","",INDEX($C$6:$C$40000,$Y806)&amp;"")</f>
        <v/>
      </c>
      <c r="AA806" s="59">
        <f>IF($Y806="","",IF(INDEX($D$6:$D$40000,$Y806)="","",INDEX($D$6:$D$40000,$Y806)))</f>
        <v/>
      </c>
      <c r="AB806">
        <f>IF($Y806="","",INDEX($L$6:$L$40000,$Y806)&amp;"")</f>
        <v/>
      </c>
    </row>
    <row r="807">
      <c r="Y807" s="47">
        <f>IFERROR(MATCH(Library!M807,$M$6:$M$40000,0),"")</f>
        <v/>
      </c>
      <c r="Z807">
        <f>IF($Y807="","",INDEX($C$6:$C$40000,$Y807)&amp;"")</f>
        <v/>
      </c>
      <c r="AA807" s="59">
        <f>IF($Y807="","",IF(INDEX($D$6:$D$40000,$Y807)="","",INDEX($D$6:$D$40000,$Y807)))</f>
        <v/>
      </c>
      <c r="AB807">
        <f>IF($Y807="","",INDEX($L$6:$L$40000,$Y807)&amp;"")</f>
        <v/>
      </c>
    </row>
    <row r="808">
      <c r="Y808" s="47">
        <f>IFERROR(MATCH(Library!M808,$M$6:$M$40000,0),"")</f>
        <v/>
      </c>
      <c r="Z808">
        <f>IF($Y808="","",INDEX($C$6:$C$40000,$Y808)&amp;"")</f>
        <v/>
      </c>
      <c r="AA808" s="59">
        <f>IF($Y808="","",IF(INDEX($D$6:$D$40000,$Y808)="","",INDEX($D$6:$D$40000,$Y808)))</f>
        <v/>
      </c>
      <c r="AB808">
        <f>IF($Y808="","",INDEX($L$6:$L$40000,$Y808)&amp;"")</f>
        <v/>
      </c>
    </row>
    <row r="809">
      <c r="Y809" s="47">
        <f>IFERROR(MATCH(Library!M809,$M$6:$M$40000,0),"")</f>
        <v/>
      </c>
      <c r="Z809">
        <f>IF($Y809="","",INDEX($C$6:$C$40000,$Y809)&amp;"")</f>
        <v/>
      </c>
      <c r="AA809" s="59">
        <f>IF($Y809="","",IF(INDEX($D$6:$D$40000,$Y809)="","",INDEX($D$6:$D$40000,$Y809)))</f>
        <v/>
      </c>
      <c r="AB809">
        <f>IF($Y809="","",INDEX($L$6:$L$40000,$Y809)&amp;"")</f>
        <v/>
      </c>
    </row>
    <row r="810">
      <c r="Y810" s="47">
        <f>IFERROR(MATCH(Library!M810,$M$6:$M$40000,0),"")</f>
        <v/>
      </c>
      <c r="Z810">
        <f>IF($Y810="","",INDEX($C$6:$C$40000,$Y810)&amp;"")</f>
        <v/>
      </c>
      <c r="AA810" s="59">
        <f>IF($Y810="","",IF(INDEX($D$6:$D$40000,$Y810)="","",INDEX($D$6:$D$40000,$Y810)))</f>
        <v/>
      </c>
      <c r="AB810">
        <f>IF($Y810="","",INDEX($L$6:$L$40000,$Y810)&amp;"")</f>
        <v/>
      </c>
    </row>
    <row r="811">
      <c r="Y811" s="47">
        <f>IFERROR(MATCH(Library!M811,$M$6:$M$40000,0),"")</f>
        <v/>
      </c>
      <c r="Z811">
        <f>IF($Y811="","",INDEX($C$6:$C$40000,$Y811)&amp;"")</f>
        <v/>
      </c>
      <c r="AA811" s="59">
        <f>IF($Y811="","",IF(INDEX($D$6:$D$40000,$Y811)="","",INDEX($D$6:$D$40000,$Y811)))</f>
        <v/>
      </c>
      <c r="AB811">
        <f>IF($Y811="","",INDEX($L$6:$L$40000,$Y811)&amp;"")</f>
        <v/>
      </c>
    </row>
    <row r="812">
      <c r="Y812" s="47">
        <f>IFERROR(MATCH(Library!M812,$M$6:$M$40000,0),"")</f>
        <v/>
      </c>
      <c r="Z812">
        <f>IF($Y812="","",INDEX($C$6:$C$40000,$Y812)&amp;"")</f>
        <v/>
      </c>
      <c r="AA812" s="59">
        <f>IF($Y812="","",IF(INDEX($D$6:$D$40000,$Y812)="","",INDEX($D$6:$D$40000,$Y812)))</f>
        <v/>
      </c>
      <c r="AB812">
        <f>IF($Y812="","",INDEX($L$6:$L$40000,$Y812)&amp;"")</f>
        <v/>
      </c>
    </row>
    <row r="813">
      <c r="Y813" s="47">
        <f>IFERROR(MATCH(Library!M813,$M$6:$M$40000,0),"")</f>
        <v/>
      </c>
      <c r="Z813">
        <f>IF($Y813="","",INDEX($C$6:$C$40000,$Y813)&amp;"")</f>
        <v/>
      </c>
      <c r="AA813" s="59">
        <f>IF($Y813="","",IF(INDEX($D$6:$D$40000,$Y813)="","",INDEX($D$6:$D$40000,$Y813)))</f>
        <v/>
      </c>
      <c r="AB813">
        <f>IF($Y813="","",INDEX($L$6:$L$40000,$Y813)&amp;"")</f>
        <v/>
      </c>
    </row>
    <row r="814">
      <c r="Y814" s="47">
        <f>IFERROR(MATCH(Library!M814,$M$6:$M$40000,0),"")</f>
        <v/>
      </c>
      <c r="Z814">
        <f>IF($Y814="","",INDEX($C$6:$C$40000,$Y814)&amp;"")</f>
        <v/>
      </c>
      <c r="AA814" s="59">
        <f>IF($Y814="","",IF(INDEX($D$6:$D$40000,$Y814)="","",INDEX($D$6:$D$40000,$Y814)))</f>
        <v/>
      </c>
      <c r="AB814">
        <f>IF($Y814="","",INDEX($L$6:$L$40000,$Y814)&amp;"")</f>
        <v/>
      </c>
    </row>
    <row r="815">
      <c r="Y815" s="47">
        <f>IFERROR(MATCH(Library!M815,$M$6:$M$40000,0),"")</f>
        <v/>
      </c>
      <c r="Z815">
        <f>IF($Y815="","",INDEX($C$6:$C$40000,$Y815)&amp;"")</f>
        <v/>
      </c>
      <c r="AA815" s="59">
        <f>IF($Y815="","",IF(INDEX($D$6:$D$40000,$Y815)="","",INDEX($D$6:$D$40000,$Y815)))</f>
        <v/>
      </c>
      <c r="AB815">
        <f>IF($Y815="","",INDEX($L$6:$L$40000,$Y815)&amp;"")</f>
        <v/>
      </c>
    </row>
    <row r="816">
      <c r="Y816" s="47">
        <f>IFERROR(MATCH(Library!M816,$M$6:$M$40000,0),"")</f>
        <v/>
      </c>
      <c r="Z816">
        <f>IF($Y816="","",INDEX($C$6:$C$40000,$Y816)&amp;"")</f>
        <v/>
      </c>
      <c r="AA816" s="59">
        <f>IF($Y816="","",IF(INDEX($D$6:$D$40000,$Y816)="","",INDEX($D$6:$D$40000,$Y816)))</f>
        <v/>
      </c>
      <c r="AB816">
        <f>IF($Y816="","",INDEX($L$6:$L$40000,$Y816)&amp;"")</f>
        <v/>
      </c>
    </row>
    <row r="817">
      <c r="Y817" s="47">
        <f>IFERROR(MATCH(Library!M817,$M$6:$M$40000,0),"")</f>
        <v/>
      </c>
      <c r="Z817">
        <f>IF($Y817="","",INDEX($C$6:$C$40000,$Y817)&amp;"")</f>
        <v/>
      </c>
      <c r="AA817" s="59">
        <f>IF($Y817="","",IF(INDEX($D$6:$D$40000,$Y817)="","",INDEX($D$6:$D$40000,$Y817)))</f>
        <v/>
      </c>
      <c r="AB817">
        <f>IF($Y817="","",INDEX($L$6:$L$40000,$Y817)&amp;"")</f>
        <v/>
      </c>
    </row>
    <row r="818">
      <c r="Y818" s="47">
        <f>IFERROR(MATCH(Library!M818,$M$6:$M$40000,0),"")</f>
        <v/>
      </c>
      <c r="Z818">
        <f>IF($Y818="","",INDEX($C$6:$C$40000,$Y818)&amp;"")</f>
        <v/>
      </c>
      <c r="AA818" s="59">
        <f>IF($Y818="","",IF(INDEX($D$6:$D$40000,$Y818)="","",INDEX($D$6:$D$40000,$Y818)))</f>
        <v/>
      </c>
      <c r="AB818">
        <f>IF($Y818="","",INDEX($L$6:$L$40000,$Y818)&amp;"")</f>
        <v/>
      </c>
    </row>
    <row r="819">
      <c r="Y819" s="47">
        <f>IFERROR(MATCH(Library!M819,$M$6:$M$40000,0),"")</f>
        <v/>
      </c>
      <c r="Z819">
        <f>IF($Y819="","",INDEX($C$6:$C$40000,$Y819)&amp;"")</f>
        <v/>
      </c>
      <c r="AA819" s="59">
        <f>IF($Y819="","",IF(INDEX($D$6:$D$40000,$Y819)="","",INDEX($D$6:$D$40000,$Y819)))</f>
        <v/>
      </c>
      <c r="AB819">
        <f>IF($Y819="","",INDEX($L$6:$L$40000,$Y819)&amp;"")</f>
        <v/>
      </c>
    </row>
    <row r="820">
      <c r="Y820" s="47">
        <f>IFERROR(MATCH(Library!M820,$M$6:$M$40000,0),"")</f>
        <v/>
      </c>
      <c r="Z820">
        <f>IF($Y820="","",INDEX($C$6:$C$40000,$Y820)&amp;"")</f>
        <v/>
      </c>
      <c r="AA820" s="59">
        <f>IF($Y820="","",IF(INDEX($D$6:$D$40000,$Y820)="","",INDEX($D$6:$D$40000,$Y820)))</f>
        <v/>
      </c>
      <c r="AB820">
        <f>IF($Y820="","",INDEX($L$6:$L$40000,$Y820)&amp;"")</f>
        <v/>
      </c>
    </row>
    <row r="821">
      <c r="Y821" s="47">
        <f>IFERROR(MATCH(Library!M821,$M$6:$M$40000,0),"")</f>
        <v/>
      </c>
      <c r="Z821">
        <f>IF($Y821="","",INDEX($C$6:$C$40000,$Y821)&amp;"")</f>
        <v/>
      </c>
      <c r="AA821" s="59">
        <f>IF($Y821="","",IF(INDEX($D$6:$D$40000,$Y821)="","",INDEX($D$6:$D$40000,$Y821)))</f>
        <v/>
      </c>
      <c r="AB821">
        <f>IF($Y821="","",INDEX($L$6:$L$40000,$Y821)&amp;"")</f>
        <v/>
      </c>
    </row>
    <row r="822">
      <c r="Y822" s="47">
        <f>IFERROR(MATCH(Library!M822,$M$6:$M$40000,0),"")</f>
        <v/>
      </c>
      <c r="Z822">
        <f>IF($Y822="","",INDEX($C$6:$C$40000,$Y822)&amp;"")</f>
        <v/>
      </c>
      <c r="AA822" s="59">
        <f>IF($Y822="","",IF(INDEX($D$6:$D$40000,$Y822)="","",INDEX($D$6:$D$40000,$Y822)))</f>
        <v/>
      </c>
      <c r="AB822">
        <f>IF($Y822="","",INDEX($L$6:$L$40000,$Y822)&amp;"")</f>
        <v/>
      </c>
    </row>
    <row r="823">
      <c r="Y823" s="47">
        <f>IFERROR(MATCH(Library!M823,$M$6:$M$40000,0),"")</f>
        <v/>
      </c>
      <c r="Z823">
        <f>IF($Y823="","",INDEX($C$6:$C$40000,$Y823)&amp;"")</f>
        <v/>
      </c>
      <c r="AA823" s="59">
        <f>IF($Y823="","",IF(INDEX($D$6:$D$40000,$Y823)="","",INDEX($D$6:$D$40000,$Y823)))</f>
        <v/>
      </c>
      <c r="AB823">
        <f>IF($Y823="","",INDEX($L$6:$L$40000,$Y823)&amp;"")</f>
        <v/>
      </c>
    </row>
    <row r="824">
      <c r="Y824" s="47">
        <f>IFERROR(MATCH(Library!M824,$M$6:$M$40000,0),"")</f>
        <v/>
      </c>
      <c r="Z824">
        <f>IF($Y824="","",INDEX($C$6:$C$40000,$Y824)&amp;"")</f>
        <v/>
      </c>
      <c r="AA824" s="59">
        <f>IF($Y824="","",IF(INDEX($D$6:$D$40000,$Y824)="","",INDEX($D$6:$D$40000,$Y824)))</f>
        <v/>
      </c>
      <c r="AB824">
        <f>IF($Y824="","",INDEX($L$6:$L$40000,$Y824)&amp;"")</f>
        <v/>
      </c>
    </row>
    <row r="825">
      <c r="Y825" s="47">
        <f>IFERROR(MATCH(Library!M825,$M$6:$M$40000,0),"")</f>
        <v/>
      </c>
      <c r="Z825">
        <f>IF($Y825="","",INDEX($C$6:$C$40000,$Y825)&amp;"")</f>
        <v/>
      </c>
      <c r="AA825" s="59">
        <f>IF($Y825="","",IF(INDEX($D$6:$D$40000,$Y825)="","",INDEX($D$6:$D$40000,$Y825)))</f>
        <v/>
      </c>
      <c r="AB825">
        <f>IF($Y825="","",INDEX($L$6:$L$40000,$Y825)&amp;"")</f>
        <v/>
      </c>
    </row>
    <row r="826">
      <c r="Y826" s="47">
        <f>IFERROR(MATCH(Library!M826,$M$6:$M$40000,0),"")</f>
        <v/>
      </c>
      <c r="Z826">
        <f>IF($Y826="","",INDEX($C$6:$C$40000,$Y826)&amp;"")</f>
        <v/>
      </c>
      <c r="AA826" s="59">
        <f>IF($Y826="","",IF(INDEX($D$6:$D$40000,$Y826)="","",INDEX($D$6:$D$40000,$Y826)))</f>
        <v/>
      </c>
      <c r="AB826">
        <f>IF($Y826="","",INDEX($L$6:$L$40000,$Y826)&amp;"")</f>
        <v/>
      </c>
    </row>
    <row r="827">
      <c r="Y827" s="47">
        <f>IFERROR(MATCH(Library!M827,$M$6:$M$40000,0),"")</f>
        <v/>
      </c>
      <c r="Z827">
        <f>IF($Y827="","",INDEX($C$6:$C$40000,$Y827)&amp;"")</f>
        <v/>
      </c>
      <c r="AA827" s="59">
        <f>IF($Y827="","",IF(INDEX($D$6:$D$40000,$Y827)="","",INDEX($D$6:$D$40000,$Y827)))</f>
        <v/>
      </c>
      <c r="AB827">
        <f>IF($Y827="","",INDEX($L$6:$L$40000,$Y827)&amp;"")</f>
        <v/>
      </c>
    </row>
    <row r="828">
      <c r="Y828" s="47">
        <f>IFERROR(MATCH(Library!M828,$M$6:$M$40000,0),"")</f>
        <v/>
      </c>
      <c r="Z828">
        <f>IF($Y828="","",INDEX($C$6:$C$40000,$Y828)&amp;"")</f>
        <v/>
      </c>
      <c r="AA828" s="59">
        <f>IF($Y828="","",IF(INDEX($D$6:$D$40000,$Y828)="","",INDEX($D$6:$D$40000,$Y828)))</f>
        <v/>
      </c>
      <c r="AB828">
        <f>IF($Y828="","",INDEX($L$6:$L$40000,$Y828)&amp;"")</f>
        <v/>
      </c>
    </row>
    <row r="829">
      <c r="Y829" s="47">
        <f>IFERROR(MATCH(Library!M829,$M$6:$M$40000,0),"")</f>
        <v/>
      </c>
      <c r="Z829">
        <f>IF($Y829="","",INDEX($C$6:$C$40000,$Y829)&amp;"")</f>
        <v/>
      </c>
      <c r="AA829" s="59">
        <f>IF($Y829="","",IF(INDEX($D$6:$D$40000,$Y829)="","",INDEX($D$6:$D$40000,$Y829)))</f>
        <v/>
      </c>
      <c r="AB829">
        <f>IF($Y829="","",INDEX($L$6:$L$40000,$Y829)&amp;"")</f>
        <v/>
      </c>
    </row>
    <row r="830">
      <c r="Y830" s="47">
        <f>IFERROR(MATCH(Library!M830,$M$6:$M$40000,0),"")</f>
        <v/>
      </c>
      <c r="Z830">
        <f>IF($Y830="","",INDEX($C$6:$C$40000,$Y830)&amp;"")</f>
        <v/>
      </c>
      <c r="AA830" s="59">
        <f>IF($Y830="","",IF(INDEX($D$6:$D$40000,$Y830)="","",INDEX($D$6:$D$40000,$Y830)))</f>
        <v/>
      </c>
      <c r="AB830">
        <f>IF($Y830="","",INDEX($L$6:$L$40000,$Y830)&amp;"")</f>
        <v/>
      </c>
    </row>
    <row r="831">
      <c r="Y831" s="47">
        <f>IFERROR(MATCH(Library!M831,$M$6:$M$40000,0),"")</f>
        <v/>
      </c>
      <c r="Z831">
        <f>IF($Y831="","",INDEX($C$6:$C$40000,$Y831)&amp;"")</f>
        <v/>
      </c>
      <c r="AA831" s="59">
        <f>IF($Y831="","",IF(INDEX($D$6:$D$40000,$Y831)="","",INDEX($D$6:$D$40000,$Y831)))</f>
        <v/>
      </c>
      <c r="AB831">
        <f>IF($Y831="","",INDEX($L$6:$L$40000,$Y831)&amp;"")</f>
        <v/>
      </c>
    </row>
    <row r="832">
      <c r="Y832" s="47">
        <f>IFERROR(MATCH(Library!M832,$M$6:$M$40000,0),"")</f>
        <v/>
      </c>
      <c r="Z832">
        <f>IF($Y832="","",INDEX($C$6:$C$40000,$Y832)&amp;"")</f>
        <v/>
      </c>
      <c r="AA832" s="59">
        <f>IF($Y832="","",IF(INDEX($D$6:$D$40000,$Y832)="","",INDEX($D$6:$D$40000,$Y832)))</f>
        <v/>
      </c>
      <c r="AB832">
        <f>IF($Y832="","",INDEX($L$6:$L$40000,$Y832)&amp;"")</f>
        <v/>
      </c>
    </row>
    <row r="833">
      <c r="Y833" s="47">
        <f>IFERROR(MATCH(Library!M833,$M$6:$M$40000,0),"")</f>
        <v/>
      </c>
      <c r="Z833">
        <f>IF($Y833="","",INDEX($C$6:$C$40000,$Y833)&amp;"")</f>
        <v/>
      </c>
      <c r="AA833" s="59">
        <f>IF($Y833="","",IF(INDEX($D$6:$D$40000,$Y833)="","",INDEX($D$6:$D$40000,$Y833)))</f>
        <v/>
      </c>
      <c r="AB833">
        <f>IF($Y833="","",INDEX($L$6:$L$40000,$Y833)&amp;"")</f>
        <v/>
      </c>
    </row>
    <row r="834">
      <c r="Y834" s="47">
        <f>IFERROR(MATCH(Library!M834,$M$6:$M$40000,0),"")</f>
        <v/>
      </c>
      <c r="Z834">
        <f>IF($Y834="","",INDEX($C$6:$C$40000,$Y834)&amp;"")</f>
        <v/>
      </c>
      <c r="AA834" s="59">
        <f>IF($Y834="","",IF(INDEX($D$6:$D$40000,$Y834)="","",INDEX($D$6:$D$40000,$Y834)))</f>
        <v/>
      </c>
      <c r="AB834">
        <f>IF($Y834="","",INDEX($L$6:$L$40000,$Y834)&amp;"")</f>
        <v/>
      </c>
    </row>
    <row r="835">
      <c r="Y835" s="47">
        <f>IFERROR(MATCH(Library!M835,$M$6:$M$40000,0),"")</f>
        <v/>
      </c>
      <c r="Z835">
        <f>IF($Y835="","",INDEX($C$6:$C$40000,$Y835)&amp;"")</f>
        <v/>
      </c>
      <c r="AA835" s="59">
        <f>IF($Y835="","",IF(INDEX($D$6:$D$40000,$Y835)="","",INDEX($D$6:$D$40000,$Y835)))</f>
        <v/>
      </c>
      <c r="AB835">
        <f>IF($Y835="","",INDEX($L$6:$L$40000,$Y835)&amp;"")</f>
        <v/>
      </c>
    </row>
    <row r="836">
      <c r="Y836" s="47">
        <f>IFERROR(MATCH(Library!M836,$M$6:$M$40000,0),"")</f>
        <v/>
      </c>
      <c r="Z836">
        <f>IF($Y836="","",INDEX($C$6:$C$40000,$Y836)&amp;"")</f>
        <v/>
      </c>
      <c r="AA836" s="59">
        <f>IF($Y836="","",IF(INDEX($D$6:$D$40000,$Y836)="","",INDEX($D$6:$D$40000,$Y836)))</f>
        <v/>
      </c>
      <c r="AB836">
        <f>IF($Y836="","",INDEX($L$6:$L$40000,$Y836)&amp;"")</f>
        <v/>
      </c>
    </row>
    <row r="837">
      <c r="Y837" s="47">
        <f>IFERROR(MATCH(Library!M837,$M$6:$M$40000,0),"")</f>
        <v/>
      </c>
      <c r="Z837">
        <f>IF($Y837="","",INDEX($C$6:$C$40000,$Y837)&amp;"")</f>
        <v/>
      </c>
      <c r="AA837" s="59">
        <f>IF($Y837="","",IF(INDEX($D$6:$D$40000,$Y837)="","",INDEX($D$6:$D$40000,$Y837)))</f>
        <v/>
      </c>
      <c r="AB837">
        <f>IF($Y837="","",INDEX($L$6:$L$40000,$Y837)&amp;"")</f>
        <v/>
      </c>
    </row>
    <row r="838">
      <c r="Y838" s="47">
        <f>IFERROR(MATCH(Library!M838,$M$6:$M$40000,0),"")</f>
        <v/>
      </c>
      <c r="Z838">
        <f>IF($Y838="","",INDEX($C$6:$C$40000,$Y838)&amp;"")</f>
        <v/>
      </c>
      <c r="AA838" s="59">
        <f>IF($Y838="","",IF(INDEX($D$6:$D$40000,$Y838)="","",INDEX($D$6:$D$40000,$Y838)))</f>
        <v/>
      </c>
      <c r="AB838">
        <f>IF($Y838="","",INDEX($L$6:$L$40000,$Y838)&amp;"")</f>
        <v/>
      </c>
    </row>
    <row r="839">
      <c r="Y839" s="47">
        <f>IFERROR(MATCH(Library!M839,$M$6:$M$40000,0),"")</f>
        <v/>
      </c>
      <c r="Z839">
        <f>IF($Y839="","",INDEX($C$6:$C$40000,$Y839)&amp;"")</f>
        <v/>
      </c>
      <c r="AA839" s="59">
        <f>IF($Y839="","",IF(INDEX($D$6:$D$40000,$Y839)="","",INDEX($D$6:$D$40000,$Y839)))</f>
        <v/>
      </c>
      <c r="AB839">
        <f>IF($Y839="","",INDEX($L$6:$L$40000,$Y839)&amp;"")</f>
        <v/>
      </c>
    </row>
    <row r="840">
      <c r="Y840" s="47">
        <f>IFERROR(MATCH(Library!M840,$M$6:$M$40000,0),"")</f>
        <v/>
      </c>
      <c r="Z840">
        <f>IF($Y840="","",INDEX($C$6:$C$40000,$Y840)&amp;"")</f>
        <v/>
      </c>
      <c r="AA840" s="59">
        <f>IF($Y840="","",IF(INDEX($D$6:$D$40000,$Y840)="","",INDEX($D$6:$D$40000,$Y840)))</f>
        <v/>
      </c>
      <c r="AB840">
        <f>IF($Y840="","",INDEX($L$6:$L$40000,$Y840)&amp;"")</f>
        <v/>
      </c>
    </row>
    <row r="841">
      <c r="Y841" s="47">
        <f>IFERROR(MATCH(Library!M841,$M$6:$M$40000,0),"")</f>
        <v/>
      </c>
      <c r="Z841">
        <f>IF($Y841="","",INDEX($C$6:$C$40000,$Y841)&amp;"")</f>
        <v/>
      </c>
      <c r="AA841" s="59">
        <f>IF($Y841="","",IF(INDEX($D$6:$D$40000,$Y841)="","",INDEX($D$6:$D$40000,$Y841)))</f>
        <v/>
      </c>
      <c r="AB841">
        <f>IF($Y841="","",INDEX($L$6:$L$40000,$Y841)&amp;"")</f>
        <v/>
      </c>
    </row>
    <row r="842">
      <c r="Y842" s="47">
        <f>IFERROR(MATCH(Library!M842,$M$6:$M$40000,0),"")</f>
        <v/>
      </c>
      <c r="Z842">
        <f>IF($Y842="","",INDEX($C$6:$C$40000,$Y842)&amp;"")</f>
        <v/>
      </c>
      <c r="AA842" s="59">
        <f>IF($Y842="","",IF(INDEX($D$6:$D$40000,$Y842)="","",INDEX($D$6:$D$40000,$Y842)))</f>
        <v/>
      </c>
      <c r="AB842">
        <f>IF($Y842="","",INDEX($L$6:$L$40000,$Y842)&amp;"")</f>
        <v/>
      </c>
    </row>
    <row r="843">
      <c r="Y843" s="47">
        <f>IFERROR(MATCH(Library!M843,$M$6:$M$40000,0),"")</f>
        <v/>
      </c>
      <c r="Z843">
        <f>IF($Y843="","",INDEX($C$6:$C$40000,$Y843)&amp;"")</f>
        <v/>
      </c>
      <c r="AA843" s="59">
        <f>IF($Y843="","",IF(INDEX($D$6:$D$40000,$Y843)="","",INDEX($D$6:$D$40000,$Y843)))</f>
        <v/>
      </c>
      <c r="AB843">
        <f>IF($Y843="","",INDEX($L$6:$L$40000,$Y843)&amp;"")</f>
        <v/>
      </c>
    </row>
    <row r="844">
      <c r="Y844" s="47">
        <f>IFERROR(MATCH(Library!M844,$M$6:$M$40000,0),"")</f>
        <v/>
      </c>
      <c r="Z844">
        <f>IF($Y844="","",INDEX($C$6:$C$40000,$Y844)&amp;"")</f>
        <v/>
      </c>
      <c r="AA844" s="59">
        <f>IF($Y844="","",IF(INDEX($D$6:$D$40000,$Y844)="","",INDEX($D$6:$D$40000,$Y844)))</f>
        <v/>
      </c>
      <c r="AB844">
        <f>IF($Y844="","",INDEX($L$6:$L$40000,$Y844)&amp;"")</f>
        <v/>
      </c>
    </row>
    <row r="845">
      <c r="Y845" s="47">
        <f>IFERROR(MATCH(Library!M845,$M$6:$M$40000,0),"")</f>
        <v/>
      </c>
      <c r="Z845">
        <f>IF($Y845="","",INDEX($C$6:$C$40000,$Y845)&amp;"")</f>
        <v/>
      </c>
      <c r="AA845" s="59">
        <f>IF($Y845="","",IF(INDEX($D$6:$D$40000,$Y845)="","",INDEX($D$6:$D$40000,$Y845)))</f>
        <v/>
      </c>
      <c r="AB845">
        <f>IF($Y845="","",INDEX($L$6:$L$40000,$Y845)&amp;"")</f>
        <v/>
      </c>
    </row>
    <row r="846">
      <c r="Y846" s="47">
        <f>IFERROR(MATCH(Library!M846,$M$6:$M$40000,0),"")</f>
        <v/>
      </c>
      <c r="Z846">
        <f>IF($Y846="","",INDEX($C$6:$C$40000,$Y846)&amp;"")</f>
        <v/>
      </c>
      <c r="AA846" s="59">
        <f>IF($Y846="","",IF(INDEX($D$6:$D$40000,$Y846)="","",INDEX($D$6:$D$40000,$Y846)))</f>
        <v/>
      </c>
      <c r="AB846">
        <f>IF($Y846="","",INDEX($L$6:$L$40000,$Y846)&amp;"")</f>
        <v/>
      </c>
    </row>
    <row r="847">
      <c r="Y847" s="47">
        <f>IFERROR(MATCH(Library!M847,$M$6:$M$40000,0),"")</f>
        <v/>
      </c>
      <c r="Z847">
        <f>IF($Y847="","",INDEX($C$6:$C$40000,$Y847)&amp;"")</f>
        <v/>
      </c>
      <c r="AA847" s="59">
        <f>IF($Y847="","",IF(INDEX($D$6:$D$40000,$Y847)="","",INDEX($D$6:$D$40000,$Y847)))</f>
        <v/>
      </c>
      <c r="AB847">
        <f>IF($Y847="","",INDEX($L$6:$L$40000,$Y847)&amp;"")</f>
        <v/>
      </c>
    </row>
    <row r="848">
      <c r="Y848" s="47">
        <f>IFERROR(MATCH(Library!M848,$M$6:$M$40000,0),"")</f>
        <v/>
      </c>
      <c r="Z848">
        <f>IF($Y848="","",INDEX($C$6:$C$40000,$Y848)&amp;"")</f>
        <v/>
      </c>
      <c r="AA848" s="59">
        <f>IF($Y848="","",IF(INDEX($D$6:$D$40000,$Y848)="","",INDEX($D$6:$D$40000,$Y848)))</f>
        <v/>
      </c>
      <c r="AB848">
        <f>IF($Y848="","",INDEX($L$6:$L$40000,$Y848)&amp;"")</f>
        <v/>
      </c>
    </row>
    <row r="849">
      <c r="Y849" s="47">
        <f>IFERROR(MATCH(Library!M849,$M$6:$M$40000,0),"")</f>
        <v/>
      </c>
      <c r="Z849">
        <f>IF($Y849="","",INDEX($C$6:$C$40000,$Y849)&amp;"")</f>
        <v/>
      </c>
      <c r="AA849" s="59">
        <f>IF($Y849="","",IF(INDEX($D$6:$D$40000,$Y849)="","",INDEX($D$6:$D$40000,$Y849)))</f>
        <v/>
      </c>
      <c r="AB849">
        <f>IF($Y849="","",INDEX($L$6:$L$40000,$Y849)&amp;"")</f>
        <v/>
      </c>
    </row>
    <row r="850">
      <c r="Y850" s="47">
        <f>IFERROR(MATCH(Library!M850,$M$6:$M$40000,0),"")</f>
        <v/>
      </c>
      <c r="Z850">
        <f>IF($Y850="","",INDEX($C$6:$C$40000,$Y850)&amp;"")</f>
        <v/>
      </c>
      <c r="AA850" s="59">
        <f>IF($Y850="","",IF(INDEX($D$6:$D$40000,$Y850)="","",INDEX($D$6:$D$40000,$Y850)))</f>
        <v/>
      </c>
      <c r="AB850">
        <f>IF($Y850="","",INDEX($L$6:$L$40000,$Y850)&amp;"")</f>
        <v/>
      </c>
    </row>
    <row r="851">
      <c r="Y851" s="47">
        <f>IFERROR(MATCH(Library!M851,$M$6:$M$40000,0),"")</f>
        <v/>
      </c>
      <c r="Z851">
        <f>IF($Y851="","",INDEX($C$6:$C$40000,$Y851)&amp;"")</f>
        <v/>
      </c>
      <c r="AA851" s="59">
        <f>IF($Y851="","",IF(INDEX($D$6:$D$40000,$Y851)="","",INDEX($D$6:$D$40000,$Y851)))</f>
        <v/>
      </c>
      <c r="AB851">
        <f>IF($Y851="","",INDEX($L$6:$L$40000,$Y851)&amp;"")</f>
        <v/>
      </c>
    </row>
    <row r="852">
      <c r="Y852" s="47">
        <f>IFERROR(MATCH(Library!M852,$M$6:$M$40000,0),"")</f>
        <v/>
      </c>
      <c r="Z852">
        <f>IF($Y852="","",INDEX($C$6:$C$40000,$Y852)&amp;"")</f>
        <v/>
      </c>
      <c r="AA852" s="59">
        <f>IF($Y852="","",IF(INDEX($D$6:$D$40000,$Y852)="","",INDEX($D$6:$D$40000,$Y852)))</f>
        <v/>
      </c>
      <c r="AB852">
        <f>IF($Y852="","",INDEX($L$6:$L$40000,$Y852)&amp;"")</f>
        <v/>
      </c>
    </row>
    <row r="853">
      <c r="Y853" s="47">
        <f>IFERROR(MATCH(Library!M853,$M$6:$M$40000,0),"")</f>
        <v/>
      </c>
      <c r="Z853">
        <f>IF($Y853="","",INDEX($C$6:$C$40000,$Y853)&amp;"")</f>
        <v/>
      </c>
      <c r="AA853" s="59">
        <f>IF($Y853="","",IF(INDEX($D$6:$D$40000,$Y853)="","",INDEX($D$6:$D$40000,$Y853)))</f>
        <v/>
      </c>
      <c r="AB853">
        <f>IF($Y853="","",INDEX($L$6:$L$40000,$Y853)&amp;"")</f>
        <v/>
      </c>
    </row>
    <row r="854">
      <c r="Y854" s="47">
        <f>IFERROR(MATCH(Library!M854,$M$6:$M$40000,0),"")</f>
        <v/>
      </c>
      <c r="Z854">
        <f>IF($Y854="","",INDEX($C$6:$C$40000,$Y854)&amp;"")</f>
        <v/>
      </c>
      <c r="AA854" s="59">
        <f>IF($Y854="","",IF(INDEX($D$6:$D$40000,$Y854)="","",INDEX($D$6:$D$40000,$Y854)))</f>
        <v/>
      </c>
      <c r="AB854">
        <f>IF($Y854="","",INDEX($L$6:$L$40000,$Y854)&amp;"")</f>
        <v/>
      </c>
    </row>
    <row r="855">
      <c r="Y855" s="47">
        <f>IFERROR(MATCH(Library!M855,$M$6:$M$40000,0),"")</f>
        <v/>
      </c>
      <c r="Z855">
        <f>IF($Y855="","",INDEX($C$6:$C$40000,$Y855)&amp;"")</f>
        <v/>
      </c>
      <c r="AA855" s="59">
        <f>IF($Y855="","",IF(INDEX($D$6:$D$40000,$Y855)="","",INDEX($D$6:$D$40000,$Y855)))</f>
        <v/>
      </c>
      <c r="AB855">
        <f>IF($Y855="","",INDEX($L$6:$L$40000,$Y855)&amp;"")</f>
        <v/>
      </c>
    </row>
    <row r="856">
      <c r="Y856" s="47">
        <f>IFERROR(MATCH(Library!M856,$M$6:$M$40000,0),"")</f>
        <v/>
      </c>
      <c r="Z856">
        <f>IF($Y856="","",INDEX($C$6:$C$40000,$Y856)&amp;"")</f>
        <v/>
      </c>
      <c r="AA856" s="59">
        <f>IF($Y856="","",IF(INDEX($D$6:$D$40000,$Y856)="","",INDEX($D$6:$D$40000,$Y856)))</f>
        <v/>
      </c>
      <c r="AB856">
        <f>IF($Y856="","",INDEX($L$6:$L$40000,$Y856)&amp;"")</f>
        <v/>
      </c>
    </row>
    <row r="857">
      <c r="Y857" s="47">
        <f>IFERROR(MATCH(Library!M857,$M$6:$M$40000,0),"")</f>
        <v/>
      </c>
      <c r="Z857">
        <f>IF($Y857="","",INDEX($C$6:$C$40000,$Y857)&amp;"")</f>
        <v/>
      </c>
      <c r="AA857" s="59">
        <f>IF($Y857="","",IF(INDEX($D$6:$D$40000,$Y857)="","",INDEX($D$6:$D$40000,$Y857)))</f>
        <v/>
      </c>
      <c r="AB857">
        <f>IF($Y857="","",INDEX($L$6:$L$40000,$Y857)&amp;"")</f>
        <v/>
      </c>
    </row>
    <row r="858">
      <c r="Y858" s="47">
        <f>IFERROR(MATCH(Library!M858,$M$6:$M$40000,0),"")</f>
        <v/>
      </c>
      <c r="Z858">
        <f>IF($Y858="","",INDEX($C$6:$C$40000,$Y858)&amp;"")</f>
        <v/>
      </c>
      <c r="AA858" s="59">
        <f>IF($Y858="","",IF(INDEX($D$6:$D$40000,$Y858)="","",INDEX($D$6:$D$40000,$Y858)))</f>
        <v/>
      </c>
      <c r="AB858">
        <f>IF($Y858="","",INDEX($L$6:$L$40000,$Y858)&amp;"")</f>
        <v/>
      </c>
    </row>
    <row r="859">
      <c r="Y859" s="47">
        <f>IFERROR(MATCH(Library!M859,$M$6:$M$40000,0),"")</f>
        <v/>
      </c>
      <c r="Z859">
        <f>IF($Y859="","",INDEX($C$6:$C$40000,$Y859)&amp;"")</f>
        <v/>
      </c>
      <c r="AA859" s="59">
        <f>IF($Y859="","",IF(INDEX($D$6:$D$40000,$Y859)="","",INDEX($D$6:$D$40000,$Y859)))</f>
        <v/>
      </c>
      <c r="AB859">
        <f>IF($Y859="","",INDEX($L$6:$L$40000,$Y859)&amp;"")</f>
        <v/>
      </c>
    </row>
    <row r="860">
      <c r="Y860" s="47">
        <f>IFERROR(MATCH(Library!M860,$M$6:$M$40000,0),"")</f>
        <v/>
      </c>
      <c r="Z860">
        <f>IF($Y860="","",INDEX($C$6:$C$40000,$Y860)&amp;"")</f>
        <v/>
      </c>
      <c r="AA860" s="59">
        <f>IF($Y860="","",IF(INDEX($D$6:$D$40000,$Y860)="","",INDEX($D$6:$D$40000,$Y860)))</f>
        <v/>
      </c>
      <c r="AB860">
        <f>IF($Y860="","",INDEX($L$6:$L$40000,$Y860)&amp;"")</f>
        <v/>
      </c>
    </row>
    <row r="861">
      <c r="Y861" s="47">
        <f>IFERROR(MATCH(Library!M861,$M$6:$M$40000,0),"")</f>
        <v/>
      </c>
      <c r="Z861">
        <f>IF($Y861="","",INDEX($C$6:$C$40000,$Y861)&amp;"")</f>
        <v/>
      </c>
      <c r="AA861" s="59">
        <f>IF($Y861="","",IF(INDEX($D$6:$D$40000,$Y861)="","",INDEX($D$6:$D$40000,$Y861)))</f>
        <v/>
      </c>
      <c r="AB861">
        <f>IF($Y861="","",INDEX($L$6:$L$40000,$Y861)&amp;"")</f>
        <v/>
      </c>
    </row>
    <row r="862">
      <c r="Y862" s="47">
        <f>IFERROR(MATCH(Library!M862,$M$6:$M$40000,0),"")</f>
        <v/>
      </c>
      <c r="Z862">
        <f>IF($Y862="","",INDEX($C$6:$C$40000,$Y862)&amp;"")</f>
        <v/>
      </c>
      <c r="AA862" s="59">
        <f>IF($Y862="","",IF(INDEX($D$6:$D$40000,$Y862)="","",INDEX($D$6:$D$40000,$Y862)))</f>
        <v/>
      </c>
      <c r="AB862">
        <f>IF($Y862="","",INDEX($L$6:$L$40000,$Y862)&amp;"")</f>
        <v/>
      </c>
    </row>
    <row r="863">
      <c r="Y863" s="47">
        <f>IFERROR(MATCH(Library!M863,$M$6:$M$40000,0),"")</f>
        <v/>
      </c>
      <c r="Z863">
        <f>IF($Y863="","",INDEX($C$6:$C$40000,$Y863)&amp;"")</f>
        <v/>
      </c>
      <c r="AA863" s="59">
        <f>IF($Y863="","",IF(INDEX($D$6:$D$40000,$Y863)="","",INDEX($D$6:$D$40000,$Y863)))</f>
        <v/>
      </c>
      <c r="AB863">
        <f>IF($Y863="","",INDEX($L$6:$L$40000,$Y863)&amp;"")</f>
        <v/>
      </c>
    </row>
    <row r="864">
      <c r="Y864" s="47">
        <f>IFERROR(MATCH(Library!M864,$M$6:$M$40000,0),"")</f>
        <v/>
      </c>
      <c r="Z864">
        <f>IF($Y864="","",INDEX($C$6:$C$40000,$Y864)&amp;"")</f>
        <v/>
      </c>
      <c r="AA864" s="59">
        <f>IF($Y864="","",IF(INDEX($D$6:$D$40000,$Y864)="","",INDEX($D$6:$D$40000,$Y864)))</f>
        <v/>
      </c>
      <c r="AB864">
        <f>IF($Y864="","",INDEX($L$6:$L$40000,$Y864)&amp;"")</f>
        <v/>
      </c>
    </row>
    <row r="865">
      <c r="Y865" s="47">
        <f>IFERROR(MATCH(Library!M865,$M$6:$M$40000,0),"")</f>
        <v/>
      </c>
      <c r="Z865">
        <f>IF($Y865="","",INDEX($C$6:$C$40000,$Y865)&amp;"")</f>
        <v/>
      </c>
      <c r="AA865" s="59">
        <f>IF($Y865="","",IF(INDEX($D$6:$D$40000,$Y865)="","",INDEX($D$6:$D$40000,$Y865)))</f>
        <v/>
      </c>
      <c r="AB865">
        <f>IF($Y865="","",INDEX($L$6:$L$40000,$Y865)&amp;"")</f>
        <v/>
      </c>
    </row>
    <row r="866">
      <c r="Y866" s="47">
        <f>IFERROR(MATCH(Library!M866,$M$6:$M$40000,0),"")</f>
        <v/>
      </c>
      <c r="Z866">
        <f>IF($Y866="","",INDEX($C$6:$C$40000,$Y866)&amp;"")</f>
        <v/>
      </c>
      <c r="AA866" s="59">
        <f>IF($Y866="","",IF(INDEX($D$6:$D$40000,$Y866)="","",INDEX($D$6:$D$40000,$Y866)))</f>
        <v/>
      </c>
      <c r="AB866">
        <f>IF($Y866="","",INDEX($L$6:$L$40000,$Y866)&amp;"")</f>
        <v/>
      </c>
    </row>
    <row r="867">
      <c r="Y867" s="47">
        <f>IFERROR(MATCH(Library!M867,$M$6:$M$40000,0),"")</f>
        <v/>
      </c>
      <c r="Z867">
        <f>IF($Y867="","",INDEX($C$6:$C$40000,$Y867)&amp;"")</f>
        <v/>
      </c>
      <c r="AA867" s="59">
        <f>IF($Y867="","",IF(INDEX($D$6:$D$40000,$Y867)="","",INDEX($D$6:$D$40000,$Y867)))</f>
        <v/>
      </c>
      <c r="AB867">
        <f>IF($Y867="","",INDEX($L$6:$L$40000,$Y867)&amp;"")</f>
        <v/>
      </c>
    </row>
    <row r="868">
      <c r="Y868" s="47">
        <f>IFERROR(MATCH(Library!M868,$M$6:$M$40000,0),"")</f>
        <v/>
      </c>
      <c r="Z868">
        <f>IF($Y868="","",INDEX($C$6:$C$40000,$Y868)&amp;"")</f>
        <v/>
      </c>
      <c r="AA868" s="59">
        <f>IF($Y868="","",IF(INDEX($D$6:$D$40000,$Y868)="","",INDEX($D$6:$D$40000,$Y868)))</f>
        <v/>
      </c>
      <c r="AB868">
        <f>IF($Y868="","",INDEX($L$6:$L$40000,$Y868)&amp;"")</f>
        <v/>
      </c>
    </row>
    <row r="869">
      <c r="Y869" s="47">
        <f>IFERROR(MATCH(Library!M869,$M$6:$M$40000,0),"")</f>
        <v/>
      </c>
      <c r="Z869">
        <f>IF($Y869="","",INDEX($C$6:$C$40000,$Y869)&amp;"")</f>
        <v/>
      </c>
      <c r="AA869" s="59">
        <f>IF($Y869="","",IF(INDEX($D$6:$D$40000,$Y869)="","",INDEX($D$6:$D$40000,$Y869)))</f>
        <v/>
      </c>
      <c r="AB869">
        <f>IF($Y869="","",INDEX($L$6:$L$40000,$Y869)&amp;"")</f>
        <v/>
      </c>
    </row>
    <row r="870">
      <c r="Y870" s="47">
        <f>IFERROR(MATCH(Library!M870,$M$6:$M$40000,0),"")</f>
        <v/>
      </c>
      <c r="Z870">
        <f>IF($Y870="","",INDEX($C$6:$C$40000,$Y870)&amp;"")</f>
        <v/>
      </c>
      <c r="AA870" s="59">
        <f>IF($Y870="","",IF(INDEX($D$6:$D$40000,$Y870)="","",INDEX($D$6:$D$40000,$Y870)))</f>
        <v/>
      </c>
      <c r="AB870">
        <f>IF($Y870="","",INDEX($L$6:$L$40000,$Y870)&amp;"")</f>
        <v/>
      </c>
    </row>
    <row r="871">
      <c r="Y871" s="47">
        <f>IFERROR(MATCH(Library!M871,$M$6:$M$40000,0),"")</f>
        <v/>
      </c>
      <c r="Z871">
        <f>IF($Y871="","",INDEX($C$6:$C$40000,$Y871)&amp;"")</f>
        <v/>
      </c>
      <c r="AA871" s="59">
        <f>IF($Y871="","",IF(INDEX($D$6:$D$40000,$Y871)="","",INDEX($D$6:$D$40000,$Y871)))</f>
        <v/>
      </c>
      <c r="AB871">
        <f>IF($Y871="","",INDEX($L$6:$L$40000,$Y871)&amp;"")</f>
        <v/>
      </c>
    </row>
    <row r="872">
      <c r="Y872" s="47">
        <f>IFERROR(MATCH(Library!M872,$M$6:$M$40000,0),"")</f>
        <v/>
      </c>
      <c r="Z872">
        <f>IF($Y872="","",INDEX($C$6:$C$40000,$Y872)&amp;"")</f>
        <v/>
      </c>
      <c r="AA872" s="59">
        <f>IF($Y872="","",IF(INDEX($D$6:$D$40000,$Y872)="","",INDEX($D$6:$D$40000,$Y872)))</f>
        <v/>
      </c>
      <c r="AB872">
        <f>IF($Y872="","",INDEX($L$6:$L$40000,$Y872)&amp;"")</f>
        <v/>
      </c>
    </row>
    <row r="873">
      <c r="Y873" s="47">
        <f>IFERROR(MATCH(Library!M873,$M$6:$M$40000,0),"")</f>
        <v/>
      </c>
      <c r="Z873">
        <f>IF($Y873="","",INDEX($C$6:$C$40000,$Y873)&amp;"")</f>
        <v/>
      </c>
      <c r="AA873" s="59">
        <f>IF($Y873="","",IF(INDEX($D$6:$D$40000,$Y873)="","",INDEX($D$6:$D$40000,$Y873)))</f>
        <v/>
      </c>
      <c r="AB873">
        <f>IF($Y873="","",INDEX($L$6:$L$40000,$Y873)&amp;"")</f>
        <v/>
      </c>
    </row>
    <row r="874">
      <c r="Y874" s="47">
        <f>IFERROR(MATCH(Library!M874,$M$6:$M$40000,0),"")</f>
        <v/>
      </c>
      <c r="Z874">
        <f>IF($Y874="","",INDEX($C$6:$C$40000,$Y874)&amp;"")</f>
        <v/>
      </c>
      <c r="AA874" s="59">
        <f>IF($Y874="","",IF(INDEX($D$6:$D$40000,$Y874)="","",INDEX($D$6:$D$40000,$Y874)))</f>
        <v/>
      </c>
      <c r="AB874">
        <f>IF($Y874="","",INDEX($L$6:$L$40000,$Y874)&amp;"")</f>
        <v/>
      </c>
    </row>
    <row r="875">
      <c r="Y875" s="47">
        <f>IFERROR(MATCH(Library!M875,$M$6:$M$40000,0),"")</f>
        <v/>
      </c>
      <c r="Z875">
        <f>IF($Y875="","",INDEX($C$6:$C$40000,$Y875)&amp;"")</f>
        <v/>
      </c>
      <c r="AA875" s="59">
        <f>IF($Y875="","",IF(INDEX($D$6:$D$40000,$Y875)="","",INDEX($D$6:$D$40000,$Y875)))</f>
        <v/>
      </c>
      <c r="AB875">
        <f>IF($Y875="","",INDEX($L$6:$L$40000,$Y875)&amp;"")</f>
        <v/>
      </c>
    </row>
    <row r="876">
      <c r="Y876" s="47">
        <f>IFERROR(MATCH(Library!M876,$M$6:$M$40000,0),"")</f>
        <v/>
      </c>
      <c r="Z876">
        <f>IF($Y876="","",INDEX($C$6:$C$40000,$Y876)&amp;"")</f>
        <v/>
      </c>
      <c r="AA876" s="59">
        <f>IF($Y876="","",IF(INDEX($D$6:$D$40000,$Y876)="","",INDEX($D$6:$D$40000,$Y876)))</f>
        <v/>
      </c>
      <c r="AB876">
        <f>IF($Y876="","",INDEX($L$6:$L$40000,$Y876)&amp;"")</f>
        <v/>
      </c>
    </row>
    <row r="877">
      <c r="Y877" s="47">
        <f>IFERROR(MATCH(Library!M877,$M$6:$M$40000,0),"")</f>
        <v/>
      </c>
      <c r="Z877">
        <f>IF($Y877="","",INDEX($C$6:$C$40000,$Y877)&amp;"")</f>
        <v/>
      </c>
      <c r="AA877" s="59">
        <f>IF($Y877="","",IF(INDEX($D$6:$D$40000,$Y877)="","",INDEX($D$6:$D$40000,$Y877)))</f>
        <v/>
      </c>
      <c r="AB877">
        <f>IF($Y877="","",INDEX($L$6:$L$40000,$Y877)&amp;"")</f>
        <v/>
      </c>
    </row>
    <row r="878">
      <c r="Y878" s="47">
        <f>IFERROR(MATCH(Library!M878,$M$6:$M$40000,0),"")</f>
        <v/>
      </c>
      <c r="Z878">
        <f>IF($Y878="","",INDEX($C$6:$C$40000,$Y878)&amp;"")</f>
        <v/>
      </c>
      <c r="AA878" s="59">
        <f>IF($Y878="","",IF(INDEX($D$6:$D$40000,$Y878)="","",INDEX($D$6:$D$40000,$Y878)))</f>
        <v/>
      </c>
      <c r="AB878">
        <f>IF($Y878="","",INDEX($L$6:$L$40000,$Y878)&amp;"")</f>
        <v/>
      </c>
    </row>
    <row r="879">
      <c r="Y879" s="47">
        <f>IFERROR(MATCH(Library!M879,$M$6:$M$40000,0),"")</f>
        <v/>
      </c>
      <c r="Z879">
        <f>IF($Y879="","",INDEX($C$6:$C$40000,$Y879)&amp;"")</f>
        <v/>
      </c>
      <c r="AA879" s="59">
        <f>IF($Y879="","",IF(INDEX($D$6:$D$40000,$Y879)="","",INDEX($D$6:$D$40000,$Y879)))</f>
        <v/>
      </c>
      <c r="AB879">
        <f>IF($Y879="","",INDEX($L$6:$L$40000,$Y879)&amp;"")</f>
        <v/>
      </c>
    </row>
    <row r="880">
      <c r="Y880" s="47">
        <f>IFERROR(MATCH(Library!M880,$M$6:$M$40000,0),"")</f>
        <v/>
      </c>
      <c r="Z880">
        <f>IF($Y880="","",INDEX($C$6:$C$40000,$Y880)&amp;"")</f>
        <v/>
      </c>
      <c r="AA880" s="59">
        <f>IF($Y880="","",IF(INDEX($D$6:$D$40000,$Y880)="","",INDEX($D$6:$D$40000,$Y880)))</f>
        <v/>
      </c>
      <c r="AB880">
        <f>IF($Y880="","",INDEX($L$6:$L$40000,$Y880)&amp;"")</f>
        <v/>
      </c>
    </row>
    <row r="881">
      <c r="Y881" s="47">
        <f>IFERROR(MATCH(Library!M881,$M$6:$M$40000,0),"")</f>
        <v/>
      </c>
      <c r="Z881">
        <f>IF($Y881="","",INDEX($C$6:$C$40000,$Y881)&amp;"")</f>
        <v/>
      </c>
      <c r="AA881" s="59">
        <f>IF($Y881="","",IF(INDEX($D$6:$D$40000,$Y881)="","",INDEX($D$6:$D$40000,$Y881)))</f>
        <v/>
      </c>
      <c r="AB881">
        <f>IF($Y881="","",INDEX($L$6:$L$40000,$Y881)&amp;"")</f>
        <v/>
      </c>
    </row>
    <row r="882">
      <c r="Y882" s="47">
        <f>IFERROR(MATCH(Library!M882,$M$6:$M$40000,0),"")</f>
        <v/>
      </c>
      <c r="Z882">
        <f>IF($Y882="","",INDEX($C$6:$C$40000,$Y882)&amp;"")</f>
        <v/>
      </c>
      <c r="AA882" s="59">
        <f>IF($Y882="","",IF(INDEX($D$6:$D$40000,$Y882)="","",INDEX($D$6:$D$40000,$Y882)))</f>
        <v/>
      </c>
      <c r="AB882">
        <f>IF($Y882="","",INDEX($L$6:$L$40000,$Y882)&amp;"")</f>
        <v/>
      </c>
    </row>
    <row r="883">
      <c r="Y883" s="47">
        <f>IFERROR(MATCH(Library!M883,$M$6:$M$40000,0),"")</f>
        <v/>
      </c>
      <c r="Z883">
        <f>IF($Y883="","",INDEX($C$6:$C$40000,$Y883)&amp;"")</f>
        <v/>
      </c>
      <c r="AA883" s="59">
        <f>IF($Y883="","",IF(INDEX($D$6:$D$40000,$Y883)="","",INDEX($D$6:$D$40000,$Y883)))</f>
        <v/>
      </c>
      <c r="AB883">
        <f>IF($Y883="","",INDEX($L$6:$L$40000,$Y883)&amp;"")</f>
        <v/>
      </c>
    </row>
    <row r="884">
      <c r="Y884" s="47">
        <f>IFERROR(MATCH(Library!M884,$M$6:$M$40000,0),"")</f>
        <v/>
      </c>
      <c r="Z884">
        <f>IF($Y884="","",INDEX($C$6:$C$40000,$Y884)&amp;"")</f>
        <v/>
      </c>
      <c r="AA884" s="59">
        <f>IF($Y884="","",IF(INDEX($D$6:$D$40000,$Y884)="","",INDEX($D$6:$D$40000,$Y884)))</f>
        <v/>
      </c>
      <c r="AB884">
        <f>IF($Y884="","",INDEX($L$6:$L$40000,$Y884)&amp;"")</f>
        <v/>
      </c>
    </row>
    <row r="885">
      <c r="Y885" s="47">
        <f>IFERROR(MATCH(Library!M885,$M$6:$M$40000,0),"")</f>
        <v/>
      </c>
      <c r="Z885">
        <f>IF($Y885="","",INDEX($C$6:$C$40000,$Y885)&amp;"")</f>
        <v/>
      </c>
      <c r="AA885" s="59">
        <f>IF($Y885="","",IF(INDEX($D$6:$D$40000,$Y885)="","",INDEX($D$6:$D$40000,$Y885)))</f>
        <v/>
      </c>
      <c r="AB885">
        <f>IF($Y885="","",INDEX($L$6:$L$40000,$Y885)&amp;"")</f>
        <v/>
      </c>
    </row>
    <row r="886">
      <c r="Y886" s="47">
        <f>IFERROR(MATCH(Library!M886,$M$6:$M$40000,0),"")</f>
        <v/>
      </c>
      <c r="Z886">
        <f>IF($Y886="","",INDEX($C$6:$C$40000,$Y886)&amp;"")</f>
        <v/>
      </c>
      <c r="AA886" s="59">
        <f>IF($Y886="","",IF(INDEX($D$6:$D$40000,$Y886)="","",INDEX($D$6:$D$40000,$Y886)))</f>
        <v/>
      </c>
      <c r="AB886">
        <f>IF($Y886="","",INDEX($L$6:$L$40000,$Y886)&amp;"")</f>
        <v/>
      </c>
    </row>
    <row r="887">
      <c r="Y887" s="47">
        <f>IFERROR(MATCH(Library!M887,$M$6:$M$40000,0),"")</f>
        <v/>
      </c>
      <c r="Z887">
        <f>IF($Y887="","",INDEX($C$6:$C$40000,$Y887)&amp;"")</f>
        <v/>
      </c>
      <c r="AA887" s="59">
        <f>IF($Y887="","",IF(INDEX($D$6:$D$40000,$Y887)="","",INDEX($D$6:$D$40000,$Y887)))</f>
        <v/>
      </c>
      <c r="AB887">
        <f>IF($Y887="","",INDEX($L$6:$L$40000,$Y887)&amp;"")</f>
        <v/>
      </c>
    </row>
    <row r="888">
      <c r="Y888" s="47">
        <f>IFERROR(MATCH(Library!M888,$M$6:$M$40000,0),"")</f>
        <v/>
      </c>
      <c r="Z888">
        <f>IF($Y888="","",INDEX($C$6:$C$40000,$Y888)&amp;"")</f>
        <v/>
      </c>
      <c r="AA888" s="59">
        <f>IF($Y888="","",IF(INDEX($D$6:$D$40000,$Y888)="","",INDEX($D$6:$D$40000,$Y888)))</f>
        <v/>
      </c>
      <c r="AB888">
        <f>IF($Y888="","",INDEX($L$6:$L$40000,$Y888)&amp;"")</f>
        <v/>
      </c>
    </row>
    <row r="889">
      <c r="Y889" s="47">
        <f>IFERROR(MATCH(Library!M889,$M$6:$M$40000,0),"")</f>
        <v/>
      </c>
      <c r="Z889">
        <f>IF($Y889="","",INDEX($C$6:$C$40000,$Y889)&amp;"")</f>
        <v/>
      </c>
      <c r="AA889" s="59">
        <f>IF($Y889="","",IF(INDEX($D$6:$D$40000,$Y889)="","",INDEX($D$6:$D$40000,$Y889)))</f>
        <v/>
      </c>
      <c r="AB889">
        <f>IF($Y889="","",INDEX($L$6:$L$40000,$Y889)&amp;"")</f>
        <v/>
      </c>
    </row>
    <row r="890">
      <c r="Y890" s="47">
        <f>IFERROR(MATCH(Library!M890,$M$6:$M$40000,0),"")</f>
        <v/>
      </c>
      <c r="Z890">
        <f>IF($Y890="","",INDEX($C$6:$C$40000,$Y890)&amp;"")</f>
        <v/>
      </c>
      <c r="AA890" s="59">
        <f>IF($Y890="","",IF(INDEX($D$6:$D$40000,$Y890)="","",INDEX($D$6:$D$40000,$Y890)))</f>
        <v/>
      </c>
      <c r="AB890">
        <f>IF($Y890="","",INDEX($L$6:$L$40000,$Y890)&amp;"")</f>
        <v/>
      </c>
    </row>
    <row r="891">
      <c r="Y891" s="47">
        <f>IFERROR(MATCH(Library!M891,$M$6:$M$40000,0),"")</f>
        <v/>
      </c>
      <c r="Z891">
        <f>IF($Y891="","",INDEX($C$6:$C$40000,$Y891)&amp;"")</f>
        <v/>
      </c>
      <c r="AA891" s="59">
        <f>IF($Y891="","",IF(INDEX($D$6:$D$40000,$Y891)="","",INDEX($D$6:$D$40000,$Y891)))</f>
        <v/>
      </c>
      <c r="AB891">
        <f>IF($Y891="","",INDEX($L$6:$L$40000,$Y891)&amp;"")</f>
        <v/>
      </c>
    </row>
    <row r="892">
      <c r="Y892" s="47">
        <f>IFERROR(MATCH(Library!M892,$M$6:$M$40000,0),"")</f>
        <v/>
      </c>
      <c r="Z892">
        <f>IF($Y892="","",INDEX($C$6:$C$40000,$Y892)&amp;"")</f>
        <v/>
      </c>
      <c r="AA892" s="59">
        <f>IF($Y892="","",IF(INDEX($D$6:$D$40000,$Y892)="","",INDEX($D$6:$D$40000,$Y892)))</f>
        <v/>
      </c>
      <c r="AB892">
        <f>IF($Y892="","",INDEX($L$6:$L$40000,$Y892)&amp;"")</f>
        <v/>
      </c>
    </row>
    <row r="893">
      <c r="Y893" s="47">
        <f>IFERROR(MATCH(Library!M893,$M$6:$M$40000,0),"")</f>
        <v/>
      </c>
      <c r="Z893">
        <f>IF($Y893="","",INDEX($C$6:$C$40000,$Y893)&amp;"")</f>
        <v/>
      </c>
      <c r="AA893" s="59">
        <f>IF($Y893="","",IF(INDEX($D$6:$D$40000,$Y893)="","",INDEX($D$6:$D$40000,$Y893)))</f>
        <v/>
      </c>
      <c r="AB893">
        <f>IF($Y893="","",INDEX($L$6:$L$40000,$Y893)&amp;"")</f>
        <v/>
      </c>
    </row>
    <row r="894">
      <c r="Y894" s="47">
        <f>IFERROR(MATCH(Library!M894,$M$6:$M$40000,0),"")</f>
        <v/>
      </c>
      <c r="Z894">
        <f>IF($Y894="","",INDEX($C$6:$C$40000,$Y894)&amp;"")</f>
        <v/>
      </c>
      <c r="AA894" s="59">
        <f>IF($Y894="","",IF(INDEX($D$6:$D$40000,$Y894)="","",INDEX($D$6:$D$40000,$Y894)))</f>
        <v/>
      </c>
      <c r="AB894">
        <f>IF($Y894="","",INDEX($L$6:$L$40000,$Y894)&amp;"")</f>
        <v/>
      </c>
    </row>
    <row r="895">
      <c r="Y895" s="47">
        <f>IFERROR(MATCH(Library!M895,$M$6:$M$40000,0),"")</f>
        <v/>
      </c>
      <c r="Z895">
        <f>IF($Y895="","",INDEX($C$6:$C$40000,$Y895)&amp;"")</f>
        <v/>
      </c>
      <c r="AA895" s="59">
        <f>IF($Y895="","",IF(INDEX($D$6:$D$40000,$Y895)="","",INDEX($D$6:$D$40000,$Y895)))</f>
        <v/>
      </c>
      <c r="AB895">
        <f>IF($Y895="","",INDEX($L$6:$L$40000,$Y895)&amp;"")</f>
        <v/>
      </c>
    </row>
    <row r="896">
      <c r="Y896" s="47">
        <f>IFERROR(MATCH(Library!M896,$M$6:$M$40000,0),"")</f>
        <v/>
      </c>
      <c r="Z896">
        <f>IF($Y896="","",INDEX($C$6:$C$40000,$Y896)&amp;"")</f>
        <v/>
      </c>
      <c r="AA896" s="59">
        <f>IF($Y896="","",IF(INDEX($D$6:$D$40000,$Y896)="","",INDEX($D$6:$D$40000,$Y896)))</f>
        <v/>
      </c>
      <c r="AB896">
        <f>IF($Y896="","",INDEX($L$6:$L$40000,$Y896)&amp;"")</f>
        <v/>
      </c>
    </row>
    <row r="897">
      <c r="Y897" s="47">
        <f>IFERROR(MATCH(Library!M897,$M$6:$M$40000,0),"")</f>
        <v/>
      </c>
      <c r="Z897">
        <f>IF($Y897="","",INDEX($C$6:$C$40000,$Y897)&amp;"")</f>
        <v/>
      </c>
      <c r="AA897" s="59">
        <f>IF($Y897="","",IF(INDEX($D$6:$D$40000,$Y897)="","",INDEX($D$6:$D$40000,$Y897)))</f>
        <v/>
      </c>
      <c r="AB897">
        <f>IF($Y897="","",INDEX($L$6:$L$40000,$Y897)&amp;"")</f>
        <v/>
      </c>
    </row>
    <row r="898">
      <c r="Y898" s="47">
        <f>IFERROR(MATCH(Library!M898,$M$6:$M$40000,0),"")</f>
        <v/>
      </c>
      <c r="Z898">
        <f>IF($Y898="","",INDEX($C$6:$C$40000,$Y898)&amp;"")</f>
        <v/>
      </c>
      <c r="AA898" s="59">
        <f>IF($Y898="","",IF(INDEX($D$6:$D$40000,$Y898)="","",INDEX($D$6:$D$40000,$Y898)))</f>
        <v/>
      </c>
      <c r="AB898">
        <f>IF($Y898="","",INDEX($L$6:$L$40000,$Y898)&amp;"")</f>
        <v/>
      </c>
    </row>
    <row r="899">
      <c r="Y899" s="47">
        <f>IFERROR(MATCH(Library!M899,$M$6:$M$40000,0),"")</f>
        <v/>
      </c>
      <c r="Z899">
        <f>IF($Y899="","",INDEX($C$6:$C$40000,$Y899)&amp;"")</f>
        <v/>
      </c>
      <c r="AA899" s="59">
        <f>IF($Y899="","",IF(INDEX($D$6:$D$40000,$Y899)="","",INDEX($D$6:$D$40000,$Y899)))</f>
        <v/>
      </c>
      <c r="AB899">
        <f>IF($Y899="","",INDEX($L$6:$L$40000,$Y899)&amp;"")</f>
        <v/>
      </c>
    </row>
    <row r="900">
      <c r="Y900" s="47">
        <f>IFERROR(MATCH(Library!M900,$M$6:$M$40000,0),"")</f>
        <v/>
      </c>
      <c r="Z900">
        <f>IF($Y900="","",INDEX($C$6:$C$40000,$Y900)&amp;"")</f>
        <v/>
      </c>
      <c r="AA900" s="59">
        <f>IF($Y900="","",IF(INDEX($D$6:$D$40000,$Y900)="","",INDEX($D$6:$D$40000,$Y900)))</f>
        <v/>
      </c>
      <c r="AB900">
        <f>IF($Y900="","",INDEX($L$6:$L$40000,$Y900)&amp;"")</f>
        <v/>
      </c>
    </row>
    <row r="901">
      <c r="Y901" s="47">
        <f>IFERROR(MATCH(Library!M901,$M$6:$M$40000,0),"")</f>
        <v/>
      </c>
      <c r="Z901">
        <f>IF($Y901="","",INDEX($C$6:$C$40000,$Y901)&amp;"")</f>
        <v/>
      </c>
      <c r="AA901" s="59">
        <f>IF($Y901="","",IF(INDEX($D$6:$D$40000,$Y901)="","",INDEX($D$6:$D$40000,$Y901)))</f>
        <v/>
      </c>
      <c r="AB901">
        <f>IF($Y901="","",INDEX($L$6:$L$40000,$Y901)&amp;"")</f>
        <v/>
      </c>
    </row>
    <row r="902">
      <c r="Y902" s="47">
        <f>IFERROR(MATCH(Library!M902,$M$6:$M$40000,0),"")</f>
        <v/>
      </c>
      <c r="Z902">
        <f>IF($Y902="","",INDEX($C$6:$C$40000,$Y902)&amp;"")</f>
        <v/>
      </c>
      <c r="AA902" s="59">
        <f>IF($Y902="","",IF(INDEX($D$6:$D$40000,$Y902)="","",INDEX($D$6:$D$40000,$Y902)))</f>
        <v/>
      </c>
      <c r="AB902">
        <f>IF($Y902="","",INDEX($L$6:$L$40000,$Y902)&amp;"")</f>
        <v/>
      </c>
    </row>
    <row r="903">
      <c r="Y903" s="47">
        <f>IFERROR(MATCH(Library!M903,$M$6:$M$40000,0),"")</f>
        <v/>
      </c>
      <c r="Z903">
        <f>IF($Y903="","",INDEX($C$6:$C$40000,$Y903)&amp;"")</f>
        <v/>
      </c>
      <c r="AA903" s="59">
        <f>IF($Y903="","",IF(INDEX($D$6:$D$40000,$Y903)="","",INDEX($D$6:$D$40000,$Y903)))</f>
        <v/>
      </c>
      <c r="AB903">
        <f>IF($Y903="","",INDEX($L$6:$L$40000,$Y903)&amp;"")</f>
        <v/>
      </c>
    </row>
    <row r="904">
      <c r="Y904" s="47">
        <f>IFERROR(MATCH(Library!M904,$M$6:$M$40000,0),"")</f>
        <v/>
      </c>
      <c r="Z904">
        <f>IF($Y904="","",INDEX($C$6:$C$40000,$Y904)&amp;"")</f>
        <v/>
      </c>
      <c r="AA904" s="59">
        <f>IF($Y904="","",IF(INDEX($D$6:$D$40000,$Y904)="","",INDEX($D$6:$D$40000,$Y904)))</f>
        <v/>
      </c>
      <c r="AB904">
        <f>IF($Y904="","",INDEX($L$6:$L$40000,$Y904)&amp;"")</f>
        <v/>
      </c>
    </row>
    <row r="905">
      <c r="Y905" s="47">
        <f>IFERROR(MATCH(Library!M905,$M$6:$M$40000,0),"")</f>
        <v/>
      </c>
      <c r="Z905">
        <f>IF($Y905="","",INDEX($C$6:$C$40000,$Y905)&amp;"")</f>
        <v/>
      </c>
      <c r="AA905" s="59">
        <f>IF($Y905="","",IF(INDEX($D$6:$D$40000,$Y905)="","",INDEX($D$6:$D$40000,$Y905)))</f>
        <v/>
      </c>
      <c r="AB905">
        <f>IF($Y905="","",INDEX($L$6:$L$40000,$Y905)&amp;"")</f>
        <v/>
      </c>
    </row>
    <row r="906">
      <c r="Y906" s="47">
        <f>IFERROR(MATCH(Library!M906,$M$6:$M$40000,0),"")</f>
        <v/>
      </c>
      <c r="Z906">
        <f>IF($Y906="","",INDEX($C$6:$C$40000,$Y906)&amp;"")</f>
        <v/>
      </c>
      <c r="AA906" s="59">
        <f>IF($Y906="","",IF(INDEX($D$6:$D$40000,$Y906)="","",INDEX($D$6:$D$40000,$Y906)))</f>
        <v/>
      </c>
      <c r="AB906">
        <f>IF($Y906="","",INDEX($L$6:$L$40000,$Y906)&amp;"")</f>
        <v/>
      </c>
    </row>
    <row r="907">
      <c r="Y907" s="47">
        <f>IFERROR(MATCH(Library!M907,$M$6:$M$40000,0),"")</f>
        <v/>
      </c>
      <c r="Z907">
        <f>IF($Y907="","",INDEX($C$6:$C$40000,$Y907)&amp;"")</f>
        <v/>
      </c>
      <c r="AA907" s="59">
        <f>IF($Y907="","",IF(INDEX($D$6:$D$40000,$Y907)="","",INDEX($D$6:$D$40000,$Y907)))</f>
        <v/>
      </c>
      <c r="AB907">
        <f>IF($Y907="","",INDEX($L$6:$L$40000,$Y907)&amp;"")</f>
        <v/>
      </c>
    </row>
    <row r="908">
      <c r="Y908" s="47">
        <f>IFERROR(MATCH(Library!M908,$M$6:$M$40000,0),"")</f>
        <v/>
      </c>
      <c r="Z908">
        <f>IF($Y908="","",INDEX($C$6:$C$40000,$Y908)&amp;"")</f>
        <v/>
      </c>
      <c r="AA908" s="59">
        <f>IF($Y908="","",IF(INDEX($D$6:$D$40000,$Y908)="","",INDEX($D$6:$D$40000,$Y908)))</f>
        <v/>
      </c>
      <c r="AB908">
        <f>IF($Y908="","",INDEX($L$6:$L$40000,$Y908)&amp;"")</f>
        <v/>
      </c>
    </row>
    <row r="909">
      <c r="Y909" s="47">
        <f>IFERROR(MATCH(Library!M909,$M$6:$M$40000,0),"")</f>
        <v/>
      </c>
      <c r="Z909">
        <f>IF($Y909="","",INDEX($C$6:$C$40000,$Y909)&amp;"")</f>
        <v/>
      </c>
      <c r="AA909" s="59">
        <f>IF($Y909="","",IF(INDEX($D$6:$D$40000,$Y909)="","",INDEX($D$6:$D$40000,$Y909)))</f>
        <v/>
      </c>
      <c r="AB909">
        <f>IF($Y909="","",INDEX($L$6:$L$40000,$Y909)&amp;"")</f>
        <v/>
      </c>
    </row>
    <row r="910">
      <c r="Y910" s="47">
        <f>IFERROR(MATCH(Library!M910,$M$6:$M$40000,0),"")</f>
        <v/>
      </c>
      <c r="Z910">
        <f>IF($Y910="","",INDEX($C$6:$C$40000,$Y910)&amp;"")</f>
        <v/>
      </c>
      <c r="AA910" s="59">
        <f>IF($Y910="","",IF(INDEX($D$6:$D$40000,$Y910)="","",INDEX($D$6:$D$40000,$Y910)))</f>
        <v/>
      </c>
      <c r="AB910">
        <f>IF($Y910="","",INDEX($L$6:$L$40000,$Y910)&amp;"")</f>
        <v/>
      </c>
    </row>
    <row r="911">
      <c r="Y911" s="47">
        <f>IFERROR(MATCH(Library!M911,$M$6:$M$40000,0),"")</f>
        <v/>
      </c>
      <c r="Z911">
        <f>IF($Y911="","",INDEX($C$6:$C$40000,$Y911)&amp;"")</f>
        <v/>
      </c>
      <c r="AA911" s="59">
        <f>IF($Y911="","",IF(INDEX($D$6:$D$40000,$Y911)="","",INDEX($D$6:$D$40000,$Y911)))</f>
        <v/>
      </c>
      <c r="AB911">
        <f>IF($Y911="","",INDEX($L$6:$L$40000,$Y911)&amp;"")</f>
        <v/>
      </c>
    </row>
    <row r="912">
      <c r="Y912" s="47">
        <f>IFERROR(MATCH(Library!M912,$M$6:$M$40000,0),"")</f>
        <v/>
      </c>
      <c r="Z912">
        <f>IF($Y912="","",INDEX($C$6:$C$40000,$Y912)&amp;"")</f>
        <v/>
      </c>
      <c r="AA912" s="59">
        <f>IF($Y912="","",IF(INDEX($D$6:$D$40000,$Y912)="","",INDEX($D$6:$D$40000,$Y912)))</f>
        <v/>
      </c>
      <c r="AB912">
        <f>IF($Y912="","",INDEX($L$6:$L$40000,$Y912)&amp;"")</f>
        <v/>
      </c>
    </row>
    <row r="913">
      <c r="Y913" s="47">
        <f>IFERROR(MATCH(Library!M913,$M$6:$M$40000,0),"")</f>
        <v/>
      </c>
      <c r="Z913">
        <f>IF($Y913="","",INDEX($C$6:$C$40000,$Y913)&amp;"")</f>
        <v/>
      </c>
      <c r="AA913" s="59">
        <f>IF($Y913="","",IF(INDEX($D$6:$D$40000,$Y913)="","",INDEX($D$6:$D$40000,$Y913)))</f>
        <v/>
      </c>
      <c r="AB913">
        <f>IF($Y913="","",INDEX($L$6:$L$40000,$Y913)&amp;"")</f>
        <v/>
      </c>
    </row>
    <row r="914">
      <c r="Y914" s="47">
        <f>IFERROR(MATCH(Library!M914,$M$6:$M$40000,0),"")</f>
        <v/>
      </c>
      <c r="Z914">
        <f>IF($Y914="","",INDEX($C$6:$C$40000,$Y914)&amp;"")</f>
        <v/>
      </c>
      <c r="AA914" s="59">
        <f>IF($Y914="","",IF(INDEX($D$6:$D$40000,$Y914)="","",INDEX($D$6:$D$40000,$Y914)))</f>
        <v/>
      </c>
      <c r="AB914">
        <f>IF($Y914="","",INDEX($L$6:$L$40000,$Y914)&amp;"")</f>
        <v/>
      </c>
    </row>
    <row r="915">
      <c r="Y915" s="47">
        <f>IFERROR(MATCH(Library!M915,$M$6:$M$40000,0),"")</f>
        <v/>
      </c>
      <c r="Z915">
        <f>IF($Y915="","",INDEX($C$6:$C$40000,$Y915)&amp;"")</f>
        <v/>
      </c>
      <c r="AA915" s="59">
        <f>IF($Y915="","",IF(INDEX($D$6:$D$40000,$Y915)="","",INDEX($D$6:$D$40000,$Y915)))</f>
        <v/>
      </c>
      <c r="AB915">
        <f>IF($Y915="","",INDEX($L$6:$L$40000,$Y915)&amp;"")</f>
        <v/>
      </c>
    </row>
    <row r="916">
      <c r="Y916" s="47">
        <f>IFERROR(MATCH(Library!M916,$M$6:$M$40000,0),"")</f>
        <v/>
      </c>
      <c r="Z916">
        <f>IF($Y916="","",INDEX($C$6:$C$40000,$Y916)&amp;"")</f>
        <v/>
      </c>
      <c r="AA916" s="59">
        <f>IF($Y916="","",IF(INDEX($D$6:$D$40000,$Y916)="","",INDEX($D$6:$D$40000,$Y916)))</f>
        <v/>
      </c>
      <c r="AB916">
        <f>IF($Y916="","",INDEX($L$6:$L$40000,$Y916)&amp;"")</f>
        <v/>
      </c>
    </row>
    <row r="917">
      <c r="Y917" s="47">
        <f>IFERROR(MATCH(Library!M917,$M$6:$M$40000,0),"")</f>
        <v/>
      </c>
      <c r="Z917">
        <f>IF($Y917="","",INDEX($C$6:$C$40000,$Y917)&amp;"")</f>
        <v/>
      </c>
      <c r="AA917" s="59">
        <f>IF($Y917="","",IF(INDEX($D$6:$D$40000,$Y917)="","",INDEX($D$6:$D$40000,$Y917)))</f>
        <v/>
      </c>
      <c r="AB917">
        <f>IF($Y917="","",INDEX($L$6:$L$40000,$Y917)&amp;"")</f>
        <v/>
      </c>
    </row>
    <row r="918">
      <c r="Y918" s="47">
        <f>IFERROR(MATCH(Library!M918,$M$6:$M$40000,0),"")</f>
        <v/>
      </c>
      <c r="Z918">
        <f>IF($Y918="","",INDEX($C$6:$C$40000,$Y918)&amp;"")</f>
        <v/>
      </c>
      <c r="AA918" s="59">
        <f>IF($Y918="","",IF(INDEX($D$6:$D$40000,$Y918)="","",INDEX($D$6:$D$40000,$Y918)))</f>
        <v/>
      </c>
      <c r="AB918">
        <f>IF($Y918="","",INDEX($L$6:$L$40000,$Y918)&amp;"")</f>
        <v/>
      </c>
    </row>
    <row r="919">
      <c r="Y919" s="47">
        <f>IFERROR(MATCH(Library!M919,$M$6:$M$40000,0),"")</f>
        <v/>
      </c>
      <c r="Z919">
        <f>IF($Y919="","",INDEX($C$6:$C$40000,$Y919)&amp;"")</f>
        <v/>
      </c>
      <c r="AA919" s="59">
        <f>IF($Y919="","",IF(INDEX($D$6:$D$40000,$Y919)="","",INDEX($D$6:$D$40000,$Y919)))</f>
        <v/>
      </c>
      <c r="AB919">
        <f>IF($Y919="","",INDEX($L$6:$L$40000,$Y919)&amp;"")</f>
        <v/>
      </c>
    </row>
    <row r="920">
      <c r="Y920" s="47">
        <f>IFERROR(MATCH(Library!M920,$M$6:$M$40000,0),"")</f>
        <v/>
      </c>
      <c r="Z920">
        <f>IF($Y920="","",INDEX($C$6:$C$40000,$Y920)&amp;"")</f>
        <v/>
      </c>
      <c r="AA920" s="59">
        <f>IF($Y920="","",IF(INDEX($D$6:$D$40000,$Y920)="","",INDEX($D$6:$D$40000,$Y920)))</f>
        <v/>
      </c>
      <c r="AB920">
        <f>IF($Y920="","",INDEX($L$6:$L$40000,$Y920)&amp;"")</f>
        <v/>
      </c>
    </row>
    <row r="921">
      <c r="Y921" s="47">
        <f>IFERROR(MATCH(Library!M921,$M$6:$M$40000,0),"")</f>
        <v/>
      </c>
      <c r="Z921">
        <f>IF($Y921="","",INDEX($C$6:$C$40000,$Y921)&amp;"")</f>
        <v/>
      </c>
      <c r="AA921" s="59">
        <f>IF($Y921="","",IF(INDEX($D$6:$D$40000,$Y921)="","",INDEX($D$6:$D$40000,$Y921)))</f>
        <v/>
      </c>
      <c r="AB921">
        <f>IF($Y921="","",INDEX($L$6:$L$40000,$Y921)&amp;"")</f>
        <v/>
      </c>
    </row>
    <row r="922">
      <c r="Y922" s="47">
        <f>IFERROR(MATCH(Library!M922,$M$6:$M$40000,0),"")</f>
        <v/>
      </c>
      <c r="Z922">
        <f>IF($Y922="","",INDEX($C$6:$C$40000,$Y922)&amp;"")</f>
        <v/>
      </c>
      <c r="AA922" s="59">
        <f>IF($Y922="","",IF(INDEX($D$6:$D$40000,$Y922)="","",INDEX($D$6:$D$40000,$Y922)))</f>
        <v/>
      </c>
      <c r="AB922">
        <f>IF($Y922="","",INDEX($L$6:$L$40000,$Y922)&amp;"")</f>
        <v/>
      </c>
    </row>
    <row r="923">
      <c r="Y923" s="47">
        <f>IFERROR(MATCH(Library!M923,$M$6:$M$40000,0),"")</f>
        <v/>
      </c>
      <c r="Z923">
        <f>IF($Y923="","",INDEX($C$6:$C$40000,$Y923)&amp;"")</f>
        <v/>
      </c>
      <c r="AA923" s="59">
        <f>IF($Y923="","",IF(INDEX($D$6:$D$40000,$Y923)="","",INDEX($D$6:$D$40000,$Y923)))</f>
        <v/>
      </c>
      <c r="AB923">
        <f>IF($Y923="","",INDEX($L$6:$L$40000,$Y923)&amp;"")</f>
        <v/>
      </c>
    </row>
    <row r="924">
      <c r="Y924" s="47">
        <f>IFERROR(MATCH(Library!M924,$M$6:$M$40000,0),"")</f>
        <v/>
      </c>
      <c r="Z924">
        <f>IF($Y924="","",INDEX($C$6:$C$40000,$Y924)&amp;"")</f>
        <v/>
      </c>
      <c r="AA924" s="59">
        <f>IF($Y924="","",IF(INDEX($D$6:$D$40000,$Y924)="","",INDEX($D$6:$D$40000,$Y924)))</f>
        <v/>
      </c>
      <c r="AB924">
        <f>IF($Y924="","",INDEX($L$6:$L$40000,$Y924)&amp;"")</f>
        <v/>
      </c>
    </row>
    <row r="925">
      <c r="Y925" s="47">
        <f>IFERROR(MATCH(Library!M925,$M$6:$M$40000,0),"")</f>
        <v/>
      </c>
      <c r="Z925">
        <f>IF($Y925="","",INDEX($C$6:$C$40000,$Y925)&amp;"")</f>
        <v/>
      </c>
      <c r="AA925" s="59">
        <f>IF($Y925="","",IF(INDEX($D$6:$D$40000,$Y925)="","",INDEX($D$6:$D$40000,$Y925)))</f>
        <v/>
      </c>
      <c r="AB925">
        <f>IF($Y925="","",INDEX($L$6:$L$40000,$Y925)&amp;"")</f>
        <v/>
      </c>
    </row>
    <row r="926">
      <c r="Y926" s="47">
        <f>IFERROR(MATCH(Library!M926,$M$6:$M$40000,0),"")</f>
        <v/>
      </c>
      <c r="Z926">
        <f>IF($Y926="","",INDEX($C$6:$C$40000,$Y926)&amp;"")</f>
        <v/>
      </c>
      <c r="AA926" s="59">
        <f>IF($Y926="","",IF(INDEX($D$6:$D$40000,$Y926)="","",INDEX($D$6:$D$40000,$Y926)))</f>
        <v/>
      </c>
      <c r="AB926">
        <f>IF($Y926="","",INDEX($L$6:$L$40000,$Y926)&amp;"")</f>
        <v/>
      </c>
    </row>
    <row r="927">
      <c r="Y927" s="47">
        <f>IFERROR(MATCH(Library!M927,$M$6:$M$40000,0),"")</f>
        <v/>
      </c>
      <c r="Z927">
        <f>IF($Y927="","",INDEX($C$6:$C$40000,$Y927)&amp;"")</f>
        <v/>
      </c>
      <c r="AA927" s="59">
        <f>IF($Y927="","",IF(INDEX($D$6:$D$40000,$Y927)="","",INDEX($D$6:$D$40000,$Y927)))</f>
        <v/>
      </c>
      <c r="AB927">
        <f>IF($Y927="","",INDEX($L$6:$L$40000,$Y927)&amp;"")</f>
        <v/>
      </c>
    </row>
    <row r="928">
      <c r="Y928" s="47">
        <f>IFERROR(MATCH(Library!M928,$M$6:$M$40000,0),"")</f>
        <v/>
      </c>
      <c r="Z928">
        <f>IF($Y928="","",INDEX($C$6:$C$40000,$Y928)&amp;"")</f>
        <v/>
      </c>
      <c r="AA928" s="59">
        <f>IF($Y928="","",IF(INDEX($D$6:$D$40000,$Y928)="","",INDEX($D$6:$D$40000,$Y928)))</f>
        <v/>
      </c>
      <c r="AB928">
        <f>IF($Y928="","",INDEX($L$6:$L$40000,$Y928)&amp;"")</f>
        <v/>
      </c>
    </row>
    <row r="929">
      <c r="Y929" s="47">
        <f>IFERROR(MATCH(Library!M929,$M$6:$M$40000,0),"")</f>
        <v/>
      </c>
      <c r="Z929">
        <f>IF($Y929="","",INDEX($C$6:$C$40000,$Y929)&amp;"")</f>
        <v/>
      </c>
      <c r="AA929" s="59">
        <f>IF($Y929="","",IF(INDEX($D$6:$D$40000,$Y929)="","",INDEX($D$6:$D$40000,$Y929)))</f>
        <v/>
      </c>
      <c r="AB929">
        <f>IF($Y929="","",INDEX($L$6:$L$40000,$Y929)&amp;"")</f>
        <v/>
      </c>
    </row>
    <row r="930">
      <c r="Y930" s="47">
        <f>IFERROR(MATCH(Library!M930,$M$6:$M$40000,0),"")</f>
        <v/>
      </c>
      <c r="Z930">
        <f>IF($Y930="","",INDEX($C$6:$C$40000,$Y930)&amp;"")</f>
        <v/>
      </c>
      <c r="AA930" s="59">
        <f>IF($Y930="","",IF(INDEX($D$6:$D$40000,$Y930)="","",INDEX($D$6:$D$40000,$Y930)))</f>
        <v/>
      </c>
      <c r="AB930">
        <f>IF($Y930="","",INDEX($L$6:$L$40000,$Y930)&amp;"")</f>
        <v/>
      </c>
    </row>
    <row r="931">
      <c r="Y931" s="47">
        <f>IFERROR(MATCH(Library!M931,$M$6:$M$40000,0),"")</f>
        <v/>
      </c>
      <c r="Z931">
        <f>IF($Y931="","",INDEX($C$6:$C$40000,$Y931)&amp;"")</f>
        <v/>
      </c>
      <c r="AA931" s="59">
        <f>IF($Y931="","",IF(INDEX($D$6:$D$40000,$Y931)="","",INDEX($D$6:$D$40000,$Y931)))</f>
        <v/>
      </c>
      <c r="AB931">
        <f>IF($Y931="","",INDEX($L$6:$L$40000,$Y931)&amp;"")</f>
        <v/>
      </c>
    </row>
    <row r="932">
      <c r="Y932" s="47">
        <f>IFERROR(MATCH(Library!M932,$M$6:$M$40000,0),"")</f>
        <v/>
      </c>
      <c r="Z932">
        <f>IF($Y932="","",INDEX($C$6:$C$40000,$Y932)&amp;"")</f>
        <v/>
      </c>
      <c r="AA932" s="59">
        <f>IF($Y932="","",IF(INDEX($D$6:$D$40000,$Y932)="","",INDEX($D$6:$D$40000,$Y932)))</f>
        <v/>
      </c>
      <c r="AB932">
        <f>IF($Y932="","",INDEX($L$6:$L$40000,$Y932)&amp;"")</f>
        <v/>
      </c>
    </row>
    <row r="933">
      <c r="Y933" s="47">
        <f>IFERROR(MATCH(Library!M933,$M$6:$M$40000,0),"")</f>
        <v/>
      </c>
      <c r="Z933">
        <f>IF($Y933="","",INDEX($C$6:$C$40000,$Y933)&amp;"")</f>
        <v/>
      </c>
      <c r="AA933" s="59">
        <f>IF($Y933="","",IF(INDEX($D$6:$D$40000,$Y933)="","",INDEX($D$6:$D$40000,$Y933)))</f>
        <v/>
      </c>
      <c r="AB933">
        <f>IF($Y933="","",INDEX($L$6:$L$40000,$Y933)&amp;"")</f>
        <v/>
      </c>
    </row>
    <row r="934">
      <c r="Y934" s="47">
        <f>IFERROR(MATCH(Library!M934,$M$6:$M$40000,0),"")</f>
        <v/>
      </c>
      <c r="Z934">
        <f>IF($Y934="","",INDEX($C$6:$C$40000,$Y934)&amp;"")</f>
        <v/>
      </c>
      <c r="AA934" s="59">
        <f>IF($Y934="","",IF(INDEX($D$6:$D$40000,$Y934)="","",INDEX($D$6:$D$40000,$Y934)))</f>
        <v/>
      </c>
      <c r="AB934">
        <f>IF($Y934="","",INDEX($L$6:$L$40000,$Y934)&amp;"")</f>
        <v/>
      </c>
    </row>
    <row r="935">
      <c r="Y935" s="47">
        <f>IFERROR(MATCH(Library!M935,$M$6:$M$40000,0),"")</f>
        <v/>
      </c>
      <c r="Z935">
        <f>IF($Y935="","",INDEX($C$6:$C$40000,$Y935)&amp;"")</f>
        <v/>
      </c>
      <c r="AA935" s="59">
        <f>IF($Y935="","",IF(INDEX($D$6:$D$40000,$Y935)="","",INDEX($D$6:$D$40000,$Y935)))</f>
        <v/>
      </c>
      <c r="AB935">
        <f>IF($Y935="","",INDEX($L$6:$L$40000,$Y935)&amp;"")</f>
        <v/>
      </c>
    </row>
    <row r="936">
      <c r="Y936" s="47">
        <f>IFERROR(MATCH(Library!M936,$M$6:$M$40000,0),"")</f>
        <v/>
      </c>
      <c r="Z936">
        <f>IF($Y936="","",INDEX($C$6:$C$40000,$Y936)&amp;"")</f>
        <v/>
      </c>
      <c r="AA936" s="59">
        <f>IF($Y936="","",IF(INDEX($D$6:$D$40000,$Y936)="","",INDEX($D$6:$D$40000,$Y936)))</f>
        <v/>
      </c>
      <c r="AB936">
        <f>IF($Y936="","",INDEX($L$6:$L$40000,$Y936)&amp;"")</f>
        <v/>
      </c>
    </row>
    <row r="937">
      <c r="Y937" s="47">
        <f>IFERROR(MATCH(Library!M937,$M$6:$M$40000,0),"")</f>
        <v/>
      </c>
      <c r="Z937">
        <f>IF($Y937="","",INDEX($C$6:$C$40000,$Y937)&amp;"")</f>
        <v/>
      </c>
      <c r="AA937" s="59">
        <f>IF($Y937="","",IF(INDEX($D$6:$D$40000,$Y937)="","",INDEX($D$6:$D$40000,$Y937)))</f>
        <v/>
      </c>
      <c r="AB937">
        <f>IF($Y937="","",INDEX($L$6:$L$40000,$Y937)&amp;"")</f>
        <v/>
      </c>
    </row>
    <row r="938">
      <c r="Y938" s="47">
        <f>IFERROR(MATCH(Library!M938,$M$6:$M$40000,0),"")</f>
        <v/>
      </c>
      <c r="Z938">
        <f>IF($Y938="","",INDEX($C$6:$C$40000,$Y938)&amp;"")</f>
        <v/>
      </c>
      <c r="AA938" s="59">
        <f>IF($Y938="","",IF(INDEX($D$6:$D$40000,$Y938)="","",INDEX($D$6:$D$40000,$Y938)))</f>
        <v/>
      </c>
      <c r="AB938">
        <f>IF($Y938="","",INDEX($L$6:$L$40000,$Y938)&amp;"")</f>
        <v/>
      </c>
    </row>
    <row r="939">
      <c r="Y939" s="47">
        <f>IFERROR(MATCH(Library!M939,$M$6:$M$40000,0),"")</f>
        <v/>
      </c>
      <c r="Z939">
        <f>IF($Y939="","",INDEX($C$6:$C$40000,$Y939)&amp;"")</f>
        <v/>
      </c>
      <c r="AA939" s="59">
        <f>IF($Y939="","",IF(INDEX($D$6:$D$40000,$Y939)="","",INDEX($D$6:$D$40000,$Y939)))</f>
        <v/>
      </c>
      <c r="AB939">
        <f>IF($Y939="","",INDEX($L$6:$L$40000,$Y939)&amp;"")</f>
        <v/>
      </c>
    </row>
    <row r="940">
      <c r="Y940" s="47">
        <f>IFERROR(MATCH(Library!M940,$M$6:$M$40000,0),"")</f>
        <v/>
      </c>
      <c r="Z940">
        <f>IF($Y940="","",INDEX($C$6:$C$40000,$Y940)&amp;"")</f>
        <v/>
      </c>
      <c r="AA940" s="59">
        <f>IF($Y940="","",IF(INDEX($D$6:$D$40000,$Y940)="","",INDEX($D$6:$D$40000,$Y940)))</f>
        <v/>
      </c>
      <c r="AB940">
        <f>IF($Y940="","",INDEX($L$6:$L$40000,$Y940)&amp;"")</f>
        <v/>
      </c>
    </row>
    <row r="941">
      <c r="Y941" s="47">
        <f>IFERROR(MATCH(Library!M941,$M$6:$M$40000,0),"")</f>
        <v/>
      </c>
      <c r="Z941">
        <f>IF($Y941="","",INDEX($C$6:$C$40000,$Y941)&amp;"")</f>
        <v/>
      </c>
      <c r="AA941" s="59">
        <f>IF($Y941="","",IF(INDEX($D$6:$D$40000,$Y941)="","",INDEX($D$6:$D$40000,$Y941)))</f>
        <v/>
      </c>
      <c r="AB941">
        <f>IF($Y941="","",INDEX($L$6:$L$40000,$Y941)&amp;"")</f>
        <v/>
      </c>
    </row>
    <row r="942">
      <c r="Y942" s="47">
        <f>IFERROR(MATCH(Library!M942,$M$6:$M$40000,0),"")</f>
        <v/>
      </c>
      <c r="Z942">
        <f>IF($Y942="","",INDEX($C$6:$C$40000,$Y942)&amp;"")</f>
        <v/>
      </c>
      <c r="AA942" s="59">
        <f>IF($Y942="","",IF(INDEX($D$6:$D$40000,$Y942)="","",INDEX($D$6:$D$40000,$Y942)))</f>
        <v/>
      </c>
      <c r="AB942">
        <f>IF($Y942="","",INDEX($L$6:$L$40000,$Y942)&amp;"")</f>
        <v/>
      </c>
    </row>
    <row r="943">
      <c r="Y943" s="47">
        <f>IFERROR(MATCH(Library!M943,$M$6:$M$40000,0),"")</f>
        <v/>
      </c>
      <c r="Z943">
        <f>IF($Y943="","",INDEX($C$6:$C$40000,$Y943)&amp;"")</f>
        <v/>
      </c>
      <c r="AA943" s="59">
        <f>IF($Y943="","",IF(INDEX($D$6:$D$40000,$Y943)="","",INDEX($D$6:$D$40000,$Y943)))</f>
        <v/>
      </c>
      <c r="AB943">
        <f>IF($Y943="","",INDEX($L$6:$L$40000,$Y943)&amp;"")</f>
        <v/>
      </c>
    </row>
    <row r="944">
      <c r="Y944" s="47">
        <f>IFERROR(MATCH(Library!M944,$M$6:$M$40000,0),"")</f>
        <v/>
      </c>
      <c r="Z944">
        <f>IF($Y944="","",INDEX($C$6:$C$40000,$Y944)&amp;"")</f>
        <v/>
      </c>
      <c r="AA944" s="59">
        <f>IF($Y944="","",IF(INDEX($D$6:$D$40000,$Y944)="","",INDEX($D$6:$D$40000,$Y944)))</f>
        <v/>
      </c>
      <c r="AB944">
        <f>IF($Y944="","",INDEX($L$6:$L$40000,$Y944)&amp;"")</f>
        <v/>
      </c>
    </row>
    <row r="945">
      <c r="Y945" s="47">
        <f>IFERROR(MATCH(Library!M945,$M$6:$M$40000,0),"")</f>
        <v/>
      </c>
      <c r="Z945">
        <f>IF($Y945="","",INDEX($C$6:$C$40000,$Y945)&amp;"")</f>
        <v/>
      </c>
      <c r="AA945" s="59">
        <f>IF($Y945="","",IF(INDEX($D$6:$D$40000,$Y945)="","",INDEX($D$6:$D$40000,$Y945)))</f>
        <v/>
      </c>
      <c r="AB945">
        <f>IF($Y945="","",INDEX($L$6:$L$40000,$Y945)&amp;"")</f>
        <v/>
      </c>
    </row>
    <row r="946">
      <c r="Y946" s="47">
        <f>IFERROR(MATCH(Library!M946,$M$6:$M$40000,0),"")</f>
        <v/>
      </c>
      <c r="Z946">
        <f>IF($Y946="","",INDEX($C$6:$C$40000,$Y946)&amp;"")</f>
        <v/>
      </c>
      <c r="AA946" s="59">
        <f>IF($Y946="","",IF(INDEX($D$6:$D$40000,$Y946)="","",INDEX($D$6:$D$40000,$Y946)))</f>
        <v/>
      </c>
      <c r="AB946">
        <f>IF($Y946="","",INDEX($L$6:$L$40000,$Y946)&amp;"")</f>
        <v/>
      </c>
    </row>
    <row r="947">
      <c r="Y947" s="47">
        <f>IFERROR(MATCH(Library!M947,$M$6:$M$40000,0),"")</f>
        <v/>
      </c>
      <c r="Z947">
        <f>IF($Y947="","",INDEX($C$6:$C$40000,$Y947)&amp;"")</f>
        <v/>
      </c>
      <c r="AA947" s="59">
        <f>IF($Y947="","",IF(INDEX($D$6:$D$40000,$Y947)="","",INDEX($D$6:$D$40000,$Y947)))</f>
        <v/>
      </c>
      <c r="AB947">
        <f>IF($Y947="","",INDEX($L$6:$L$40000,$Y947)&amp;"")</f>
        <v/>
      </c>
    </row>
    <row r="948">
      <c r="Y948" s="47">
        <f>IFERROR(MATCH(Library!M948,$M$6:$M$40000,0),"")</f>
        <v/>
      </c>
      <c r="Z948">
        <f>IF($Y948="","",INDEX($C$6:$C$40000,$Y948)&amp;"")</f>
        <v/>
      </c>
      <c r="AA948" s="59">
        <f>IF($Y948="","",IF(INDEX($D$6:$D$40000,$Y948)="","",INDEX($D$6:$D$40000,$Y948)))</f>
        <v/>
      </c>
      <c r="AB948">
        <f>IF($Y948="","",INDEX($L$6:$L$40000,$Y948)&amp;"")</f>
        <v/>
      </c>
    </row>
    <row r="949">
      <c r="Y949" s="47">
        <f>IFERROR(MATCH(Library!M949,$M$6:$M$40000,0),"")</f>
        <v/>
      </c>
      <c r="Z949">
        <f>IF($Y949="","",INDEX($C$6:$C$40000,$Y949)&amp;"")</f>
        <v/>
      </c>
      <c r="AA949" s="59">
        <f>IF($Y949="","",IF(INDEX($D$6:$D$40000,$Y949)="","",INDEX($D$6:$D$40000,$Y949)))</f>
        <v/>
      </c>
      <c r="AB949">
        <f>IF($Y949="","",INDEX($L$6:$L$40000,$Y949)&amp;"")</f>
        <v/>
      </c>
    </row>
    <row r="950">
      <c r="Y950" s="47">
        <f>IFERROR(MATCH(Library!M950,$M$6:$M$40000,0),"")</f>
        <v/>
      </c>
      <c r="Z950">
        <f>IF($Y950="","",INDEX($C$6:$C$40000,$Y950)&amp;"")</f>
        <v/>
      </c>
      <c r="AA950" s="59">
        <f>IF($Y950="","",IF(INDEX($D$6:$D$40000,$Y950)="","",INDEX($D$6:$D$40000,$Y950)))</f>
        <v/>
      </c>
      <c r="AB950">
        <f>IF($Y950="","",INDEX($L$6:$L$40000,$Y950)&amp;"")</f>
        <v/>
      </c>
    </row>
    <row r="951">
      <c r="Y951" s="47">
        <f>IFERROR(MATCH(Library!M951,$M$6:$M$40000,0),"")</f>
        <v/>
      </c>
      <c r="Z951">
        <f>IF($Y951="","",INDEX($C$6:$C$40000,$Y951)&amp;"")</f>
        <v/>
      </c>
      <c r="AA951" s="59">
        <f>IF($Y951="","",IF(INDEX($D$6:$D$40000,$Y951)="","",INDEX($D$6:$D$40000,$Y951)))</f>
        <v/>
      </c>
      <c r="AB951">
        <f>IF($Y951="","",INDEX($L$6:$L$40000,$Y951)&amp;"")</f>
        <v/>
      </c>
    </row>
    <row r="952">
      <c r="Y952" s="47">
        <f>IFERROR(MATCH(Library!M952,$M$6:$M$40000,0),"")</f>
        <v/>
      </c>
      <c r="Z952">
        <f>IF($Y952="","",INDEX($C$6:$C$40000,$Y952)&amp;"")</f>
        <v/>
      </c>
      <c r="AA952" s="59">
        <f>IF($Y952="","",IF(INDEX($D$6:$D$40000,$Y952)="","",INDEX($D$6:$D$40000,$Y952)))</f>
        <v/>
      </c>
      <c r="AB952">
        <f>IF($Y952="","",INDEX($L$6:$L$40000,$Y952)&amp;"")</f>
        <v/>
      </c>
    </row>
    <row r="953">
      <c r="Y953" s="47">
        <f>IFERROR(MATCH(Library!M953,$M$6:$M$40000,0),"")</f>
        <v/>
      </c>
      <c r="Z953">
        <f>IF($Y953="","",INDEX($C$6:$C$40000,$Y953)&amp;"")</f>
        <v/>
      </c>
      <c r="AA953" s="59">
        <f>IF($Y953="","",IF(INDEX($D$6:$D$40000,$Y953)="","",INDEX($D$6:$D$40000,$Y953)))</f>
        <v/>
      </c>
      <c r="AB953">
        <f>IF($Y953="","",INDEX($L$6:$L$40000,$Y953)&amp;"")</f>
        <v/>
      </c>
    </row>
    <row r="954">
      <c r="Y954" s="47">
        <f>IFERROR(MATCH(Library!M954,$M$6:$M$40000,0),"")</f>
        <v/>
      </c>
      <c r="Z954">
        <f>IF($Y954="","",INDEX($C$6:$C$40000,$Y954)&amp;"")</f>
        <v/>
      </c>
      <c r="AA954" s="59">
        <f>IF($Y954="","",IF(INDEX($D$6:$D$40000,$Y954)="","",INDEX($D$6:$D$40000,$Y954)))</f>
        <v/>
      </c>
      <c r="AB954">
        <f>IF($Y954="","",INDEX($L$6:$L$40000,$Y954)&amp;"")</f>
        <v/>
      </c>
    </row>
    <row r="955">
      <c r="Y955" s="47">
        <f>IFERROR(MATCH(Library!M955,$M$6:$M$40000,0),"")</f>
        <v/>
      </c>
      <c r="Z955">
        <f>IF($Y955="","",INDEX($C$6:$C$40000,$Y955)&amp;"")</f>
        <v/>
      </c>
      <c r="AA955" s="59">
        <f>IF($Y955="","",IF(INDEX($D$6:$D$40000,$Y955)="","",INDEX($D$6:$D$40000,$Y955)))</f>
        <v/>
      </c>
      <c r="AB955">
        <f>IF($Y955="","",INDEX($L$6:$L$40000,$Y955)&amp;"")</f>
        <v/>
      </c>
    </row>
    <row r="956">
      <c r="Y956" s="47">
        <f>IFERROR(MATCH(Library!M956,$M$6:$M$40000,0),"")</f>
        <v/>
      </c>
      <c r="Z956">
        <f>IF($Y956="","",INDEX($C$6:$C$40000,$Y956)&amp;"")</f>
        <v/>
      </c>
      <c r="AA956" s="59">
        <f>IF($Y956="","",IF(INDEX($D$6:$D$40000,$Y956)="","",INDEX($D$6:$D$40000,$Y956)))</f>
        <v/>
      </c>
      <c r="AB956">
        <f>IF($Y956="","",INDEX($L$6:$L$40000,$Y956)&amp;"")</f>
        <v/>
      </c>
    </row>
    <row r="957">
      <c r="Y957" s="47">
        <f>IFERROR(MATCH(Library!M957,$M$6:$M$40000,0),"")</f>
        <v/>
      </c>
      <c r="Z957">
        <f>IF($Y957="","",INDEX($C$6:$C$40000,$Y957)&amp;"")</f>
        <v/>
      </c>
      <c r="AA957" s="59">
        <f>IF($Y957="","",IF(INDEX($D$6:$D$40000,$Y957)="","",INDEX($D$6:$D$40000,$Y957)))</f>
        <v/>
      </c>
      <c r="AB957">
        <f>IF($Y957="","",INDEX($L$6:$L$40000,$Y957)&amp;"")</f>
        <v/>
      </c>
    </row>
    <row r="958">
      <c r="Y958" s="47">
        <f>IFERROR(MATCH(Library!M958,$M$6:$M$40000,0),"")</f>
        <v/>
      </c>
      <c r="Z958">
        <f>IF($Y958="","",INDEX($C$6:$C$40000,$Y958)&amp;"")</f>
        <v/>
      </c>
      <c r="AA958" s="59">
        <f>IF($Y958="","",IF(INDEX($D$6:$D$40000,$Y958)="","",INDEX($D$6:$D$40000,$Y958)))</f>
        <v/>
      </c>
      <c r="AB958">
        <f>IF($Y958="","",INDEX($L$6:$L$40000,$Y958)&amp;"")</f>
        <v/>
      </c>
    </row>
    <row r="959">
      <c r="Y959" s="47">
        <f>IFERROR(MATCH(Library!M959,$M$6:$M$40000,0),"")</f>
        <v/>
      </c>
      <c r="Z959">
        <f>IF($Y959="","",INDEX($C$6:$C$40000,$Y959)&amp;"")</f>
        <v/>
      </c>
      <c r="AA959" s="59">
        <f>IF($Y959="","",IF(INDEX($D$6:$D$40000,$Y959)="","",INDEX($D$6:$D$40000,$Y959)))</f>
        <v/>
      </c>
      <c r="AB959">
        <f>IF($Y959="","",INDEX($L$6:$L$40000,$Y959)&amp;"")</f>
        <v/>
      </c>
    </row>
    <row r="960">
      <c r="Y960" s="47">
        <f>IFERROR(MATCH(Library!M960,$M$6:$M$40000,0),"")</f>
        <v/>
      </c>
      <c r="Z960">
        <f>IF($Y960="","",INDEX($C$6:$C$40000,$Y960)&amp;"")</f>
        <v/>
      </c>
      <c r="AA960" s="59">
        <f>IF($Y960="","",IF(INDEX($D$6:$D$40000,$Y960)="","",INDEX($D$6:$D$40000,$Y960)))</f>
        <v/>
      </c>
      <c r="AB960">
        <f>IF($Y960="","",INDEX($L$6:$L$40000,$Y960)&amp;"")</f>
        <v/>
      </c>
    </row>
    <row r="961">
      <c r="Y961" s="47">
        <f>IFERROR(MATCH(Library!M961,$M$6:$M$40000,0),"")</f>
        <v/>
      </c>
      <c r="Z961">
        <f>IF($Y961="","",INDEX($C$6:$C$40000,$Y961)&amp;"")</f>
        <v/>
      </c>
      <c r="AA961" s="59">
        <f>IF($Y961="","",IF(INDEX($D$6:$D$40000,$Y961)="","",INDEX($D$6:$D$40000,$Y961)))</f>
        <v/>
      </c>
      <c r="AB961">
        <f>IF($Y961="","",INDEX($L$6:$L$40000,$Y961)&amp;"")</f>
        <v/>
      </c>
    </row>
    <row r="962">
      <c r="Y962" s="47">
        <f>IFERROR(MATCH(Library!M962,$M$6:$M$40000,0),"")</f>
        <v/>
      </c>
      <c r="Z962">
        <f>IF($Y962="","",INDEX($C$6:$C$40000,$Y962)&amp;"")</f>
        <v/>
      </c>
      <c r="AA962" s="59">
        <f>IF($Y962="","",IF(INDEX($D$6:$D$40000,$Y962)="","",INDEX($D$6:$D$40000,$Y962)))</f>
        <v/>
      </c>
      <c r="AB962">
        <f>IF($Y962="","",INDEX($L$6:$L$40000,$Y962)&amp;"")</f>
        <v/>
      </c>
    </row>
    <row r="963">
      <c r="Y963" s="47">
        <f>IFERROR(MATCH(Library!M963,$M$6:$M$40000,0),"")</f>
        <v/>
      </c>
      <c r="Z963">
        <f>IF($Y963="","",INDEX($C$6:$C$40000,$Y963)&amp;"")</f>
        <v/>
      </c>
      <c r="AA963" s="59">
        <f>IF($Y963="","",IF(INDEX($D$6:$D$40000,$Y963)="","",INDEX($D$6:$D$40000,$Y963)))</f>
        <v/>
      </c>
      <c r="AB963">
        <f>IF($Y963="","",INDEX($L$6:$L$40000,$Y963)&amp;"")</f>
        <v/>
      </c>
    </row>
    <row r="964">
      <c r="Y964" s="47">
        <f>IFERROR(MATCH(Library!M964,$M$6:$M$40000,0),"")</f>
        <v/>
      </c>
      <c r="Z964">
        <f>IF($Y964="","",INDEX($C$6:$C$40000,$Y964)&amp;"")</f>
        <v/>
      </c>
      <c r="AA964" s="59">
        <f>IF($Y964="","",IF(INDEX($D$6:$D$40000,$Y964)="","",INDEX($D$6:$D$40000,$Y964)))</f>
        <v/>
      </c>
      <c r="AB964">
        <f>IF($Y964="","",INDEX($L$6:$L$40000,$Y964)&amp;"")</f>
        <v/>
      </c>
    </row>
    <row r="965">
      <c r="Y965" s="47">
        <f>IFERROR(MATCH(Library!M965,$M$6:$M$40000,0),"")</f>
        <v/>
      </c>
      <c r="Z965">
        <f>IF($Y965="","",INDEX($C$6:$C$40000,$Y965)&amp;"")</f>
        <v/>
      </c>
      <c r="AA965" s="59">
        <f>IF($Y965="","",IF(INDEX($D$6:$D$40000,$Y965)="","",INDEX($D$6:$D$40000,$Y965)))</f>
        <v/>
      </c>
      <c r="AB965">
        <f>IF($Y965="","",INDEX($L$6:$L$40000,$Y965)&amp;"")</f>
        <v/>
      </c>
    </row>
    <row r="966">
      <c r="Y966" s="47">
        <f>IFERROR(MATCH(Library!M966,$M$6:$M$40000,0),"")</f>
        <v/>
      </c>
      <c r="Z966">
        <f>IF($Y966="","",INDEX($C$6:$C$40000,$Y966)&amp;"")</f>
        <v/>
      </c>
      <c r="AA966" s="59">
        <f>IF($Y966="","",IF(INDEX($D$6:$D$40000,$Y966)="","",INDEX($D$6:$D$40000,$Y966)))</f>
        <v/>
      </c>
      <c r="AB966">
        <f>IF($Y966="","",INDEX($L$6:$L$40000,$Y966)&amp;"")</f>
        <v/>
      </c>
    </row>
    <row r="967">
      <c r="Y967" s="47">
        <f>IFERROR(MATCH(Library!M967,$M$6:$M$40000,0),"")</f>
        <v/>
      </c>
      <c r="Z967">
        <f>IF($Y967="","",INDEX($C$6:$C$40000,$Y967)&amp;"")</f>
        <v/>
      </c>
      <c r="AA967" s="59">
        <f>IF($Y967="","",IF(INDEX($D$6:$D$40000,$Y967)="","",INDEX($D$6:$D$40000,$Y967)))</f>
        <v/>
      </c>
      <c r="AB967">
        <f>IF($Y967="","",INDEX($L$6:$L$40000,$Y967)&amp;"")</f>
        <v/>
      </c>
    </row>
    <row r="968">
      <c r="Y968" s="47">
        <f>IFERROR(MATCH(Library!M968,$M$6:$M$40000,0),"")</f>
        <v/>
      </c>
      <c r="Z968">
        <f>IF($Y968="","",INDEX($C$6:$C$40000,$Y968)&amp;"")</f>
        <v/>
      </c>
      <c r="AA968" s="59">
        <f>IF($Y968="","",IF(INDEX($D$6:$D$40000,$Y968)="","",INDEX($D$6:$D$40000,$Y968)))</f>
        <v/>
      </c>
      <c r="AB968">
        <f>IF($Y968="","",INDEX($L$6:$L$40000,$Y968)&amp;"")</f>
        <v/>
      </c>
    </row>
    <row r="969">
      <c r="Y969" s="47">
        <f>IFERROR(MATCH(Library!M969,$M$6:$M$40000,0),"")</f>
        <v/>
      </c>
      <c r="Z969">
        <f>IF($Y969="","",INDEX($C$6:$C$40000,$Y969)&amp;"")</f>
        <v/>
      </c>
      <c r="AA969" s="59">
        <f>IF($Y969="","",IF(INDEX($D$6:$D$40000,$Y969)="","",INDEX($D$6:$D$40000,$Y969)))</f>
        <v/>
      </c>
      <c r="AB969">
        <f>IF($Y969="","",INDEX($L$6:$L$40000,$Y969)&amp;"")</f>
        <v/>
      </c>
    </row>
    <row r="970">
      <c r="Y970" s="47">
        <f>IFERROR(MATCH(Library!M970,$M$6:$M$40000,0),"")</f>
        <v/>
      </c>
      <c r="Z970">
        <f>IF($Y970="","",INDEX($C$6:$C$40000,$Y970)&amp;"")</f>
        <v/>
      </c>
      <c r="AA970" s="59">
        <f>IF($Y970="","",IF(INDEX($D$6:$D$40000,$Y970)="","",INDEX($D$6:$D$40000,$Y970)))</f>
        <v/>
      </c>
      <c r="AB970">
        <f>IF($Y970="","",INDEX($L$6:$L$40000,$Y970)&amp;"")</f>
        <v/>
      </c>
    </row>
    <row r="971">
      <c r="Y971" s="47">
        <f>IFERROR(MATCH(Library!M971,$M$6:$M$40000,0),"")</f>
        <v/>
      </c>
      <c r="Z971">
        <f>IF($Y971="","",INDEX($C$6:$C$40000,$Y971)&amp;"")</f>
        <v/>
      </c>
      <c r="AA971" s="59">
        <f>IF($Y971="","",IF(INDEX($D$6:$D$40000,$Y971)="","",INDEX($D$6:$D$40000,$Y971)))</f>
        <v/>
      </c>
      <c r="AB971">
        <f>IF($Y971="","",INDEX($L$6:$L$40000,$Y971)&amp;"")</f>
        <v/>
      </c>
    </row>
    <row r="972">
      <c r="Y972" s="47">
        <f>IFERROR(MATCH(Library!M972,$M$6:$M$40000,0),"")</f>
        <v/>
      </c>
      <c r="Z972">
        <f>IF($Y972="","",INDEX($C$6:$C$40000,$Y972)&amp;"")</f>
        <v/>
      </c>
      <c r="AA972" s="59">
        <f>IF($Y972="","",IF(INDEX($D$6:$D$40000,$Y972)="","",INDEX($D$6:$D$40000,$Y972)))</f>
        <v/>
      </c>
      <c r="AB972">
        <f>IF($Y972="","",INDEX($L$6:$L$40000,$Y972)&amp;"")</f>
        <v/>
      </c>
    </row>
    <row r="973">
      <c r="Y973" s="47">
        <f>IFERROR(MATCH(Library!M973,$M$6:$M$40000,0),"")</f>
        <v/>
      </c>
      <c r="Z973">
        <f>IF($Y973="","",INDEX($C$6:$C$40000,$Y973)&amp;"")</f>
        <v/>
      </c>
      <c r="AA973" s="59">
        <f>IF($Y973="","",IF(INDEX($D$6:$D$40000,$Y973)="","",INDEX($D$6:$D$40000,$Y973)))</f>
        <v/>
      </c>
      <c r="AB973">
        <f>IF($Y973="","",INDEX($L$6:$L$40000,$Y973)&amp;"")</f>
        <v/>
      </c>
    </row>
    <row r="974">
      <c r="Y974" s="47">
        <f>IFERROR(MATCH(Library!M974,$M$6:$M$40000,0),"")</f>
        <v/>
      </c>
      <c r="Z974">
        <f>IF($Y974="","",INDEX($C$6:$C$40000,$Y974)&amp;"")</f>
        <v/>
      </c>
      <c r="AA974" s="59">
        <f>IF($Y974="","",IF(INDEX($D$6:$D$40000,$Y974)="","",INDEX($D$6:$D$40000,$Y974)))</f>
        <v/>
      </c>
      <c r="AB974">
        <f>IF($Y974="","",INDEX($L$6:$L$40000,$Y974)&amp;"")</f>
        <v/>
      </c>
    </row>
    <row r="975">
      <c r="Y975" s="47">
        <f>IFERROR(MATCH(Library!M975,$M$6:$M$40000,0),"")</f>
        <v/>
      </c>
      <c r="Z975">
        <f>IF($Y975="","",INDEX($C$6:$C$40000,$Y975)&amp;"")</f>
        <v/>
      </c>
      <c r="AA975" s="59">
        <f>IF($Y975="","",IF(INDEX($D$6:$D$40000,$Y975)="","",INDEX($D$6:$D$40000,$Y975)))</f>
        <v/>
      </c>
      <c r="AB975">
        <f>IF($Y975="","",INDEX($L$6:$L$40000,$Y975)&amp;"")</f>
        <v/>
      </c>
    </row>
    <row r="976">
      <c r="Y976" s="47">
        <f>IFERROR(MATCH(Library!M976,$M$6:$M$40000,0),"")</f>
        <v/>
      </c>
      <c r="Z976">
        <f>IF($Y976="","",INDEX($C$6:$C$40000,$Y976)&amp;"")</f>
        <v/>
      </c>
      <c r="AA976" s="59">
        <f>IF($Y976="","",IF(INDEX($D$6:$D$40000,$Y976)="","",INDEX($D$6:$D$40000,$Y976)))</f>
        <v/>
      </c>
      <c r="AB976">
        <f>IF($Y976="","",INDEX($L$6:$L$40000,$Y976)&amp;"")</f>
        <v/>
      </c>
    </row>
    <row r="977">
      <c r="Y977" s="47">
        <f>IFERROR(MATCH(Library!M977,$M$6:$M$40000,0),"")</f>
        <v/>
      </c>
      <c r="Z977">
        <f>IF($Y977="","",INDEX($C$6:$C$40000,$Y977)&amp;"")</f>
        <v/>
      </c>
      <c r="AA977" s="59">
        <f>IF($Y977="","",IF(INDEX($D$6:$D$40000,$Y977)="","",INDEX($D$6:$D$40000,$Y977)))</f>
        <v/>
      </c>
      <c r="AB977">
        <f>IF($Y977="","",INDEX($L$6:$L$40000,$Y977)&amp;"")</f>
        <v/>
      </c>
    </row>
    <row r="978">
      <c r="Y978" s="47">
        <f>IFERROR(MATCH(Library!M978,$M$6:$M$40000,0),"")</f>
        <v/>
      </c>
      <c r="Z978">
        <f>IF($Y978="","",INDEX($C$6:$C$40000,$Y978)&amp;"")</f>
        <v/>
      </c>
      <c r="AA978" s="59">
        <f>IF($Y978="","",IF(INDEX($D$6:$D$40000,$Y978)="","",INDEX($D$6:$D$40000,$Y978)))</f>
        <v/>
      </c>
      <c r="AB978">
        <f>IF($Y978="","",INDEX($L$6:$L$40000,$Y978)&amp;"")</f>
        <v/>
      </c>
    </row>
    <row r="979">
      <c r="Y979" s="47">
        <f>IFERROR(MATCH(Library!M979,$M$6:$M$40000,0),"")</f>
        <v/>
      </c>
      <c r="Z979">
        <f>IF($Y979="","",INDEX($C$6:$C$40000,$Y979)&amp;"")</f>
        <v/>
      </c>
      <c r="AA979" s="59">
        <f>IF($Y979="","",IF(INDEX($D$6:$D$40000,$Y979)="","",INDEX($D$6:$D$40000,$Y979)))</f>
        <v/>
      </c>
      <c r="AB979">
        <f>IF($Y979="","",INDEX($L$6:$L$40000,$Y979)&amp;"")</f>
        <v/>
      </c>
    </row>
    <row r="980">
      <c r="Y980" s="47">
        <f>IFERROR(MATCH(Library!M980,$M$6:$M$40000,0),"")</f>
        <v/>
      </c>
      <c r="Z980">
        <f>IF($Y980="","",INDEX($C$6:$C$40000,$Y980)&amp;"")</f>
        <v/>
      </c>
      <c r="AA980" s="59">
        <f>IF($Y980="","",IF(INDEX($D$6:$D$40000,$Y980)="","",INDEX($D$6:$D$40000,$Y980)))</f>
        <v/>
      </c>
      <c r="AB980">
        <f>IF($Y980="","",INDEX($L$6:$L$40000,$Y980)&amp;"")</f>
        <v/>
      </c>
    </row>
    <row r="981">
      <c r="Y981" s="47">
        <f>IFERROR(MATCH(Library!M981,$M$6:$M$40000,0),"")</f>
        <v/>
      </c>
      <c r="Z981">
        <f>IF($Y981="","",INDEX($C$6:$C$40000,$Y981)&amp;"")</f>
        <v/>
      </c>
      <c r="AA981" s="59">
        <f>IF($Y981="","",IF(INDEX($D$6:$D$40000,$Y981)="","",INDEX($D$6:$D$40000,$Y981)))</f>
        <v/>
      </c>
      <c r="AB981">
        <f>IF($Y981="","",INDEX($L$6:$L$40000,$Y981)&amp;"")</f>
        <v/>
      </c>
    </row>
    <row r="982">
      <c r="Y982" s="47">
        <f>IFERROR(MATCH(Library!M982,$M$6:$M$40000,0),"")</f>
        <v/>
      </c>
      <c r="Z982">
        <f>IF($Y982="","",INDEX($C$6:$C$40000,$Y982)&amp;"")</f>
        <v/>
      </c>
      <c r="AA982" s="59">
        <f>IF($Y982="","",IF(INDEX($D$6:$D$40000,$Y982)="","",INDEX($D$6:$D$40000,$Y982)))</f>
        <v/>
      </c>
      <c r="AB982">
        <f>IF($Y982="","",INDEX($L$6:$L$40000,$Y982)&amp;"")</f>
        <v/>
      </c>
    </row>
    <row r="983">
      <c r="Y983" s="47">
        <f>IFERROR(MATCH(Library!M983,$M$6:$M$40000,0),"")</f>
        <v/>
      </c>
      <c r="Z983">
        <f>IF($Y983="","",INDEX($C$6:$C$40000,$Y983)&amp;"")</f>
        <v/>
      </c>
      <c r="AA983" s="59">
        <f>IF($Y983="","",IF(INDEX($D$6:$D$40000,$Y983)="","",INDEX($D$6:$D$40000,$Y983)))</f>
        <v/>
      </c>
      <c r="AB983">
        <f>IF($Y983="","",INDEX($L$6:$L$40000,$Y983)&amp;"")</f>
        <v/>
      </c>
    </row>
    <row r="984">
      <c r="Y984" s="47">
        <f>IFERROR(MATCH(Library!M984,$M$6:$M$40000,0),"")</f>
        <v/>
      </c>
      <c r="Z984">
        <f>IF($Y984="","",INDEX($C$6:$C$40000,$Y984)&amp;"")</f>
        <v/>
      </c>
      <c r="AA984" s="59">
        <f>IF($Y984="","",IF(INDEX($D$6:$D$40000,$Y984)="","",INDEX($D$6:$D$40000,$Y984)))</f>
        <v/>
      </c>
      <c r="AB984">
        <f>IF($Y984="","",INDEX($L$6:$L$40000,$Y984)&amp;"")</f>
        <v/>
      </c>
    </row>
    <row r="985">
      <c r="Y985" s="47">
        <f>IFERROR(MATCH(Library!M985,$M$6:$M$40000,0),"")</f>
        <v/>
      </c>
      <c r="Z985">
        <f>IF($Y985="","",INDEX($C$6:$C$40000,$Y985)&amp;"")</f>
        <v/>
      </c>
      <c r="AA985" s="59">
        <f>IF($Y985="","",IF(INDEX($D$6:$D$40000,$Y985)="","",INDEX($D$6:$D$40000,$Y985)))</f>
        <v/>
      </c>
      <c r="AB985">
        <f>IF($Y985="","",INDEX($L$6:$L$40000,$Y985)&amp;"")</f>
        <v/>
      </c>
    </row>
    <row r="986">
      <c r="Y986" s="47">
        <f>IFERROR(MATCH(Library!M986,$M$6:$M$40000,0),"")</f>
        <v/>
      </c>
      <c r="Z986">
        <f>IF($Y986="","",INDEX($C$6:$C$40000,$Y986)&amp;"")</f>
        <v/>
      </c>
      <c r="AA986" s="59">
        <f>IF($Y986="","",IF(INDEX($D$6:$D$40000,$Y986)="","",INDEX($D$6:$D$40000,$Y986)))</f>
        <v/>
      </c>
      <c r="AB986">
        <f>IF($Y986="","",INDEX($L$6:$L$40000,$Y986)&amp;"")</f>
        <v/>
      </c>
    </row>
    <row r="987">
      <c r="Y987" s="47">
        <f>IFERROR(MATCH(Library!M987,$M$6:$M$40000,0),"")</f>
        <v/>
      </c>
      <c r="Z987">
        <f>IF($Y987="","",INDEX($C$6:$C$40000,$Y987)&amp;"")</f>
        <v/>
      </c>
      <c r="AA987" s="59">
        <f>IF($Y987="","",IF(INDEX($D$6:$D$40000,$Y987)="","",INDEX($D$6:$D$40000,$Y987)))</f>
        <v/>
      </c>
      <c r="AB987">
        <f>IF($Y987="","",INDEX($L$6:$L$40000,$Y987)&amp;"")</f>
        <v/>
      </c>
    </row>
    <row r="988">
      <c r="Y988" s="47">
        <f>IFERROR(MATCH(Library!M988,$M$6:$M$40000,0),"")</f>
        <v/>
      </c>
      <c r="Z988">
        <f>IF($Y988="","",INDEX($C$6:$C$40000,$Y988)&amp;"")</f>
        <v/>
      </c>
      <c r="AA988" s="59">
        <f>IF($Y988="","",IF(INDEX($D$6:$D$40000,$Y988)="","",INDEX($D$6:$D$40000,$Y988)))</f>
        <v/>
      </c>
      <c r="AB988">
        <f>IF($Y988="","",INDEX($L$6:$L$40000,$Y988)&amp;"")</f>
        <v/>
      </c>
    </row>
    <row r="989">
      <c r="Y989" s="47">
        <f>IFERROR(MATCH(Library!M989,$M$6:$M$40000,0),"")</f>
        <v/>
      </c>
      <c r="Z989">
        <f>IF($Y989="","",INDEX($C$6:$C$40000,$Y989)&amp;"")</f>
        <v/>
      </c>
      <c r="AA989" s="59">
        <f>IF($Y989="","",IF(INDEX($D$6:$D$40000,$Y989)="","",INDEX($D$6:$D$40000,$Y989)))</f>
        <v/>
      </c>
      <c r="AB989">
        <f>IF($Y989="","",INDEX($L$6:$L$40000,$Y989)&amp;"")</f>
        <v/>
      </c>
    </row>
    <row r="990">
      <c r="Y990" s="47">
        <f>IFERROR(MATCH(Library!M990,$M$6:$M$40000,0),"")</f>
        <v/>
      </c>
      <c r="Z990">
        <f>IF($Y990="","",INDEX($C$6:$C$40000,$Y990)&amp;"")</f>
        <v/>
      </c>
      <c r="AA990" s="59">
        <f>IF($Y990="","",IF(INDEX($D$6:$D$40000,$Y990)="","",INDEX($D$6:$D$40000,$Y990)))</f>
        <v/>
      </c>
      <c r="AB990">
        <f>IF($Y990="","",INDEX($L$6:$L$40000,$Y990)&amp;"")</f>
        <v/>
      </c>
    </row>
    <row r="991">
      <c r="Y991" s="47">
        <f>IFERROR(MATCH(Library!M991,$M$6:$M$40000,0),"")</f>
        <v/>
      </c>
      <c r="Z991">
        <f>IF($Y991="","",INDEX($C$6:$C$40000,$Y991)&amp;"")</f>
        <v/>
      </c>
      <c r="AA991" s="59">
        <f>IF($Y991="","",IF(INDEX($D$6:$D$40000,$Y991)="","",INDEX($D$6:$D$40000,$Y991)))</f>
        <v/>
      </c>
      <c r="AB991">
        <f>IF($Y991="","",INDEX($L$6:$L$40000,$Y991)&amp;"")</f>
        <v/>
      </c>
    </row>
    <row r="992">
      <c r="Y992" s="47">
        <f>IFERROR(MATCH(Library!M992,$M$6:$M$40000,0),"")</f>
        <v/>
      </c>
      <c r="Z992">
        <f>IF($Y992="","",INDEX($C$6:$C$40000,$Y992)&amp;"")</f>
        <v/>
      </c>
      <c r="AA992" s="59">
        <f>IF($Y992="","",IF(INDEX($D$6:$D$40000,$Y992)="","",INDEX($D$6:$D$40000,$Y992)))</f>
        <v/>
      </c>
      <c r="AB992">
        <f>IF($Y992="","",INDEX($L$6:$L$40000,$Y992)&amp;"")</f>
        <v/>
      </c>
    </row>
    <row r="993">
      <c r="Y993" s="47">
        <f>IFERROR(MATCH(Library!M993,$M$6:$M$40000,0),"")</f>
        <v/>
      </c>
      <c r="Z993">
        <f>IF($Y993="","",INDEX($C$6:$C$40000,$Y993)&amp;"")</f>
        <v/>
      </c>
      <c r="AA993" s="59">
        <f>IF($Y993="","",IF(INDEX($D$6:$D$40000,$Y993)="","",INDEX($D$6:$D$40000,$Y993)))</f>
        <v/>
      </c>
      <c r="AB993">
        <f>IF($Y993="","",INDEX($L$6:$L$40000,$Y993)&amp;"")</f>
        <v/>
      </c>
    </row>
    <row r="994">
      <c r="Y994" s="47">
        <f>IFERROR(MATCH(Library!M994,$M$6:$M$40000,0),"")</f>
        <v/>
      </c>
      <c r="Z994">
        <f>IF($Y994="","",INDEX($C$6:$C$40000,$Y994)&amp;"")</f>
        <v/>
      </c>
      <c r="AA994" s="59">
        <f>IF($Y994="","",IF(INDEX($D$6:$D$40000,$Y994)="","",INDEX($D$6:$D$40000,$Y994)))</f>
        <v/>
      </c>
      <c r="AB994">
        <f>IF($Y994="","",INDEX($L$6:$L$40000,$Y994)&amp;"")</f>
        <v/>
      </c>
    </row>
    <row r="995">
      <c r="Y995" s="47">
        <f>IFERROR(MATCH(Library!M995,$M$6:$M$40000,0),"")</f>
        <v/>
      </c>
      <c r="Z995">
        <f>IF($Y995="","",INDEX($C$6:$C$40000,$Y995)&amp;"")</f>
        <v/>
      </c>
      <c r="AA995" s="59">
        <f>IF($Y995="","",IF(INDEX($D$6:$D$40000,$Y995)="","",INDEX($D$6:$D$40000,$Y995)))</f>
        <v/>
      </c>
      <c r="AB995">
        <f>IF($Y995="","",INDEX($L$6:$L$40000,$Y995)&amp;"")</f>
        <v/>
      </c>
    </row>
    <row r="996">
      <c r="Y996" s="47">
        <f>IFERROR(MATCH(Library!M996,$M$6:$M$40000,0),"")</f>
        <v/>
      </c>
      <c r="Z996">
        <f>IF($Y996="","",INDEX($C$6:$C$40000,$Y996)&amp;"")</f>
        <v/>
      </c>
      <c r="AA996" s="59">
        <f>IF($Y996="","",IF(INDEX($D$6:$D$40000,$Y996)="","",INDEX($D$6:$D$40000,$Y996)))</f>
        <v/>
      </c>
      <c r="AB996">
        <f>IF($Y996="","",INDEX($L$6:$L$40000,$Y996)&amp;"")</f>
        <v/>
      </c>
    </row>
    <row r="997">
      <c r="Y997" s="47">
        <f>IFERROR(MATCH(Library!M997,$M$6:$M$40000,0),"")</f>
        <v/>
      </c>
      <c r="Z997">
        <f>IF($Y997="","",INDEX($C$6:$C$40000,$Y997)&amp;"")</f>
        <v/>
      </c>
      <c r="AA997" s="59">
        <f>IF($Y997="","",IF(INDEX($D$6:$D$40000,$Y997)="","",INDEX($D$6:$D$40000,$Y997)))</f>
        <v/>
      </c>
      <c r="AB997">
        <f>IF($Y997="","",INDEX($L$6:$L$40000,$Y997)&amp;"")</f>
        <v/>
      </c>
    </row>
    <row r="998">
      <c r="Y998" s="47">
        <f>IFERROR(MATCH(Library!M998,$M$6:$M$40000,0),"")</f>
        <v/>
      </c>
      <c r="Z998">
        <f>IF($Y998="","",INDEX($C$6:$C$40000,$Y998)&amp;"")</f>
        <v/>
      </c>
      <c r="AA998" s="59">
        <f>IF($Y998="","",IF(INDEX($D$6:$D$40000,$Y998)="","",INDEX($D$6:$D$40000,$Y998)))</f>
        <v/>
      </c>
      <c r="AB998">
        <f>IF($Y998="","",INDEX($L$6:$L$40000,$Y998)&amp;"")</f>
        <v/>
      </c>
    </row>
    <row r="999">
      <c r="Y999" s="47">
        <f>IFERROR(MATCH(Library!M999,$M$6:$M$40000,0),"")</f>
        <v/>
      </c>
      <c r="Z999">
        <f>IF($Y999="","",INDEX($C$6:$C$40000,$Y999)&amp;"")</f>
        <v/>
      </c>
      <c r="AA999" s="59">
        <f>IF($Y999="","",IF(INDEX($D$6:$D$40000,$Y999)="","",INDEX($D$6:$D$40000,$Y999)))</f>
        <v/>
      </c>
      <c r="AB999">
        <f>IF($Y999="","",INDEX($L$6:$L$40000,$Y999)&amp;"")</f>
        <v/>
      </c>
    </row>
    <row r="1000">
      <c r="Y1000" s="47">
        <f>IFERROR(MATCH(Library!M1000,$M$6:$M$40000,0),"")</f>
        <v/>
      </c>
      <c r="Z1000">
        <f>IF($Y1000="","",INDEX($C$6:$C$40000,$Y1000)&amp;"")</f>
        <v/>
      </c>
      <c r="AA1000" s="59">
        <f>IF($Y1000="","",IF(INDEX($D$6:$D$40000,$Y1000)="","",INDEX($D$6:$D$40000,$Y1000)))</f>
        <v/>
      </c>
      <c r="AB1000">
        <f>IF($Y1000="","",INDEX($L$6:$L$40000,$Y1000)&amp;"")</f>
        <v/>
      </c>
    </row>
    <row r="1001">
      <c r="Y1001" s="47">
        <f>IFERROR(MATCH(Library!M1001,$M$6:$M$40000,0),"")</f>
        <v/>
      </c>
      <c r="Z1001">
        <f>IF($Y1001="","",INDEX($C$6:$C$40000,$Y1001)&amp;"")</f>
        <v/>
      </c>
      <c r="AA1001" s="59">
        <f>IF($Y1001="","",IF(INDEX($D$6:$D$40000,$Y1001)="","",INDEX($D$6:$D$40000,$Y1001)))</f>
        <v/>
      </c>
      <c r="AB1001">
        <f>IF($Y1001="","",INDEX($L$6:$L$40000,$Y1001)&amp;"")</f>
        <v/>
      </c>
    </row>
    <row r="1002">
      <c r="Y1002" s="47">
        <f>IFERROR(MATCH(Library!M1002,$M$6:$M$40000,0),"")</f>
        <v/>
      </c>
      <c r="Z1002">
        <f>IF($Y1002="","",INDEX($C$6:$C$40000,$Y1002)&amp;"")</f>
        <v/>
      </c>
      <c r="AA1002" s="59">
        <f>IF($Y1002="","",IF(INDEX($D$6:$D$40000,$Y1002)="","",INDEX($D$6:$D$40000,$Y1002)))</f>
        <v/>
      </c>
      <c r="AB1002">
        <f>IF($Y1002="","",INDEX($L$6:$L$40000,$Y1002)&amp;"")</f>
        <v/>
      </c>
    </row>
    <row r="1003">
      <c r="Y1003" s="47">
        <f>IFERROR(MATCH(Library!M1003,$M$6:$M$40000,0),"")</f>
        <v/>
      </c>
      <c r="Z1003">
        <f>IF($Y1003="","",INDEX($C$6:$C$40000,$Y1003)&amp;"")</f>
        <v/>
      </c>
      <c r="AA1003" s="59">
        <f>IF($Y1003="","",IF(INDEX($D$6:$D$40000,$Y1003)="","",INDEX($D$6:$D$40000,$Y1003)))</f>
        <v/>
      </c>
      <c r="AB1003">
        <f>IF($Y1003="","",INDEX($L$6:$L$40000,$Y1003)&amp;"")</f>
        <v/>
      </c>
    </row>
    <row r="1004">
      <c r="Y1004" s="47">
        <f>IFERROR(MATCH(Library!M1004,$M$6:$M$40000,0),"")</f>
        <v/>
      </c>
      <c r="Z1004">
        <f>IF($Y1004="","",INDEX($C$6:$C$40000,$Y1004)&amp;"")</f>
        <v/>
      </c>
      <c r="AA1004" s="59">
        <f>IF($Y1004="","",IF(INDEX($D$6:$D$40000,$Y1004)="","",INDEX($D$6:$D$40000,$Y1004)))</f>
        <v/>
      </c>
      <c r="AB1004">
        <f>IF($Y1004="","",INDEX($L$6:$L$40000,$Y1004)&amp;"")</f>
        <v/>
      </c>
    </row>
    <row r="1005">
      <c r="Y1005" s="47">
        <f>IFERROR(MATCH(Library!M1005,$M$6:$M$40000,0),"")</f>
        <v/>
      </c>
      <c r="Z1005">
        <f>IF($Y1005="","",INDEX($C$6:$C$40000,$Y1005)&amp;"")</f>
        <v/>
      </c>
      <c r="AA1005" s="59">
        <f>IF($Y1005="","",IF(INDEX($D$6:$D$40000,$Y1005)="","",INDEX($D$6:$D$40000,$Y1005)))</f>
        <v/>
      </c>
      <c r="AB1005">
        <f>IF($Y1005="","",INDEX($L$6:$L$40000,$Y1005)&amp;"")</f>
        <v/>
      </c>
    </row>
    <row r="1006">
      <c r="Y1006" s="47">
        <f>IFERROR(MATCH(Library!M1006,$M$6:$M$40000,0),"")</f>
        <v/>
      </c>
      <c r="Z1006">
        <f>IF($Y1006="","",INDEX($C$6:$C$40000,$Y1006)&amp;"")</f>
        <v/>
      </c>
      <c r="AA1006" s="59">
        <f>IF($Y1006="","",IF(INDEX($D$6:$D$40000,$Y1006)="","",INDEX($D$6:$D$40000,$Y1006)))</f>
        <v/>
      </c>
      <c r="AB1006">
        <f>IF($Y1006="","",INDEX($L$6:$L$40000,$Y1006)&amp;"")</f>
        <v/>
      </c>
    </row>
    <row r="1007">
      <c r="Y1007" s="47">
        <f>IFERROR(MATCH(Library!M1007,$M$6:$M$40000,0),"")</f>
        <v/>
      </c>
      <c r="Z1007">
        <f>IF($Y1007="","",INDEX($C$6:$C$40000,$Y1007)&amp;"")</f>
        <v/>
      </c>
      <c r="AA1007" s="59">
        <f>IF($Y1007="","",IF(INDEX($D$6:$D$40000,$Y1007)="","",INDEX($D$6:$D$40000,$Y1007)))</f>
        <v/>
      </c>
      <c r="AB1007">
        <f>IF($Y1007="","",INDEX($L$6:$L$40000,$Y1007)&amp;"")</f>
        <v/>
      </c>
    </row>
    <row r="1008">
      <c r="Y1008" s="47">
        <f>IFERROR(MATCH(Library!M1008,$M$6:$M$40000,0),"")</f>
        <v/>
      </c>
      <c r="Z1008">
        <f>IF($Y1008="","",INDEX($C$6:$C$40000,$Y1008)&amp;"")</f>
        <v/>
      </c>
      <c r="AA1008" s="59">
        <f>IF($Y1008="","",IF(INDEX($D$6:$D$40000,$Y1008)="","",INDEX($D$6:$D$40000,$Y1008)))</f>
        <v/>
      </c>
      <c r="AB1008">
        <f>IF($Y1008="","",INDEX($L$6:$L$40000,$Y1008)&amp;"")</f>
        <v/>
      </c>
    </row>
    <row r="1009">
      <c r="Y1009" s="47">
        <f>IFERROR(MATCH(Library!M1009,$M$6:$M$40000,0),"")</f>
        <v/>
      </c>
      <c r="Z1009">
        <f>IF($Y1009="","",INDEX($C$6:$C$40000,$Y1009)&amp;"")</f>
        <v/>
      </c>
      <c r="AA1009" s="59">
        <f>IF($Y1009="","",IF(INDEX($D$6:$D$40000,$Y1009)="","",INDEX($D$6:$D$40000,$Y1009)))</f>
        <v/>
      </c>
      <c r="AB1009">
        <f>IF($Y1009="","",INDEX($L$6:$L$40000,$Y1009)&amp;"")</f>
        <v/>
      </c>
    </row>
    <row r="1010">
      <c r="Y1010" s="47">
        <f>IFERROR(MATCH(Library!M1010,$M$6:$M$40000,0),"")</f>
        <v/>
      </c>
      <c r="Z1010">
        <f>IF($Y1010="","",INDEX($C$6:$C$40000,$Y1010)&amp;"")</f>
        <v/>
      </c>
      <c r="AA1010" s="59">
        <f>IF($Y1010="","",IF(INDEX($D$6:$D$40000,$Y1010)="","",INDEX($D$6:$D$40000,$Y1010)))</f>
        <v/>
      </c>
      <c r="AB1010">
        <f>IF($Y1010="","",INDEX($L$6:$L$40000,$Y1010)&amp;"")</f>
        <v/>
      </c>
    </row>
    <row r="1011">
      <c r="Y1011" s="47">
        <f>IFERROR(MATCH(Library!M1011,$M$6:$M$40000,0),"")</f>
        <v/>
      </c>
      <c r="Z1011">
        <f>IF($Y1011="","",INDEX($C$6:$C$40000,$Y1011)&amp;"")</f>
        <v/>
      </c>
      <c r="AA1011" s="59">
        <f>IF($Y1011="","",IF(INDEX($D$6:$D$40000,$Y1011)="","",INDEX($D$6:$D$40000,$Y1011)))</f>
        <v/>
      </c>
      <c r="AB1011">
        <f>IF($Y1011="","",INDEX($L$6:$L$40000,$Y1011)&amp;"")</f>
        <v/>
      </c>
    </row>
    <row r="1012">
      <c r="Y1012" s="47">
        <f>IFERROR(MATCH(Library!M1012,$M$6:$M$40000,0),"")</f>
        <v/>
      </c>
      <c r="Z1012">
        <f>IF($Y1012="","",INDEX($C$6:$C$40000,$Y1012)&amp;"")</f>
        <v/>
      </c>
      <c r="AA1012" s="59">
        <f>IF($Y1012="","",IF(INDEX($D$6:$D$40000,$Y1012)="","",INDEX($D$6:$D$40000,$Y1012)))</f>
        <v/>
      </c>
      <c r="AB1012">
        <f>IF($Y1012="","",INDEX($L$6:$L$40000,$Y1012)&amp;"")</f>
        <v/>
      </c>
    </row>
    <row r="1013">
      <c r="Y1013" s="47">
        <f>IFERROR(MATCH(Library!M1013,$M$6:$M$40000,0),"")</f>
        <v/>
      </c>
      <c r="Z1013">
        <f>IF($Y1013="","",INDEX($C$6:$C$40000,$Y1013)&amp;"")</f>
        <v/>
      </c>
      <c r="AA1013" s="59">
        <f>IF($Y1013="","",IF(INDEX($D$6:$D$40000,$Y1013)="","",INDEX($D$6:$D$40000,$Y1013)))</f>
        <v/>
      </c>
      <c r="AB1013">
        <f>IF($Y1013="","",INDEX($L$6:$L$40000,$Y1013)&amp;"")</f>
        <v/>
      </c>
    </row>
    <row r="1014">
      <c r="Y1014" s="47">
        <f>IFERROR(MATCH(Library!M1014,$M$6:$M$40000,0),"")</f>
        <v/>
      </c>
      <c r="Z1014">
        <f>IF($Y1014="","",INDEX($C$6:$C$40000,$Y1014)&amp;"")</f>
        <v/>
      </c>
      <c r="AA1014" s="59">
        <f>IF($Y1014="","",IF(INDEX($D$6:$D$40000,$Y1014)="","",INDEX($D$6:$D$40000,$Y1014)))</f>
        <v/>
      </c>
      <c r="AB1014">
        <f>IF($Y1014="","",INDEX($L$6:$L$40000,$Y1014)&amp;"")</f>
        <v/>
      </c>
    </row>
    <row r="1015">
      <c r="Y1015" s="47">
        <f>IFERROR(MATCH(Library!M1015,$M$6:$M$40000,0),"")</f>
        <v/>
      </c>
      <c r="Z1015">
        <f>IF($Y1015="","",INDEX($C$6:$C$40000,$Y1015)&amp;"")</f>
        <v/>
      </c>
      <c r="AA1015" s="59">
        <f>IF($Y1015="","",IF(INDEX($D$6:$D$40000,$Y1015)="","",INDEX($D$6:$D$40000,$Y1015)))</f>
        <v/>
      </c>
      <c r="AB1015">
        <f>IF($Y1015="","",INDEX($L$6:$L$40000,$Y1015)&amp;"")</f>
        <v/>
      </c>
    </row>
    <row r="1016">
      <c r="Y1016" s="47">
        <f>IFERROR(MATCH(Library!M1016,$M$6:$M$40000,0),"")</f>
        <v/>
      </c>
      <c r="Z1016">
        <f>IF($Y1016="","",INDEX($C$6:$C$40000,$Y1016)&amp;"")</f>
        <v/>
      </c>
      <c r="AA1016" s="59">
        <f>IF($Y1016="","",IF(INDEX($D$6:$D$40000,$Y1016)="","",INDEX($D$6:$D$40000,$Y1016)))</f>
        <v/>
      </c>
      <c r="AB1016">
        <f>IF($Y1016="","",INDEX($L$6:$L$40000,$Y1016)&amp;"")</f>
        <v/>
      </c>
    </row>
    <row r="1017">
      <c r="Y1017" s="47">
        <f>IFERROR(MATCH(Library!M1017,$M$6:$M$40000,0),"")</f>
        <v/>
      </c>
      <c r="Z1017">
        <f>IF($Y1017="","",INDEX($C$6:$C$40000,$Y1017)&amp;"")</f>
        <v/>
      </c>
      <c r="AA1017" s="59">
        <f>IF($Y1017="","",IF(INDEX($D$6:$D$40000,$Y1017)="","",INDEX($D$6:$D$40000,$Y1017)))</f>
        <v/>
      </c>
      <c r="AB1017">
        <f>IF($Y1017="","",INDEX($L$6:$L$40000,$Y1017)&amp;"")</f>
        <v/>
      </c>
    </row>
    <row r="1018">
      <c r="Y1018" s="47">
        <f>IFERROR(MATCH(Library!M1018,$M$6:$M$40000,0),"")</f>
        <v/>
      </c>
      <c r="Z1018">
        <f>IF($Y1018="","",INDEX($C$6:$C$40000,$Y1018)&amp;"")</f>
        <v/>
      </c>
      <c r="AA1018" s="59">
        <f>IF($Y1018="","",IF(INDEX($D$6:$D$40000,$Y1018)="","",INDEX($D$6:$D$40000,$Y1018)))</f>
        <v/>
      </c>
      <c r="AB1018">
        <f>IF($Y1018="","",INDEX($L$6:$L$40000,$Y1018)&amp;"")</f>
        <v/>
      </c>
    </row>
    <row r="1019">
      <c r="Y1019" s="47">
        <f>IFERROR(MATCH(Library!M1019,$M$6:$M$40000,0),"")</f>
        <v/>
      </c>
      <c r="Z1019">
        <f>IF($Y1019="","",INDEX($C$6:$C$40000,$Y1019)&amp;"")</f>
        <v/>
      </c>
      <c r="AA1019" s="59">
        <f>IF($Y1019="","",IF(INDEX($D$6:$D$40000,$Y1019)="","",INDEX($D$6:$D$40000,$Y1019)))</f>
        <v/>
      </c>
      <c r="AB1019">
        <f>IF($Y1019="","",INDEX($L$6:$L$40000,$Y1019)&amp;"")</f>
        <v/>
      </c>
    </row>
    <row r="1020">
      <c r="Y1020" s="47">
        <f>IFERROR(MATCH(Library!M1020,$M$6:$M$40000,0),"")</f>
        <v/>
      </c>
      <c r="Z1020">
        <f>IF($Y1020="","",INDEX($C$6:$C$40000,$Y1020)&amp;"")</f>
        <v/>
      </c>
      <c r="AA1020" s="59">
        <f>IF($Y1020="","",IF(INDEX($D$6:$D$40000,$Y1020)="","",INDEX($D$6:$D$40000,$Y1020)))</f>
        <v/>
      </c>
      <c r="AB1020">
        <f>IF($Y1020="","",INDEX($L$6:$L$40000,$Y1020)&amp;"")</f>
        <v/>
      </c>
    </row>
    <row r="1021">
      <c r="Y1021" s="47">
        <f>IFERROR(MATCH(Library!M1021,$M$6:$M$40000,0),"")</f>
        <v/>
      </c>
      <c r="Z1021">
        <f>IF($Y1021="","",INDEX($C$6:$C$40000,$Y1021)&amp;"")</f>
        <v/>
      </c>
      <c r="AA1021" s="59">
        <f>IF($Y1021="","",IF(INDEX($D$6:$D$40000,$Y1021)="","",INDEX($D$6:$D$40000,$Y1021)))</f>
        <v/>
      </c>
      <c r="AB1021">
        <f>IF($Y1021="","",INDEX($L$6:$L$40000,$Y1021)&amp;"")</f>
        <v/>
      </c>
    </row>
    <row r="1022">
      <c r="Y1022" s="47">
        <f>IFERROR(MATCH(Library!M1022,$M$6:$M$40000,0),"")</f>
        <v/>
      </c>
      <c r="Z1022">
        <f>IF($Y1022="","",INDEX($C$6:$C$40000,$Y1022)&amp;"")</f>
        <v/>
      </c>
      <c r="AA1022" s="59">
        <f>IF($Y1022="","",IF(INDEX($D$6:$D$40000,$Y1022)="","",INDEX($D$6:$D$40000,$Y1022)))</f>
        <v/>
      </c>
      <c r="AB1022">
        <f>IF($Y1022="","",INDEX($L$6:$L$40000,$Y1022)&amp;"")</f>
        <v/>
      </c>
    </row>
    <row r="1023">
      <c r="Y1023" s="47">
        <f>IFERROR(MATCH(Library!M1023,$M$6:$M$40000,0),"")</f>
        <v/>
      </c>
      <c r="Z1023">
        <f>IF($Y1023="","",INDEX($C$6:$C$40000,$Y1023)&amp;"")</f>
        <v/>
      </c>
      <c r="AA1023" s="59">
        <f>IF($Y1023="","",IF(INDEX($D$6:$D$40000,$Y1023)="","",INDEX($D$6:$D$40000,$Y1023)))</f>
        <v/>
      </c>
      <c r="AB1023">
        <f>IF($Y1023="","",INDEX($L$6:$L$40000,$Y1023)&amp;"")</f>
        <v/>
      </c>
    </row>
    <row r="1024">
      <c r="Y1024" s="47">
        <f>IFERROR(MATCH(Library!M1024,$M$6:$M$40000,0),"")</f>
        <v/>
      </c>
      <c r="Z1024">
        <f>IF($Y1024="","",INDEX($C$6:$C$40000,$Y1024)&amp;"")</f>
        <v/>
      </c>
      <c r="AA1024" s="59">
        <f>IF($Y1024="","",IF(INDEX($D$6:$D$40000,$Y1024)="","",INDEX($D$6:$D$40000,$Y1024)))</f>
        <v/>
      </c>
      <c r="AB1024">
        <f>IF($Y1024="","",INDEX($L$6:$L$40000,$Y1024)&amp;"")</f>
        <v/>
      </c>
    </row>
    <row r="1025">
      <c r="Y1025" s="47">
        <f>IFERROR(MATCH(Library!M1025,$M$6:$M$40000,0),"")</f>
        <v/>
      </c>
      <c r="Z1025">
        <f>IF($Y1025="","",INDEX($C$6:$C$40000,$Y1025)&amp;"")</f>
        <v/>
      </c>
      <c r="AA1025" s="59">
        <f>IF($Y1025="","",IF(INDEX($D$6:$D$40000,$Y1025)="","",INDEX($D$6:$D$40000,$Y1025)))</f>
        <v/>
      </c>
      <c r="AB1025">
        <f>IF($Y1025="","",INDEX($L$6:$L$40000,$Y1025)&amp;"")</f>
        <v/>
      </c>
    </row>
    <row r="1026">
      <c r="Y1026" s="47">
        <f>IFERROR(MATCH(Library!M1026,$M$6:$M$40000,0),"")</f>
        <v/>
      </c>
      <c r="Z1026">
        <f>IF($Y1026="","",INDEX($C$6:$C$40000,$Y1026)&amp;"")</f>
        <v/>
      </c>
      <c r="AA1026" s="59">
        <f>IF($Y1026="","",IF(INDEX($D$6:$D$40000,$Y1026)="","",INDEX($D$6:$D$40000,$Y1026)))</f>
        <v/>
      </c>
      <c r="AB1026">
        <f>IF($Y1026="","",INDEX($L$6:$L$40000,$Y1026)&amp;"")</f>
        <v/>
      </c>
    </row>
    <row r="1027">
      <c r="Y1027" s="47">
        <f>IFERROR(MATCH(Library!M1027,$M$6:$M$40000,0),"")</f>
        <v/>
      </c>
      <c r="Z1027">
        <f>IF($Y1027="","",INDEX($C$6:$C$40000,$Y1027)&amp;"")</f>
        <v/>
      </c>
      <c r="AA1027" s="59">
        <f>IF($Y1027="","",IF(INDEX($D$6:$D$40000,$Y1027)="","",INDEX($D$6:$D$40000,$Y1027)))</f>
        <v/>
      </c>
      <c r="AB1027">
        <f>IF($Y1027="","",INDEX($L$6:$L$40000,$Y1027)&amp;"")</f>
        <v/>
      </c>
    </row>
    <row r="1028">
      <c r="Y1028" s="47">
        <f>IFERROR(MATCH(Library!M1028,$M$6:$M$40000,0),"")</f>
        <v/>
      </c>
      <c r="Z1028">
        <f>IF($Y1028="","",INDEX($C$6:$C$40000,$Y1028)&amp;"")</f>
        <v/>
      </c>
      <c r="AA1028" s="59">
        <f>IF($Y1028="","",IF(INDEX($D$6:$D$40000,$Y1028)="","",INDEX($D$6:$D$40000,$Y1028)))</f>
        <v/>
      </c>
      <c r="AB1028">
        <f>IF($Y1028="","",INDEX($L$6:$L$40000,$Y1028)&amp;"")</f>
        <v/>
      </c>
    </row>
    <row r="1029">
      <c r="Y1029" s="47">
        <f>IFERROR(MATCH(Library!M1029,$M$6:$M$40000,0),"")</f>
        <v/>
      </c>
      <c r="Z1029">
        <f>IF($Y1029="","",INDEX($C$6:$C$40000,$Y1029)&amp;"")</f>
        <v/>
      </c>
      <c r="AA1029" s="59">
        <f>IF($Y1029="","",IF(INDEX($D$6:$D$40000,$Y1029)="","",INDEX($D$6:$D$40000,$Y1029)))</f>
        <v/>
      </c>
      <c r="AB1029">
        <f>IF($Y1029="","",INDEX($L$6:$L$40000,$Y1029)&amp;"")</f>
        <v/>
      </c>
    </row>
    <row r="1030">
      <c r="Y1030" s="47">
        <f>IFERROR(MATCH(Library!M1030,$M$6:$M$40000,0),"")</f>
        <v/>
      </c>
      <c r="Z1030">
        <f>IF($Y1030="","",INDEX($C$6:$C$40000,$Y1030)&amp;"")</f>
        <v/>
      </c>
      <c r="AA1030" s="59">
        <f>IF($Y1030="","",IF(INDEX($D$6:$D$40000,$Y1030)="","",INDEX($D$6:$D$40000,$Y1030)))</f>
        <v/>
      </c>
      <c r="AB1030">
        <f>IF($Y1030="","",INDEX($L$6:$L$40000,$Y1030)&amp;"")</f>
        <v/>
      </c>
    </row>
    <row r="1031">
      <c r="Y1031" s="47">
        <f>IFERROR(MATCH(Library!M1031,$M$6:$M$40000,0),"")</f>
        <v/>
      </c>
      <c r="Z1031">
        <f>IF($Y1031="","",INDEX($C$6:$C$40000,$Y1031)&amp;"")</f>
        <v/>
      </c>
      <c r="AA1031" s="59">
        <f>IF($Y1031="","",IF(INDEX($D$6:$D$40000,$Y1031)="","",INDEX($D$6:$D$40000,$Y1031)))</f>
        <v/>
      </c>
      <c r="AB1031">
        <f>IF($Y1031="","",INDEX($L$6:$L$40000,$Y1031)&amp;"")</f>
        <v/>
      </c>
    </row>
    <row r="1032">
      <c r="Y1032" s="47">
        <f>IFERROR(MATCH(Library!M1032,$M$6:$M$40000,0),"")</f>
        <v/>
      </c>
      <c r="Z1032">
        <f>IF($Y1032="","",INDEX($C$6:$C$40000,$Y1032)&amp;"")</f>
        <v/>
      </c>
      <c r="AA1032" s="59">
        <f>IF($Y1032="","",IF(INDEX($D$6:$D$40000,$Y1032)="","",INDEX($D$6:$D$40000,$Y1032)))</f>
        <v/>
      </c>
      <c r="AB1032">
        <f>IF($Y1032="","",INDEX($L$6:$L$40000,$Y1032)&amp;"")</f>
        <v/>
      </c>
    </row>
    <row r="1033">
      <c r="Y1033" s="47">
        <f>IFERROR(MATCH(Library!M1033,$M$6:$M$40000,0),"")</f>
        <v/>
      </c>
      <c r="Z1033">
        <f>IF($Y1033="","",INDEX($C$6:$C$40000,$Y1033)&amp;"")</f>
        <v/>
      </c>
      <c r="AA1033" s="59">
        <f>IF($Y1033="","",IF(INDEX($D$6:$D$40000,$Y1033)="","",INDEX($D$6:$D$40000,$Y1033)))</f>
        <v/>
      </c>
      <c r="AB1033">
        <f>IF($Y1033="","",INDEX($L$6:$L$40000,$Y1033)&amp;"")</f>
        <v/>
      </c>
    </row>
    <row r="1034">
      <c r="Y1034" s="47">
        <f>IFERROR(MATCH(Library!M1034,$M$6:$M$40000,0),"")</f>
        <v/>
      </c>
      <c r="Z1034">
        <f>IF($Y1034="","",INDEX($C$6:$C$40000,$Y1034)&amp;"")</f>
        <v/>
      </c>
      <c r="AA1034" s="59">
        <f>IF($Y1034="","",IF(INDEX($D$6:$D$40000,$Y1034)="","",INDEX($D$6:$D$40000,$Y1034)))</f>
        <v/>
      </c>
      <c r="AB1034">
        <f>IF($Y1034="","",INDEX($L$6:$L$40000,$Y1034)&amp;"")</f>
        <v/>
      </c>
    </row>
    <row r="1035">
      <c r="Y1035" s="47">
        <f>IFERROR(MATCH(Library!M1035,$M$6:$M$40000,0),"")</f>
        <v/>
      </c>
      <c r="Z1035">
        <f>IF($Y1035="","",INDEX($C$6:$C$40000,$Y1035)&amp;"")</f>
        <v/>
      </c>
      <c r="AA1035" s="59">
        <f>IF($Y1035="","",IF(INDEX($D$6:$D$40000,$Y1035)="","",INDEX($D$6:$D$40000,$Y1035)))</f>
        <v/>
      </c>
      <c r="AB1035">
        <f>IF($Y1035="","",INDEX($L$6:$L$40000,$Y1035)&amp;"")</f>
        <v/>
      </c>
    </row>
    <row r="1036">
      <c r="Y1036" s="47">
        <f>IFERROR(MATCH(Library!M1036,$M$6:$M$40000,0),"")</f>
        <v/>
      </c>
      <c r="Z1036">
        <f>IF($Y1036="","",INDEX($C$6:$C$40000,$Y1036)&amp;"")</f>
        <v/>
      </c>
      <c r="AA1036" s="59">
        <f>IF($Y1036="","",IF(INDEX($D$6:$D$40000,$Y1036)="","",INDEX($D$6:$D$40000,$Y1036)))</f>
        <v/>
      </c>
      <c r="AB1036">
        <f>IF($Y1036="","",INDEX($L$6:$L$40000,$Y1036)&amp;"")</f>
        <v/>
      </c>
    </row>
    <row r="1037">
      <c r="Y1037" s="47">
        <f>IFERROR(MATCH(Library!M1037,$M$6:$M$40000,0),"")</f>
        <v/>
      </c>
      <c r="Z1037">
        <f>IF($Y1037="","",INDEX($C$6:$C$40000,$Y1037)&amp;"")</f>
        <v/>
      </c>
      <c r="AA1037" s="59">
        <f>IF($Y1037="","",IF(INDEX($D$6:$D$40000,$Y1037)="","",INDEX($D$6:$D$40000,$Y1037)))</f>
        <v/>
      </c>
      <c r="AB1037">
        <f>IF($Y1037="","",INDEX($L$6:$L$40000,$Y1037)&amp;"")</f>
        <v/>
      </c>
    </row>
    <row r="1038">
      <c r="Y1038" s="47">
        <f>IFERROR(MATCH(Library!M1038,$M$6:$M$40000,0),"")</f>
        <v/>
      </c>
      <c r="Z1038">
        <f>IF($Y1038="","",INDEX($C$6:$C$40000,$Y1038)&amp;"")</f>
        <v/>
      </c>
      <c r="AA1038" s="59">
        <f>IF($Y1038="","",IF(INDEX($D$6:$D$40000,$Y1038)="","",INDEX($D$6:$D$40000,$Y1038)))</f>
        <v/>
      </c>
      <c r="AB1038">
        <f>IF($Y1038="","",INDEX($L$6:$L$40000,$Y1038)&amp;"")</f>
        <v/>
      </c>
    </row>
    <row r="1039">
      <c r="Y1039" s="47">
        <f>IFERROR(MATCH(Library!M1039,$M$6:$M$40000,0),"")</f>
        <v/>
      </c>
      <c r="Z1039">
        <f>IF($Y1039="","",INDEX($C$6:$C$40000,$Y1039)&amp;"")</f>
        <v/>
      </c>
      <c r="AA1039" s="59">
        <f>IF($Y1039="","",IF(INDEX($D$6:$D$40000,$Y1039)="","",INDEX($D$6:$D$40000,$Y1039)))</f>
        <v/>
      </c>
      <c r="AB1039">
        <f>IF($Y1039="","",INDEX($L$6:$L$40000,$Y1039)&amp;"")</f>
        <v/>
      </c>
    </row>
    <row r="1040">
      <c r="Y1040" s="47">
        <f>IFERROR(MATCH(Library!M1040,$M$6:$M$40000,0),"")</f>
        <v/>
      </c>
      <c r="Z1040">
        <f>IF($Y1040="","",INDEX($C$6:$C$40000,$Y1040)&amp;"")</f>
        <v/>
      </c>
      <c r="AA1040" s="59">
        <f>IF($Y1040="","",IF(INDEX($D$6:$D$40000,$Y1040)="","",INDEX($D$6:$D$40000,$Y1040)))</f>
        <v/>
      </c>
      <c r="AB1040">
        <f>IF($Y1040="","",INDEX($L$6:$L$40000,$Y1040)&amp;"")</f>
        <v/>
      </c>
    </row>
    <row r="1041">
      <c r="Y1041" s="47">
        <f>IFERROR(MATCH(Library!M1041,$M$6:$M$40000,0),"")</f>
        <v/>
      </c>
      <c r="Z1041">
        <f>IF($Y1041="","",INDEX($C$6:$C$40000,$Y1041)&amp;"")</f>
        <v/>
      </c>
      <c r="AA1041" s="59">
        <f>IF($Y1041="","",IF(INDEX($D$6:$D$40000,$Y1041)="","",INDEX($D$6:$D$40000,$Y1041)))</f>
        <v/>
      </c>
      <c r="AB1041">
        <f>IF($Y1041="","",INDEX($L$6:$L$40000,$Y1041)&amp;"")</f>
        <v/>
      </c>
    </row>
    <row r="1042">
      <c r="Y1042" s="47">
        <f>IFERROR(MATCH(Library!M1042,$M$6:$M$40000,0),"")</f>
        <v/>
      </c>
      <c r="Z1042">
        <f>IF($Y1042="","",INDEX($C$6:$C$40000,$Y1042)&amp;"")</f>
        <v/>
      </c>
      <c r="AA1042" s="59">
        <f>IF($Y1042="","",IF(INDEX($D$6:$D$40000,$Y1042)="","",INDEX($D$6:$D$40000,$Y1042)))</f>
        <v/>
      </c>
      <c r="AB1042">
        <f>IF($Y1042="","",INDEX($L$6:$L$40000,$Y1042)&amp;"")</f>
        <v/>
      </c>
    </row>
    <row r="1043">
      <c r="Y1043" s="47">
        <f>IFERROR(MATCH(Library!M1043,$M$6:$M$40000,0),"")</f>
        <v/>
      </c>
      <c r="Z1043">
        <f>IF($Y1043="","",INDEX($C$6:$C$40000,$Y1043)&amp;"")</f>
        <v/>
      </c>
      <c r="AA1043" s="59">
        <f>IF($Y1043="","",IF(INDEX($D$6:$D$40000,$Y1043)="","",INDEX($D$6:$D$40000,$Y1043)))</f>
        <v/>
      </c>
      <c r="AB1043">
        <f>IF($Y1043="","",INDEX($L$6:$L$40000,$Y1043)&amp;"")</f>
        <v/>
      </c>
    </row>
    <row r="1044">
      <c r="Y1044" s="47">
        <f>IFERROR(MATCH(Library!M1044,$M$6:$M$40000,0),"")</f>
        <v/>
      </c>
      <c r="Z1044">
        <f>IF($Y1044="","",INDEX($C$6:$C$40000,$Y1044)&amp;"")</f>
        <v/>
      </c>
      <c r="AA1044" s="59">
        <f>IF($Y1044="","",IF(INDEX($D$6:$D$40000,$Y1044)="","",INDEX($D$6:$D$40000,$Y1044)))</f>
        <v/>
      </c>
      <c r="AB1044">
        <f>IF($Y1044="","",INDEX($L$6:$L$40000,$Y1044)&amp;"")</f>
        <v/>
      </c>
    </row>
    <row r="1045">
      <c r="Y1045" s="47">
        <f>IFERROR(MATCH(Library!M1045,$M$6:$M$40000,0),"")</f>
        <v/>
      </c>
      <c r="Z1045">
        <f>IF($Y1045="","",INDEX($C$6:$C$40000,$Y1045)&amp;"")</f>
        <v/>
      </c>
      <c r="AA1045" s="59">
        <f>IF($Y1045="","",IF(INDEX($D$6:$D$40000,$Y1045)="","",INDEX($D$6:$D$40000,$Y1045)))</f>
        <v/>
      </c>
      <c r="AB1045">
        <f>IF($Y1045="","",INDEX($L$6:$L$40000,$Y1045)&amp;"")</f>
        <v/>
      </c>
    </row>
    <row r="1046">
      <c r="Y1046" s="47">
        <f>IFERROR(MATCH(Library!M1046,$M$6:$M$40000,0),"")</f>
        <v/>
      </c>
      <c r="Z1046">
        <f>IF($Y1046="","",INDEX($C$6:$C$40000,$Y1046)&amp;"")</f>
        <v/>
      </c>
      <c r="AA1046" s="59">
        <f>IF($Y1046="","",IF(INDEX($D$6:$D$40000,$Y1046)="","",INDEX($D$6:$D$40000,$Y1046)))</f>
        <v/>
      </c>
      <c r="AB1046">
        <f>IF($Y1046="","",INDEX($L$6:$L$40000,$Y1046)&amp;"")</f>
        <v/>
      </c>
    </row>
    <row r="1047">
      <c r="Y1047" s="47">
        <f>IFERROR(MATCH(Library!M1047,$M$6:$M$40000,0),"")</f>
        <v/>
      </c>
      <c r="Z1047">
        <f>IF($Y1047="","",INDEX($C$6:$C$40000,$Y1047)&amp;"")</f>
        <v/>
      </c>
      <c r="AA1047" s="59">
        <f>IF($Y1047="","",IF(INDEX($D$6:$D$40000,$Y1047)="","",INDEX($D$6:$D$40000,$Y1047)))</f>
        <v/>
      </c>
      <c r="AB1047">
        <f>IF($Y1047="","",INDEX($L$6:$L$40000,$Y1047)&amp;"")</f>
        <v/>
      </c>
    </row>
    <row r="1048">
      <c r="Y1048" s="47">
        <f>IFERROR(MATCH(Library!M1048,$M$6:$M$40000,0),"")</f>
        <v/>
      </c>
      <c r="Z1048">
        <f>IF($Y1048="","",INDEX($C$6:$C$40000,$Y1048)&amp;"")</f>
        <v/>
      </c>
      <c r="AA1048" s="59">
        <f>IF($Y1048="","",IF(INDEX($D$6:$D$40000,$Y1048)="","",INDEX($D$6:$D$40000,$Y1048)))</f>
        <v/>
      </c>
      <c r="AB1048">
        <f>IF($Y1048="","",INDEX($L$6:$L$40000,$Y1048)&amp;"")</f>
        <v/>
      </c>
    </row>
    <row r="1049">
      <c r="Y1049" s="47">
        <f>IFERROR(MATCH(Library!M1049,$M$6:$M$40000,0),"")</f>
        <v/>
      </c>
      <c r="Z1049">
        <f>IF($Y1049="","",INDEX($C$6:$C$40000,$Y1049)&amp;"")</f>
        <v/>
      </c>
      <c r="AA1049" s="59">
        <f>IF($Y1049="","",IF(INDEX($D$6:$D$40000,$Y1049)="","",INDEX($D$6:$D$40000,$Y1049)))</f>
        <v/>
      </c>
      <c r="AB1049">
        <f>IF($Y1049="","",INDEX($L$6:$L$40000,$Y1049)&amp;"")</f>
        <v/>
      </c>
    </row>
    <row r="1050">
      <c r="Y1050" s="47">
        <f>IFERROR(MATCH(Library!M1050,$M$6:$M$40000,0),"")</f>
        <v/>
      </c>
      <c r="Z1050">
        <f>IF($Y1050="","",INDEX($C$6:$C$40000,$Y1050)&amp;"")</f>
        <v/>
      </c>
      <c r="AA1050" s="59">
        <f>IF($Y1050="","",IF(INDEX($D$6:$D$40000,$Y1050)="","",INDEX($D$6:$D$40000,$Y1050)))</f>
        <v/>
      </c>
      <c r="AB1050">
        <f>IF($Y1050="","",INDEX($L$6:$L$40000,$Y1050)&amp;"")</f>
        <v/>
      </c>
    </row>
    <row r="1051">
      <c r="Y1051" s="47">
        <f>IFERROR(MATCH(Library!M1051,$M$6:$M$40000,0),"")</f>
        <v/>
      </c>
      <c r="Z1051">
        <f>IF($Y1051="","",INDEX($C$6:$C$40000,$Y1051)&amp;"")</f>
        <v/>
      </c>
      <c r="AA1051" s="59">
        <f>IF($Y1051="","",IF(INDEX($D$6:$D$40000,$Y1051)="","",INDEX($D$6:$D$40000,$Y1051)))</f>
        <v/>
      </c>
      <c r="AB1051">
        <f>IF($Y1051="","",INDEX($L$6:$L$40000,$Y1051)&amp;"")</f>
        <v/>
      </c>
    </row>
    <row r="1052">
      <c r="Y1052" s="47">
        <f>IFERROR(MATCH(Library!M1052,$M$6:$M$40000,0),"")</f>
        <v/>
      </c>
      <c r="Z1052">
        <f>IF($Y1052="","",INDEX($C$6:$C$40000,$Y1052)&amp;"")</f>
        <v/>
      </c>
      <c r="AA1052" s="59">
        <f>IF($Y1052="","",IF(INDEX($D$6:$D$40000,$Y1052)="","",INDEX($D$6:$D$40000,$Y1052)))</f>
        <v/>
      </c>
      <c r="AB1052">
        <f>IF($Y1052="","",INDEX($L$6:$L$40000,$Y1052)&amp;"")</f>
        <v/>
      </c>
    </row>
    <row r="1053">
      <c r="Y1053" s="47">
        <f>IFERROR(MATCH(Library!M1053,$M$6:$M$40000,0),"")</f>
        <v/>
      </c>
      <c r="Z1053">
        <f>IF($Y1053="","",INDEX($C$6:$C$40000,$Y1053)&amp;"")</f>
        <v/>
      </c>
      <c r="AA1053" s="59">
        <f>IF($Y1053="","",IF(INDEX($D$6:$D$40000,$Y1053)="","",INDEX($D$6:$D$40000,$Y1053)))</f>
        <v/>
      </c>
      <c r="AB1053">
        <f>IF($Y1053="","",INDEX($L$6:$L$40000,$Y1053)&amp;"")</f>
        <v/>
      </c>
    </row>
    <row r="1054">
      <c r="Y1054" s="47">
        <f>IFERROR(MATCH(Library!M1054,$M$6:$M$40000,0),"")</f>
        <v/>
      </c>
      <c r="Z1054">
        <f>IF($Y1054="","",INDEX($C$6:$C$40000,$Y1054)&amp;"")</f>
        <v/>
      </c>
      <c r="AA1054" s="59">
        <f>IF($Y1054="","",IF(INDEX($D$6:$D$40000,$Y1054)="","",INDEX($D$6:$D$40000,$Y1054)))</f>
        <v/>
      </c>
      <c r="AB1054">
        <f>IF($Y1054="","",INDEX($L$6:$L$40000,$Y1054)&amp;"")</f>
        <v/>
      </c>
    </row>
    <row r="1055">
      <c r="Y1055" s="47">
        <f>IFERROR(MATCH(Library!M1055,$M$6:$M$40000,0),"")</f>
        <v/>
      </c>
      <c r="Z1055">
        <f>IF($Y1055="","",INDEX($C$6:$C$40000,$Y1055)&amp;"")</f>
        <v/>
      </c>
      <c r="AA1055" s="59">
        <f>IF($Y1055="","",IF(INDEX($D$6:$D$40000,$Y1055)="","",INDEX($D$6:$D$40000,$Y1055)))</f>
        <v/>
      </c>
      <c r="AB1055">
        <f>IF($Y1055="","",INDEX($L$6:$L$40000,$Y1055)&amp;"")</f>
        <v/>
      </c>
    </row>
    <row r="1056">
      <c r="Y1056" s="47">
        <f>IFERROR(MATCH(Library!M1056,$M$6:$M$40000,0),"")</f>
        <v/>
      </c>
      <c r="Z1056">
        <f>IF($Y1056="","",INDEX($C$6:$C$40000,$Y1056)&amp;"")</f>
        <v/>
      </c>
      <c r="AA1056" s="59">
        <f>IF($Y1056="","",IF(INDEX($D$6:$D$40000,$Y1056)="","",INDEX($D$6:$D$40000,$Y1056)))</f>
        <v/>
      </c>
      <c r="AB1056">
        <f>IF($Y1056="","",INDEX($L$6:$L$40000,$Y1056)&amp;"")</f>
        <v/>
      </c>
    </row>
    <row r="1057">
      <c r="Y1057" s="47">
        <f>IFERROR(MATCH(Library!M1057,$M$6:$M$40000,0),"")</f>
        <v/>
      </c>
      <c r="Z1057">
        <f>IF($Y1057="","",INDEX($C$6:$C$40000,$Y1057)&amp;"")</f>
        <v/>
      </c>
      <c r="AA1057" s="59">
        <f>IF($Y1057="","",IF(INDEX($D$6:$D$40000,$Y1057)="","",INDEX($D$6:$D$40000,$Y1057)))</f>
        <v/>
      </c>
      <c r="AB1057">
        <f>IF($Y1057="","",INDEX($L$6:$L$40000,$Y1057)&amp;"")</f>
        <v/>
      </c>
    </row>
    <row r="1058">
      <c r="Y1058" s="47">
        <f>IFERROR(MATCH(Library!M1058,$M$6:$M$40000,0),"")</f>
        <v/>
      </c>
      <c r="Z1058">
        <f>IF($Y1058="","",INDEX($C$6:$C$40000,$Y1058)&amp;"")</f>
        <v/>
      </c>
      <c r="AA1058" s="59">
        <f>IF($Y1058="","",IF(INDEX($D$6:$D$40000,$Y1058)="","",INDEX($D$6:$D$40000,$Y1058)))</f>
        <v/>
      </c>
      <c r="AB1058">
        <f>IF($Y1058="","",INDEX($L$6:$L$40000,$Y1058)&amp;"")</f>
        <v/>
      </c>
    </row>
    <row r="1059">
      <c r="Y1059" s="47">
        <f>IFERROR(MATCH(Library!M1059,$M$6:$M$40000,0),"")</f>
        <v/>
      </c>
      <c r="Z1059">
        <f>IF($Y1059="","",INDEX($C$6:$C$40000,$Y1059)&amp;"")</f>
        <v/>
      </c>
      <c r="AA1059" s="59">
        <f>IF($Y1059="","",IF(INDEX($D$6:$D$40000,$Y1059)="","",INDEX($D$6:$D$40000,$Y1059)))</f>
        <v/>
      </c>
      <c r="AB1059">
        <f>IF($Y1059="","",INDEX($L$6:$L$40000,$Y1059)&amp;"")</f>
        <v/>
      </c>
    </row>
    <row r="1060">
      <c r="Y1060" s="47">
        <f>IFERROR(MATCH(Library!M1060,$M$6:$M$40000,0),"")</f>
        <v/>
      </c>
      <c r="Z1060">
        <f>IF($Y1060="","",INDEX($C$6:$C$40000,$Y1060)&amp;"")</f>
        <v/>
      </c>
      <c r="AA1060" s="59">
        <f>IF($Y1060="","",IF(INDEX($D$6:$D$40000,$Y1060)="","",INDEX($D$6:$D$40000,$Y1060)))</f>
        <v/>
      </c>
      <c r="AB1060">
        <f>IF($Y1060="","",INDEX($L$6:$L$40000,$Y1060)&amp;"")</f>
        <v/>
      </c>
    </row>
    <row r="1061">
      <c r="Y1061" s="47">
        <f>IFERROR(MATCH(Library!M1061,$M$6:$M$40000,0),"")</f>
        <v/>
      </c>
      <c r="Z1061">
        <f>IF($Y1061="","",INDEX($C$6:$C$40000,$Y1061)&amp;"")</f>
        <v/>
      </c>
      <c r="AA1061" s="59">
        <f>IF($Y1061="","",IF(INDEX($D$6:$D$40000,$Y1061)="","",INDEX($D$6:$D$40000,$Y1061)))</f>
        <v/>
      </c>
      <c r="AB1061">
        <f>IF($Y1061="","",INDEX($L$6:$L$40000,$Y1061)&amp;"")</f>
        <v/>
      </c>
    </row>
    <row r="1062">
      <c r="Y1062" s="47">
        <f>IFERROR(MATCH(Library!M1062,$M$6:$M$40000,0),"")</f>
        <v/>
      </c>
      <c r="Z1062">
        <f>IF($Y1062="","",INDEX($C$6:$C$40000,$Y1062)&amp;"")</f>
        <v/>
      </c>
      <c r="AA1062" s="59">
        <f>IF($Y1062="","",IF(INDEX($D$6:$D$40000,$Y1062)="","",INDEX($D$6:$D$40000,$Y1062)))</f>
        <v/>
      </c>
      <c r="AB1062">
        <f>IF($Y1062="","",INDEX($L$6:$L$40000,$Y1062)&amp;"")</f>
        <v/>
      </c>
    </row>
    <row r="1063">
      <c r="Y1063" s="47">
        <f>IFERROR(MATCH(Library!M1063,$M$6:$M$40000,0),"")</f>
        <v/>
      </c>
      <c r="Z1063">
        <f>IF($Y1063="","",INDEX($C$6:$C$40000,$Y1063)&amp;"")</f>
        <v/>
      </c>
      <c r="AA1063" s="59">
        <f>IF($Y1063="","",IF(INDEX($D$6:$D$40000,$Y1063)="","",INDEX($D$6:$D$40000,$Y1063)))</f>
        <v/>
      </c>
      <c r="AB1063">
        <f>IF($Y1063="","",INDEX($L$6:$L$40000,$Y1063)&amp;"")</f>
        <v/>
      </c>
    </row>
    <row r="1064">
      <c r="Y1064" s="47">
        <f>IFERROR(MATCH(Library!M1064,$M$6:$M$40000,0),"")</f>
        <v/>
      </c>
      <c r="Z1064">
        <f>IF($Y1064="","",INDEX($C$6:$C$40000,$Y1064)&amp;"")</f>
        <v/>
      </c>
      <c r="AA1064" s="59">
        <f>IF($Y1064="","",IF(INDEX($D$6:$D$40000,$Y1064)="","",INDEX($D$6:$D$40000,$Y1064)))</f>
        <v/>
      </c>
      <c r="AB1064">
        <f>IF($Y1064="","",INDEX($L$6:$L$40000,$Y1064)&amp;"")</f>
        <v/>
      </c>
    </row>
    <row r="1065">
      <c r="Y1065" s="47">
        <f>IFERROR(MATCH(Library!M1065,$M$6:$M$40000,0),"")</f>
        <v/>
      </c>
      <c r="Z1065">
        <f>IF($Y1065="","",INDEX($C$6:$C$40000,$Y1065)&amp;"")</f>
        <v/>
      </c>
      <c r="AA1065" s="59">
        <f>IF($Y1065="","",IF(INDEX($D$6:$D$40000,$Y1065)="","",INDEX($D$6:$D$40000,$Y1065)))</f>
        <v/>
      </c>
      <c r="AB1065">
        <f>IF($Y1065="","",INDEX($L$6:$L$40000,$Y1065)&amp;"")</f>
        <v/>
      </c>
    </row>
    <row r="1066">
      <c r="Y1066" s="47">
        <f>IFERROR(MATCH(Library!M1066,$M$6:$M$40000,0),"")</f>
        <v/>
      </c>
      <c r="Z1066">
        <f>IF($Y1066="","",INDEX($C$6:$C$40000,$Y1066)&amp;"")</f>
        <v/>
      </c>
      <c r="AA1066" s="59">
        <f>IF($Y1066="","",IF(INDEX($D$6:$D$40000,$Y1066)="","",INDEX($D$6:$D$40000,$Y1066)))</f>
        <v/>
      </c>
      <c r="AB1066">
        <f>IF($Y1066="","",INDEX($L$6:$L$40000,$Y1066)&amp;"")</f>
        <v/>
      </c>
    </row>
    <row r="1067">
      <c r="Y1067" s="47">
        <f>IFERROR(MATCH(Library!M1067,$M$6:$M$40000,0),"")</f>
        <v/>
      </c>
      <c r="Z1067">
        <f>IF($Y1067="","",INDEX($C$6:$C$40000,$Y1067)&amp;"")</f>
        <v/>
      </c>
      <c r="AA1067" s="59">
        <f>IF($Y1067="","",IF(INDEX($D$6:$D$40000,$Y1067)="","",INDEX($D$6:$D$40000,$Y1067)))</f>
        <v/>
      </c>
      <c r="AB1067">
        <f>IF($Y1067="","",INDEX($L$6:$L$40000,$Y1067)&amp;"")</f>
        <v/>
      </c>
    </row>
    <row r="1068">
      <c r="Y1068" s="47">
        <f>IFERROR(MATCH(Library!M1068,$M$6:$M$40000,0),"")</f>
        <v/>
      </c>
      <c r="Z1068">
        <f>IF($Y1068="","",INDEX($C$6:$C$40000,$Y1068)&amp;"")</f>
        <v/>
      </c>
      <c r="AA1068" s="59">
        <f>IF($Y1068="","",IF(INDEX($D$6:$D$40000,$Y1068)="","",INDEX($D$6:$D$40000,$Y1068)))</f>
        <v/>
      </c>
      <c r="AB1068">
        <f>IF($Y1068="","",INDEX($L$6:$L$40000,$Y1068)&amp;"")</f>
        <v/>
      </c>
    </row>
    <row r="1069">
      <c r="Y1069" s="47">
        <f>IFERROR(MATCH(Library!M1069,$M$6:$M$40000,0),"")</f>
        <v/>
      </c>
      <c r="Z1069">
        <f>IF($Y1069="","",INDEX($C$6:$C$40000,$Y1069)&amp;"")</f>
        <v/>
      </c>
      <c r="AA1069" s="59">
        <f>IF($Y1069="","",IF(INDEX($D$6:$D$40000,$Y1069)="","",INDEX($D$6:$D$40000,$Y1069)))</f>
        <v/>
      </c>
      <c r="AB1069">
        <f>IF($Y1069="","",INDEX($L$6:$L$40000,$Y1069)&amp;"")</f>
        <v/>
      </c>
    </row>
    <row r="1070">
      <c r="Y1070" s="47">
        <f>IFERROR(MATCH(Library!M1070,$M$6:$M$40000,0),"")</f>
        <v/>
      </c>
      <c r="Z1070">
        <f>IF($Y1070="","",INDEX($C$6:$C$40000,$Y1070)&amp;"")</f>
        <v/>
      </c>
      <c r="AA1070" s="59">
        <f>IF($Y1070="","",IF(INDEX($D$6:$D$40000,$Y1070)="","",INDEX($D$6:$D$40000,$Y1070)))</f>
        <v/>
      </c>
      <c r="AB1070">
        <f>IF($Y1070="","",INDEX($L$6:$L$40000,$Y1070)&amp;"")</f>
        <v/>
      </c>
    </row>
    <row r="1071">
      <c r="Y1071" s="47">
        <f>IFERROR(MATCH(Library!M1071,$M$6:$M$40000,0),"")</f>
        <v/>
      </c>
      <c r="Z1071">
        <f>IF($Y1071="","",INDEX($C$6:$C$40000,$Y1071)&amp;"")</f>
        <v/>
      </c>
      <c r="AA1071" s="59">
        <f>IF($Y1071="","",IF(INDEX($D$6:$D$40000,$Y1071)="","",INDEX($D$6:$D$40000,$Y1071)))</f>
        <v/>
      </c>
      <c r="AB1071">
        <f>IF($Y1071="","",INDEX($L$6:$L$40000,$Y1071)&amp;"")</f>
        <v/>
      </c>
    </row>
    <row r="1072">
      <c r="Y1072" s="47">
        <f>IFERROR(MATCH(Library!M1072,$M$6:$M$40000,0),"")</f>
        <v/>
      </c>
      <c r="Z1072">
        <f>IF($Y1072="","",INDEX($C$6:$C$40000,$Y1072)&amp;"")</f>
        <v/>
      </c>
      <c r="AA1072" s="59">
        <f>IF($Y1072="","",IF(INDEX($D$6:$D$40000,$Y1072)="","",INDEX($D$6:$D$40000,$Y1072)))</f>
        <v/>
      </c>
      <c r="AB1072">
        <f>IF($Y1072="","",INDEX($L$6:$L$40000,$Y1072)&amp;"")</f>
        <v/>
      </c>
    </row>
    <row r="1073">
      <c r="Y1073" s="47">
        <f>IFERROR(MATCH(Library!M1073,$M$6:$M$40000,0),"")</f>
        <v/>
      </c>
      <c r="Z1073">
        <f>IF($Y1073="","",INDEX($C$6:$C$40000,$Y1073)&amp;"")</f>
        <v/>
      </c>
      <c r="AA1073" s="59">
        <f>IF($Y1073="","",IF(INDEX($D$6:$D$40000,$Y1073)="","",INDEX($D$6:$D$40000,$Y1073)))</f>
        <v/>
      </c>
      <c r="AB1073">
        <f>IF($Y1073="","",INDEX($L$6:$L$40000,$Y1073)&amp;"")</f>
        <v/>
      </c>
    </row>
    <row r="1074">
      <c r="Y1074" s="47">
        <f>IFERROR(MATCH(Library!M1074,$M$6:$M$40000,0),"")</f>
        <v/>
      </c>
      <c r="Z1074">
        <f>IF($Y1074="","",INDEX($C$6:$C$40000,$Y1074)&amp;"")</f>
        <v/>
      </c>
      <c r="AA1074" s="59">
        <f>IF($Y1074="","",IF(INDEX($D$6:$D$40000,$Y1074)="","",INDEX($D$6:$D$40000,$Y1074)))</f>
        <v/>
      </c>
      <c r="AB1074">
        <f>IF($Y1074="","",INDEX($L$6:$L$40000,$Y1074)&amp;"")</f>
        <v/>
      </c>
    </row>
    <row r="1075">
      <c r="Y1075" s="47">
        <f>IFERROR(MATCH(Library!M1075,$M$6:$M$40000,0),"")</f>
        <v/>
      </c>
      <c r="Z1075">
        <f>IF($Y1075="","",INDEX($C$6:$C$40000,$Y1075)&amp;"")</f>
        <v/>
      </c>
      <c r="AA1075" s="59">
        <f>IF($Y1075="","",IF(INDEX($D$6:$D$40000,$Y1075)="","",INDEX($D$6:$D$40000,$Y1075)))</f>
        <v/>
      </c>
      <c r="AB1075">
        <f>IF($Y1075="","",INDEX($L$6:$L$40000,$Y1075)&amp;"")</f>
        <v/>
      </c>
    </row>
    <row r="1076">
      <c r="Y1076" s="47">
        <f>IFERROR(MATCH(Library!M1076,$M$6:$M$40000,0),"")</f>
        <v/>
      </c>
      <c r="Z1076">
        <f>IF($Y1076="","",INDEX($C$6:$C$40000,$Y1076)&amp;"")</f>
        <v/>
      </c>
      <c r="AA1076" s="59">
        <f>IF($Y1076="","",IF(INDEX($D$6:$D$40000,$Y1076)="","",INDEX($D$6:$D$40000,$Y1076)))</f>
        <v/>
      </c>
      <c r="AB1076">
        <f>IF($Y1076="","",INDEX($L$6:$L$40000,$Y1076)&amp;"")</f>
        <v/>
      </c>
    </row>
    <row r="1077">
      <c r="Y1077" s="47">
        <f>IFERROR(MATCH(Library!M1077,$M$6:$M$40000,0),"")</f>
        <v/>
      </c>
      <c r="Z1077">
        <f>IF($Y1077="","",INDEX($C$6:$C$40000,$Y1077)&amp;"")</f>
        <v/>
      </c>
      <c r="AA1077" s="59">
        <f>IF($Y1077="","",IF(INDEX($D$6:$D$40000,$Y1077)="","",INDEX($D$6:$D$40000,$Y1077)))</f>
        <v/>
      </c>
      <c r="AB1077">
        <f>IF($Y1077="","",INDEX($L$6:$L$40000,$Y1077)&amp;"")</f>
        <v/>
      </c>
    </row>
    <row r="1078">
      <c r="Y1078" s="47">
        <f>IFERROR(MATCH(Library!M1078,$M$6:$M$40000,0),"")</f>
        <v/>
      </c>
      <c r="Z1078">
        <f>IF($Y1078="","",INDEX($C$6:$C$40000,$Y1078)&amp;"")</f>
        <v/>
      </c>
      <c r="AA1078" s="59">
        <f>IF($Y1078="","",IF(INDEX($D$6:$D$40000,$Y1078)="","",INDEX($D$6:$D$40000,$Y1078)))</f>
        <v/>
      </c>
      <c r="AB1078">
        <f>IF($Y1078="","",INDEX($L$6:$L$40000,$Y1078)&amp;"")</f>
        <v/>
      </c>
    </row>
    <row r="1079">
      <c r="Y1079" s="47">
        <f>IFERROR(MATCH(Library!M1079,$M$6:$M$40000,0),"")</f>
        <v/>
      </c>
      <c r="Z1079">
        <f>IF($Y1079="","",INDEX($C$6:$C$40000,$Y1079)&amp;"")</f>
        <v/>
      </c>
      <c r="AA1079" s="59">
        <f>IF($Y1079="","",IF(INDEX($D$6:$D$40000,$Y1079)="","",INDEX($D$6:$D$40000,$Y1079)))</f>
        <v/>
      </c>
      <c r="AB1079">
        <f>IF($Y1079="","",INDEX($L$6:$L$40000,$Y1079)&amp;"")</f>
        <v/>
      </c>
    </row>
    <row r="1080">
      <c r="Y1080" s="47">
        <f>IFERROR(MATCH(Library!M1080,$M$6:$M$40000,0),"")</f>
        <v/>
      </c>
      <c r="Z1080">
        <f>IF($Y1080="","",INDEX($C$6:$C$40000,$Y1080)&amp;"")</f>
        <v/>
      </c>
      <c r="AA1080" s="59">
        <f>IF($Y1080="","",IF(INDEX($D$6:$D$40000,$Y1080)="","",INDEX($D$6:$D$40000,$Y1080)))</f>
        <v/>
      </c>
      <c r="AB1080">
        <f>IF($Y1080="","",INDEX($L$6:$L$40000,$Y1080)&amp;"")</f>
        <v/>
      </c>
    </row>
    <row r="1081">
      <c r="Y1081" s="47">
        <f>IFERROR(MATCH(Library!M1081,$M$6:$M$40000,0),"")</f>
        <v/>
      </c>
      <c r="Z1081">
        <f>IF($Y1081="","",INDEX($C$6:$C$40000,$Y1081)&amp;"")</f>
        <v/>
      </c>
      <c r="AA1081" s="59">
        <f>IF($Y1081="","",IF(INDEX($D$6:$D$40000,$Y1081)="","",INDEX($D$6:$D$40000,$Y1081)))</f>
        <v/>
      </c>
      <c r="AB1081">
        <f>IF($Y1081="","",INDEX($L$6:$L$40000,$Y1081)&amp;"")</f>
        <v/>
      </c>
    </row>
    <row r="1082">
      <c r="Y1082" s="47">
        <f>IFERROR(MATCH(Library!M1082,$M$6:$M$40000,0),"")</f>
        <v/>
      </c>
      <c r="Z1082">
        <f>IF($Y1082="","",INDEX($C$6:$C$40000,$Y1082)&amp;"")</f>
        <v/>
      </c>
      <c r="AA1082" s="59">
        <f>IF($Y1082="","",IF(INDEX($D$6:$D$40000,$Y1082)="","",INDEX($D$6:$D$40000,$Y1082)))</f>
        <v/>
      </c>
      <c r="AB1082">
        <f>IF($Y1082="","",INDEX($L$6:$L$40000,$Y1082)&amp;"")</f>
        <v/>
      </c>
    </row>
    <row r="1083">
      <c r="Y1083" s="47">
        <f>IFERROR(MATCH(Library!M1083,$M$6:$M$40000,0),"")</f>
        <v/>
      </c>
      <c r="Z1083">
        <f>IF($Y1083="","",INDEX($C$6:$C$40000,$Y1083)&amp;"")</f>
        <v/>
      </c>
      <c r="AA1083" s="59">
        <f>IF($Y1083="","",IF(INDEX($D$6:$D$40000,$Y1083)="","",INDEX($D$6:$D$40000,$Y1083)))</f>
        <v/>
      </c>
      <c r="AB1083">
        <f>IF($Y1083="","",INDEX($L$6:$L$40000,$Y1083)&amp;"")</f>
        <v/>
      </c>
    </row>
    <row r="1084">
      <c r="Y1084" s="47">
        <f>IFERROR(MATCH(Library!M1084,$M$6:$M$40000,0),"")</f>
        <v/>
      </c>
      <c r="Z1084">
        <f>IF($Y1084="","",INDEX($C$6:$C$40000,$Y1084)&amp;"")</f>
        <v/>
      </c>
      <c r="AA1084" s="59">
        <f>IF($Y1084="","",IF(INDEX($D$6:$D$40000,$Y1084)="","",INDEX($D$6:$D$40000,$Y1084)))</f>
        <v/>
      </c>
      <c r="AB1084">
        <f>IF($Y1084="","",INDEX($L$6:$L$40000,$Y1084)&amp;"")</f>
        <v/>
      </c>
    </row>
    <row r="1085">
      <c r="Y1085" s="47">
        <f>IFERROR(MATCH(Library!M1085,$M$6:$M$40000,0),"")</f>
        <v/>
      </c>
      <c r="Z1085">
        <f>IF($Y1085="","",INDEX($C$6:$C$40000,$Y1085)&amp;"")</f>
        <v/>
      </c>
      <c r="AA1085" s="59">
        <f>IF($Y1085="","",IF(INDEX($D$6:$D$40000,$Y1085)="","",INDEX($D$6:$D$40000,$Y1085)))</f>
        <v/>
      </c>
      <c r="AB1085">
        <f>IF($Y1085="","",INDEX($L$6:$L$40000,$Y1085)&amp;"")</f>
        <v/>
      </c>
    </row>
    <row r="1086">
      <c r="Y1086" s="47">
        <f>IFERROR(MATCH(Library!M1086,$M$6:$M$40000,0),"")</f>
        <v/>
      </c>
      <c r="Z1086">
        <f>IF($Y1086="","",INDEX($C$6:$C$40000,$Y1086)&amp;"")</f>
        <v/>
      </c>
      <c r="AA1086" s="59">
        <f>IF($Y1086="","",IF(INDEX($D$6:$D$40000,$Y1086)="","",INDEX($D$6:$D$40000,$Y1086)))</f>
        <v/>
      </c>
      <c r="AB1086">
        <f>IF($Y1086="","",INDEX($L$6:$L$40000,$Y1086)&amp;"")</f>
        <v/>
      </c>
    </row>
    <row r="1087">
      <c r="Y1087" s="47">
        <f>IFERROR(MATCH(Library!M1087,$M$6:$M$40000,0),"")</f>
        <v/>
      </c>
      <c r="Z1087">
        <f>IF($Y1087="","",INDEX($C$6:$C$40000,$Y1087)&amp;"")</f>
        <v/>
      </c>
      <c r="AA1087" s="59">
        <f>IF($Y1087="","",IF(INDEX($D$6:$D$40000,$Y1087)="","",INDEX($D$6:$D$40000,$Y1087)))</f>
        <v/>
      </c>
      <c r="AB1087">
        <f>IF($Y1087="","",INDEX($L$6:$L$40000,$Y1087)&amp;"")</f>
        <v/>
      </c>
    </row>
    <row r="1088">
      <c r="Y1088" s="47">
        <f>IFERROR(MATCH(Library!M1088,$M$6:$M$40000,0),"")</f>
        <v/>
      </c>
      <c r="Z1088">
        <f>IF($Y1088="","",INDEX($C$6:$C$40000,$Y1088)&amp;"")</f>
        <v/>
      </c>
      <c r="AA1088" s="59">
        <f>IF($Y1088="","",IF(INDEX($D$6:$D$40000,$Y1088)="","",INDEX($D$6:$D$40000,$Y1088)))</f>
        <v/>
      </c>
      <c r="AB1088">
        <f>IF($Y1088="","",INDEX($L$6:$L$40000,$Y1088)&amp;"")</f>
        <v/>
      </c>
    </row>
    <row r="1089">
      <c r="Y1089" s="47">
        <f>IFERROR(MATCH(Library!M1089,$M$6:$M$40000,0),"")</f>
        <v/>
      </c>
      <c r="Z1089">
        <f>IF($Y1089="","",INDEX($C$6:$C$40000,$Y1089)&amp;"")</f>
        <v/>
      </c>
      <c r="AA1089" s="59">
        <f>IF($Y1089="","",IF(INDEX($D$6:$D$40000,$Y1089)="","",INDEX($D$6:$D$40000,$Y1089)))</f>
        <v/>
      </c>
      <c r="AB1089">
        <f>IF($Y1089="","",INDEX($L$6:$L$40000,$Y1089)&amp;"")</f>
        <v/>
      </c>
    </row>
    <row r="1090">
      <c r="Y1090" s="47">
        <f>IFERROR(MATCH(Library!M1090,$M$6:$M$40000,0),"")</f>
        <v/>
      </c>
      <c r="Z1090">
        <f>IF($Y1090="","",INDEX($C$6:$C$40000,$Y1090)&amp;"")</f>
        <v/>
      </c>
      <c r="AA1090" s="59">
        <f>IF($Y1090="","",IF(INDEX($D$6:$D$40000,$Y1090)="","",INDEX($D$6:$D$40000,$Y1090)))</f>
        <v/>
      </c>
      <c r="AB1090">
        <f>IF($Y1090="","",INDEX($L$6:$L$40000,$Y1090)&amp;"")</f>
        <v/>
      </c>
    </row>
    <row r="1091">
      <c r="Y1091" s="47">
        <f>IFERROR(MATCH(Library!M1091,$M$6:$M$40000,0),"")</f>
        <v/>
      </c>
      <c r="Z1091">
        <f>IF($Y1091="","",INDEX($C$6:$C$40000,$Y1091)&amp;"")</f>
        <v/>
      </c>
      <c r="AA1091" s="59">
        <f>IF($Y1091="","",IF(INDEX($D$6:$D$40000,$Y1091)="","",INDEX($D$6:$D$40000,$Y1091)))</f>
        <v/>
      </c>
      <c r="AB1091">
        <f>IF($Y1091="","",INDEX($L$6:$L$40000,$Y1091)&amp;"")</f>
        <v/>
      </c>
    </row>
    <row r="1092">
      <c r="Y1092" s="47">
        <f>IFERROR(MATCH(Library!M1092,$M$6:$M$40000,0),"")</f>
        <v/>
      </c>
      <c r="Z1092">
        <f>IF($Y1092="","",INDEX($C$6:$C$40000,$Y1092)&amp;"")</f>
        <v/>
      </c>
      <c r="AA1092" s="59">
        <f>IF($Y1092="","",IF(INDEX($D$6:$D$40000,$Y1092)="","",INDEX($D$6:$D$40000,$Y1092)))</f>
        <v/>
      </c>
      <c r="AB1092">
        <f>IF($Y1092="","",INDEX($L$6:$L$40000,$Y1092)&amp;"")</f>
        <v/>
      </c>
    </row>
    <row r="1093">
      <c r="Y1093" s="47">
        <f>IFERROR(MATCH(Library!M1093,$M$6:$M$40000,0),"")</f>
        <v/>
      </c>
      <c r="Z1093">
        <f>IF($Y1093="","",INDEX($C$6:$C$40000,$Y1093)&amp;"")</f>
        <v/>
      </c>
      <c r="AA1093" s="59">
        <f>IF($Y1093="","",IF(INDEX($D$6:$D$40000,$Y1093)="","",INDEX($D$6:$D$40000,$Y1093)))</f>
        <v/>
      </c>
      <c r="AB1093">
        <f>IF($Y1093="","",INDEX($L$6:$L$40000,$Y1093)&amp;"")</f>
        <v/>
      </c>
    </row>
    <row r="1094">
      <c r="Y1094" s="47">
        <f>IFERROR(MATCH(Library!M1094,$M$6:$M$40000,0),"")</f>
        <v/>
      </c>
      <c r="Z1094">
        <f>IF($Y1094="","",INDEX($C$6:$C$40000,$Y1094)&amp;"")</f>
        <v/>
      </c>
      <c r="AA1094" s="59">
        <f>IF($Y1094="","",IF(INDEX($D$6:$D$40000,$Y1094)="","",INDEX($D$6:$D$40000,$Y1094)))</f>
        <v/>
      </c>
      <c r="AB1094">
        <f>IF($Y1094="","",INDEX($L$6:$L$40000,$Y1094)&amp;"")</f>
        <v/>
      </c>
    </row>
    <row r="1095">
      <c r="Y1095" s="47">
        <f>IFERROR(MATCH(Library!M1095,$M$6:$M$40000,0),"")</f>
        <v/>
      </c>
      <c r="Z1095">
        <f>IF($Y1095="","",INDEX($C$6:$C$40000,$Y1095)&amp;"")</f>
        <v/>
      </c>
      <c r="AA1095" s="59">
        <f>IF($Y1095="","",IF(INDEX($D$6:$D$40000,$Y1095)="","",INDEX($D$6:$D$40000,$Y1095)))</f>
        <v/>
      </c>
      <c r="AB1095">
        <f>IF($Y1095="","",INDEX($L$6:$L$40000,$Y1095)&amp;"")</f>
        <v/>
      </c>
    </row>
    <row r="1096">
      <c r="Y1096" s="47">
        <f>IFERROR(MATCH(Library!M1096,$M$6:$M$40000,0),"")</f>
        <v/>
      </c>
      <c r="Z1096">
        <f>IF($Y1096="","",INDEX($C$6:$C$40000,$Y1096)&amp;"")</f>
        <v/>
      </c>
      <c r="AA1096" s="59">
        <f>IF($Y1096="","",IF(INDEX($D$6:$D$40000,$Y1096)="","",INDEX($D$6:$D$40000,$Y1096)))</f>
        <v/>
      </c>
      <c r="AB1096">
        <f>IF($Y1096="","",INDEX($L$6:$L$40000,$Y1096)&amp;"")</f>
        <v/>
      </c>
    </row>
    <row r="1097">
      <c r="Y1097" s="47">
        <f>IFERROR(MATCH(Library!M1097,$M$6:$M$40000,0),"")</f>
        <v/>
      </c>
      <c r="Z1097">
        <f>IF($Y1097="","",INDEX($C$6:$C$40000,$Y1097)&amp;"")</f>
        <v/>
      </c>
      <c r="AA1097" s="59">
        <f>IF($Y1097="","",IF(INDEX($D$6:$D$40000,$Y1097)="","",INDEX($D$6:$D$40000,$Y1097)))</f>
        <v/>
      </c>
      <c r="AB1097">
        <f>IF($Y1097="","",INDEX($L$6:$L$40000,$Y1097)&amp;"")</f>
        <v/>
      </c>
    </row>
    <row r="1098">
      <c r="Y1098" s="47">
        <f>IFERROR(MATCH(Library!M1098,$M$6:$M$40000,0),"")</f>
        <v/>
      </c>
      <c r="Z1098">
        <f>IF($Y1098="","",INDEX($C$6:$C$40000,$Y1098)&amp;"")</f>
        <v/>
      </c>
      <c r="AA1098" s="59">
        <f>IF($Y1098="","",IF(INDEX($D$6:$D$40000,$Y1098)="","",INDEX($D$6:$D$40000,$Y1098)))</f>
        <v/>
      </c>
      <c r="AB1098">
        <f>IF($Y1098="","",INDEX($L$6:$L$40000,$Y1098)&amp;"")</f>
        <v/>
      </c>
    </row>
    <row r="1099">
      <c r="Y1099" s="47">
        <f>IFERROR(MATCH(Library!M1099,$M$6:$M$40000,0),"")</f>
        <v/>
      </c>
      <c r="Z1099">
        <f>IF($Y1099="","",INDEX($C$6:$C$40000,$Y1099)&amp;"")</f>
        <v/>
      </c>
      <c r="AA1099" s="59">
        <f>IF($Y1099="","",IF(INDEX($D$6:$D$40000,$Y1099)="","",INDEX($D$6:$D$40000,$Y1099)))</f>
        <v/>
      </c>
      <c r="AB1099">
        <f>IF($Y1099="","",INDEX($L$6:$L$40000,$Y1099)&amp;"")</f>
        <v/>
      </c>
    </row>
    <row r="1100">
      <c r="Y1100" s="47">
        <f>IFERROR(MATCH(Library!M1100,$M$6:$M$40000,0),"")</f>
        <v/>
      </c>
      <c r="Z1100">
        <f>IF($Y1100="","",INDEX($C$6:$C$40000,$Y1100)&amp;"")</f>
        <v/>
      </c>
      <c r="AA1100" s="59">
        <f>IF($Y1100="","",IF(INDEX($D$6:$D$40000,$Y1100)="","",INDEX($D$6:$D$40000,$Y1100)))</f>
        <v/>
      </c>
      <c r="AB1100">
        <f>IF($Y1100="","",INDEX($L$6:$L$40000,$Y1100)&amp;"")</f>
        <v/>
      </c>
    </row>
    <row r="1101">
      <c r="Y1101" s="47">
        <f>IFERROR(MATCH(Library!M1101,$M$6:$M$40000,0),"")</f>
        <v/>
      </c>
      <c r="Z1101">
        <f>IF($Y1101="","",INDEX($C$6:$C$40000,$Y1101)&amp;"")</f>
        <v/>
      </c>
      <c r="AA1101" s="59">
        <f>IF($Y1101="","",IF(INDEX($D$6:$D$40000,$Y1101)="","",INDEX($D$6:$D$40000,$Y1101)))</f>
        <v/>
      </c>
      <c r="AB1101">
        <f>IF($Y1101="","",INDEX($L$6:$L$40000,$Y1101)&amp;"")</f>
        <v/>
      </c>
    </row>
    <row r="1102">
      <c r="Y1102" s="47">
        <f>IFERROR(MATCH(Library!M1102,$M$6:$M$40000,0),"")</f>
        <v/>
      </c>
      <c r="Z1102">
        <f>IF($Y1102="","",INDEX($C$6:$C$40000,$Y1102)&amp;"")</f>
        <v/>
      </c>
      <c r="AA1102" s="59">
        <f>IF($Y1102="","",IF(INDEX($D$6:$D$40000,$Y1102)="","",INDEX($D$6:$D$40000,$Y1102)))</f>
        <v/>
      </c>
      <c r="AB1102">
        <f>IF($Y1102="","",INDEX($L$6:$L$40000,$Y1102)&amp;"")</f>
        <v/>
      </c>
    </row>
    <row r="1103">
      <c r="Y1103" s="47">
        <f>IFERROR(MATCH(Library!M1103,$M$6:$M$40000,0),"")</f>
        <v/>
      </c>
      <c r="Z1103">
        <f>IF($Y1103="","",INDEX($C$6:$C$40000,$Y1103)&amp;"")</f>
        <v/>
      </c>
      <c r="AA1103" s="59">
        <f>IF($Y1103="","",IF(INDEX($D$6:$D$40000,$Y1103)="","",INDEX($D$6:$D$40000,$Y1103)))</f>
        <v/>
      </c>
      <c r="AB1103">
        <f>IF($Y1103="","",INDEX($L$6:$L$40000,$Y1103)&amp;"")</f>
        <v/>
      </c>
    </row>
    <row r="1104">
      <c r="Y1104" s="47">
        <f>IFERROR(MATCH(Library!M1104,$M$6:$M$40000,0),"")</f>
        <v/>
      </c>
      <c r="Z1104">
        <f>IF($Y1104="","",INDEX($C$6:$C$40000,$Y1104)&amp;"")</f>
        <v/>
      </c>
      <c r="AA1104" s="59">
        <f>IF($Y1104="","",IF(INDEX($D$6:$D$40000,$Y1104)="","",INDEX($D$6:$D$40000,$Y1104)))</f>
        <v/>
      </c>
      <c r="AB1104">
        <f>IF($Y1104="","",INDEX($L$6:$L$40000,$Y1104)&amp;"")</f>
        <v/>
      </c>
    </row>
    <row r="1105">
      <c r="Y1105" s="47">
        <f>IFERROR(MATCH(Library!M1105,$M$6:$M$40000,0),"")</f>
        <v/>
      </c>
      <c r="Z1105">
        <f>IF($Y1105="","",INDEX($C$6:$C$40000,$Y1105)&amp;"")</f>
        <v/>
      </c>
      <c r="AA1105" s="59">
        <f>IF($Y1105="","",IF(INDEX($D$6:$D$40000,$Y1105)="","",INDEX($D$6:$D$40000,$Y1105)))</f>
        <v/>
      </c>
      <c r="AB1105">
        <f>IF($Y1105="","",INDEX($L$6:$L$40000,$Y1105)&amp;"")</f>
        <v/>
      </c>
    </row>
    <row r="1106">
      <c r="Y1106" s="47">
        <f>IFERROR(MATCH(Library!M1106,$M$6:$M$40000,0),"")</f>
        <v/>
      </c>
      <c r="Z1106">
        <f>IF($Y1106="","",INDEX($C$6:$C$40000,$Y1106)&amp;"")</f>
        <v/>
      </c>
      <c r="AA1106" s="59">
        <f>IF($Y1106="","",IF(INDEX($D$6:$D$40000,$Y1106)="","",INDEX($D$6:$D$40000,$Y1106)))</f>
        <v/>
      </c>
      <c r="AB1106">
        <f>IF($Y1106="","",INDEX($L$6:$L$40000,$Y1106)&amp;"")</f>
        <v/>
      </c>
    </row>
    <row r="1107">
      <c r="Y1107" s="47">
        <f>IFERROR(MATCH(Library!M1107,$M$6:$M$40000,0),"")</f>
        <v/>
      </c>
      <c r="Z1107">
        <f>IF($Y1107="","",INDEX($C$6:$C$40000,$Y1107)&amp;"")</f>
        <v/>
      </c>
      <c r="AA1107" s="59">
        <f>IF($Y1107="","",IF(INDEX($D$6:$D$40000,$Y1107)="","",INDEX($D$6:$D$40000,$Y1107)))</f>
        <v/>
      </c>
      <c r="AB1107">
        <f>IF($Y1107="","",INDEX($L$6:$L$40000,$Y1107)&amp;"")</f>
        <v/>
      </c>
    </row>
    <row r="1108">
      <c r="Y1108" s="47">
        <f>IFERROR(MATCH(Library!M1108,$M$6:$M$40000,0),"")</f>
        <v/>
      </c>
      <c r="Z1108">
        <f>IF($Y1108="","",INDEX($C$6:$C$40000,$Y1108)&amp;"")</f>
        <v/>
      </c>
      <c r="AA1108" s="59">
        <f>IF($Y1108="","",IF(INDEX($D$6:$D$40000,$Y1108)="","",INDEX($D$6:$D$40000,$Y1108)))</f>
        <v/>
      </c>
      <c r="AB1108">
        <f>IF($Y1108="","",INDEX($L$6:$L$40000,$Y1108)&amp;"")</f>
        <v/>
      </c>
    </row>
    <row r="1109">
      <c r="Y1109" s="47">
        <f>IFERROR(MATCH(Library!M1109,$M$6:$M$40000,0),"")</f>
        <v/>
      </c>
      <c r="Z1109">
        <f>IF($Y1109="","",INDEX($C$6:$C$40000,$Y1109)&amp;"")</f>
        <v/>
      </c>
      <c r="AA1109" s="59">
        <f>IF($Y1109="","",IF(INDEX($D$6:$D$40000,$Y1109)="","",INDEX($D$6:$D$40000,$Y1109)))</f>
        <v/>
      </c>
      <c r="AB1109">
        <f>IF($Y1109="","",INDEX($L$6:$L$40000,$Y1109)&amp;"")</f>
        <v/>
      </c>
    </row>
    <row r="1110">
      <c r="Y1110" s="47">
        <f>IFERROR(MATCH(Library!M1110,$M$6:$M$40000,0),"")</f>
        <v/>
      </c>
      <c r="Z1110">
        <f>IF($Y1110="","",INDEX($C$6:$C$40000,$Y1110)&amp;"")</f>
        <v/>
      </c>
      <c r="AA1110" s="59">
        <f>IF($Y1110="","",IF(INDEX($D$6:$D$40000,$Y1110)="","",INDEX($D$6:$D$40000,$Y1110)))</f>
        <v/>
      </c>
      <c r="AB1110">
        <f>IF($Y1110="","",INDEX($L$6:$L$40000,$Y1110)&amp;"")</f>
        <v/>
      </c>
    </row>
    <row r="1111">
      <c r="Y1111" s="47">
        <f>IFERROR(MATCH(Library!M1111,$M$6:$M$40000,0),"")</f>
        <v/>
      </c>
      <c r="Z1111">
        <f>IF($Y1111="","",INDEX($C$6:$C$40000,$Y1111)&amp;"")</f>
        <v/>
      </c>
      <c r="AA1111" s="59">
        <f>IF($Y1111="","",IF(INDEX($D$6:$D$40000,$Y1111)="","",INDEX($D$6:$D$40000,$Y1111)))</f>
        <v/>
      </c>
      <c r="AB1111">
        <f>IF($Y1111="","",INDEX($L$6:$L$40000,$Y1111)&amp;"")</f>
        <v/>
      </c>
    </row>
    <row r="1112">
      <c r="Y1112" s="47">
        <f>IFERROR(MATCH(Library!M1112,$M$6:$M$40000,0),"")</f>
        <v/>
      </c>
      <c r="Z1112">
        <f>IF($Y1112="","",INDEX($C$6:$C$40000,$Y1112)&amp;"")</f>
        <v/>
      </c>
      <c r="AA1112" s="59">
        <f>IF($Y1112="","",IF(INDEX($D$6:$D$40000,$Y1112)="","",INDEX($D$6:$D$40000,$Y1112)))</f>
        <v/>
      </c>
      <c r="AB1112">
        <f>IF($Y1112="","",INDEX($L$6:$L$40000,$Y1112)&amp;"")</f>
        <v/>
      </c>
    </row>
    <row r="1113">
      <c r="Y1113" s="47">
        <f>IFERROR(MATCH(Library!M1113,$M$6:$M$40000,0),"")</f>
        <v/>
      </c>
      <c r="Z1113">
        <f>IF($Y1113="","",INDEX($C$6:$C$40000,$Y1113)&amp;"")</f>
        <v/>
      </c>
      <c r="AA1113" s="59">
        <f>IF($Y1113="","",IF(INDEX($D$6:$D$40000,$Y1113)="","",INDEX($D$6:$D$40000,$Y1113)))</f>
        <v/>
      </c>
      <c r="AB1113">
        <f>IF($Y1113="","",INDEX($L$6:$L$40000,$Y1113)&amp;"")</f>
        <v/>
      </c>
    </row>
    <row r="1114">
      <c r="Y1114" s="47">
        <f>IFERROR(MATCH(Library!M1114,$M$6:$M$40000,0),"")</f>
        <v/>
      </c>
      <c r="Z1114">
        <f>IF($Y1114="","",INDEX($C$6:$C$40000,$Y1114)&amp;"")</f>
        <v/>
      </c>
      <c r="AA1114" s="59">
        <f>IF($Y1114="","",IF(INDEX($D$6:$D$40000,$Y1114)="","",INDEX($D$6:$D$40000,$Y1114)))</f>
        <v/>
      </c>
      <c r="AB1114">
        <f>IF($Y1114="","",INDEX($L$6:$L$40000,$Y1114)&amp;"")</f>
        <v/>
      </c>
    </row>
    <row r="1115">
      <c r="Y1115" s="47">
        <f>IFERROR(MATCH(Library!M1115,$M$6:$M$40000,0),"")</f>
        <v/>
      </c>
      <c r="Z1115">
        <f>IF($Y1115="","",INDEX($C$6:$C$40000,$Y1115)&amp;"")</f>
        <v/>
      </c>
      <c r="AA1115" s="59">
        <f>IF($Y1115="","",IF(INDEX($D$6:$D$40000,$Y1115)="","",INDEX($D$6:$D$40000,$Y1115)))</f>
        <v/>
      </c>
      <c r="AB1115">
        <f>IF($Y1115="","",INDEX($L$6:$L$40000,$Y1115)&amp;"")</f>
        <v/>
      </c>
    </row>
    <row r="1116">
      <c r="Y1116" s="47">
        <f>IFERROR(MATCH(Library!M1116,$M$6:$M$40000,0),"")</f>
        <v/>
      </c>
      <c r="Z1116">
        <f>IF($Y1116="","",INDEX($C$6:$C$40000,$Y1116)&amp;"")</f>
        <v/>
      </c>
      <c r="AA1116" s="59">
        <f>IF($Y1116="","",IF(INDEX($D$6:$D$40000,$Y1116)="","",INDEX($D$6:$D$40000,$Y1116)))</f>
        <v/>
      </c>
      <c r="AB1116">
        <f>IF($Y1116="","",INDEX($L$6:$L$40000,$Y1116)&amp;"")</f>
        <v/>
      </c>
    </row>
    <row r="1117">
      <c r="Y1117" s="47">
        <f>IFERROR(MATCH(Library!M1117,$M$6:$M$40000,0),"")</f>
        <v/>
      </c>
      <c r="Z1117">
        <f>IF($Y1117="","",INDEX($C$6:$C$40000,$Y1117)&amp;"")</f>
        <v/>
      </c>
      <c r="AA1117" s="59">
        <f>IF($Y1117="","",IF(INDEX($D$6:$D$40000,$Y1117)="","",INDEX($D$6:$D$40000,$Y1117)))</f>
        <v/>
      </c>
      <c r="AB1117">
        <f>IF($Y1117="","",INDEX($L$6:$L$40000,$Y1117)&amp;"")</f>
        <v/>
      </c>
    </row>
    <row r="1118">
      <c r="Y1118" s="47">
        <f>IFERROR(MATCH(Library!M1118,$M$6:$M$40000,0),"")</f>
        <v/>
      </c>
      <c r="Z1118">
        <f>IF($Y1118="","",INDEX($C$6:$C$40000,$Y1118)&amp;"")</f>
        <v/>
      </c>
      <c r="AA1118" s="59">
        <f>IF($Y1118="","",IF(INDEX($D$6:$D$40000,$Y1118)="","",INDEX($D$6:$D$40000,$Y1118)))</f>
        <v/>
      </c>
      <c r="AB1118">
        <f>IF($Y1118="","",INDEX($L$6:$L$40000,$Y1118)&amp;"")</f>
        <v/>
      </c>
    </row>
    <row r="1119">
      <c r="Y1119" s="47">
        <f>IFERROR(MATCH(Library!M1119,$M$6:$M$40000,0),"")</f>
        <v/>
      </c>
      <c r="Z1119">
        <f>IF($Y1119="","",INDEX($C$6:$C$40000,$Y1119)&amp;"")</f>
        <v/>
      </c>
      <c r="AA1119" s="59">
        <f>IF($Y1119="","",IF(INDEX($D$6:$D$40000,$Y1119)="","",INDEX($D$6:$D$40000,$Y1119)))</f>
        <v/>
      </c>
      <c r="AB1119">
        <f>IF($Y1119="","",INDEX($L$6:$L$40000,$Y1119)&amp;"")</f>
        <v/>
      </c>
    </row>
    <row r="1120">
      <c r="Y1120" s="47">
        <f>IFERROR(MATCH(Library!M1120,$M$6:$M$40000,0),"")</f>
        <v/>
      </c>
      <c r="Z1120">
        <f>IF($Y1120="","",INDEX($C$6:$C$40000,$Y1120)&amp;"")</f>
        <v/>
      </c>
      <c r="AA1120" s="59">
        <f>IF($Y1120="","",IF(INDEX($D$6:$D$40000,$Y1120)="","",INDEX($D$6:$D$40000,$Y1120)))</f>
        <v/>
      </c>
      <c r="AB1120">
        <f>IF($Y1120="","",INDEX($L$6:$L$40000,$Y1120)&amp;"")</f>
        <v/>
      </c>
    </row>
    <row r="1121">
      <c r="Y1121" s="47">
        <f>IFERROR(MATCH(Library!M1121,$M$6:$M$40000,0),"")</f>
        <v/>
      </c>
      <c r="Z1121">
        <f>IF($Y1121="","",INDEX($C$6:$C$40000,$Y1121)&amp;"")</f>
        <v/>
      </c>
      <c r="AA1121" s="59">
        <f>IF($Y1121="","",IF(INDEX($D$6:$D$40000,$Y1121)="","",INDEX($D$6:$D$40000,$Y1121)))</f>
        <v/>
      </c>
      <c r="AB1121">
        <f>IF($Y1121="","",INDEX($L$6:$L$40000,$Y1121)&amp;"")</f>
        <v/>
      </c>
    </row>
    <row r="1122">
      <c r="Y1122" s="47">
        <f>IFERROR(MATCH(Library!M1122,$M$6:$M$40000,0),"")</f>
        <v/>
      </c>
      <c r="Z1122">
        <f>IF($Y1122="","",INDEX($C$6:$C$40000,$Y1122)&amp;"")</f>
        <v/>
      </c>
      <c r="AA1122" s="59">
        <f>IF($Y1122="","",IF(INDEX($D$6:$D$40000,$Y1122)="","",INDEX($D$6:$D$40000,$Y1122)))</f>
        <v/>
      </c>
      <c r="AB1122">
        <f>IF($Y1122="","",INDEX($L$6:$L$40000,$Y1122)&amp;"")</f>
        <v/>
      </c>
    </row>
    <row r="1123">
      <c r="Y1123" s="47">
        <f>IFERROR(MATCH(Library!M1123,$M$6:$M$40000,0),"")</f>
        <v/>
      </c>
      <c r="Z1123">
        <f>IF($Y1123="","",INDEX($C$6:$C$40000,$Y1123)&amp;"")</f>
        <v/>
      </c>
      <c r="AA1123" s="59">
        <f>IF($Y1123="","",IF(INDEX($D$6:$D$40000,$Y1123)="","",INDEX($D$6:$D$40000,$Y1123)))</f>
        <v/>
      </c>
      <c r="AB1123">
        <f>IF($Y1123="","",INDEX($L$6:$L$40000,$Y1123)&amp;"")</f>
        <v/>
      </c>
    </row>
    <row r="1124">
      <c r="Y1124" s="47">
        <f>IFERROR(MATCH(Library!M1124,$M$6:$M$40000,0),"")</f>
        <v/>
      </c>
      <c r="Z1124">
        <f>IF($Y1124="","",INDEX($C$6:$C$40000,$Y1124)&amp;"")</f>
        <v/>
      </c>
      <c r="AA1124" s="59">
        <f>IF($Y1124="","",IF(INDEX($D$6:$D$40000,$Y1124)="","",INDEX($D$6:$D$40000,$Y1124)))</f>
        <v/>
      </c>
      <c r="AB1124">
        <f>IF($Y1124="","",INDEX($L$6:$L$40000,$Y1124)&amp;"")</f>
        <v/>
      </c>
    </row>
    <row r="1125">
      <c r="Y1125" s="47">
        <f>IFERROR(MATCH(Library!M1125,$M$6:$M$40000,0),"")</f>
        <v/>
      </c>
      <c r="Z1125">
        <f>IF($Y1125="","",INDEX($C$6:$C$40000,$Y1125)&amp;"")</f>
        <v/>
      </c>
      <c r="AA1125" s="59">
        <f>IF($Y1125="","",IF(INDEX($D$6:$D$40000,$Y1125)="","",INDEX($D$6:$D$40000,$Y1125)))</f>
        <v/>
      </c>
      <c r="AB1125">
        <f>IF($Y1125="","",INDEX($L$6:$L$40000,$Y1125)&amp;"")</f>
        <v/>
      </c>
    </row>
    <row r="1126">
      <c r="Y1126" s="47">
        <f>IFERROR(MATCH(Library!M1126,$M$6:$M$40000,0),"")</f>
        <v/>
      </c>
      <c r="Z1126">
        <f>IF($Y1126="","",INDEX($C$6:$C$40000,$Y1126)&amp;"")</f>
        <v/>
      </c>
      <c r="AA1126" s="59">
        <f>IF($Y1126="","",IF(INDEX($D$6:$D$40000,$Y1126)="","",INDEX($D$6:$D$40000,$Y1126)))</f>
        <v/>
      </c>
      <c r="AB1126">
        <f>IF($Y1126="","",INDEX($L$6:$L$40000,$Y1126)&amp;"")</f>
        <v/>
      </c>
    </row>
    <row r="1127">
      <c r="Y1127" s="47">
        <f>IFERROR(MATCH(Library!M1127,$M$6:$M$40000,0),"")</f>
        <v/>
      </c>
      <c r="Z1127">
        <f>IF($Y1127="","",INDEX($C$6:$C$40000,$Y1127)&amp;"")</f>
        <v/>
      </c>
      <c r="AA1127" s="59">
        <f>IF($Y1127="","",IF(INDEX($D$6:$D$40000,$Y1127)="","",INDEX($D$6:$D$40000,$Y1127)))</f>
        <v/>
      </c>
      <c r="AB1127">
        <f>IF($Y1127="","",INDEX($L$6:$L$40000,$Y1127)&amp;"")</f>
        <v/>
      </c>
    </row>
    <row r="1128">
      <c r="Y1128" s="47">
        <f>IFERROR(MATCH(Library!M1128,$M$6:$M$40000,0),"")</f>
        <v/>
      </c>
      <c r="Z1128">
        <f>IF($Y1128="","",INDEX($C$6:$C$40000,$Y1128)&amp;"")</f>
        <v/>
      </c>
      <c r="AA1128" s="59">
        <f>IF($Y1128="","",IF(INDEX($D$6:$D$40000,$Y1128)="","",INDEX($D$6:$D$40000,$Y1128)))</f>
        <v/>
      </c>
      <c r="AB1128">
        <f>IF($Y1128="","",INDEX($L$6:$L$40000,$Y1128)&amp;"")</f>
        <v/>
      </c>
    </row>
    <row r="1129">
      <c r="Y1129" s="47">
        <f>IFERROR(MATCH(Library!M1129,$M$6:$M$40000,0),"")</f>
        <v/>
      </c>
      <c r="Z1129">
        <f>IF($Y1129="","",INDEX($C$6:$C$40000,$Y1129)&amp;"")</f>
        <v/>
      </c>
      <c r="AA1129" s="59">
        <f>IF($Y1129="","",IF(INDEX($D$6:$D$40000,$Y1129)="","",INDEX($D$6:$D$40000,$Y1129)))</f>
        <v/>
      </c>
      <c r="AB1129">
        <f>IF($Y1129="","",INDEX($L$6:$L$40000,$Y1129)&amp;"")</f>
        <v/>
      </c>
    </row>
    <row r="1130">
      <c r="Y1130" s="47">
        <f>IFERROR(MATCH(Library!M1130,$M$6:$M$40000,0),"")</f>
        <v/>
      </c>
      <c r="Z1130">
        <f>IF($Y1130="","",INDEX($C$6:$C$40000,$Y1130)&amp;"")</f>
        <v/>
      </c>
      <c r="AA1130" s="59">
        <f>IF($Y1130="","",IF(INDEX($D$6:$D$40000,$Y1130)="","",INDEX($D$6:$D$40000,$Y1130)))</f>
        <v/>
      </c>
      <c r="AB1130">
        <f>IF($Y1130="","",INDEX($L$6:$L$40000,$Y1130)&amp;"")</f>
        <v/>
      </c>
    </row>
    <row r="1131">
      <c r="Y1131" s="47">
        <f>IFERROR(MATCH(Library!M1131,$M$6:$M$40000,0),"")</f>
        <v/>
      </c>
      <c r="Z1131">
        <f>IF($Y1131="","",INDEX($C$6:$C$40000,$Y1131)&amp;"")</f>
        <v/>
      </c>
      <c r="AA1131" s="59">
        <f>IF($Y1131="","",IF(INDEX($D$6:$D$40000,$Y1131)="","",INDEX($D$6:$D$40000,$Y1131)))</f>
        <v/>
      </c>
      <c r="AB1131">
        <f>IF($Y1131="","",INDEX($L$6:$L$40000,$Y1131)&amp;"")</f>
        <v/>
      </c>
    </row>
    <row r="1132">
      <c r="Y1132" s="47">
        <f>IFERROR(MATCH(Library!M1132,$M$6:$M$40000,0),"")</f>
        <v/>
      </c>
      <c r="Z1132">
        <f>IF($Y1132="","",INDEX($C$6:$C$40000,$Y1132)&amp;"")</f>
        <v/>
      </c>
      <c r="AA1132" s="59">
        <f>IF($Y1132="","",IF(INDEX($D$6:$D$40000,$Y1132)="","",INDEX($D$6:$D$40000,$Y1132)))</f>
        <v/>
      </c>
      <c r="AB1132">
        <f>IF($Y1132="","",INDEX($L$6:$L$40000,$Y1132)&amp;"")</f>
        <v/>
      </c>
    </row>
    <row r="1133">
      <c r="Y1133" s="47">
        <f>IFERROR(MATCH(Library!M1133,$M$6:$M$40000,0),"")</f>
        <v/>
      </c>
      <c r="Z1133">
        <f>IF($Y1133="","",INDEX($C$6:$C$40000,$Y1133)&amp;"")</f>
        <v/>
      </c>
      <c r="AA1133" s="59">
        <f>IF($Y1133="","",IF(INDEX($D$6:$D$40000,$Y1133)="","",INDEX($D$6:$D$40000,$Y1133)))</f>
        <v/>
      </c>
      <c r="AB1133">
        <f>IF($Y1133="","",INDEX($L$6:$L$40000,$Y1133)&amp;"")</f>
        <v/>
      </c>
    </row>
    <row r="1134">
      <c r="Y1134" s="47">
        <f>IFERROR(MATCH(Library!M1134,$M$6:$M$40000,0),"")</f>
        <v/>
      </c>
      <c r="Z1134">
        <f>IF($Y1134="","",INDEX($C$6:$C$40000,$Y1134)&amp;"")</f>
        <v/>
      </c>
      <c r="AA1134" s="59">
        <f>IF($Y1134="","",IF(INDEX($D$6:$D$40000,$Y1134)="","",INDEX($D$6:$D$40000,$Y1134)))</f>
        <v/>
      </c>
      <c r="AB1134">
        <f>IF($Y1134="","",INDEX($L$6:$L$40000,$Y1134)&amp;"")</f>
        <v/>
      </c>
    </row>
    <row r="1135">
      <c r="Y1135" s="47">
        <f>IFERROR(MATCH(Library!M1135,$M$6:$M$40000,0),"")</f>
        <v/>
      </c>
      <c r="Z1135">
        <f>IF($Y1135="","",INDEX($C$6:$C$40000,$Y1135)&amp;"")</f>
        <v/>
      </c>
      <c r="AA1135" s="59">
        <f>IF($Y1135="","",IF(INDEX($D$6:$D$40000,$Y1135)="","",INDEX($D$6:$D$40000,$Y1135)))</f>
        <v/>
      </c>
      <c r="AB1135">
        <f>IF($Y1135="","",INDEX($L$6:$L$40000,$Y1135)&amp;"")</f>
        <v/>
      </c>
    </row>
    <row r="1136">
      <c r="Y1136" s="47">
        <f>IFERROR(MATCH(Library!M1136,$M$6:$M$40000,0),"")</f>
        <v/>
      </c>
      <c r="Z1136">
        <f>IF($Y1136="","",INDEX($C$6:$C$40000,$Y1136)&amp;"")</f>
        <v/>
      </c>
      <c r="AA1136" s="59">
        <f>IF($Y1136="","",IF(INDEX($D$6:$D$40000,$Y1136)="","",INDEX($D$6:$D$40000,$Y1136)))</f>
        <v/>
      </c>
      <c r="AB1136">
        <f>IF($Y1136="","",INDEX($L$6:$L$40000,$Y1136)&amp;"")</f>
        <v/>
      </c>
    </row>
    <row r="1137">
      <c r="Y1137" s="47">
        <f>IFERROR(MATCH(Library!M1137,$M$6:$M$40000,0),"")</f>
        <v/>
      </c>
      <c r="Z1137">
        <f>IF($Y1137="","",INDEX($C$6:$C$40000,$Y1137)&amp;"")</f>
        <v/>
      </c>
      <c r="AA1137" s="59">
        <f>IF($Y1137="","",IF(INDEX($D$6:$D$40000,$Y1137)="","",INDEX($D$6:$D$40000,$Y1137)))</f>
        <v/>
      </c>
      <c r="AB1137">
        <f>IF($Y1137="","",INDEX($L$6:$L$40000,$Y1137)&amp;"")</f>
        <v/>
      </c>
    </row>
    <row r="1138">
      <c r="Y1138" s="47">
        <f>IFERROR(MATCH(Library!M1138,$M$6:$M$40000,0),"")</f>
        <v/>
      </c>
      <c r="Z1138">
        <f>IF($Y1138="","",INDEX($C$6:$C$40000,$Y1138)&amp;"")</f>
        <v/>
      </c>
      <c r="AA1138" s="59">
        <f>IF($Y1138="","",IF(INDEX($D$6:$D$40000,$Y1138)="","",INDEX($D$6:$D$40000,$Y1138)))</f>
        <v/>
      </c>
      <c r="AB1138">
        <f>IF($Y1138="","",INDEX($L$6:$L$40000,$Y1138)&amp;"")</f>
        <v/>
      </c>
    </row>
    <row r="1139">
      <c r="Y1139" s="47">
        <f>IFERROR(MATCH(Library!M1139,$M$6:$M$40000,0),"")</f>
        <v/>
      </c>
      <c r="Z1139">
        <f>IF($Y1139="","",INDEX($C$6:$C$40000,$Y1139)&amp;"")</f>
        <v/>
      </c>
      <c r="AA1139" s="59">
        <f>IF($Y1139="","",IF(INDEX($D$6:$D$40000,$Y1139)="","",INDEX($D$6:$D$40000,$Y1139)))</f>
        <v/>
      </c>
      <c r="AB1139">
        <f>IF($Y1139="","",INDEX($L$6:$L$40000,$Y1139)&amp;"")</f>
        <v/>
      </c>
    </row>
    <row r="1140">
      <c r="Y1140" s="47">
        <f>IFERROR(MATCH(Library!M1140,$M$6:$M$40000,0),"")</f>
        <v/>
      </c>
      <c r="Z1140">
        <f>IF($Y1140="","",INDEX($C$6:$C$40000,$Y1140)&amp;"")</f>
        <v/>
      </c>
      <c r="AA1140" s="59">
        <f>IF($Y1140="","",IF(INDEX($D$6:$D$40000,$Y1140)="","",INDEX($D$6:$D$40000,$Y1140)))</f>
        <v/>
      </c>
      <c r="AB1140">
        <f>IF($Y1140="","",INDEX($L$6:$L$40000,$Y1140)&amp;"")</f>
        <v/>
      </c>
    </row>
    <row r="1141">
      <c r="Y1141" s="47">
        <f>IFERROR(MATCH(Library!M1141,$M$6:$M$40000,0),"")</f>
        <v/>
      </c>
      <c r="Z1141">
        <f>IF($Y1141="","",INDEX($C$6:$C$40000,$Y1141)&amp;"")</f>
        <v/>
      </c>
      <c r="AA1141" s="59">
        <f>IF($Y1141="","",IF(INDEX($D$6:$D$40000,$Y1141)="","",INDEX($D$6:$D$40000,$Y1141)))</f>
        <v/>
      </c>
      <c r="AB1141">
        <f>IF($Y1141="","",INDEX($L$6:$L$40000,$Y1141)&amp;"")</f>
        <v/>
      </c>
    </row>
    <row r="1142">
      <c r="Y1142" s="47">
        <f>IFERROR(MATCH(Library!M1142,$M$6:$M$40000,0),"")</f>
        <v/>
      </c>
      <c r="Z1142">
        <f>IF($Y1142="","",INDEX($C$6:$C$40000,$Y1142)&amp;"")</f>
        <v/>
      </c>
      <c r="AA1142" s="59">
        <f>IF($Y1142="","",IF(INDEX($D$6:$D$40000,$Y1142)="","",INDEX($D$6:$D$40000,$Y1142)))</f>
        <v/>
      </c>
      <c r="AB1142">
        <f>IF($Y1142="","",INDEX($L$6:$L$40000,$Y1142)&amp;"")</f>
        <v/>
      </c>
    </row>
    <row r="1143">
      <c r="Y1143" s="47">
        <f>IFERROR(MATCH(Library!M1143,$M$6:$M$40000,0),"")</f>
        <v/>
      </c>
      <c r="Z1143">
        <f>IF($Y1143="","",INDEX($C$6:$C$40000,$Y1143)&amp;"")</f>
        <v/>
      </c>
      <c r="AA1143" s="59">
        <f>IF($Y1143="","",IF(INDEX($D$6:$D$40000,$Y1143)="","",INDEX($D$6:$D$40000,$Y1143)))</f>
        <v/>
      </c>
      <c r="AB1143">
        <f>IF($Y1143="","",INDEX($L$6:$L$40000,$Y1143)&amp;"")</f>
        <v/>
      </c>
    </row>
    <row r="1144">
      <c r="Y1144" s="47">
        <f>IFERROR(MATCH(Library!M1144,$M$6:$M$40000,0),"")</f>
        <v/>
      </c>
      <c r="Z1144">
        <f>IF($Y1144="","",INDEX($C$6:$C$40000,$Y1144)&amp;"")</f>
        <v/>
      </c>
      <c r="AA1144" s="59">
        <f>IF($Y1144="","",IF(INDEX($D$6:$D$40000,$Y1144)="","",INDEX($D$6:$D$40000,$Y1144)))</f>
        <v/>
      </c>
      <c r="AB1144">
        <f>IF($Y1144="","",INDEX($L$6:$L$40000,$Y1144)&amp;"")</f>
        <v/>
      </c>
    </row>
    <row r="1145">
      <c r="Y1145" s="47">
        <f>IFERROR(MATCH(Library!M1145,$M$6:$M$40000,0),"")</f>
        <v/>
      </c>
      <c r="Z1145">
        <f>IF($Y1145="","",INDEX($C$6:$C$40000,$Y1145)&amp;"")</f>
        <v/>
      </c>
      <c r="AA1145" s="59">
        <f>IF($Y1145="","",IF(INDEX($D$6:$D$40000,$Y1145)="","",INDEX($D$6:$D$40000,$Y1145)))</f>
        <v/>
      </c>
      <c r="AB1145">
        <f>IF($Y1145="","",INDEX($L$6:$L$40000,$Y1145)&amp;"")</f>
        <v/>
      </c>
    </row>
    <row r="1146">
      <c r="Y1146" s="47">
        <f>IFERROR(MATCH(Library!M1146,$M$6:$M$40000,0),"")</f>
        <v/>
      </c>
      <c r="Z1146">
        <f>IF($Y1146="","",INDEX($C$6:$C$40000,$Y1146)&amp;"")</f>
        <v/>
      </c>
      <c r="AA1146" s="59">
        <f>IF($Y1146="","",IF(INDEX($D$6:$D$40000,$Y1146)="","",INDEX($D$6:$D$40000,$Y1146)))</f>
        <v/>
      </c>
      <c r="AB1146">
        <f>IF($Y1146="","",INDEX($L$6:$L$40000,$Y1146)&amp;"")</f>
        <v/>
      </c>
    </row>
    <row r="1147">
      <c r="Y1147" s="47">
        <f>IFERROR(MATCH(Library!M1147,$M$6:$M$40000,0),"")</f>
        <v/>
      </c>
      <c r="Z1147">
        <f>IF($Y1147="","",INDEX($C$6:$C$40000,$Y1147)&amp;"")</f>
        <v/>
      </c>
      <c r="AA1147" s="59">
        <f>IF($Y1147="","",IF(INDEX($D$6:$D$40000,$Y1147)="","",INDEX($D$6:$D$40000,$Y1147)))</f>
        <v/>
      </c>
      <c r="AB1147">
        <f>IF($Y1147="","",INDEX($L$6:$L$40000,$Y1147)&amp;"")</f>
        <v/>
      </c>
    </row>
    <row r="1148">
      <c r="Y1148" s="47">
        <f>IFERROR(MATCH(Library!M1148,$M$6:$M$40000,0),"")</f>
        <v/>
      </c>
      <c r="Z1148">
        <f>IF($Y1148="","",INDEX($C$6:$C$40000,$Y1148)&amp;"")</f>
        <v/>
      </c>
      <c r="AA1148" s="59">
        <f>IF($Y1148="","",IF(INDEX($D$6:$D$40000,$Y1148)="","",INDEX($D$6:$D$40000,$Y1148)))</f>
        <v/>
      </c>
      <c r="AB1148">
        <f>IF($Y1148="","",INDEX($L$6:$L$40000,$Y1148)&amp;"")</f>
        <v/>
      </c>
    </row>
    <row r="1149">
      <c r="Y1149" s="47">
        <f>IFERROR(MATCH(Library!M1149,$M$6:$M$40000,0),"")</f>
        <v/>
      </c>
      <c r="Z1149">
        <f>IF($Y1149="","",INDEX($C$6:$C$40000,$Y1149)&amp;"")</f>
        <v/>
      </c>
      <c r="AA1149" s="59">
        <f>IF($Y1149="","",IF(INDEX($D$6:$D$40000,$Y1149)="","",INDEX($D$6:$D$40000,$Y1149)))</f>
        <v/>
      </c>
      <c r="AB1149">
        <f>IF($Y1149="","",INDEX($L$6:$L$40000,$Y1149)&amp;"")</f>
        <v/>
      </c>
    </row>
    <row r="1150">
      <c r="Y1150" s="47">
        <f>IFERROR(MATCH(Library!M1150,$M$6:$M$40000,0),"")</f>
        <v/>
      </c>
      <c r="Z1150">
        <f>IF($Y1150="","",INDEX($C$6:$C$40000,$Y1150)&amp;"")</f>
        <v/>
      </c>
      <c r="AA1150" s="59">
        <f>IF($Y1150="","",IF(INDEX($D$6:$D$40000,$Y1150)="","",INDEX($D$6:$D$40000,$Y1150)))</f>
        <v/>
      </c>
      <c r="AB1150">
        <f>IF($Y1150="","",INDEX($L$6:$L$40000,$Y1150)&amp;"")</f>
        <v/>
      </c>
    </row>
    <row r="1151">
      <c r="Y1151" s="47">
        <f>IFERROR(MATCH(Library!M1151,$M$6:$M$40000,0),"")</f>
        <v/>
      </c>
      <c r="Z1151">
        <f>IF($Y1151="","",INDEX($C$6:$C$40000,$Y1151)&amp;"")</f>
        <v/>
      </c>
      <c r="AA1151" s="59">
        <f>IF($Y1151="","",IF(INDEX($D$6:$D$40000,$Y1151)="","",INDEX($D$6:$D$40000,$Y1151)))</f>
        <v/>
      </c>
      <c r="AB1151">
        <f>IF($Y1151="","",INDEX($L$6:$L$40000,$Y1151)&amp;"")</f>
        <v/>
      </c>
    </row>
    <row r="1152">
      <c r="Y1152" s="47">
        <f>IFERROR(MATCH(Library!M1152,$M$6:$M$40000,0),"")</f>
        <v/>
      </c>
      <c r="Z1152">
        <f>IF($Y1152="","",INDEX($C$6:$C$40000,$Y1152)&amp;"")</f>
        <v/>
      </c>
      <c r="AA1152" s="59">
        <f>IF($Y1152="","",IF(INDEX($D$6:$D$40000,$Y1152)="","",INDEX($D$6:$D$40000,$Y1152)))</f>
        <v/>
      </c>
      <c r="AB1152">
        <f>IF($Y1152="","",INDEX($L$6:$L$40000,$Y1152)&amp;"")</f>
        <v/>
      </c>
    </row>
    <row r="1153">
      <c r="Y1153" s="47">
        <f>IFERROR(MATCH(Library!M1153,$M$6:$M$40000,0),"")</f>
        <v/>
      </c>
      <c r="Z1153">
        <f>IF($Y1153="","",INDEX($C$6:$C$40000,$Y1153)&amp;"")</f>
        <v/>
      </c>
      <c r="AA1153" s="59">
        <f>IF($Y1153="","",IF(INDEX($D$6:$D$40000,$Y1153)="","",INDEX($D$6:$D$40000,$Y1153)))</f>
        <v/>
      </c>
      <c r="AB1153">
        <f>IF($Y1153="","",INDEX($L$6:$L$40000,$Y1153)&amp;"")</f>
        <v/>
      </c>
    </row>
    <row r="1154">
      <c r="Y1154" s="47">
        <f>IFERROR(MATCH(Library!M1154,$M$6:$M$40000,0),"")</f>
        <v/>
      </c>
      <c r="Z1154">
        <f>IF($Y1154="","",INDEX($C$6:$C$40000,$Y1154)&amp;"")</f>
        <v/>
      </c>
      <c r="AA1154" s="59">
        <f>IF($Y1154="","",IF(INDEX($D$6:$D$40000,$Y1154)="","",INDEX($D$6:$D$40000,$Y1154)))</f>
        <v/>
      </c>
      <c r="AB1154">
        <f>IF($Y1154="","",INDEX($L$6:$L$40000,$Y1154)&amp;"")</f>
        <v/>
      </c>
    </row>
    <row r="1155">
      <c r="Y1155" s="47">
        <f>IFERROR(MATCH(Library!M1155,$M$6:$M$40000,0),"")</f>
        <v/>
      </c>
      <c r="Z1155">
        <f>IF($Y1155="","",INDEX($C$6:$C$40000,$Y1155)&amp;"")</f>
        <v/>
      </c>
      <c r="AA1155" s="59">
        <f>IF($Y1155="","",IF(INDEX($D$6:$D$40000,$Y1155)="","",INDEX($D$6:$D$40000,$Y1155)))</f>
        <v/>
      </c>
      <c r="AB1155">
        <f>IF($Y1155="","",INDEX($L$6:$L$40000,$Y1155)&amp;"")</f>
        <v/>
      </c>
    </row>
    <row r="1156">
      <c r="Y1156" s="47">
        <f>IFERROR(MATCH(Library!M1156,$M$6:$M$40000,0),"")</f>
        <v/>
      </c>
      <c r="Z1156">
        <f>IF($Y1156="","",INDEX($C$6:$C$40000,$Y1156)&amp;"")</f>
        <v/>
      </c>
      <c r="AA1156" s="59">
        <f>IF($Y1156="","",IF(INDEX($D$6:$D$40000,$Y1156)="","",INDEX($D$6:$D$40000,$Y1156)))</f>
        <v/>
      </c>
      <c r="AB1156">
        <f>IF($Y1156="","",INDEX($L$6:$L$40000,$Y1156)&amp;"")</f>
        <v/>
      </c>
    </row>
    <row r="1157">
      <c r="Y1157" s="47">
        <f>IFERROR(MATCH(Library!M1157,$M$6:$M$40000,0),"")</f>
        <v/>
      </c>
      <c r="Z1157">
        <f>IF($Y1157="","",INDEX($C$6:$C$40000,$Y1157)&amp;"")</f>
        <v/>
      </c>
      <c r="AA1157" s="59">
        <f>IF($Y1157="","",IF(INDEX($D$6:$D$40000,$Y1157)="","",INDEX($D$6:$D$40000,$Y1157)))</f>
        <v/>
      </c>
      <c r="AB1157">
        <f>IF($Y1157="","",INDEX($L$6:$L$40000,$Y1157)&amp;"")</f>
        <v/>
      </c>
    </row>
    <row r="1158">
      <c r="Y1158" s="47">
        <f>IFERROR(MATCH(Library!M1158,$M$6:$M$40000,0),"")</f>
        <v/>
      </c>
      <c r="Z1158">
        <f>IF($Y1158="","",INDEX($C$6:$C$40000,$Y1158)&amp;"")</f>
        <v/>
      </c>
      <c r="AA1158" s="59">
        <f>IF($Y1158="","",IF(INDEX($D$6:$D$40000,$Y1158)="","",INDEX($D$6:$D$40000,$Y1158)))</f>
        <v/>
      </c>
      <c r="AB1158">
        <f>IF($Y1158="","",INDEX($L$6:$L$40000,$Y1158)&amp;"")</f>
        <v/>
      </c>
    </row>
    <row r="1159">
      <c r="Y1159" s="47">
        <f>IFERROR(MATCH(Library!M1159,$M$6:$M$40000,0),"")</f>
        <v/>
      </c>
      <c r="Z1159">
        <f>IF($Y1159="","",INDEX($C$6:$C$40000,$Y1159)&amp;"")</f>
        <v/>
      </c>
      <c r="AA1159" s="59">
        <f>IF($Y1159="","",IF(INDEX($D$6:$D$40000,$Y1159)="","",INDEX($D$6:$D$40000,$Y1159)))</f>
        <v/>
      </c>
      <c r="AB1159">
        <f>IF($Y1159="","",INDEX($L$6:$L$40000,$Y1159)&amp;"")</f>
        <v/>
      </c>
    </row>
    <row r="1160">
      <c r="Y1160" s="47">
        <f>IFERROR(MATCH(Library!M1160,$M$6:$M$40000,0),"")</f>
        <v/>
      </c>
      <c r="Z1160">
        <f>IF($Y1160="","",INDEX($C$6:$C$40000,$Y1160)&amp;"")</f>
        <v/>
      </c>
      <c r="AA1160" s="59">
        <f>IF($Y1160="","",IF(INDEX($D$6:$D$40000,$Y1160)="","",INDEX($D$6:$D$40000,$Y1160)))</f>
        <v/>
      </c>
      <c r="AB1160">
        <f>IF($Y1160="","",INDEX($L$6:$L$40000,$Y1160)&amp;"")</f>
        <v/>
      </c>
    </row>
    <row r="1161">
      <c r="Y1161" s="47">
        <f>IFERROR(MATCH(Library!M1161,$M$6:$M$40000,0),"")</f>
        <v/>
      </c>
      <c r="Z1161">
        <f>IF($Y1161="","",INDEX($C$6:$C$40000,$Y1161)&amp;"")</f>
        <v/>
      </c>
      <c r="AA1161" s="59">
        <f>IF($Y1161="","",IF(INDEX($D$6:$D$40000,$Y1161)="","",INDEX($D$6:$D$40000,$Y1161)))</f>
        <v/>
      </c>
      <c r="AB1161">
        <f>IF($Y1161="","",INDEX($L$6:$L$40000,$Y1161)&amp;"")</f>
        <v/>
      </c>
    </row>
    <row r="1162">
      <c r="Y1162" s="47">
        <f>IFERROR(MATCH(Library!M1162,$M$6:$M$40000,0),"")</f>
        <v/>
      </c>
      <c r="Z1162">
        <f>IF($Y1162="","",INDEX($C$6:$C$40000,$Y1162)&amp;"")</f>
        <v/>
      </c>
      <c r="AA1162" s="59">
        <f>IF($Y1162="","",IF(INDEX($D$6:$D$40000,$Y1162)="","",INDEX($D$6:$D$40000,$Y1162)))</f>
        <v/>
      </c>
      <c r="AB1162">
        <f>IF($Y1162="","",INDEX($L$6:$L$40000,$Y1162)&amp;"")</f>
        <v/>
      </c>
    </row>
    <row r="1163">
      <c r="Y1163" s="47">
        <f>IFERROR(MATCH(Library!M1163,$M$6:$M$40000,0),"")</f>
        <v/>
      </c>
      <c r="Z1163">
        <f>IF($Y1163="","",INDEX($C$6:$C$40000,$Y1163)&amp;"")</f>
        <v/>
      </c>
      <c r="AA1163" s="59">
        <f>IF($Y1163="","",IF(INDEX($D$6:$D$40000,$Y1163)="","",INDEX($D$6:$D$40000,$Y1163)))</f>
        <v/>
      </c>
      <c r="AB1163">
        <f>IF($Y1163="","",INDEX($L$6:$L$40000,$Y1163)&amp;"")</f>
        <v/>
      </c>
    </row>
    <row r="1164">
      <c r="Y1164" s="47">
        <f>IFERROR(MATCH(Library!M1164,$M$6:$M$40000,0),"")</f>
        <v/>
      </c>
      <c r="Z1164">
        <f>IF($Y1164="","",INDEX($C$6:$C$40000,$Y1164)&amp;"")</f>
        <v/>
      </c>
      <c r="AA1164" s="59">
        <f>IF($Y1164="","",IF(INDEX($D$6:$D$40000,$Y1164)="","",INDEX($D$6:$D$40000,$Y1164)))</f>
        <v/>
      </c>
      <c r="AB1164">
        <f>IF($Y1164="","",INDEX($L$6:$L$40000,$Y1164)&amp;"")</f>
        <v/>
      </c>
    </row>
    <row r="1165">
      <c r="Y1165" s="47">
        <f>IFERROR(MATCH(Library!M1165,$M$6:$M$40000,0),"")</f>
        <v/>
      </c>
      <c r="Z1165">
        <f>IF($Y1165="","",INDEX($C$6:$C$40000,$Y1165)&amp;"")</f>
        <v/>
      </c>
      <c r="AA1165" s="59">
        <f>IF($Y1165="","",IF(INDEX($D$6:$D$40000,$Y1165)="","",INDEX($D$6:$D$40000,$Y1165)))</f>
        <v/>
      </c>
      <c r="AB1165">
        <f>IF($Y1165="","",INDEX($L$6:$L$40000,$Y1165)&amp;"")</f>
        <v/>
      </c>
    </row>
    <row r="1166">
      <c r="Y1166" s="47">
        <f>IFERROR(MATCH(Library!M1166,$M$6:$M$40000,0),"")</f>
        <v/>
      </c>
      <c r="Z1166">
        <f>IF($Y1166="","",INDEX($C$6:$C$40000,$Y1166)&amp;"")</f>
        <v/>
      </c>
      <c r="AA1166" s="59">
        <f>IF($Y1166="","",IF(INDEX($D$6:$D$40000,$Y1166)="","",INDEX($D$6:$D$40000,$Y1166)))</f>
        <v/>
      </c>
      <c r="AB1166">
        <f>IF($Y1166="","",INDEX($L$6:$L$40000,$Y1166)&amp;"")</f>
        <v/>
      </c>
    </row>
    <row r="1167">
      <c r="Y1167" s="47">
        <f>IFERROR(MATCH(Library!M1167,$M$6:$M$40000,0),"")</f>
        <v/>
      </c>
      <c r="Z1167">
        <f>IF($Y1167="","",INDEX($C$6:$C$40000,$Y1167)&amp;"")</f>
        <v/>
      </c>
      <c r="AA1167" s="59">
        <f>IF($Y1167="","",IF(INDEX($D$6:$D$40000,$Y1167)="","",INDEX($D$6:$D$40000,$Y1167)))</f>
        <v/>
      </c>
      <c r="AB1167">
        <f>IF($Y1167="","",INDEX($L$6:$L$40000,$Y1167)&amp;"")</f>
        <v/>
      </c>
    </row>
    <row r="1168">
      <c r="Y1168" s="47">
        <f>IFERROR(MATCH(Library!M1168,$M$6:$M$40000,0),"")</f>
        <v/>
      </c>
      <c r="Z1168">
        <f>IF($Y1168="","",INDEX($C$6:$C$40000,$Y1168)&amp;"")</f>
        <v/>
      </c>
      <c r="AA1168" s="59">
        <f>IF($Y1168="","",IF(INDEX($D$6:$D$40000,$Y1168)="","",INDEX($D$6:$D$40000,$Y1168)))</f>
        <v/>
      </c>
      <c r="AB1168">
        <f>IF($Y1168="","",INDEX($L$6:$L$40000,$Y1168)&amp;"")</f>
        <v/>
      </c>
    </row>
    <row r="1169">
      <c r="Y1169" s="47">
        <f>IFERROR(MATCH(Library!M1169,$M$6:$M$40000,0),"")</f>
        <v/>
      </c>
      <c r="Z1169">
        <f>IF($Y1169="","",INDEX($C$6:$C$40000,$Y1169)&amp;"")</f>
        <v/>
      </c>
      <c r="AA1169" s="59">
        <f>IF($Y1169="","",IF(INDEX($D$6:$D$40000,$Y1169)="","",INDEX($D$6:$D$40000,$Y1169)))</f>
        <v/>
      </c>
      <c r="AB1169">
        <f>IF($Y1169="","",INDEX($L$6:$L$40000,$Y1169)&amp;"")</f>
        <v/>
      </c>
    </row>
    <row r="1170">
      <c r="Y1170" s="47">
        <f>IFERROR(MATCH(Library!M1170,$M$6:$M$40000,0),"")</f>
        <v/>
      </c>
      <c r="Z1170">
        <f>IF($Y1170="","",INDEX($C$6:$C$40000,$Y1170)&amp;"")</f>
        <v/>
      </c>
      <c r="AA1170" s="59">
        <f>IF($Y1170="","",IF(INDEX($D$6:$D$40000,$Y1170)="","",INDEX($D$6:$D$40000,$Y1170)))</f>
        <v/>
      </c>
      <c r="AB1170">
        <f>IF($Y1170="","",INDEX($L$6:$L$40000,$Y1170)&amp;"")</f>
        <v/>
      </c>
    </row>
    <row r="1171">
      <c r="Y1171" s="47">
        <f>IFERROR(MATCH(Library!M1171,$M$6:$M$40000,0),"")</f>
        <v/>
      </c>
      <c r="Z1171">
        <f>IF($Y1171="","",INDEX($C$6:$C$40000,$Y1171)&amp;"")</f>
        <v/>
      </c>
      <c r="AA1171" s="59">
        <f>IF($Y1171="","",IF(INDEX($D$6:$D$40000,$Y1171)="","",INDEX($D$6:$D$40000,$Y1171)))</f>
        <v/>
      </c>
      <c r="AB1171">
        <f>IF($Y1171="","",INDEX($L$6:$L$40000,$Y1171)&amp;"")</f>
        <v/>
      </c>
    </row>
    <row r="1172">
      <c r="Y1172" s="47">
        <f>IFERROR(MATCH(Library!M1172,$M$6:$M$40000,0),"")</f>
        <v/>
      </c>
      <c r="Z1172">
        <f>IF($Y1172="","",INDEX($C$6:$C$40000,$Y1172)&amp;"")</f>
        <v/>
      </c>
      <c r="AA1172" s="59">
        <f>IF($Y1172="","",IF(INDEX($D$6:$D$40000,$Y1172)="","",INDEX($D$6:$D$40000,$Y1172)))</f>
        <v/>
      </c>
      <c r="AB1172">
        <f>IF($Y1172="","",INDEX($L$6:$L$40000,$Y1172)&amp;"")</f>
        <v/>
      </c>
    </row>
    <row r="1173">
      <c r="Y1173" s="47">
        <f>IFERROR(MATCH(Library!M1173,$M$6:$M$40000,0),"")</f>
        <v/>
      </c>
      <c r="Z1173">
        <f>IF($Y1173="","",INDEX($C$6:$C$40000,$Y1173)&amp;"")</f>
        <v/>
      </c>
      <c r="AA1173" s="59">
        <f>IF($Y1173="","",IF(INDEX($D$6:$D$40000,$Y1173)="","",INDEX($D$6:$D$40000,$Y1173)))</f>
        <v/>
      </c>
      <c r="AB1173">
        <f>IF($Y1173="","",INDEX($L$6:$L$40000,$Y1173)&amp;"")</f>
        <v/>
      </c>
    </row>
    <row r="1174">
      <c r="Y1174" s="47">
        <f>IFERROR(MATCH(Library!M1174,$M$6:$M$40000,0),"")</f>
        <v/>
      </c>
      <c r="Z1174">
        <f>IF($Y1174="","",INDEX($C$6:$C$40000,$Y1174)&amp;"")</f>
        <v/>
      </c>
      <c r="AA1174" s="59">
        <f>IF($Y1174="","",IF(INDEX($D$6:$D$40000,$Y1174)="","",INDEX($D$6:$D$40000,$Y1174)))</f>
        <v/>
      </c>
      <c r="AB1174">
        <f>IF($Y1174="","",INDEX($L$6:$L$40000,$Y1174)&amp;"")</f>
        <v/>
      </c>
    </row>
    <row r="1175">
      <c r="Y1175" s="47">
        <f>IFERROR(MATCH(Library!M1175,$M$6:$M$40000,0),"")</f>
        <v/>
      </c>
      <c r="Z1175">
        <f>IF($Y1175="","",INDEX($C$6:$C$40000,$Y1175)&amp;"")</f>
        <v/>
      </c>
      <c r="AA1175" s="59">
        <f>IF($Y1175="","",IF(INDEX($D$6:$D$40000,$Y1175)="","",INDEX($D$6:$D$40000,$Y1175)))</f>
        <v/>
      </c>
      <c r="AB1175">
        <f>IF($Y1175="","",INDEX($L$6:$L$40000,$Y1175)&amp;"")</f>
        <v/>
      </c>
    </row>
    <row r="1176">
      <c r="Y1176" s="47">
        <f>IFERROR(MATCH(Library!M1176,$M$6:$M$40000,0),"")</f>
        <v/>
      </c>
      <c r="Z1176">
        <f>IF($Y1176="","",INDEX($C$6:$C$40000,$Y1176)&amp;"")</f>
        <v/>
      </c>
      <c r="AA1176" s="59">
        <f>IF($Y1176="","",IF(INDEX($D$6:$D$40000,$Y1176)="","",INDEX($D$6:$D$40000,$Y1176)))</f>
        <v/>
      </c>
      <c r="AB1176">
        <f>IF($Y1176="","",INDEX($L$6:$L$40000,$Y1176)&amp;"")</f>
        <v/>
      </c>
    </row>
    <row r="1177">
      <c r="Y1177" s="47">
        <f>IFERROR(MATCH(Library!M1177,$M$6:$M$40000,0),"")</f>
        <v/>
      </c>
      <c r="Z1177">
        <f>IF($Y1177="","",INDEX($C$6:$C$40000,$Y1177)&amp;"")</f>
        <v/>
      </c>
      <c r="AA1177" s="59">
        <f>IF($Y1177="","",IF(INDEX($D$6:$D$40000,$Y1177)="","",INDEX($D$6:$D$40000,$Y1177)))</f>
        <v/>
      </c>
      <c r="AB1177">
        <f>IF($Y1177="","",INDEX($L$6:$L$40000,$Y1177)&amp;"")</f>
        <v/>
      </c>
    </row>
    <row r="1178">
      <c r="Y1178" s="47">
        <f>IFERROR(MATCH(Library!M1178,$M$6:$M$40000,0),"")</f>
        <v/>
      </c>
      <c r="Z1178">
        <f>IF($Y1178="","",INDEX($C$6:$C$40000,$Y1178)&amp;"")</f>
        <v/>
      </c>
      <c r="AA1178" s="59">
        <f>IF($Y1178="","",IF(INDEX($D$6:$D$40000,$Y1178)="","",INDEX($D$6:$D$40000,$Y1178)))</f>
        <v/>
      </c>
      <c r="AB1178">
        <f>IF($Y1178="","",INDEX($L$6:$L$40000,$Y1178)&amp;"")</f>
        <v/>
      </c>
    </row>
    <row r="1179">
      <c r="Y1179" s="47">
        <f>IFERROR(MATCH(Library!M1179,$M$6:$M$40000,0),"")</f>
        <v/>
      </c>
      <c r="Z1179">
        <f>IF($Y1179="","",INDEX($C$6:$C$40000,$Y1179)&amp;"")</f>
        <v/>
      </c>
      <c r="AA1179" s="59">
        <f>IF($Y1179="","",IF(INDEX($D$6:$D$40000,$Y1179)="","",INDEX($D$6:$D$40000,$Y1179)))</f>
        <v/>
      </c>
      <c r="AB1179">
        <f>IF($Y1179="","",INDEX($L$6:$L$40000,$Y1179)&amp;"")</f>
        <v/>
      </c>
    </row>
    <row r="1180">
      <c r="Y1180" s="47">
        <f>IFERROR(MATCH(Library!M1180,$M$6:$M$40000,0),"")</f>
        <v/>
      </c>
      <c r="Z1180">
        <f>IF($Y1180="","",INDEX($C$6:$C$40000,$Y1180)&amp;"")</f>
        <v/>
      </c>
      <c r="AA1180" s="59">
        <f>IF($Y1180="","",IF(INDEX($D$6:$D$40000,$Y1180)="","",INDEX($D$6:$D$40000,$Y1180)))</f>
        <v/>
      </c>
      <c r="AB1180">
        <f>IF($Y1180="","",INDEX($L$6:$L$40000,$Y1180)&amp;"")</f>
        <v/>
      </c>
    </row>
    <row r="1181">
      <c r="Y1181" s="47">
        <f>IFERROR(MATCH(Library!M1181,$M$6:$M$40000,0),"")</f>
        <v/>
      </c>
      <c r="Z1181">
        <f>IF($Y1181="","",INDEX($C$6:$C$40000,$Y1181)&amp;"")</f>
        <v/>
      </c>
      <c r="AA1181" s="59">
        <f>IF($Y1181="","",IF(INDEX($D$6:$D$40000,$Y1181)="","",INDEX($D$6:$D$40000,$Y1181)))</f>
        <v/>
      </c>
      <c r="AB1181">
        <f>IF($Y1181="","",INDEX($L$6:$L$40000,$Y1181)&amp;"")</f>
        <v/>
      </c>
    </row>
    <row r="1182">
      <c r="Y1182" s="47">
        <f>IFERROR(MATCH(Library!M1182,$M$6:$M$40000,0),"")</f>
        <v/>
      </c>
      <c r="Z1182">
        <f>IF($Y1182="","",INDEX($C$6:$C$40000,$Y1182)&amp;"")</f>
        <v/>
      </c>
      <c r="AA1182" s="59">
        <f>IF($Y1182="","",IF(INDEX($D$6:$D$40000,$Y1182)="","",INDEX($D$6:$D$40000,$Y1182)))</f>
        <v/>
      </c>
      <c r="AB1182">
        <f>IF($Y1182="","",INDEX($L$6:$L$40000,$Y1182)&amp;"")</f>
        <v/>
      </c>
    </row>
    <row r="1183">
      <c r="Y1183" s="47">
        <f>IFERROR(MATCH(Library!M1183,$M$6:$M$40000,0),"")</f>
        <v/>
      </c>
      <c r="Z1183">
        <f>IF($Y1183="","",INDEX($C$6:$C$40000,$Y1183)&amp;"")</f>
        <v/>
      </c>
      <c r="AA1183" s="59">
        <f>IF($Y1183="","",IF(INDEX($D$6:$D$40000,$Y1183)="","",INDEX($D$6:$D$40000,$Y1183)))</f>
        <v/>
      </c>
      <c r="AB1183">
        <f>IF($Y1183="","",INDEX($L$6:$L$40000,$Y1183)&amp;"")</f>
        <v/>
      </c>
    </row>
    <row r="1184">
      <c r="Y1184" s="47">
        <f>IFERROR(MATCH(Library!M1184,$M$6:$M$40000,0),"")</f>
        <v/>
      </c>
      <c r="Z1184">
        <f>IF($Y1184="","",INDEX($C$6:$C$40000,$Y1184)&amp;"")</f>
        <v/>
      </c>
      <c r="AA1184" s="59">
        <f>IF($Y1184="","",IF(INDEX($D$6:$D$40000,$Y1184)="","",INDEX($D$6:$D$40000,$Y1184)))</f>
        <v/>
      </c>
      <c r="AB1184">
        <f>IF($Y1184="","",INDEX($L$6:$L$40000,$Y1184)&amp;"")</f>
        <v/>
      </c>
    </row>
    <row r="1185">
      <c r="Y1185" s="47">
        <f>IFERROR(MATCH(Library!M1185,$M$6:$M$40000,0),"")</f>
        <v/>
      </c>
      <c r="Z1185">
        <f>IF($Y1185="","",INDEX($C$6:$C$40000,$Y1185)&amp;"")</f>
        <v/>
      </c>
      <c r="AA1185" s="59">
        <f>IF($Y1185="","",IF(INDEX($D$6:$D$40000,$Y1185)="","",INDEX($D$6:$D$40000,$Y1185)))</f>
        <v/>
      </c>
      <c r="AB1185">
        <f>IF($Y1185="","",INDEX($L$6:$L$40000,$Y1185)&amp;"")</f>
        <v/>
      </c>
    </row>
    <row r="1186">
      <c r="Y1186" s="47">
        <f>IFERROR(MATCH(Library!M1186,$M$6:$M$40000,0),"")</f>
        <v/>
      </c>
      <c r="Z1186">
        <f>IF($Y1186="","",INDEX($C$6:$C$40000,$Y1186)&amp;"")</f>
        <v/>
      </c>
      <c r="AA1186" s="59">
        <f>IF($Y1186="","",IF(INDEX($D$6:$D$40000,$Y1186)="","",INDEX($D$6:$D$40000,$Y1186)))</f>
        <v/>
      </c>
      <c r="AB1186">
        <f>IF($Y1186="","",INDEX($L$6:$L$40000,$Y1186)&amp;"")</f>
        <v/>
      </c>
    </row>
    <row r="1187">
      <c r="Y1187" s="47">
        <f>IFERROR(MATCH(Library!M1187,$M$6:$M$40000,0),"")</f>
        <v/>
      </c>
      <c r="Z1187">
        <f>IF($Y1187="","",INDEX($C$6:$C$40000,$Y1187)&amp;"")</f>
        <v/>
      </c>
      <c r="AA1187" s="59">
        <f>IF($Y1187="","",IF(INDEX($D$6:$D$40000,$Y1187)="","",INDEX($D$6:$D$40000,$Y1187)))</f>
        <v/>
      </c>
      <c r="AB1187">
        <f>IF($Y1187="","",INDEX($L$6:$L$40000,$Y1187)&amp;"")</f>
        <v/>
      </c>
    </row>
    <row r="1188">
      <c r="Y1188" s="47">
        <f>IFERROR(MATCH(Library!M1188,$M$6:$M$40000,0),"")</f>
        <v/>
      </c>
      <c r="Z1188">
        <f>IF($Y1188="","",INDEX($C$6:$C$40000,$Y1188)&amp;"")</f>
        <v/>
      </c>
      <c r="AA1188" s="59">
        <f>IF($Y1188="","",IF(INDEX($D$6:$D$40000,$Y1188)="","",INDEX($D$6:$D$40000,$Y1188)))</f>
        <v/>
      </c>
      <c r="AB1188">
        <f>IF($Y1188="","",INDEX($L$6:$L$40000,$Y1188)&amp;"")</f>
        <v/>
      </c>
    </row>
    <row r="1189">
      <c r="Y1189" s="47">
        <f>IFERROR(MATCH(Library!M1189,$M$6:$M$40000,0),"")</f>
        <v/>
      </c>
      <c r="Z1189">
        <f>IF($Y1189="","",INDEX($C$6:$C$40000,$Y1189)&amp;"")</f>
        <v/>
      </c>
      <c r="AA1189" s="59">
        <f>IF($Y1189="","",IF(INDEX($D$6:$D$40000,$Y1189)="","",INDEX($D$6:$D$40000,$Y1189)))</f>
        <v/>
      </c>
      <c r="AB1189">
        <f>IF($Y1189="","",INDEX($L$6:$L$40000,$Y1189)&amp;"")</f>
        <v/>
      </c>
    </row>
    <row r="1190">
      <c r="Y1190" s="47">
        <f>IFERROR(MATCH(Library!M1190,$M$6:$M$40000,0),"")</f>
        <v/>
      </c>
      <c r="Z1190">
        <f>IF($Y1190="","",INDEX($C$6:$C$40000,$Y1190)&amp;"")</f>
        <v/>
      </c>
      <c r="AA1190" s="59">
        <f>IF($Y1190="","",IF(INDEX($D$6:$D$40000,$Y1190)="","",INDEX($D$6:$D$40000,$Y1190)))</f>
        <v/>
      </c>
      <c r="AB1190">
        <f>IF($Y1190="","",INDEX($L$6:$L$40000,$Y1190)&amp;"")</f>
        <v/>
      </c>
    </row>
    <row r="1191">
      <c r="Y1191" s="47">
        <f>IFERROR(MATCH(Library!M1191,$M$6:$M$40000,0),"")</f>
        <v/>
      </c>
      <c r="Z1191">
        <f>IF($Y1191="","",INDEX($C$6:$C$40000,$Y1191)&amp;"")</f>
        <v/>
      </c>
      <c r="AA1191" s="59">
        <f>IF($Y1191="","",IF(INDEX($D$6:$D$40000,$Y1191)="","",INDEX($D$6:$D$40000,$Y1191)))</f>
        <v/>
      </c>
      <c r="AB1191">
        <f>IF($Y1191="","",INDEX($L$6:$L$40000,$Y1191)&amp;"")</f>
        <v/>
      </c>
    </row>
    <row r="1192">
      <c r="Y1192" s="47">
        <f>IFERROR(MATCH(Library!M1192,$M$6:$M$40000,0),"")</f>
        <v/>
      </c>
      <c r="Z1192">
        <f>IF($Y1192="","",INDEX($C$6:$C$40000,$Y1192)&amp;"")</f>
        <v/>
      </c>
      <c r="AA1192" s="59">
        <f>IF($Y1192="","",IF(INDEX($D$6:$D$40000,$Y1192)="","",INDEX($D$6:$D$40000,$Y1192)))</f>
        <v/>
      </c>
      <c r="AB1192">
        <f>IF($Y1192="","",INDEX($L$6:$L$40000,$Y1192)&amp;"")</f>
        <v/>
      </c>
    </row>
    <row r="1193">
      <c r="Y1193" s="47">
        <f>IFERROR(MATCH(Library!M1193,$M$6:$M$40000,0),"")</f>
        <v/>
      </c>
      <c r="Z1193">
        <f>IF($Y1193="","",INDEX($C$6:$C$40000,$Y1193)&amp;"")</f>
        <v/>
      </c>
      <c r="AA1193" s="59">
        <f>IF($Y1193="","",IF(INDEX($D$6:$D$40000,$Y1193)="","",INDEX($D$6:$D$40000,$Y1193)))</f>
        <v/>
      </c>
      <c r="AB1193">
        <f>IF($Y1193="","",INDEX($L$6:$L$40000,$Y1193)&amp;"")</f>
        <v/>
      </c>
    </row>
    <row r="1194">
      <c r="Y1194" s="47">
        <f>IFERROR(MATCH(Library!M1194,$M$6:$M$40000,0),"")</f>
        <v/>
      </c>
      <c r="Z1194">
        <f>IF($Y1194="","",INDEX($C$6:$C$40000,$Y1194)&amp;"")</f>
        <v/>
      </c>
      <c r="AA1194" s="59">
        <f>IF($Y1194="","",IF(INDEX($D$6:$D$40000,$Y1194)="","",INDEX($D$6:$D$40000,$Y1194)))</f>
        <v/>
      </c>
      <c r="AB1194">
        <f>IF($Y1194="","",INDEX($L$6:$L$40000,$Y1194)&amp;"")</f>
        <v/>
      </c>
    </row>
    <row r="1195">
      <c r="Y1195" s="47">
        <f>IFERROR(MATCH(Library!M1195,$M$6:$M$40000,0),"")</f>
        <v/>
      </c>
      <c r="Z1195">
        <f>IF($Y1195="","",INDEX($C$6:$C$40000,$Y1195)&amp;"")</f>
        <v/>
      </c>
      <c r="AA1195" s="59">
        <f>IF($Y1195="","",IF(INDEX($D$6:$D$40000,$Y1195)="","",INDEX($D$6:$D$40000,$Y1195)))</f>
        <v/>
      </c>
      <c r="AB1195">
        <f>IF($Y1195="","",INDEX($L$6:$L$40000,$Y1195)&amp;"")</f>
        <v/>
      </c>
    </row>
    <row r="1196">
      <c r="Y1196" s="47">
        <f>IFERROR(MATCH(Library!M1196,$M$6:$M$40000,0),"")</f>
        <v/>
      </c>
      <c r="Z1196">
        <f>IF($Y1196="","",INDEX($C$6:$C$40000,$Y1196)&amp;"")</f>
        <v/>
      </c>
      <c r="AA1196" s="59">
        <f>IF($Y1196="","",IF(INDEX($D$6:$D$40000,$Y1196)="","",INDEX($D$6:$D$40000,$Y1196)))</f>
        <v/>
      </c>
      <c r="AB1196">
        <f>IF($Y1196="","",INDEX($L$6:$L$40000,$Y1196)&amp;"")</f>
        <v/>
      </c>
    </row>
    <row r="1197">
      <c r="Y1197" s="47">
        <f>IFERROR(MATCH(Library!M1197,$M$6:$M$40000,0),"")</f>
        <v/>
      </c>
      <c r="Z1197">
        <f>IF($Y1197="","",INDEX($C$6:$C$40000,$Y1197)&amp;"")</f>
        <v/>
      </c>
      <c r="AA1197" s="59">
        <f>IF($Y1197="","",IF(INDEX($D$6:$D$40000,$Y1197)="","",INDEX($D$6:$D$40000,$Y1197)))</f>
        <v/>
      </c>
      <c r="AB1197">
        <f>IF($Y1197="","",INDEX($L$6:$L$40000,$Y1197)&amp;"")</f>
        <v/>
      </c>
    </row>
    <row r="1198">
      <c r="Y1198" s="47">
        <f>IFERROR(MATCH(Library!M1198,$M$6:$M$40000,0),"")</f>
        <v/>
      </c>
      <c r="Z1198">
        <f>IF($Y1198="","",INDEX($C$6:$C$40000,$Y1198)&amp;"")</f>
        <v/>
      </c>
      <c r="AA1198" s="59">
        <f>IF($Y1198="","",IF(INDEX($D$6:$D$40000,$Y1198)="","",INDEX($D$6:$D$40000,$Y1198)))</f>
        <v/>
      </c>
      <c r="AB1198">
        <f>IF($Y1198="","",INDEX($L$6:$L$40000,$Y1198)&amp;"")</f>
        <v/>
      </c>
    </row>
    <row r="1199">
      <c r="Y1199" s="47">
        <f>IFERROR(MATCH(Library!M1199,$M$6:$M$40000,0),"")</f>
        <v/>
      </c>
      <c r="Z1199">
        <f>IF($Y1199="","",INDEX($C$6:$C$40000,$Y1199)&amp;"")</f>
        <v/>
      </c>
      <c r="AA1199" s="59">
        <f>IF($Y1199="","",IF(INDEX($D$6:$D$40000,$Y1199)="","",INDEX($D$6:$D$40000,$Y1199)))</f>
        <v/>
      </c>
      <c r="AB1199">
        <f>IF($Y1199="","",INDEX($L$6:$L$40000,$Y1199)&amp;"")</f>
        <v/>
      </c>
    </row>
    <row r="1200">
      <c r="Y1200" s="47">
        <f>IFERROR(MATCH(Library!M1200,$M$6:$M$40000,0),"")</f>
        <v/>
      </c>
      <c r="Z1200">
        <f>IF($Y1200="","",INDEX($C$6:$C$40000,$Y1200)&amp;"")</f>
        <v/>
      </c>
      <c r="AA1200" s="59">
        <f>IF($Y1200="","",IF(INDEX($D$6:$D$40000,$Y1200)="","",INDEX($D$6:$D$40000,$Y1200)))</f>
        <v/>
      </c>
      <c r="AB1200">
        <f>IF($Y1200="","",INDEX($L$6:$L$40000,$Y1200)&amp;"")</f>
        <v/>
      </c>
    </row>
    <row r="1201">
      <c r="Y1201" s="47">
        <f>IFERROR(MATCH(Library!M1201,$M$6:$M$40000,0),"")</f>
        <v/>
      </c>
      <c r="Z1201">
        <f>IF($Y1201="","",INDEX($C$6:$C$40000,$Y1201)&amp;"")</f>
        <v/>
      </c>
      <c r="AA1201" s="59">
        <f>IF($Y1201="","",IF(INDEX($D$6:$D$40000,$Y1201)="","",INDEX($D$6:$D$40000,$Y1201)))</f>
        <v/>
      </c>
      <c r="AB1201">
        <f>IF($Y1201="","",INDEX($L$6:$L$40000,$Y1201)&amp;"")</f>
        <v/>
      </c>
    </row>
    <row r="1202">
      <c r="Y1202" s="47">
        <f>IFERROR(MATCH(Library!M1202,$M$6:$M$40000,0),"")</f>
        <v/>
      </c>
      <c r="Z1202">
        <f>IF($Y1202="","",INDEX($C$6:$C$40000,$Y1202)&amp;"")</f>
        <v/>
      </c>
      <c r="AA1202" s="59">
        <f>IF($Y1202="","",IF(INDEX($D$6:$D$40000,$Y1202)="","",INDEX($D$6:$D$40000,$Y1202)))</f>
        <v/>
      </c>
      <c r="AB1202">
        <f>IF($Y1202="","",INDEX($L$6:$L$40000,$Y1202)&amp;"")</f>
        <v/>
      </c>
    </row>
    <row r="1203">
      <c r="Y1203" s="47">
        <f>IFERROR(MATCH(Library!M1203,$M$6:$M$40000,0),"")</f>
        <v/>
      </c>
      <c r="Z1203">
        <f>IF($Y1203="","",INDEX($C$6:$C$40000,$Y1203)&amp;"")</f>
        <v/>
      </c>
      <c r="AA1203" s="59">
        <f>IF($Y1203="","",IF(INDEX($D$6:$D$40000,$Y1203)="","",INDEX($D$6:$D$40000,$Y1203)))</f>
        <v/>
      </c>
      <c r="AB1203">
        <f>IF($Y1203="","",INDEX($L$6:$L$40000,$Y1203)&amp;"")</f>
        <v/>
      </c>
    </row>
    <row r="1204">
      <c r="Y1204" s="47">
        <f>IFERROR(MATCH(Library!M1204,$M$6:$M$40000,0),"")</f>
        <v/>
      </c>
      <c r="Z1204">
        <f>IF($Y1204="","",INDEX($C$6:$C$40000,$Y1204)&amp;"")</f>
        <v/>
      </c>
      <c r="AA1204" s="59">
        <f>IF($Y1204="","",IF(INDEX($D$6:$D$40000,$Y1204)="","",INDEX($D$6:$D$40000,$Y1204)))</f>
        <v/>
      </c>
      <c r="AB1204">
        <f>IF($Y1204="","",INDEX($L$6:$L$40000,$Y1204)&amp;"")</f>
        <v/>
      </c>
    </row>
    <row r="1205">
      <c r="Y1205" s="47">
        <f>IFERROR(MATCH(Library!M1205,$M$6:$M$40000,0),"")</f>
        <v/>
      </c>
      <c r="Z1205">
        <f>IF($Y1205="","",INDEX($C$6:$C$40000,$Y1205)&amp;"")</f>
        <v/>
      </c>
      <c r="AA1205" s="59">
        <f>IF($Y1205="","",IF(INDEX($D$6:$D$40000,$Y1205)="","",INDEX($D$6:$D$40000,$Y1205)))</f>
        <v/>
      </c>
      <c r="AB1205">
        <f>IF($Y1205="","",INDEX($L$6:$L$40000,$Y1205)&amp;"")</f>
        <v/>
      </c>
    </row>
    <row r="1206">
      <c r="Y1206" s="47">
        <f>IFERROR(MATCH(Library!M1206,$M$6:$M$40000,0),"")</f>
        <v/>
      </c>
      <c r="Z1206">
        <f>IF($Y1206="","",INDEX($C$6:$C$40000,$Y1206)&amp;"")</f>
        <v/>
      </c>
      <c r="AA1206" s="59">
        <f>IF($Y1206="","",IF(INDEX($D$6:$D$40000,$Y1206)="","",INDEX($D$6:$D$40000,$Y1206)))</f>
        <v/>
      </c>
      <c r="AB1206">
        <f>IF($Y1206="","",INDEX($L$6:$L$40000,$Y1206)&amp;"")</f>
        <v/>
      </c>
    </row>
    <row r="1207">
      <c r="Y1207" s="47">
        <f>IFERROR(MATCH(Library!M1207,$M$6:$M$40000,0),"")</f>
        <v/>
      </c>
      <c r="Z1207">
        <f>IF($Y1207="","",INDEX($C$6:$C$40000,$Y1207)&amp;"")</f>
        <v/>
      </c>
      <c r="AA1207" s="59">
        <f>IF($Y1207="","",IF(INDEX($D$6:$D$40000,$Y1207)="","",INDEX($D$6:$D$40000,$Y1207)))</f>
        <v/>
      </c>
      <c r="AB1207">
        <f>IF($Y1207="","",INDEX($L$6:$L$40000,$Y1207)&amp;"")</f>
        <v/>
      </c>
    </row>
    <row r="1208">
      <c r="Y1208" s="47">
        <f>IFERROR(MATCH(Library!M1208,$M$6:$M$40000,0),"")</f>
        <v/>
      </c>
      <c r="Z1208">
        <f>IF($Y1208="","",INDEX($C$6:$C$40000,$Y1208)&amp;"")</f>
        <v/>
      </c>
      <c r="AA1208" s="59">
        <f>IF($Y1208="","",IF(INDEX($D$6:$D$40000,$Y1208)="","",INDEX($D$6:$D$40000,$Y1208)))</f>
        <v/>
      </c>
      <c r="AB1208">
        <f>IF($Y1208="","",INDEX($L$6:$L$40000,$Y1208)&amp;"")</f>
        <v/>
      </c>
    </row>
    <row r="1209">
      <c r="Y1209" s="47">
        <f>IFERROR(MATCH(Library!M1209,$M$6:$M$40000,0),"")</f>
        <v/>
      </c>
      <c r="Z1209">
        <f>IF($Y1209="","",INDEX($C$6:$C$40000,$Y1209)&amp;"")</f>
        <v/>
      </c>
      <c r="AA1209" s="59">
        <f>IF($Y1209="","",IF(INDEX($D$6:$D$40000,$Y1209)="","",INDEX($D$6:$D$40000,$Y1209)))</f>
        <v/>
      </c>
      <c r="AB1209">
        <f>IF($Y1209="","",INDEX($L$6:$L$40000,$Y1209)&amp;"")</f>
        <v/>
      </c>
    </row>
    <row r="1210">
      <c r="Y1210" s="47">
        <f>IFERROR(MATCH(Library!M1210,$M$6:$M$40000,0),"")</f>
        <v/>
      </c>
      <c r="Z1210">
        <f>IF($Y1210="","",INDEX($C$6:$C$40000,$Y1210)&amp;"")</f>
        <v/>
      </c>
      <c r="AA1210" s="59">
        <f>IF($Y1210="","",IF(INDEX($D$6:$D$40000,$Y1210)="","",INDEX($D$6:$D$40000,$Y1210)))</f>
        <v/>
      </c>
      <c r="AB1210">
        <f>IF($Y1210="","",INDEX($L$6:$L$40000,$Y1210)&amp;"")</f>
        <v/>
      </c>
    </row>
    <row r="1211">
      <c r="Y1211" s="47">
        <f>IFERROR(MATCH(Library!M1211,$M$6:$M$40000,0),"")</f>
        <v/>
      </c>
      <c r="Z1211">
        <f>IF($Y1211="","",INDEX($C$6:$C$40000,$Y1211)&amp;"")</f>
        <v/>
      </c>
      <c r="AA1211" s="59">
        <f>IF($Y1211="","",IF(INDEX($D$6:$D$40000,$Y1211)="","",INDEX($D$6:$D$40000,$Y1211)))</f>
        <v/>
      </c>
      <c r="AB1211">
        <f>IF($Y1211="","",INDEX($L$6:$L$40000,$Y1211)&amp;"")</f>
        <v/>
      </c>
    </row>
    <row r="1212">
      <c r="Y1212" s="47">
        <f>IFERROR(MATCH(Library!M1212,$M$6:$M$40000,0),"")</f>
        <v/>
      </c>
      <c r="Z1212">
        <f>IF($Y1212="","",INDEX($C$6:$C$40000,$Y1212)&amp;"")</f>
        <v/>
      </c>
      <c r="AA1212" s="59">
        <f>IF($Y1212="","",IF(INDEX($D$6:$D$40000,$Y1212)="","",INDEX($D$6:$D$40000,$Y1212)))</f>
        <v/>
      </c>
      <c r="AB1212">
        <f>IF($Y1212="","",INDEX($L$6:$L$40000,$Y1212)&amp;"")</f>
        <v/>
      </c>
    </row>
    <row r="1213">
      <c r="Y1213" s="47">
        <f>IFERROR(MATCH(Library!M1213,$M$6:$M$40000,0),"")</f>
        <v/>
      </c>
      <c r="Z1213">
        <f>IF($Y1213="","",INDEX($C$6:$C$40000,$Y1213)&amp;"")</f>
        <v/>
      </c>
      <c r="AA1213" s="59">
        <f>IF($Y1213="","",IF(INDEX($D$6:$D$40000,$Y1213)="","",INDEX($D$6:$D$40000,$Y1213)))</f>
        <v/>
      </c>
      <c r="AB1213">
        <f>IF($Y1213="","",INDEX($L$6:$L$40000,$Y1213)&amp;"")</f>
        <v/>
      </c>
    </row>
    <row r="1214">
      <c r="Y1214" s="47">
        <f>IFERROR(MATCH(Library!M1214,$M$6:$M$40000,0),"")</f>
        <v/>
      </c>
      <c r="Z1214">
        <f>IF($Y1214="","",INDEX($C$6:$C$40000,$Y1214)&amp;"")</f>
        <v/>
      </c>
      <c r="AA1214" s="59">
        <f>IF($Y1214="","",IF(INDEX($D$6:$D$40000,$Y1214)="","",INDEX($D$6:$D$40000,$Y1214)))</f>
        <v/>
      </c>
      <c r="AB1214">
        <f>IF($Y1214="","",INDEX($L$6:$L$40000,$Y1214)&amp;"")</f>
        <v/>
      </c>
    </row>
    <row r="1215">
      <c r="Y1215" s="47">
        <f>IFERROR(MATCH(Library!M1215,$M$6:$M$40000,0),"")</f>
        <v/>
      </c>
      <c r="Z1215">
        <f>IF($Y1215="","",INDEX($C$6:$C$40000,$Y1215)&amp;"")</f>
        <v/>
      </c>
      <c r="AA1215" s="59">
        <f>IF($Y1215="","",IF(INDEX($D$6:$D$40000,$Y1215)="","",INDEX($D$6:$D$40000,$Y1215)))</f>
        <v/>
      </c>
      <c r="AB1215">
        <f>IF($Y1215="","",INDEX($L$6:$L$40000,$Y1215)&amp;"")</f>
        <v/>
      </c>
    </row>
    <row r="1216">
      <c r="Y1216" s="47">
        <f>IFERROR(MATCH(Library!M1216,$M$6:$M$40000,0),"")</f>
        <v/>
      </c>
      <c r="Z1216">
        <f>IF($Y1216="","",INDEX($C$6:$C$40000,$Y1216)&amp;"")</f>
        <v/>
      </c>
      <c r="AA1216" s="59">
        <f>IF($Y1216="","",IF(INDEX($D$6:$D$40000,$Y1216)="","",INDEX($D$6:$D$40000,$Y1216)))</f>
        <v/>
      </c>
      <c r="AB1216">
        <f>IF($Y1216="","",INDEX($L$6:$L$40000,$Y1216)&amp;"")</f>
        <v/>
      </c>
    </row>
    <row r="1217">
      <c r="Y1217" s="47">
        <f>IFERROR(MATCH(Library!M1217,$M$6:$M$40000,0),"")</f>
        <v/>
      </c>
      <c r="Z1217">
        <f>IF($Y1217="","",INDEX($C$6:$C$40000,$Y1217)&amp;"")</f>
        <v/>
      </c>
      <c r="AA1217" s="59">
        <f>IF($Y1217="","",IF(INDEX($D$6:$D$40000,$Y1217)="","",INDEX($D$6:$D$40000,$Y1217)))</f>
        <v/>
      </c>
      <c r="AB1217">
        <f>IF($Y1217="","",INDEX($L$6:$L$40000,$Y1217)&amp;"")</f>
        <v/>
      </c>
    </row>
    <row r="1218">
      <c r="Y1218" s="47">
        <f>IFERROR(MATCH(Library!M1218,$M$6:$M$40000,0),"")</f>
        <v/>
      </c>
      <c r="Z1218">
        <f>IF($Y1218="","",INDEX($C$6:$C$40000,$Y1218)&amp;"")</f>
        <v/>
      </c>
      <c r="AA1218" s="59">
        <f>IF($Y1218="","",IF(INDEX($D$6:$D$40000,$Y1218)="","",INDEX($D$6:$D$40000,$Y1218)))</f>
        <v/>
      </c>
      <c r="AB1218">
        <f>IF($Y1218="","",INDEX($L$6:$L$40000,$Y1218)&amp;"")</f>
        <v/>
      </c>
    </row>
    <row r="1219">
      <c r="Y1219" s="47">
        <f>IFERROR(MATCH(Library!M1219,$M$6:$M$40000,0),"")</f>
        <v/>
      </c>
      <c r="Z1219">
        <f>IF($Y1219="","",INDEX($C$6:$C$40000,$Y1219)&amp;"")</f>
        <v/>
      </c>
      <c r="AA1219" s="59">
        <f>IF($Y1219="","",IF(INDEX($D$6:$D$40000,$Y1219)="","",INDEX($D$6:$D$40000,$Y1219)))</f>
        <v/>
      </c>
      <c r="AB1219">
        <f>IF($Y1219="","",INDEX($L$6:$L$40000,$Y1219)&amp;"")</f>
        <v/>
      </c>
    </row>
    <row r="1220">
      <c r="Y1220" s="47">
        <f>IFERROR(MATCH(Library!M1220,$M$6:$M$40000,0),"")</f>
        <v/>
      </c>
      <c r="Z1220">
        <f>IF($Y1220="","",INDEX($C$6:$C$40000,$Y1220)&amp;"")</f>
        <v/>
      </c>
      <c r="AA1220" s="59">
        <f>IF($Y1220="","",IF(INDEX($D$6:$D$40000,$Y1220)="","",INDEX($D$6:$D$40000,$Y1220)))</f>
        <v/>
      </c>
      <c r="AB1220">
        <f>IF($Y1220="","",INDEX($L$6:$L$40000,$Y1220)&amp;"")</f>
        <v/>
      </c>
    </row>
    <row r="1221">
      <c r="Y1221" s="47">
        <f>IFERROR(MATCH(Library!M1221,$M$6:$M$40000,0),"")</f>
        <v/>
      </c>
      <c r="Z1221">
        <f>IF($Y1221="","",INDEX($C$6:$C$40000,$Y1221)&amp;"")</f>
        <v/>
      </c>
      <c r="AA1221" s="59">
        <f>IF($Y1221="","",IF(INDEX($D$6:$D$40000,$Y1221)="","",INDEX($D$6:$D$40000,$Y1221)))</f>
        <v/>
      </c>
      <c r="AB1221">
        <f>IF($Y1221="","",INDEX($L$6:$L$40000,$Y1221)&amp;"")</f>
        <v/>
      </c>
    </row>
    <row r="1222">
      <c r="Y1222" s="47">
        <f>IFERROR(MATCH(Library!M1222,$M$6:$M$40000,0),"")</f>
        <v/>
      </c>
      <c r="Z1222">
        <f>IF($Y1222="","",INDEX($C$6:$C$40000,$Y1222)&amp;"")</f>
        <v/>
      </c>
      <c r="AA1222" s="59">
        <f>IF($Y1222="","",IF(INDEX($D$6:$D$40000,$Y1222)="","",INDEX($D$6:$D$40000,$Y1222)))</f>
        <v/>
      </c>
      <c r="AB1222">
        <f>IF($Y1222="","",INDEX($L$6:$L$40000,$Y1222)&amp;"")</f>
        <v/>
      </c>
    </row>
    <row r="1223">
      <c r="Y1223" s="47">
        <f>IFERROR(MATCH(Library!M1223,$M$6:$M$40000,0),"")</f>
        <v/>
      </c>
      <c r="Z1223">
        <f>IF($Y1223="","",INDEX($C$6:$C$40000,$Y1223)&amp;"")</f>
        <v/>
      </c>
      <c r="AA1223" s="59">
        <f>IF($Y1223="","",IF(INDEX($D$6:$D$40000,$Y1223)="","",INDEX($D$6:$D$40000,$Y1223)))</f>
        <v/>
      </c>
      <c r="AB1223">
        <f>IF($Y1223="","",INDEX($L$6:$L$40000,$Y1223)&amp;"")</f>
        <v/>
      </c>
    </row>
    <row r="1224">
      <c r="Y1224" s="47">
        <f>IFERROR(MATCH(Library!M1224,$M$6:$M$40000,0),"")</f>
        <v/>
      </c>
      <c r="Z1224">
        <f>IF($Y1224="","",INDEX($C$6:$C$40000,$Y1224)&amp;"")</f>
        <v/>
      </c>
      <c r="AA1224" s="59">
        <f>IF($Y1224="","",IF(INDEX($D$6:$D$40000,$Y1224)="","",INDEX($D$6:$D$40000,$Y1224)))</f>
        <v/>
      </c>
      <c r="AB1224">
        <f>IF($Y1224="","",INDEX($L$6:$L$40000,$Y1224)&amp;"")</f>
        <v/>
      </c>
    </row>
    <row r="1225">
      <c r="Y1225" s="47">
        <f>IFERROR(MATCH(Library!M1225,$M$6:$M$40000,0),"")</f>
        <v/>
      </c>
      <c r="Z1225">
        <f>IF($Y1225="","",INDEX($C$6:$C$40000,$Y1225)&amp;"")</f>
        <v/>
      </c>
      <c r="AA1225" s="59">
        <f>IF($Y1225="","",IF(INDEX($D$6:$D$40000,$Y1225)="","",INDEX($D$6:$D$40000,$Y1225)))</f>
        <v/>
      </c>
      <c r="AB1225">
        <f>IF($Y1225="","",INDEX($L$6:$L$40000,$Y1225)&amp;"")</f>
        <v/>
      </c>
    </row>
    <row r="1226">
      <c r="Y1226" s="47">
        <f>IFERROR(MATCH(Library!M1226,$M$6:$M$40000,0),"")</f>
        <v/>
      </c>
      <c r="Z1226">
        <f>IF($Y1226="","",INDEX($C$6:$C$40000,$Y1226)&amp;"")</f>
        <v/>
      </c>
      <c r="AA1226" s="59">
        <f>IF($Y1226="","",IF(INDEX($D$6:$D$40000,$Y1226)="","",INDEX($D$6:$D$40000,$Y1226)))</f>
        <v/>
      </c>
      <c r="AB1226">
        <f>IF($Y1226="","",INDEX($L$6:$L$40000,$Y1226)&amp;"")</f>
        <v/>
      </c>
    </row>
    <row r="1227">
      <c r="Y1227" s="47">
        <f>IFERROR(MATCH(Library!M1227,$M$6:$M$40000,0),"")</f>
        <v/>
      </c>
      <c r="Z1227">
        <f>IF($Y1227="","",INDEX($C$6:$C$40000,$Y1227)&amp;"")</f>
        <v/>
      </c>
      <c r="AA1227" s="59">
        <f>IF($Y1227="","",IF(INDEX($D$6:$D$40000,$Y1227)="","",INDEX($D$6:$D$40000,$Y1227)))</f>
        <v/>
      </c>
      <c r="AB1227">
        <f>IF($Y1227="","",INDEX($L$6:$L$40000,$Y1227)&amp;"")</f>
        <v/>
      </c>
    </row>
    <row r="1228">
      <c r="Y1228" s="47">
        <f>IFERROR(MATCH(Library!M1228,$M$6:$M$40000,0),"")</f>
        <v/>
      </c>
      <c r="Z1228">
        <f>IF($Y1228="","",INDEX($C$6:$C$40000,$Y1228)&amp;"")</f>
        <v/>
      </c>
      <c r="AA1228" s="59">
        <f>IF($Y1228="","",IF(INDEX($D$6:$D$40000,$Y1228)="","",INDEX($D$6:$D$40000,$Y1228)))</f>
        <v/>
      </c>
      <c r="AB1228">
        <f>IF($Y1228="","",INDEX($L$6:$L$40000,$Y1228)&amp;"")</f>
        <v/>
      </c>
    </row>
    <row r="1229">
      <c r="Y1229" s="47">
        <f>IFERROR(MATCH(Library!M1229,$M$6:$M$40000,0),"")</f>
        <v/>
      </c>
      <c r="Z1229">
        <f>IF($Y1229="","",INDEX($C$6:$C$40000,$Y1229)&amp;"")</f>
        <v/>
      </c>
      <c r="AA1229" s="59">
        <f>IF($Y1229="","",IF(INDEX($D$6:$D$40000,$Y1229)="","",INDEX($D$6:$D$40000,$Y1229)))</f>
        <v/>
      </c>
      <c r="AB1229">
        <f>IF($Y1229="","",INDEX($L$6:$L$40000,$Y1229)&amp;"")</f>
        <v/>
      </c>
    </row>
    <row r="1230">
      <c r="Y1230" s="47">
        <f>IFERROR(MATCH(Library!M1230,$M$6:$M$40000,0),"")</f>
        <v/>
      </c>
      <c r="Z1230">
        <f>IF($Y1230="","",INDEX($C$6:$C$40000,$Y1230)&amp;"")</f>
        <v/>
      </c>
      <c r="AA1230" s="59">
        <f>IF($Y1230="","",IF(INDEX($D$6:$D$40000,$Y1230)="","",INDEX($D$6:$D$40000,$Y1230)))</f>
        <v/>
      </c>
      <c r="AB1230">
        <f>IF($Y1230="","",INDEX($L$6:$L$40000,$Y1230)&amp;"")</f>
        <v/>
      </c>
    </row>
    <row r="1231">
      <c r="Y1231" s="47">
        <f>IFERROR(MATCH(Library!M1231,$M$6:$M$40000,0),"")</f>
        <v/>
      </c>
      <c r="Z1231">
        <f>IF($Y1231="","",INDEX($C$6:$C$40000,$Y1231)&amp;"")</f>
        <v/>
      </c>
      <c r="AA1231" s="59">
        <f>IF($Y1231="","",IF(INDEX($D$6:$D$40000,$Y1231)="","",INDEX($D$6:$D$40000,$Y1231)))</f>
        <v/>
      </c>
      <c r="AB1231">
        <f>IF($Y1231="","",INDEX($L$6:$L$40000,$Y1231)&amp;"")</f>
        <v/>
      </c>
    </row>
    <row r="1232">
      <c r="Y1232" s="47">
        <f>IFERROR(MATCH(Library!M1232,$M$6:$M$40000,0),"")</f>
        <v/>
      </c>
      <c r="Z1232">
        <f>IF($Y1232="","",INDEX($C$6:$C$40000,$Y1232)&amp;"")</f>
        <v/>
      </c>
      <c r="AA1232" s="59">
        <f>IF($Y1232="","",IF(INDEX($D$6:$D$40000,$Y1232)="","",INDEX($D$6:$D$40000,$Y1232)))</f>
        <v/>
      </c>
      <c r="AB1232">
        <f>IF($Y1232="","",INDEX($L$6:$L$40000,$Y1232)&amp;"")</f>
        <v/>
      </c>
    </row>
    <row r="1233">
      <c r="Y1233" s="47">
        <f>IFERROR(MATCH(Library!M1233,$M$6:$M$40000,0),"")</f>
        <v/>
      </c>
      <c r="Z1233">
        <f>IF($Y1233="","",INDEX($C$6:$C$40000,$Y1233)&amp;"")</f>
        <v/>
      </c>
      <c r="AA1233" s="59">
        <f>IF($Y1233="","",IF(INDEX($D$6:$D$40000,$Y1233)="","",INDEX($D$6:$D$40000,$Y1233)))</f>
        <v/>
      </c>
      <c r="AB1233">
        <f>IF($Y1233="","",INDEX($L$6:$L$40000,$Y1233)&amp;"")</f>
        <v/>
      </c>
    </row>
    <row r="1234">
      <c r="Y1234" s="47">
        <f>IFERROR(MATCH(Library!M1234,$M$6:$M$40000,0),"")</f>
        <v/>
      </c>
      <c r="Z1234">
        <f>IF($Y1234="","",INDEX($C$6:$C$40000,$Y1234)&amp;"")</f>
        <v/>
      </c>
      <c r="AA1234" s="59">
        <f>IF($Y1234="","",IF(INDEX($D$6:$D$40000,$Y1234)="","",INDEX($D$6:$D$40000,$Y1234)))</f>
        <v/>
      </c>
      <c r="AB1234">
        <f>IF($Y1234="","",INDEX($L$6:$L$40000,$Y1234)&amp;"")</f>
        <v/>
      </c>
    </row>
    <row r="1235">
      <c r="Y1235" s="47">
        <f>IFERROR(MATCH(Library!M1235,$M$6:$M$40000,0),"")</f>
        <v/>
      </c>
      <c r="Z1235">
        <f>IF($Y1235="","",INDEX($C$6:$C$40000,$Y1235)&amp;"")</f>
        <v/>
      </c>
      <c r="AA1235" s="59">
        <f>IF($Y1235="","",IF(INDEX($D$6:$D$40000,$Y1235)="","",INDEX($D$6:$D$40000,$Y1235)))</f>
        <v/>
      </c>
      <c r="AB1235">
        <f>IF($Y1235="","",INDEX($L$6:$L$40000,$Y1235)&amp;"")</f>
        <v/>
      </c>
    </row>
    <row r="1236">
      <c r="Y1236" s="47">
        <f>IFERROR(MATCH(Library!M1236,$M$6:$M$40000,0),"")</f>
        <v/>
      </c>
      <c r="Z1236">
        <f>IF($Y1236="","",INDEX($C$6:$C$40000,$Y1236)&amp;"")</f>
        <v/>
      </c>
      <c r="AA1236" s="59">
        <f>IF($Y1236="","",IF(INDEX($D$6:$D$40000,$Y1236)="","",INDEX($D$6:$D$40000,$Y1236)))</f>
        <v/>
      </c>
      <c r="AB1236">
        <f>IF($Y1236="","",INDEX($L$6:$L$40000,$Y1236)&amp;"")</f>
        <v/>
      </c>
    </row>
    <row r="1237">
      <c r="Y1237" s="47">
        <f>IFERROR(MATCH(Library!M1237,$M$6:$M$40000,0),"")</f>
        <v/>
      </c>
      <c r="Z1237">
        <f>IF($Y1237="","",INDEX($C$6:$C$40000,$Y1237)&amp;"")</f>
        <v/>
      </c>
      <c r="AA1237" s="59">
        <f>IF($Y1237="","",IF(INDEX($D$6:$D$40000,$Y1237)="","",INDEX($D$6:$D$40000,$Y1237)))</f>
        <v/>
      </c>
      <c r="AB1237">
        <f>IF($Y1237="","",INDEX($L$6:$L$40000,$Y1237)&amp;"")</f>
        <v/>
      </c>
    </row>
    <row r="1238">
      <c r="Y1238" s="47">
        <f>IFERROR(MATCH(Library!M1238,$M$6:$M$40000,0),"")</f>
        <v/>
      </c>
      <c r="Z1238">
        <f>IF($Y1238="","",INDEX($C$6:$C$40000,$Y1238)&amp;"")</f>
        <v/>
      </c>
      <c r="AA1238" s="59">
        <f>IF($Y1238="","",IF(INDEX($D$6:$D$40000,$Y1238)="","",INDEX($D$6:$D$40000,$Y1238)))</f>
        <v/>
      </c>
      <c r="AB1238">
        <f>IF($Y1238="","",INDEX($L$6:$L$40000,$Y1238)&amp;"")</f>
        <v/>
      </c>
    </row>
    <row r="1239">
      <c r="Y1239" s="47">
        <f>IFERROR(MATCH(Library!M1239,$M$6:$M$40000,0),"")</f>
        <v/>
      </c>
      <c r="Z1239">
        <f>IF($Y1239="","",INDEX($C$6:$C$40000,$Y1239)&amp;"")</f>
        <v/>
      </c>
      <c r="AA1239" s="59">
        <f>IF($Y1239="","",IF(INDEX($D$6:$D$40000,$Y1239)="","",INDEX($D$6:$D$40000,$Y1239)))</f>
        <v/>
      </c>
      <c r="AB1239">
        <f>IF($Y1239="","",INDEX($L$6:$L$40000,$Y1239)&amp;"")</f>
        <v/>
      </c>
    </row>
    <row r="1240">
      <c r="Y1240" s="47">
        <f>IFERROR(MATCH(Library!M1240,$M$6:$M$40000,0),"")</f>
        <v/>
      </c>
      <c r="Z1240">
        <f>IF($Y1240="","",INDEX($C$6:$C$40000,$Y1240)&amp;"")</f>
        <v/>
      </c>
      <c r="AA1240" s="59">
        <f>IF($Y1240="","",IF(INDEX($D$6:$D$40000,$Y1240)="","",INDEX($D$6:$D$40000,$Y1240)))</f>
        <v/>
      </c>
      <c r="AB1240">
        <f>IF($Y1240="","",INDEX($L$6:$L$40000,$Y1240)&amp;"")</f>
        <v/>
      </c>
    </row>
    <row r="1241">
      <c r="Y1241" s="47">
        <f>IFERROR(MATCH(Library!M1241,$M$6:$M$40000,0),"")</f>
        <v/>
      </c>
      <c r="Z1241">
        <f>IF($Y1241="","",INDEX($C$6:$C$40000,$Y1241)&amp;"")</f>
        <v/>
      </c>
      <c r="AA1241" s="59">
        <f>IF($Y1241="","",IF(INDEX($D$6:$D$40000,$Y1241)="","",INDEX($D$6:$D$40000,$Y1241)))</f>
        <v/>
      </c>
      <c r="AB1241">
        <f>IF($Y1241="","",INDEX($L$6:$L$40000,$Y1241)&amp;"")</f>
        <v/>
      </c>
    </row>
    <row r="1242">
      <c r="Y1242" s="47">
        <f>IFERROR(MATCH(Library!M1242,$M$6:$M$40000,0),"")</f>
        <v/>
      </c>
      <c r="Z1242">
        <f>IF($Y1242="","",INDEX($C$6:$C$40000,$Y1242)&amp;"")</f>
        <v/>
      </c>
      <c r="AA1242" s="59">
        <f>IF($Y1242="","",IF(INDEX($D$6:$D$40000,$Y1242)="","",INDEX($D$6:$D$40000,$Y1242)))</f>
        <v/>
      </c>
      <c r="AB1242">
        <f>IF($Y1242="","",INDEX($L$6:$L$40000,$Y1242)&amp;"")</f>
        <v/>
      </c>
    </row>
    <row r="1243">
      <c r="Y1243" s="47">
        <f>IFERROR(MATCH(Library!M1243,$M$6:$M$40000,0),"")</f>
        <v/>
      </c>
      <c r="Z1243">
        <f>IF($Y1243="","",INDEX($C$6:$C$40000,$Y1243)&amp;"")</f>
        <v/>
      </c>
      <c r="AA1243" s="59">
        <f>IF($Y1243="","",IF(INDEX($D$6:$D$40000,$Y1243)="","",INDEX($D$6:$D$40000,$Y1243)))</f>
        <v/>
      </c>
      <c r="AB1243">
        <f>IF($Y1243="","",INDEX($L$6:$L$40000,$Y1243)&amp;"")</f>
        <v/>
      </c>
    </row>
    <row r="1244">
      <c r="Y1244" s="47">
        <f>IFERROR(MATCH(Library!M1244,$M$6:$M$40000,0),"")</f>
        <v/>
      </c>
      <c r="Z1244">
        <f>IF($Y1244="","",INDEX($C$6:$C$40000,$Y1244)&amp;"")</f>
        <v/>
      </c>
      <c r="AA1244" s="59">
        <f>IF($Y1244="","",IF(INDEX($D$6:$D$40000,$Y1244)="","",INDEX($D$6:$D$40000,$Y1244)))</f>
        <v/>
      </c>
      <c r="AB1244">
        <f>IF($Y1244="","",INDEX($L$6:$L$40000,$Y1244)&amp;"")</f>
        <v/>
      </c>
    </row>
    <row r="1245">
      <c r="Y1245" s="47">
        <f>IFERROR(MATCH(Library!M1245,$M$6:$M$40000,0),"")</f>
        <v/>
      </c>
      <c r="Z1245">
        <f>IF($Y1245="","",INDEX($C$6:$C$40000,$Y1245)&amp;"")</f>
        <v/>
      </c>
      <c r="AA1245" s="59">
        <f>IF($Y1245="","",IF(INDEX($D$6:$D$40000,$Y1245)="","",INDEX($D$6:$D$40000,$Y1245)))</f>
        <v/>
      </c>
      <c r="AB1245">
        <f>IF($Y1245="","",INDEX($L$6:$L$40000,$Y1245)&amp;"")</f>
        <v/>
      </c>
    </row>
    <row r="1246">
      <c r="Y1246" s="47">
        <f>IFERROR(MATCH(Library!M1246,$M$6:$M$40000,0),"")</f>
        <v/>
      </c>
      <c r="Z1246">
        <f>IF($Y1246="","",INDEX($C$6:$C$40000,$Y1246)&amp;"")</f>
        <v/>
      </c>
      <c r="AA1246" s="59">
        <f>IF($Y1246="","",IF(INDEX($D$6:$D$40000,$Y1246)="","",INDEX($D$6:$D$40000,$Y1246)))</f>
        <v/>
      </c>
      <c r="AB1246">
        <f>IF($Y1246="","",INDEX($L$6:$L$40000,$Y1246)&amp;"")</f>
        <v/>
      </c>
    </row>
    <row r="1247">
      <c r="Y1247" s="47">
        <f>IFERROR(MATCH(Library!M1247,$M$6:$M$40000,0),"")</f>
        <v/>
      </c>
      <c r="Z1247">
        <f>IF($Y1247="","",INDEX($C$6:$C$40000,$Y1247)&amp;"")</f>
        <v/>
      </c>
      <c r="AA1247" s="59">
        <f>IF($Y1247="","",IF(INDEX($D$6:$D$40000,$Y1247)="","",INDEX($D$6:$D$40000,$Y1247)))</f>
        <v/>
      </c>
      <c r="AB1247">
        <f>IF($Y1247="","",INDEX($L$6:$L$40000,$Y1247)&amp;"")</f>
        <v/>
      </c>
    </row>
    <row r="1248">
      <c r="Y1248" s="47">
        <f>IFERROR(MATCH(Library!M1248,$M$6:$M$40000,0),"")</f>
        <v/>
      </c>
      <c r="Z1248">
        <f>IF($Y1248="","",INDEX($C$6:$C$40000,$Y1248)&amp;"")</f>
        <v/>
      </c>
      <c r="AA1248" s="59">
        <f>IF($Y1248="","",IF(INDEX($D$6:$D$40000,$Y1248)="","",INDEX($D$6:$D$40000,$Y1248)))</f>
        <v/>
      </c>
      <c r="AB1248">
        <f>IF($Y1248="","",INDEX($L$6:$L$40000,$Y1248)&amp;"")</f>
        <v/>
      </c>
    </row>
    <row r="1249">
      <c r="Y1249" s="47">
        <f>IFERROR(MATCH(Library!M1249,$M$6:$M$40000,0),"")</f>
        <v/>
      </c>
      <c r="Z1249">
        <f>IF($Y1249="","",INDEX($C$6:$C$40000,$Y1249)&amp;"")</f>
        <v/>
      </c>
      <c r="AA1249" s="59">
        <f>IF($Y1249="","",IF(INDEX($D$6:$D$40000,$Y1249)="","",INDEX($D$6:$D$40000,$Y1249)))</f>
        <v/>
      </c>
      <c r="AB1249">
        <f>IF($Y1249="","",INDEX($L$6:$L$40000,$Y1249)&amp;"")</f>
        <v/>
      </c>
    </row>
    <row r="1250">
      <c r="Y1250" s="47">
        <f>IFERROR(MATCH(Library!M1250,$M$6:$M$40000,0),"")</f>
        <v/>
      </c>
      <c r="Z1250">
        <f>IF($Y1250="","",INDEX($C$6:$C$40000,$Y1250)&amp;"")</f>
        <v/>
      </c>
      <c r="AA1250" s="59">
        <f>IF($Y1250="","",IF(INDEX($D$6:$D$40000,$Y1250)="","",INDEX($D$6:$D$40000,$Y1250)))</f>
        <v/>
      </c>
      <c r="AB1250">
        <f>IF($Y1250="","",INDEX($L$6:$L$40000,$Y1250)&amp;"")</f>
        <v/>
      </c>
    </row>
    <row r="1251">
      <c r="Y1251" s="47">
        <f>IFERROR(MATCH(Library!M1251,$M$6:$M$40000,0),"")</f>
        <v/>
      </c>
      <c r="Z1251">
        <f>IF($Y1251="","",INDEX($C$6:$C$40000,$Y1251)&amp;"")</f>
        <v/>
      </c>
      <c r="AA1251" s="59">
        <f>IF($Y1251="","",IF(INDEX($D$6:$D$40000,$Y1251)="","",INDEX($D$6:$D$40000,$Y1251)))</f>
        <v/>
      </c>
      <c r="AB1251">
        <f>IF($Y1251="","",INDEX($L$6:$L$40000,$Y1251)&amp;"")</f>
        <v/>
      </c>
    </row>
    <row r="1252">
      <c r="Y1252" s="47">
        <f>IFERROR(MATCH(Library!M1252,$M$6:$M$40000,0),"")</f>
        <v/>
      </c>
      <c r="Z1252">
        <f>IF($Y1252="","",INDEX($C$6:$C$40000,$Y1252)&amp;"")</f>
        <v/>
      </c>
      <c r="AA1252" s="59">
        <f>IF($Y1252="","",IF(INDEX($D$6:$D$40000,$Y1252)="","",INDEX($D$6:$D$40000,$Y1252)))</f>
        <v/>
      </c>
      <c r="AB1252">
        <f>IF($Y1252="","",INDEX($L$6:$L$40000,$Y1252)&amp;"")</f>
        <v/>
      </c>
    </row>
    <row r="1253">
      <c r="Y1253" s="47">
        <f>IFERROR(MATCH(Library!M1253,$M$6:$M$40000,0),"")</f>
        <v/>
      </c>
      <c r="Z1253">
        <f>IF($Y1253="","",INDEX($C$6:$C$40000,$Y1253)&amp;"")</f>
        <v/>
      </c>
      <c r="AA1253" s="59">
        <f>IF($Y1253="","",IF(INDEX($D$6:$D$40000,$Y1253)="","",INDEX($D$6:$D$40000,$Y1253)))</f>
        <v/>
      </c>
      <c r="AB1253">
        <f>IF($Y1253="","",INDEX($L$6:$L$40000,$Y1253)&amp;"")</f>
        <v/>
      </c>
    </row>
    <row r="1254">
      <c r="Y1254" s="47">
        <f>IFERROR(MATCH(Library!M1254,$M$6:$M$40000,0),"")</f>
        <v/>
      </c>
      <c r="Z1254">
        <f>IF($Y1254="","",INDEX($C$6:$C$40000,$Y1254)&amp;"")</f>
        <v/>
      </c>
      <c r="AA1254" s="59">
        <f>IF($Y1254="","",IF(INDEX($D$6:$D$40000,$Y1254)="","",INDEX($D$6:$D$40000,$Y1254)))</f>
        <v/>
      </c>
      <c r="AB1254">
        <f>IF($Y1254="","",INDEX($L$6:$L$40000,$Y1254)&amp;"")</f>
        <v/>
      </c>
    </row>
    <row r="1255">
      <c r="Y1255" s="47">
        <f>IFERROR(MATCH(Library!M1255,$M$6:$M$40000,0),"")</f>
        <v/>
      </c>
      <c r="Z1255">
        <f>IF($Y1255="","",INDEX($C$6:$C$40000,$Y1255)&amp;"")</f>
        <v/>
      </c>
      <c r="AA1255" s="59">
        <f>IF($Y1255="","",IF(INDEX($D$6:$D$40000,$Y1255)="","",INDEX($D$6:$D$40000,$Y1255)))</f>
        <v/>
      </c>
      <c r="AB1255">
        <f>IF($Y1255="","",INDEX($L$6:$L$40000,$Y1255)&amp;"")</f>
        <v/>
      </c>
    </row>
    <row r="1256">
      <c r="Y1256" s="47">
        <f>IFERROR(MATCH(Library!M1256,$M$6:$M$40000,0),"")</f>
        <v/>
      </c>
      <c r="Z1256">
        <f>IF($Y1256="","",INDEX($C$6:$C$40000,$Y1256)&amp;"")</f>
        <v/>
      </c>
      <c r="AA1256" s="59">
        <f>IF($Y1256="","",IF(INDEX($D$6:$D$40000,$Y1256)="","",INDEX($D$6:$D$40000,$Y1256)))</f>
        <v/>
      </c>
      <c r="AB1256">
        <f>IF($Y1256="","",INDEX($L$6:$L$40000,$Y1256)&amp;"")</f>
        <v/>
      </c>
    </row>
    <row r="1257">
      <c r="Y1257" s="47">
        <f>IFERROR(MATCH(Library!M1257,$M$6:$M$40000,0),"")</f>
        <v/>
      </c>
      <c r="Z1257">
        <f>IF($Y1257="","",INDEX($C$6:$C$40000,$Y1257)&amp;"")</f>
        <v/>
      </c>
      <c r="AA1257" s="59">
        <f>IF($Y1257="","",IF(INDEX($D$6:$D$40000,$Y1257)="","",INDEX($D$6:$D$40000,$Y1257)))</f>
        <v/>
      </c>
      <c r="AB1257">
        <f>IF($Y1257="","",INDEX($L$6:$L$40000,$Y1257)&amp;"")</f>
        <v/>
      </c>
    </row>
    <row r="1258">
      <c r="Y1258" s="47">
        <f>IFERROR(MATCH(Library!M1258,$M$6:$M$40000,0),"")</f>
        <v/>
      </c>
      <c r="Z1258">
        <f>IF($Y1258="","",INDEX($C$6:$C$40000,$Y1258)&amp;"")</f>
        <v/>
      </c>
      <c r="AA1258" s="59">
        <f>IF($Y1258="","",IF(INDEX($D$6:$D$40000,$Y1258)="","",INDEX($D$6:$D$40000,$Y1258)))</f>
        <v/>
      </c>
      <c r="AB1258">
        <f>IF($Y1258="","",INDEX($L$6:$L$40000,$Y1258)&amp;"")</f>
        <v/>
      </c>
    </row>
    <row r="1259">
      <c r="Y1259" s="47">
        <f>IFERROR(MATCH(Library!M1259,$M$6:$M$40000,0),"")</f>
        <v/>
      </c>
      <c r="Z1259">
        <f>IF($Y1259="","",INDEX($C$6:$C$40000,$Y1259)&amp;"")</f>
        <v/>
      </c>
      <c r="AA1259" s="59">
        <f>IF($Y1259="","",IF(INDEX($D$6:$D$40000,$Y1259)="","",INDEX($D$6:$D$40000,$Y1259)))</f>
        <v/>
      </c>
      <c r="AB1259">
        <f>IF($Y1259="","",INDEX($L$6:$L$40000,$Y1259)&amp;"")</f>
        <v/>
      </c>
    </row>
    <row r="1260">
      <c r="Y1260" s="47">
        <f>IFERROR(MATCH(Library!M1260,$M$6:$M$40000,0),"")</f>
        <v/>
      </c>
      <c r="Z1260">
        <f>IF($Y1260="","",INDEX($C$6:$C$40000,$Y1260)&amp;"")</f>
        <v/>
      </c>
      <c r="AA1260" s="59">
        <f>IF($Y1260="","",IF(INDEX($D$6:$D$40000,$Y1260)="","",INDEX($D$6:$D$40000,$Y1260)))</f>
        <v/>
      </c>
      <c r="AB1260">
        <f>IF($Y1260="","",INDEX($L$6:$L$40000,$Y1260)&amp;"")</f>
        <v/>
      </c>
    </row>
    <row r="1261">
      <c r="Y1261" s="47">
        <f>IFERROR(MATCH(Library!M1261,$M$6:$M$40000,0),"")</f>
        <v/>
      </c>
      <c r="Z1261">
        <f>IF($Y1261="","",INDEX($C$6:$C$40000,$Y1261)&amp;"")</f>
        <v/>
      </c>
      <c r="AA1261" s="59">
        <f>IF($Y1261="","",IF(INDEX($D$6:$D$40000,$Y1261)="","",INDEX($D$6:$D$40000,$Y1261)))</f>
        <v/>
      </c>
      <c r="AB1261">
        <f>IF($Y1261="","",INDEX($L$6:$L$40000,$Y1261)&amp;"")</f>
        <v/>
      </c>
    </row>
    <row r="1262">
      <c r="Y1262" s="47">
        <f>IFERROR(MATCH(Library!M1262,$M$6:$M$40000,0),"")</f>
        <v/>
      </c>
      <c r="Z1262">
        <f>IF($Y1262="","",INDEX($C$6:$C$40000,$Y1262)&amp;"")</f>
        <v/>
      </c>
      <c r="AA1262" s="59">
        <f>IF($Y1262="","",IF(INDEX($D$6:$D$40000,$Y1262)="","",INDEX($D$6:$D$40000,$Y1262)))</f>
        <v/>
      </c>
      <c r="AB1262">
        <f>IF($Y1262="","",INDEX($L$6:$L$40000,$Y1262)&amp;"")</f>
        <v/>
      </c>
    </row>
    <row r="1263">
      <c r="Y1263" s="47">
        <f>IFERROR(MATCH(Library!M1263,$M$6:$M$40000,0),"")</f>
        <v/>
      </c>
      <c r="Z1263">
        <f>IF($Y1263="","",INDEX($C$6:$C$40000,$Y1263)&amp;"")</f>
        <v/>
      </c>
      <c r="AA1263" s="59">
        <f>IF($Y1263="","",IF(INDEX($D$6:$D$40000,$Y1263)="","",INDEX($D$6:$D$40000,$Y1263)))</f>
        <v/>
      </c>
      <c r="AB1263">
        <f>IF($Y1263="","",INDEX($L$6:$L$40000,$Y1263)&amp;"")</f>
        <v/>
      </c>
    </row>
    <row r="1264">
      <c r="Y1264" s="47">
        <f>IFERROR(MATCH(Library!M1264,$M$6:$M$40000,0),"")</f>
        <v/>
      </c>
      <c r="Z1264">
        <f>IF($Y1264="","",INDEX($C$6:$C$40000,$Y1264)&amp;"")</f>
        <v/>
      </c>
      <c r="AA1264" s="59">
        <f>IF($Y1264="","",IF(INDEX($D$6:$D$40000,$Y1264)="","",INDEX($D$6:$D$40000,$Y1264)))</f>
        <v/>
      </c>
      <c r="AB1264">
        <f>IF($Y1264="","",INDEX($L$6:$L$40000,$Y1264)&amp;"")</f>
        <v/>
      </c>
    </row>
    <row r="1265">
      <c r="Y1265" s="47">
        <f>IFERROR(MATCH(Library!M1265,$M$6:$M$40000,0),"")</f>
        <v/>
      </c>
      <c r="Z1265">
        <f>IF($Y1265="","",INDEX($C$6:$C$40000,$Y1265)&amp;"")</f>
        <v/>
      </c>
      <c r="AA1265" s="59">
        <f>IF($Y1265="","",IF(INDEX($D$6:$D$40000,$Y1265)="","",INDEX($D$6:$D$40000,$Y1265)))</f>
        <v/>
      </c>
      <c r="AB1265">
        <f>IF($Y1265="","",INDEX($L$6:$L$40000,$Y1265)&amp;"")</f>
        <v/>
      </c>
    </row>
    <row r="1266">
      <c r="Y1266" s="47">
        <f>IFERROR(MATCH(Library!M1266,$M$6:$M$40000,0),"")</f>
        <v/>
      </c>
      <c r="Z1266">
        <f>IF($Y1266="","",INDEX($C$6:$C$40000,$Y1266)&amp;"")</f>
        <v/>
      </c>
      <c r="AA1266" s="59">
        <f>IF($Y1266="","",IF(INDEX($D$6:$D$40000,$Y1266)="","",INDEX($D$6:$D$40000,$Y1266)))</f>
        <v/>
      </c>
      <c r="AB1266">
        <f>IF($Y1266="","",INDEX($L$6:$L$40000,$Y1266)&amp;"")</f>
        <v/>
      </c>
    </row>
    <row r="1267">
      <c r="Y1267" s="47">
        <f>IFERROR(MATCH(Library!M1267,$M$6:$M$40000,0),"")</f>
        <v/>
      </c>
      <c r="Z1267">
        <f>IF($Y1267="","",INDEX($C$6:$C$40000,$Y1267)&amp;"")</f>
        <v/>
      </c>
      <c r="AA1267" s="59">
        <f>IF($Y1267="","",IF(INDEX($D$6:$D$40000,$Y1267)="","",INDEX($D$6:$D$40000,$Y1267)))</f>
        <v/>
      </c>
      <c r="AB1267">
        <f>IF($Y1267="","",INDEX($L$6:$L$40000,$Y1267)&amp;"")</f>
        <v/>
      </c>
    </row>
    <row r="1268">
      <c r="Y1268" s="47">
        <f>IFERROR(MATCH(Library!M1268,$M$6:$M$40000,0),"")</f>
        <v/>
      </c>
      <c r="Z1268">
        <f>IF($Y1268="","",INDEX($C$6:$C$40000,$Y1268)&amp;"")</f>
        <v/>
      </c>
      <c r="AA1268" s="59">
        <f>IF($Y1268="","",IF(INDEX($D$6:$D$40000,$Y1268)="","",INDEX($D$6:$D$40000,$Y1268)))</f>
        <v/>
      </c>
      <c r="AB1268">
        <f>IF($Y1268="","",INDEX($L$6:$L$40000,$Y1268)&amp;"")</f>
        <v/>
      </c>
    </row>
    <row r="1269">
      <c r="Y1269" s="47">
        <f>IFERROR(MATCH(Library!M1269,$M$6:$M$40000,0),"")</f>
        <v/>
      </c>
      <c r="Z1269">
        <f>IF($Y1269="","",INDEX($C$6:$C$40000,$Y1269)&amp;"")</f>
        <v/>
      </c>
      <c r="AA1269" s="59">
        <f>IF($Y1269="","",IF(INDEX($D$6:$D$40000,$Y1269)="","",INDEX($D$6:$D$40000,$Y1269)))</f>
        <v/>
      </c>
      <c r="AB1269">
        <f>IF($Y1269="","",INDEX($L$6:$L$40000,$Y1269)&amp;"")</f>
        <v/>
      </c>
    </row>
    <row r="1270">
      <c r="Y1270" s="47">
        <f>IFERROR(MATCH(Library!M1270,$M$6:$M$40000,0),"")</f>
        <v/>
      </c>
      <c r="Z1270">
        <f>IF($Y1270="","",INDEX($C$6:$C$40000,$Y1270)&amp;"")</f>
        <v/>
      </c>
      <c r="AA1270" s="59">
        <f>IF($Y1270="","",IF(INDEX($D$6:$D$40000,$Y1270)="","",INDEX($D$6:$D$40000,$Y1270)))</f>
        <v/>
      </c>
      <c r="AB1270">
        <f>IF($Y1270="","",INDEX($L$6:$L$40000,$Y1270)&amp;"")</f>
        <v/>
      </c>
    </row>
    <row r="1271">
      <c r="Y1271" s="47">
        <f>IFERROR(MATCH(Library!M1271,$M$6:$M$40000,0),"")</f>
        <v/>
      </c>
      <c r="Z1271">
        <f>IF($Y1271="","",INDEX($C$6:$C$40000,$Y1271)&amp;"")</f>
        <v/>
      </c>
      <c r="AA1271" s="59">
        <f>IF($Y1271="","",IF(INDEX($D$6:$D$40000,$Y1271)="","",INDEX($D$6:$D$40000,$Y1271)))</f>
        <v/>
      </c>
      <c r="AB1271">
        <f>IF($Y1271="","",INDEX($L$6:$L$40000,$Y1271)&amp;"")</f>
        <v/>
      </c>
    </row>
    <row r="1272">
      <c r="Y1272" s="47">
        <f>IFERROR(MATCH(Library!M1272,$M$6:$M$40000,0),"")</f>
        <v/>
      </c>
      <c r="Z1272">
        <f>IF($Y1272="","",INDEX($C$6:$C$40000,$Y1272)&amp;"")</f>
        <v/>
      </c>
      <c r="AA1272" s="59">
        <f>IF($Y1272="","",IF(INDEX($D$6:$D$40000,$Y1272)="","",INDEX($D$6:$D$40000,$Y1272)))</f>
        <v/>
      </c>
      <c r="AB1272">
        <f>IF($Y1272="","",INDEX($L$6:$L$40000,$Y1272)&amp;"")</f>
        <v/>
      </c>
    </row>
    <row r="1273">
      <c r="Y1273" s="47">
        <f>IFERROR(MATCH(Library!M1273,$M$6:$M$40000,0),"")</f>
        <v/>
      </c>
      <c r="Z1273">
        <f>IF($Y1273="","",INDEX($C$6:$C$40000,$Y1273)&amp;"")</f>
        <v/>
      </c>
      <c r="AA1273" s="59">
        <f>IF($Y1273="","",IF(INDEX($D$6:$D$40000,$Y1273)="","",INDEX($D$6:$D$40000,$Y1273)))</f>
        <v/>
      </c>
      <c r="AB1273">
        <f>IF($Y1273="","",INDEX($L$6:$L$40000,$Y1273)&amp;"")</f>
        <v/>
      </c>
    </row>
    <row r="1274">
      <c r="Y1274" s="47">
        <f>IFERROR(MATCH(Library!M1274,$M$6:$M$40000,0),"")</f>
        <v/>
      </c>
      <c r="Z1274">
        <f>IF($Y1274="","",INDEX($C$6:$C$40000,$Y1274)&amp;"")</f>
        <v/>
      </c>
      <c r="AA1274" s="59">
        <f>IF($Y1274="","",IF(INDEX($D$6:$D$40000,$Y1274)="","",INDEX($D$6:$D$40000,$Y1274)))</f>
        <v/>
      </c>
      <c r="AB1274">
        <f>IF($Y1274="","",INDEX($L$6:$L$40000,$Y1274)&amp;"")</f>
        <v/>
      </c>
    </row>
    <row r="1275">
      <c r="Y1275" s="47">
        <f>IFERROR(MATCH(Library!M1275,$M$6:$M$40000,0),"")</f>
        <v/>
      </c>
      <c r="Z1275">
        <f>IF($Y1275="","",INDEX($C$6:$C$40000,$Y1275)&amp;"")</f>
        <v/>
      </c>
      <c r="AA1275" s="59">
        <f>IF($Y1275="","",IF(INDEX($D$6:$D$40000,$Y1275)="","",INDEX($D$6:$D$40000,$Y1275)))</f>
        <v/>
      </c>
      <c r="AB1275">
        <f>IF($Y1275="","",INDEX($L$6:$L$40000,$Y1275)&amp;"")</f>
        <v/>
      </c>
    </row>
    <row r="1276">
      <c r="Y1276" s="47">
        <f>IFERROR(MATCH(Library!M1276,$M$6:$M$40000,0),"")</f>
        <v/>
      </c>
      <c r="Z1276">
        <f>IF($Y1276="","",INDEX($C$6:$C$40000,$Y1276)&amp;"")</f>
        <v/>
      </c>
      <c r="AA1276" s="59">
        <f>IF($Y1276="","",IF(INDEX($D$6:$D$40000,$Y1276)="","",INDEX($D$6:$D$40000,$Y1276)))</f>
        <v/>
      </c>
      <c r="AB1276">
        <f>IF($Y1276="","",INDEX($L$6:$L$40000,$Y1276)&amp;"")</f>
        <v/>
      </c>
    </row>
    <row r="1277">
      <c r="Y1277" s="47">
        <f>IFERROR(MATCH(Library!M1277,$M$6:$M$40000,0),"")</f>
        <v/>
      </c>
      <c r="Z1277">
        <f>IF($Y1277="","",INDEX($C$6:$C$40000,$Y1277)&amp;"")</f>
        <v/>
      </c>
      <c r="AA1277" s="59">
        <f>IF($Y1277="","",IF(INDEX($D$6:$D$40000,$Y1277)="","",INDEX($D$6:$D$40000,$Y1277)))</f>
        <v/>
      </c>
      <c r="AB1277">
        <f>IF($Y1277="","",INDEX($L$6:$L$40000,$Y1277)&amp;"")</f>
        <v/>
      </c>
    </row>
    <row r="1278">
      <c r="Y1278" s="47">
        <f>IFERROR(MATCH(Library!M1278,$M$6:$M$40000,0),"")</f>
        <v/>
      </c>
      <c r="Z1278">
        <f>IF($Y1278="","",INDEX($C$6:$C$40000,$Y1278)&amp;"")</f>
        <v/>
      </c>
      <c r="AA1278" s="59">
        <f>IF($Y1278="","",IF(INDEX($D$6:$D$40000,$Y1278)="","",INDEX($D$6:$D$40000,$Y1278)))</f>
        <v/>
      </c>
      <c r="AB1278">
        <f>IF($Y1278="","",INDEX($L$6:$L$40000,$Y1278)&amp;"")</f>
        <v/>
      </c>
    </row>
    <row r="1279">
      <c r="Y1279" s="47">
        <f>IFERROR(MATCH(Library!M1279,$M$6:$M$40000,0),"")</f>
        <v/>
      </c>
      <c r="Z1279">
        <f>IF($Y1279="","",INDEX($C$6:$C$40000,$Y1279)&amp;"")</f>
        <v/>
      </c>
      <c r="AA1279" s="59">
        <f>IF($Y1279="","",IF(INDEX($D$6:$D$40000,$Y1279)="","",INDEX($D$6:$D$40000,$Y1279)))</f>
        <v/>
      </c>
      <c r="AB1279">
        <f>IF($Y1279="","",INDEX($L$6:$L$40000,$Y1279)&amp;"")</f>
        <v/>
      </c>
    </row>
    <row r="1280">
      <c r="Y1280" s="47">
        <f>IFERROR(MATCH(Library!M1280,$M$6:$M$40000,0),"")</f>
        <v/>
      </c>
      <c r="Z1280">
        <f>IF($Y1280="","",INDEX($C$6:$C$40000,$Y1280)&amp;"")</f>
        <v/>
      </c>
      <c r="AA1280" s="59">
        <f>IF($Y1280="","",IF(INDEX($D$6:$D$40000,$Y1280)="","",INDEX($D$6:$D$40000,$Y1280)))</f>
        <v/>
      </c>
      <c r="AB1280">
        <f>IF($Y1280="","",INDEX($L$6:$L$40000,$Y1280)&amp;"")</f>
        <v/>
      </c>
    </row>
    <row r="1281">
      <c r="Y1281" s="47">
        <f>IFERROR(MATCH(Library!M1281,$M$6:$M$40000,0),"")</f>
        <v/>
      </c>
      <c r="Z1281">
        <f>IF($Y1281="","",INDEX($C$6:$C$40000,$Y1281)&amp;"")</f>
        <v/>
      </c>
      <c r="AA1281" s="59">
        <f>IF($Y1281="","",IF(INDEX($D$6:$D$40000,$Y1281)="","",INDEX($D$6:$D$40000,$Y1281)))</f>
        <v/>
      </c>
      <c r="AB1281">
        <f>IF($Y1281="","",INDEX($L$6:$L$40000,$Y1281)&amp;"")</f>
        <v/>
      </c>
    </row>
    <row r="1282">
      <c r="Y1282" s="47">
        <f>IFERROR(MATCH(Library!M1282,$M$6:$M$40000,0),"")</f>
        <v/>
      </c>
      <c r="Z1282">
        <f>IF($Y1282="","",INDEX($C$6:$C$40000,$Y1282)&amp;"")</f>
        <v/>
      </c>
      <c r="AA1282" s="59">
        <f>IF($Y1282="","",IF(INDEX($D$6:$D$40000,$Y1282)="","",INDEX($D$6:$D$40000,$Y1282)))</f>
        <v/>
      </c>
      <c r="AB1282">
        <f>IF($Y1282="","",INDEX($L$6:$L$40000,$Y1282)&amp;"")</f>
        <v/>
      </c>
    </row>
    <row r="1283">
      <c r="Y1283" s="47">
        <f>IFERROR(MATCH(Library!M1283,$M$6:$M$40000,0),"")</f>
        <v/>
      </c>
      <c r="Z1283">
        <f>IF($Y1283="","",INDEX($C$6:$C$40000,$Y1283)&amp;"")</f>
        <v/>
      </c>
      <c r="AA1283" s="59">
        <f>IF($Y1283="","",IF(INDEX($D$6:$D$40000,$Y1283)="","",INDEX($D$6:$D$40000,$Y1283)))</f>
        <v/>
      </c>
      <c r="AB1283">
        <f>IF($Y1283="","",INDEX($L$6:$L$40000,$Y1283)&amp;"")</f>
        <v/>
      </c>
    </row>
    <row r="1284">
      <c r="Y1284" s="47">
        <f>IFERROR(MATCH(Library!M1284,$M$6:$M$40000,0),"")</f>
        <v/>
      </c>
      <c r="Z1284">
        <f>IF($Y1284="","",INDEX($C$6:$C$40000,$Y1284)&amp;"")</f>
        <v/>
      </c>
      <c r="AA1284" s="59">
        <f>IF($Y1284="","",IF(INDEX($D$6:$D$40000,$Y1284)="","",INDEX($D$6:$D$40000,$Y1284)))</f>
        <v/>
      </c>
      <c r="AB1284">
        <f>IF($Y1284="","",INDEX($L$6:$L$40000,$Y1284)&amp;"")</f>
        <v/>
      </c>
    </row>
    <row r="1285">
      <c r="Y1285" s="47">
        <f>IFERROR(MATCH(Library!M1285,$M$6:$M$40000,0),"")</f>
        <v/>
      </c>
      <c r="Z1285">
        <f>IF($Y1285="","",INDEX($C$6:$C$40000,$Y1285)&amp;"")</f>
        <v/>
      </c>
      <c r="AA1285" s="59">
        <f>IF($Y1285="","",IF(INDEX($D$6:$D$40000,$Y1285)="","",INDEX($D$6:$D$40000,$Y1285)))</f>
        <v/>
      </c>
      <c r="AB1285">
        <f>IF($Y1285="","",INDEX($L$6:$L$40000,$Y1285)&amp;"")</f>
        <v/>
      </c>
    </row>
    <row r="1286">
      <c r="Y1286" s="47">
        <f>IFERROR(MATCH(Library!M1286,$M$6:$M$40000,0),"")</f>
        <v/>
      </c>
      <c r="Z1286">
        <f>IF($Y1286="","",INDEX($C$6:$C$40000,$Y1286)&amp;"")</f>
        <v/>
      </c>
      <c r="AA1286" s="59">
        <f>IF($Y1286="","",IF(INDEX($D$6:$D$40000,$Y1286)="","",INDEX($D$6:$D$40000,$Y1286)))</f>
        <v/>
      </c>
      <c r="AB1286">
        <f>IF($Y1286="","",INDEX($L$6:$L$40000,$Y1286)&amp;"")</f>
        <v/>
      </c>
    </row>
    <row r="1287">
      <c r="Y1287" s="47">
        <f>IFERROR(MATCH(Library!M1287,$M$6:$M$40000,0),"")</f>
        <v/>
      </c>
      <c r="Z1287">
        <f>IF($Y1287="","",INDEX($C$6:$C$40000,$Y1287)&amp;"")</f>
        <v/>
      </c>
      <c r="AA1287" s="59">
        <f>IF($Y1287="","",IF(INDEX($D$6:$D$40000,$Y1287)="","",INDEX($D$6:$D$40000,$Y1287)))</f>
        <v/>
      </c>
      <c r="AB1287">
        <f>IF($Y1287="","",INDEX($L$6:$L$40000,$Y1287)&amp;"")</f>
        <v/>
      </c>
    </row>
    <row r="1288">
      <c r="Y1288" s="47">
        <f>IFERROR(MATCH(Library!M1288,$M$6:$M$40000,0),"")</f>
        <v/>
      </c>
      <c r="Z1288">
        <f>IF($Y1288="","",INDEX($C$6:$C$40000,$Y1288)&amp;"")</f>
        <v/>
      </c>
      <c r="AA1288" s="59">
        <f>IF($Y1288="","",IF(INDEX($D$6:$D$40000,$Y1288)="","",INDEX($D$6:$D$40000,$Y1288)))</f>
        <v/>
      </c>
      <c r="AB1288">
        <f>IF($Y1288="","",INDEX($L$6:$L$40000,$Y1288)&amp;"")</f>
        <v/>
      </c>
    </row>
    <row r="1289">
      <c r="Y1289" s="47">
        <f>IFERROR(MATCH(Library!M1289,$M$6:$M$40000,0),"")</f>
        <v/>
      </c>
      <c r="Z1289">
        <f>IF($Y1289="","",INDEX($C$6:$C$40000,$Y1289)&amp;"")</f>
        <v/>
      </c>
      <c r="AA1289" s="59">
        <f>IF($Y1289="","",IF(INDEX($D$6:$D$40000,$Y1289)="","",INDEX($D$6:$D$40000,$Y1289)))</f>
        <v/>
      </c>
      <c r="AB1289">
        <f>IF($Y1289="","",INDEX($L$6:$L$40000,$Y1289)&amp;"")</f>
        <v/>
      </c>
    </row>
    <row r="1290">
      <c r="Y1290" s="47">
        <f>IFERROR(MATCH(Library!M1290,$M$6:$M$40000,0),"")</f>
        <v/>
      </c>
      <c r="Z1290">
        <f>IF($Y1290="","",INDEX($C$6:$C$40000,$Y1290)&amp;"")</f>
        <v/>
      </c>
      <c r="AA1290" s="59">
        <f>IF($Y1290="","",IF(INDEX($D$6:$D$40000,$Y1290)="","",INDEX($D$6:$D$40000,$Y1290)))</f>
        <v/>
      </c>
      <c r="AB1290">
        <f>IF($Y1290="","",INDEX($L$6:$L$40000,$Y1290)&amp;"")</f>
        <v/>
      </c>
    </row>
    <row r="1291">
      <c r="Y1291" s="47">
        <f>IFERROR(MATCH(Library!M1291,$M$6:$M$40000,0),"")</f>
        <v/>
      </c>
      <c r="Z1291">
        <f>IF($Y1291="","",INDEX($C$6:$C$40000,$Y1291)&amp;"")</f>
        <v/>
      </c>
      <c r="AA1291" s="59">
        <f>IF($Y1291="","",IF(INDEX($D$6:$D$40000,$Y1291)="","",INDEX($D$6:$D$40000,$Y1291)))</f>
        <v/>
      </c>
      <c r="AB1291">
        <f>IF($Y1291="","",INDEX($L$6:$L$40000,$Y1291)&amp;"")</f>
        <v/>
      </c>
    </row>
    <row r="1292">
      <c r="Y1292" s="47">
        <f>IFERROR(MATCH(Library!M1292,$M$6:$M$40000,0),"")</f>
        <v/>
      </c>
      <c r="Z1292">
        <f>IF($Y1292="","",INDEX($C$6:$C$40000,$Y1292)&amp;"")</f>
        <v/>
      </c>
      <c r="AA1292" s="59">
        <f>IF($Y1292="","",IF(INDEX($D$6:$D$40000,$Y1292)="","",INDEX($D$6:$D$40000,$Y1292)))</f>
        <v/>
      </c>
      <c r="AB1292">
        <f>IF($Y1292="","",INDEX($L$6:$L$40000,$Y1292)&amp;"")</f>
        <v/>
      </c>
    </row>
    <row r="1293">
      <c r="Y1293" s="47">
        <f>IFERROR(MATCH(Library!M1293,$M$6:$M$40000,0),"")</f>
        <v/>
      </c>
      <c r="Z1293">
        <f>IF($Y1293="","",INDEX($C$6:$C$40000,$Y1293)&amp;"")</f>
        <v/>
      </c>
      <c r="AA1293" s="59">
        <f>IF($Y1293="","",IF(INDEX($D$6:$D$40000,$Y1293)="","",INDEX($D$6:$D$40000,$Y1293)))</f>
        <v/>
      </c>
      <c r="AB1293">
        <f>IF($Y1293="","",INDEX($L$6:$L$40000,$Y1293)&amp;"")</f>
        <v/>
      </c>
    </row>
    <row r="1294">
      <c r="Y1294" s="47">
        <f>IFERROR(MATCH(Library!M1294,$M$6:$M$40000,0),"")</f>
        <v/>
      </c>
      <c r="Z1294">
        <f>IF($Y1294="","",INDEX($C$6:$C$40000,$Y1294)&amp;"")</f>
        <v/>
      </c>
      <c r="AA1294" s="59">
        <f>IF($Y1294="","",IF(INDEX($D$6:$D$40000,$Y1294)="","",INDEX($D$6:$D$40000,$Y1294)))</f>
        <v/>
      </c>
      <c r="AB1294">
        <f>IF($Y1294="","",INDEX($L$6:$L$40000,$Y1294)&amp;"")</f>
        <v/>
      </c>
    </row>
    <row r="1295">
      <c r="Y1295" s="47">
        <f>IFERROR(MATCH(Library!M1295,$M$6:$M$40000,0),"")</f>
        <v/>
      </c>
      <c r="Z1295">
        <f>IF($Y1295="","",INDEX($C$6:$C$40000,$Y1295)&amp;"")</f>
        <v/>
      </c>
      <c r="AA1295" s="59">
        <f>IF($Y1295="","",IF(INDEX($D$6:$D$40000,$Y1295)="","",INDEX($D$6:$D$40000,$Y1295)))</f>
        <v/>
      </c>
      <c r="AB1295">
        <f>IF($Y1295="","",INDEX($L$6:$L$40000,$Y1295)&amp;"")</f>
        <v/>
      </c>
    </row>
    <row r="1296">
      <c r="Y1296" s="47">
        <f>IFERROR(MATCH(Library!M1296,$M$6:$M$40000,0),"")</f>
        <v/>
      </c>
      <c r="Z1296">
        <f>IF($Y1296="","",INDEX($C$6:$C$40000,$Y1296)&amp;"")</f>
        <v/>
      </c>
      <c r="AA1296" s="59">
        <f>IF($Y1296="","",IF(INDEX($D$6:$D$40000,$Y1296)="","",INDEX($D$6:$D$40000,$Y1296)))</f>
        <v/>
      </c>
      <c r="AB1296">
        <f>IF($Y1296="","",INDEX($L$6:$L$40000,$Y1296)&amp;"")</f>
        <v/>
      </c>
    </row>
    <row r="1297">
      <c r="Y1297" s="47">
        <f>IFERROR(MATCH(Library!M1297,$M$6:$M$40000,0),"")</f>
        <v/>
      </c>
      <c r="Z1297">
        <f>IF($Y1297="","",INDEX($C$6:$C$40000,$Y1297)&amp;"")</f>
        <v/>
      </c>
      <c r="AA1297" s="59">
        <f>IF($Y1297="","",IF(INDEX($D$6:$D$40000,$Y1297)="","",INDEX($D$6:$D$40000,$Y1297)))</f>
        <v/>
      </c>
      <c r="AB1297">
        <f>IF($Y1297="","",INDEX($L$6:$L$40000,$Y1297)&amp;"")</f>
        <v/>
      </c>
    </row>
    <row r="1298">
      <c r="Y1298" s="47">
        <f>IFERROR(MATCH(Library!M1298,$M$6:$M$40000,0),"")</f>
        <v/>
      </c>
      <c r="Z1298">
        <f>IF($Y1298="","",INDEX($C$6:$C$40000,$Y1298)&amp;"")</f>
        <v/>
      </c>
      <c r="AA1298" s="59">
        <f>IF($Y1298="","",IF(INDEX($D$6:$D$40000,$Y1298)="","",INDEX($D$6:$D$40000,$Y1298)))</f>
        <v/>
      </c>
      <c r="AB1298">
        <f>IF($Y1298="","",INDEX($L$6:$L$40000,$Y1298)&amp;"")</f>
        <v/>
      </c>
    </row>
    <row r="1299">
      <c r="Y1299" s="47">
        <f>IFERROR(MATCH(Library!M1299,$M$6:$M$40000,0),"")</f>
        <v/>
      </c>
      <c r="Z1299">
        <f>IF($Y1299="","",INDEX($C$6:$C$40000,$Y1299)&amp;"")</f>
        <v/>
      </c>
      <c r="AA1299" s="59">
        <f>IF($Y1299="","",IF(INDEX($D$6:$D$40000,$Y1299)="","",INDEX($D$6:$D$40000,$Y1299)))</f>
        <v/>
      </c>
      <c r="AB1299">
        <f>IF($Y1299="","",INDEX($L$6:$L$40000,$Y1299)&amp;"")</f>
        <v/>
      </c>
    </row>
    <row r="1300">
      <c r="Y1300" s="47">
        <f>IFERROR(MATCH(Library!M1300,$M$6:$M$40000,0),"")</f>
        <v/>
      </c>
      <c r="Z1300">
        <f>IF($Y1300="","",INDEX($C$6:$C$40000,$Y1300)&amp;"")</f>
        <v/>
      </c>
      <c r="AA1300" s="59">
        <f>IF($Y1300="","",IF(INDEX($D$6:$D$40000,$Y1300)="","",INDEX($D$6:$D$40000,$Y1300)))</f>
        <v/>
      </c>
      <c r="AB1300">
        <f>IF($Y1300="","",INDEX($L$6:$L$40000,$Y1300)&amp;"")</f>
        <v/>
      </c>
    </row>
    <row r="1301">
      <c r="Y1301" s="47">
        <f>IFERROR(MATCH(Library!M1301,$M$6:$M$40000,0),"")</f>
        <v/>
      </c>
      <c r="Z1301">
        <f>IF($Y1301="","",INDEX($C$6:$C$40000,$Y1301)&amp;"")</f>
        <v/>
      </c>
      <c r="AA1301" s="59">
        <f>IF($Y1301="","",IF(INDEX($D$6:$D$40000,$Y1301)="","",INDEX($D$6:$D$40000,$Y1301)))</f>
        <v/>
      </c>
      <c r="AB1301">
        <f>IF($Y1301="","",INDEX($L$6:$L$40000,$Y1301)&amp;"")</f>
        <v/>
      </c>
    </row>
    <row r="1302">
      <c r="Y1302" s="47">
        <f>IFERROR(MATCH(Library!M1302,$M$6:$M$40000,0),"")</f>
        <v/>
      </c>
      <c r="Z1302">
        <f>IF($Y1302="","",INDEX($C$6:$C$40000,$Y1302)&amp;"")</f>
        <v/>
      </c>
      <c r="AA1302" s="59">
        <f>IF($Y1302="","",IF(INDEX($D$6:$D$40000,$Y1302)="","",INDEX($D$6:$D$40000,$Y1302)))</f>
        <v/>
      </c>
      <c r="AB1302">
        <f>IF($Y1302="","",INDEX($L$6:$L$40000,$Y1302)&amp;"")</f>
        <v/>
      </c>
    </row>
    <row r="1303">
      <c r="Y1303" s="47">
        <f>IFERROR(MATCH(Library!M1303,$M$6:$M$40000,0),"")</f>
        <v/>
      </c>
      <c r="Z1303">
        <f>IF($Y1303="","",INDEX($C$6:$C$40000,$Y1303)&amp;"")</f>
        <v/>
      </c>
      <c r="AA1303" s="59">
        <f>IF($Y1303="","",IF(INDEX($D$6:$D$40000,$Y1303)="","",INDEX($D$6:$D$40000,$Y1303)))</f>
        <v/>
      </c>
      <c r="AB1303">
        <f>IF($Y1303="","",INDEX($L$6:$L$40000,$Y1303)&amp;"")</f>
        <v/>
      </c>
    </row>
    <row r="1304">
      <c r="Y1304" s="47">
        <f>IFERROR(MATCH(Library!M1304,$M$6:$M$40000,0),"")</f>
        <v/>
      </c>
      <c r="Z1304">
        <f>IF($Y1304="","",INDEX($C$6:$C$40000,$Y1304)&amp;"")</f>
        <v/>
      </c>
      <c r="AA1304" s="59">
        <f>IF($Y1304="","",IF(INDEX($D$6:$D$40000,$Y1304)="","",INDEX($D$6:$D$40000,$Y1304)))</f>
        <v/>
      </c>
      <c r="AB1304">
        <f>IF($Y1304="","",INDEX($L$6:$L$40000,$Y1304)&amp;"")</f>
        <v/>
      </c>
    </row>
    <row r="1305">
      <c r="Y1305" s="47">
        <f>IFERROR(MATCH(Library!M1305,$M$6:$M$40000,0),"")</f>
        <v/>
      </c>
      <c r="Z1305">
        <f>IF($Y1305="","",INDEX($C$6:$C$40000,$Y1305)&amp;"")</f>
        <v/>
      </c>
      <c r="AA1305" s="59">
        <f>IF($Y1305="","",IF(INDEX($D$6:$D$40000,$Y1305)="","",INDEX($D$6:$D$40000,$Y1305)))</f>
        <v/>
      </c>
      <c r="AB1305">
        <f>IF($Y1305="","",INDEX($L$6:$L$40000,$Y1305)&amp;"")</f>
        <v/>
      </c>
    </row>
    <row r="1306">
      <c r="Y1306" s="47">
        <f>IFERROR(MATCH(Library!M1306,$M$6:$M$40000,0),"")</f>
        <v/>
      </c>
      <c r="Z1306">
        <f>IF($Y1306="","",INDEX($C$6:$C$40000,$Y1306)&amp;"")</f>
        <v/>
      </c>
      <c r="AA1306" s="59">
        <f>IF($Y1306="","",IF(INDEX($D$6:$D$40000,$Y1306)="","",INDEX($D$6:$D$40000,$Y1306)))</f>
        <v/>
      </c>
      <c r="AB1306">
        <f>IF($Y1306="","",INDEX($L$6:$L$40000,$Y1306)&amp;"")</f>
        <v/>
      </c>
    </row>
    <row r="1307">
      <c r="Y1307" s="47">
        <f>IFERROR(MATCH(Library!M1307,$M$6:$M$40000,0),"")</f>
        <v/>
      </c>
      <c r="Z1307">
        <f>IF($Y1307="","",INDEX($C$6:$C$40000,$Y1307)&amp;"")</f>
        <v/>
      </c>
      <c r="AA1307" s="59">
        <f>IF($Y1307="","",IF(INDEX($D$6:$D$40000,$Y1307)="","",INDEX($D$6:$D$40000,$Y1307)))</f>
        <v/>
      </c>
      <c r="AB1307">
        <f>IF($Y1307="","",INDEX($L$6:$L$40000,$Y1307)&amp;"")</f>
        <v/>
      </c>
    </row>
    <row r="1308">
      <c r="Y1308" s="47">
        <f>IFERROR(MATCH(Library!M1308,$M$6:$M$40000,0),"")</f>
        <v/>
      </c>
      <c r="Z1308">
        <f>IF($Y1308="","",INDEX($C$6:$C$40000,$Y1308)&amp;"")</f>
        <v/>
      </c>
      <c r="AA1308" s="59">
        <f>IF($Y1308="","",IF(INDEX($D$6:$D$40000,$Y1308)="","",INDEX($D$6:$D$40000,$Y1308)))</f>
        <v/>
      </c>
      <c r="AB1308">
        <f>IF($Y1308="","",INDEX($L$6:$L$40000,$Y1308)&amp;"")</f>
        <v/>
      </c>
    </row>
    <row r="1309">
      <c r="Y1309" s="47">
        <f>IFERROR(MATCH(Library!M1309,$M$6:$M$40000,0),"")</f>
        <v/>
      </c>
      <c r="Z1309">
        <f>IF($Y1309="","",INDEX($C$6:$C$40000,$Y1309)&amp;"")</f>
        <v/>
      </c>
      <c r="AA1309" s="59">
        <f>IF($Y1309="","",IF(INDEX($D$6:$D$40000,$Y1309)="","",INDEX($D$6:$D$40000,$Y1309)))</f>
        <v/>
      </c>
      <c r="AB1309">
        <f>IF($Y1309="","",INDEX($L$6:$L$40000,$Y1309)&amp;"")</f>
        <v/>
      </c>
    </row>
    <row r="1310">
      <c r="Y1310" s="47">
        <f>IFERROR(MATCH(Library!M1310,$M$6:$M$40000,0),"")</f>
        <v/>
      </c>
      <c r="Z1310">
        <f>IF($Y1310="","",INDEX($C$6:$C$40000,$Y1310)&amp;"")</f>
        <v/>
      </c>
      <c r="AA1310" s="59">
        <f>IF($Y1310="","",IF(INDEX($D$6:$D$40000,$Y1310)="","",INDEX($D$6:$D$40000,$Y1310)))</f>
        <v/>
      </c>
      <c r="AB1310">
        <f>IF($Y1310="","",INDEX($L$6:$L$40000,$Y1310)&amp;"")</f>
        <v/>
      </c>
    </row>
    <row r="1311">
      <c r="Y1311" s="47">
        <f>IFERROR(MATCH(Library!M1311,$M$6:$M$40000,0),"")</f>
        <v/>
      </c>
      <c r="Z1311">
        <f>IF($Y1311="","",INDEX($C$6:$C$40000,$Y1311)&amp;"")</f>
        <v/>
      </c>
      <c r="AA1311" s="59">
        <f>IF($Y1311="","",IF(INDEX($D$6:$D$40000,$Y1311)="","",INDEX($D$6:$D$40000,$Y1311)))</f>
        <v/>
      </c>
      <c r="AB1311">
        <f>IF($Y1311="","",INDEX($L$6:$L$40000,$Y1311)&amp;"")</f>
        <v/>
      </c>
    </row>
    <row r="1312">
      <c r="Y1312" s="47">
        <f>IFERROR(MATCH(Library!M1312,$M$6:$M$40000,0),"")</f>
        <v/>
      </c>
      <c r="Z1312">
        <f>IF($Y1312="","",INDEX($C$6:$C$40000,$Y1312)&amp;"")</f>
        <v/>
      </c>
      <c r="AA1312" s="59">
        <f>IF($Y1312="","",IF(INDEX($D$6:$D$40000,$Y1312)="","",INDEX($D$6:$D$40000,$Y1312)))</f>
        <v/>
      </c>
      <c r="AB1312">
        <f>IF($Y1312="","",INDEX($L$6:$L$40000,$Y1312)&amp;"")</f>
        <v/>
      </c>
    </row>
    <row r="1313">
      <c r="Y1313" s="47">
        <f>IFERROR(MATCH(Library!M1313,$M$6:$M$40000,0),"")</f>
        <v/>
      </c>
      <c r="Z1313">
        <f>IF($Y1313="","",INDEX($C$6:$C$40000,$Y1313)&amp;"")</f>
        <v/>
      </c>
      <c r="AA1313" s="59">
        <f>IF($Y1313="","",IF(INDEX($D$6:$D$40000,$Y1313)="","",INDEX($D$6:$D$40000,$Y1313)))</f>
        <v/>
      </c>
      <c r="AB1313">
        <f>IF($Y1313="","",INDEX($L$6:$L$40000,$Y1313)&amp;"")</f>
        <v/>
      </c>
    </row>
    <row r="1314">
      <c r="Y1314" s="47">
        <f>IFERROR(MATCH(Library!M1314,$M$6:$M$40000,0),"")</f>
        <v/>
      </c>
      <c r="Z1314">
        <f>IF($Y1314="","",INDEX($C$6:$C$40000,$Y1314)&amp;"")</f>
        <v/>
      </c>
      <c r="AA1314" s="59">
        <f>IF($Y1314="","",IF(INDEX($D$6:$D$40000,$Y1314)="","",INDEX($D$6:$D$40000,$Y1314)))</f>
        <v/>
      </c>
      <c r="AB1314">
        <f>IF($Y1314="","",INDEX($L$6:$L$40000,$Y1314)&amp;"")</f>
        <v/>
      </c>
    </row>
    <row r="1315">
      <c r="Y1315" s="47">
        <f>IFERROR(MATCH(Library!M1315,$M$6:$M$40000,0),"")</f>
        <v/>
      </c>
      <c r="Z1315">
        <f>IF($Y1315="","",INDEX($C$6:$C$40000,$Y1315)&amp;"")</f>
        <v/>
      </c>
      <c r="AA1315" s="59">
        <f>IF($Y1315="","",IF(INDEX($D$6:$D$40000,$Y1315)="","",INDEX($D$6:$D$40000,$Y1315)))</f>
        <v/>
      </c>
      <c r="AB1315">
        <f>IF($Y1315="","",INDEX($L$6:$L$40000,$Y1315)&amp;"")</f>
        <v/>
      </c>
    </row>
    <row r="1316">
      <c r="Y1316" s="47">
        <f>IFERROR(MATCH(Library!M1316,$M$6:$M$40000,0),"")</f>
        <v/>
      </c>
      <c r="Z1316">
        <f>IF($Y1316="","",INDEX($C$6:$C$40000,$Y1316)&amp;"")</f>
        <v/>
      </c>
      <c r="AA1316" s="59">
        <f>IF($Y1316="","",IF(INDEX($D$6:$D$40000,$Y1316)="","",INDEX($D$6:$D$40000,$Y1316)))</f>
        <v/>
      </c>
      <c r="AB1316">
        <f>IF($Y1316="","",INDEX($L$6:$L$40000,$Y1316)&amp;"")</f>
        <v/>
      </c>
    </row>
    <row r="1317">
      <c r="Y1317" s="47">
        <f>IFERROR(MATCH(Library!M1317,$M$6:$M$40000,0),"")</f>
        <v/>
      </c>
      <c r="Z1317">
        <f>IF($Y1317="","",INDEX($C$6:$C$40000,$Y1317)&amp;"")</f>
        <v/>
      </c>
      <c r="AA1317" s="59">
        <f>IF($Y1317="","",IF(INDEX($D$6:$D$40000,$Y1317)="","",INDEX($D$6:$D$40000,$Y1317)))</f>
        <v/>
      </c>
      <c r="AB1317">
        <f>IF($Y1317="","",INDEX($L$6:$L$40000,$Y1317)&amp;"")</f>
        <v/>
      </c>
    </row>
    <row r="1318">
      <c r="Y1318" s="47">
        <f>IFERROR(MATCH(Library!M1318,$M$6:$M$40000,0),"")</f>
        <v/>
      </c>
      <c r="Z1318">
        <f>IF($Y1318="","",INDEX($C$6:$C$40000,$Y1318)&amp;"")</f>
        <v/>
      </c>
      <c r="AA1318" s="59">
        <f>IF($Y1318="","",IF(INDEX($D$6:$D$40000,$Y1318)="","",INDEX($D$6:$D$40000,$Y1318)))</f>
        <v/>
      </c>
      <c r="AB1318">
        <f>IF($Y1318="","",INDEX($L$6:$L$40000,$Y1318)&amp;"")</f>
        <v/>
      </c>
    </row>
    <row r="1319">
      <c r="Y1319" s="47">
        <f>IFERROR(MATCH(Library!M1319,$M$6:$M$40000,0),"")</f>
        <v/>
      </c>
      <c r="Z1319">
        <f>IF($Y1319="","",INDEX($C$6:$C$40000,$Y1319)&amp;"")</f>
        <v/>
      </c>
      <c r="AA1319" s="59">
        <f>IF($Y1319="","",IF(INDEX($D$6:$D$40000,$Y1319)="","",INDEX($D$6:$D$40000,$Y1319)))</f>
        <v/>
      </c>
      <c r="AB1319">
        <f>IF($Y1319="","",INDEX($L$6:$L$40000,$Y1319)&amp;"")</f>
        <v/>
      </c>
    </row>
    <row r="1320">
      <c r="Y1320" s="47">
        <f>IFERROR(MATCH(Library!M1320,$M$6:$M$40000,0),"")</f>
        <v/>
      </c>
      <c r="Z1320">
        <f>IF($Y1320="","",INDEX($C$6:$C$40000,$Y1320)&amp;"")</f>
        <v/>
      </c>
      <c r="AA1320" s="59">
        <f>IF($Y1320="","",IF(INDEX($D$6:$D$40000,$Y1320)="","",INDEX($D$6:$D$40000,$Y1320)))</f>
        <v/>
      </c>
      <c r="AB1320">
        <f>IF($Y1320="","",INDEX($L$6:$L$40000,$Y1320)&amp;"")</f>
        <v/>
      </c>
    </row>
    <row r="1321">
      <c r="Y1321" s="47">
        <f>IFERROR(MATCH(Library!M1321,$M$6:$M$40000,0),"")</f>
        <v/>
      </c>
      <c r="Z1321">
        <f>IF($Y1321="","",INDEX($C$6:$C$40000,$Y1321)&amp;"")</f>
        <v/>
      </c>
      <c r="AA1321" s="59">
        <f>IF($Y1321="","",IF(INDEX($D$6:$D$40000,$Y1321)="","",INDEX($D$6:$D$40000,$Y1321)))</f>
        <v/>
      </c>
      <c r="AB1321">
        <f>IF($Y1321="","",INDEX($L$6:$L$40000,$Y1321)&amp;"")</f>
        <v/>
      </c>
    </row>
    <row r="1322">
      <c r="Y1322" s="47">
        <f>IFERROR(MATCH(Library!M1322,$M$6:$M$40000,0),"")</f>
        <v/>
      </c>
      <c r="Z1322">
        <f>IF($Y1322="","",INDEX($C$6:$C$40000,$Y1322)&amp;"")</f>
        <v/>
      </c>
      <c r="AA1322" s="59">
        <f>IF($Y1322="","",IF(INDEX($D$6:$D$40000,$Y1322)="","",INDEX($D$6:$D$40000,$Y1322)))</f>
        <v/>
      </c>
      <c r="AB1322">
        <f>IF($Y1322="","",INDEX($L$6:$L$40000,$Y1322)&amp;"")</f>
        <v/>
      </c>
    </row>
    <row r="1323">
      <c r="Y1323" s="47">
        <f>IFERROR(MATCH(Library!M1323,$M$6:$M$40000,0),"")</f>
        <v/>
      </c>
      <c r="Z1323">
        <f>IF($Y1323="","",INDEX($C$6:$C$40000,$Y1323)&amp;"")</f>
        <v/>
      </c>
      <c r="AA1323" s="59">
        <f>IF($Y1323="","",IF(INDEX($D$6:$D$40000,$Y1323)="","",INDEX($D$6:$D$40000,$Y1323)))</f>
        <v/>
      </c>
      <c r="AB1323">
        <f>IF($Y1323="","",INDEX($L$6:$L$40000,$Y1323)&amp;"")</f>
        <v/>
      </c>
    </row>
    <row r="1324">
      <c r="Y1324" s="47">
        <f>IFERROR(MATCH(Library!M1324,$M$6:$M$40000,0),"")</f>
        <v/>
      </c>
      <c r="Z1324">
        <f>IF($Y1324="","",INDEX($C$6:$C$40000,$Y1324)&amp;"")</f>
        <v/>
      </c>
      <c r="AA1324" s="59">
        <f>IF($Y1324="","",IF(INDEX($D$6:$D$40000,$Y1324)="","",INDEX($D$6:$D$40000,$Y1324)))</f>
        <v/>
      </c>
      <c r="AB1324">
        <f>IF($Y1324="","",INDEX($L$6:$L$40000,$Y1324)&amp;"")</f>
        <v/>
      </c>
    </row>
    <row r="1325">
      <c r="Y1325" s="47">
        <f>IFERROR(MATCH(Library!M1325,$M$6:$M$40000,0),"")</f>
        <v/>
      </c>
      <c r="Z1325">
        <f>IF($Y1325="","",INDEX($C$6:$C$40000,$Y1325)&amp;"")</f>
        <v/>
      </c>
      <c r="AA1325" s="59">
        <f>IF($Y1325="","",IF(INDEX($D$6:$D$40000,$Y1325)="","",INDEX($D$6:$D$40000,$Y1325)))</f>
        <v/>
      </c>
      <c r="AB1325">
        <f>IF($Y1325="","",INDEX($L$6:$L$40000,$Y1325)&amp;"")</f>
        <v/>
      </c>
    </row>
    <row r="1326">
      <c r="Y1326" s="47">
        <f>IFERROR(MATCH(Library!M1326,$M$6:$M$40000,0),"")</f>
        <v/>
      </c>
      <c r="Z1326">
        <f>IF($Y1326="","",INDEX($C$6:$C$40000,$Y1326)&amp;"")</f>
        <v/>
      </c>
      <c r="AA1326" s="59">
        <f>IF($Y1326="","",IF(INDEX($D$6:$D$40000,$Y1326)="","",INDEX($D$6:$D$40000,$Y1326)))</f>
        <v/>
      </c>
      <c r="AB1326">
        <f>IF($Y1326="","",INDEX($L$6:$L$40000,$Y1326)&amp;"")</f>
        <v/>
      </c>
    </row>
    <row r="1327">
      <c r="Y1327" s="47">
        <f>IFERROR(MATCH(Library!M1327,$M$6:$M$40000,0),"")</f>
        <v/>
      </c>
      <c r="Z1327">
        <f>IF($Y1327="","",INDEX($C$6:$C$40000,$Y1327)&amp;"")</f>
        <v/>
      </c>
      <c r="AA1327" s="59">
        <f>IF($Y1327="","",IF(INDEX($D$6:$D$40000,$Y1327)="","",INDEX($D$6:$D$40000,$Y1327)))</f>
        <v/>
      </c>
      <c r="AB1327">
        <f>IF($Y1327="","",INDEX($L$6:$L$40000,$Y1327)&amp;"")</f>
        <v/>
      </c>
    </row>
    <row r="1328">
      <c r="Y1328" s="47">
        <f>IFERROR(MATCH(Library!M1328,$M$6:$M$40000,0),"")</f>
        <v/>
      </c>
      <c r="Z1328">
        <f>IF($Y1328="","",INDEX($C$6:$C$40000,$Y1328)&amp;"")</f>
        <v/>
      </c>
      <c r="AA1328" s="59">
        <f>IF($Y1328="","",IF(INDEX($D$6:$D$40000,$Y1328)="","",INDEX($D$6:$D$40000,$Y1328)))</f>
        <v/>
      </c>
      <c r="AB1328">
        <f>IF($Y1328="","",INDEX($L$6:$L$40000,$Y1328)&amp;"")</f>
        <v/>
      </c>
    </row>
    <row r="1329">
      <c r="Y1329" s="47">
        <f>IFERROR(MATCH(Library!M1329,$M$6:$M$40000,0),"")</f>
        <v/>
      </c>
      <c r="Z1329">
        <f>IF($Y1329="","",INDEX($C$6:$C$40000,$Y1329)&amp;"")</f>
        <v/>
      </c>
      <c r="AA1329" s="59">
        <f>IF($Y1329="","",IF(INDEX($D$6:$D$40000,$Y1329)="","",INDEX($D$6:$D$40000,$Y1329)))</f>
        <v/>
      </c>
      <c r="AB1329">
        <f>IF($Y1329="","",INDEX($L$6:$L$40000,$Y1329)&amp;"")</f>
        <v/>
      </c>
    </row>
    <row r="1330">
      <c r="Y1330" s="47">
        <f>IFERROR(MATCH(Library!M1330,$M$6:$M$40000,0),"")</f>
        <v/>
      </c>
      <c r="Z1330">
        <f>IF($Y1330="","",INDEX($C$6:$C$40000,$Y1330)&amp;"")</f>
        <v/>
      </c>
      <c r="AA1330" s="59">
        <f>IF($Y1330="","",IF(INDEX($D$6:$D$40000,$Y1330)="","",INDEX($D$6:$D$40000,$Y1330)))</f>
        <v/>
      </c>
      <c r="AB1330">
        <f>IF($Y1330="","",INDEX($L$6:$L$40000,$Y1330)&amp;"")</f>
        <v/>
      </c>
    </row>
    <row r="1331">
      <c r="Y1331" s="47">
        <f>IFERROR(MATCH(Library!M1331,$M$6:$M$40000,0),"")</f>
        <v/>
      </c>
      <c r="Z1331">
        <f>IF($Y1331="","",INDEX($C$6:$C$40000,$Y1331)&amp;"")</f>
        <v/>
      </c>
      <c r="AA1331" s="59">
        <f>IF($Y1331="","",IF(INDEX($D$6:$D$40000,$Y1331)="","",INDEX($D$6:$D$40000,$Y1331)))</f>
        <v/>
      </c>
      <c r="AB1331">
        <f>IF($Y1331="","",INDEX($L$6:$L$40000,$Y1331)&amp;"")</f>
        <v/>
      </c>
    </row>
    <row r="1332">
      <c r="Y1332" s="47">
        <f>IFERROR(MATCH(Library!M1332,$M$6:$M$40000,0),"")</f>
        <v/>
      </c>
      <c r="Z1332">
        <f>IF($Y1332="","",INDEX($C$6:$C$40000,$Y1332)&amp;"")</f>
        <v/>
      </c>
      <c r="AA1332" s="59">
        <f>IF($Y1332="","",IF(INDEX($D$6:$D$40000,$Y1332)="","",INDEX($D$6:$D$40000,$Y1332)))</f>
        <v/>
      </c>
      <c r="AB1332">
        <f>IF($Y1332="","",INDEX($L$6:$L$40000,$Y1332)&amp;"")</f>
        <v/>
      </c>
    </row>
    <row r="1333">
      <c r="Y1333" s="47">
        <f>IFERROR(MATCH(Library!M1333,$M$6:$M$40000,0),"")</f>
        <v/>
      </c>
      <c r="Z1333">
        <f>IF($Y1333="","",INDEX($C$6:$C$40000,$Y1333)&amp;"")</f>
        <v/>
      </c>
      <c r="AA1333" s="59">
        <f>IF($Y1333="","",IF(INDEX($D$6:$D$40000,$Y1333)="","",INDEX($D$6:$D$40000,$Y1333)))</f>
        <v/>
      </c>
      <c r="AB1333">
        <f>IF($Y1333="","",INDEX($L$6:$L$40000,$Y1333)&amp;"")</f>
        <v/>
      </c>
    </row>
    <row r="1334">
      <c r="Y1334" s="47">
        <f>IFERROR(MATCH(Library!M1334,$M$6:$M$40000,0),"")</f>
        <v/>
      </c>
      <c r="Z1334">
        <f>IF($Y1334="","",INDEX($C$6:$C$40000,$Y1334)&amp;"")</f>
        <v/>
      </c>
      <c r="AA1334" s="59">
        <f>IF($Y1334="","",IF(INDEX($D$6:$D$40000,$Y1334)="","",INDEX($D$6:$D$40000,$Y1334)))</f>
        <v/>
      </c>
      <c r="AB1334">
        <f>IF($Y1334="","",INDEX($L$6:$L$40000,$Y1334)&amp;"")</f>
        <v/>
      </c>
    </row>
    <row r="1335">
      <c r="Y1335" s="47">
        <f>IFERROR(MATCH(Library!M1335,$M$6:$M$40000,0),"")</f>
        <v/>
      </c>
      <c r="Z1335">
        <f>IF($Y1335="","",INDEX($C$6:$C$40000,$Y1335)&amp;"")</f>
        <v/>
      </c>
      <c r="AA1335" s="59">
        <f>IF($Y1335="","",IF(INDEX($D$6:$D$40000,$Y1335)="","",INDEX($D$6:$D$40000,$Y1335)))</f>
        <v/>
      </c>
      <c r="AB1335">
        <f>IF($Y1335="","",INDEX($L$6:$L$40000,$Y1335)&amp;"")</f>
        <v/>
      </c>
    </row>
    <row r="1336">
      <c r="Y1336" s="47">
        <f>IFERROR(MATCH(Library!M1336,$M$6:$M$40000,0),"")</f>
        <v/>
      </c>
      <c r="Z1336">
        <f>IF($Y1336="","",INDEX($C$6:$C$40000,$Y1336)&amp;"")</f>
        <v/>
      </c>
      <c r="AA1336" s="59">
        <f>IF($Y1336="","",IF(INDEX($D$6:$D$40000,$Y1336)="","",INDEX($D$6:$D$40000,$Y1336)))</f>
        <v/>
      </c>
      <c r="AB1336">
        <f>IF($Y1336="","",INDEX($L$6:$L$40000,$Y1336)&amp;"")</f>
        <v/>
      </c>
    </row>
    <row r="1337">
      <c r="Y1337" s="47">
        <f>IFERROR(MATCH(Library!M1337,$M$6:$M$40000,0),"")</f>
        <v/>
      </c>
      <c r="Z1337">
        <f>IF($Y1337="","",INDEX($C$6:$C$40000,$Y1337)&amp;"")</f>
        <v/>
      </c>
      <c r="AA1337" s="59">
        <f>IF($Y1337="","",IF(INDEX($D$6:$D$40000,$Y1337)="","",INDEX($D$6:$D$40000,$Y1337)))</f>
        <v/>
      </c>
      <c r="AB1337">
        <f>IF($Y1337="","",INDEX($L$6:$L$40000,$Y1337)&amp;"")</f>
        <v/>
      </c>
    </row>
    <row r="1338">
      <c r="Y1338" s="47">
        <f>IFERROR(MATCH(Library!M1338,$M$6:$M$40000,0),"")</f>
        <v/>
      </c>
      <c r="Z1338">
        <f>IF($Y1338="","",INDEX($C$6:$C$40000,$Y1338)&amp;"")</f>
        <v/>
      </c>
      <c r="AA1338" s="59">
        <f>IF($Y1338="","",IF(INDEX($D$6:$D$40000,$Y1338)="","",INDEX($D$6:$D$40000,$Y1338)))</f>
        <v/>
      </c>
      <c r="AB1338">
        <f>IF($Y1338="","",INDEX($L$6:$L$40000,$Y1338)&amp;"")</f>
        <v/>
      </c>
    </row>
    <row r="1339">
      <c r="Y1339" s="47">
        <f>IFERROR(MATCH(Library!M1339,$M$6:$M$40000,0),"")</f>
        <v/>
      </c>
      <c r="Z1339">
        <f>IF($Y1339="","",INDEX($C$6:$C$40000,$Y1339)&amp;"")</f>
        <v/>
      </c>
      <c r="AA1339" s="59">
        <f>IF($Y1339="","",IF(INDEX($D$6:$D$40000,$Y1339)="","",INDEX($D$6:$D$40000,$Y1339)))</f>
        <v/>
      </c>
      <c r="AB1339">
        <f>IF($Y1339="","",INDEX($L$6:$L$40000,$Y1339)&amp;"")</f>
        <v/>
      </c>
    </row>
    <row r="1340">
      <c r="Y1340" s="47">
        <f>IFERROR(MATCH(Library!M1340,$M$6:$M$40000,0),"")</f>
        <v/>
      </c>
      <c r="Z1340">
        <f>IF($Y1340="","",INDEX($C$6:$C$40000,$Y1340)&amp;"")</f>
        <v/>
      </c>
      <c r="AA1340" s="59">
        <f>IF($Y1340="","",IF(INDEX($D$6:$D$40000,$Y1340)="","",INDEX($D$6:$D$40000,$Y1340)))</f>
        <v/>
      </c>
      <c r="AB1340">
        <f>IF($Y1340="","",INDEX($L$6:$L$40000,$Y1340)&amp;"")</f>
        <v/>
      </c>
    </row>
    <row r="1341">
      <c r="Y1341" s="47">
        <f>IFERROR(MATCH(Library!M1341,$M$6:$M$40000,0),"")</f>
        <v/>
      </c>
      <c r="Z1341">
        <f>IF($Y1341="","",INDEX($C$6:$C$40000,$Y1341)&amp;"")</f>
        <v/>
      </c>
      <c r="AA1341" s="59">
        <f>IF($Y1341="","",IF(INDEX($D$6:$D$40000,$Y1341)="","",INDEX($D$6:$D$40000,$Y1341)))</f>
        <v/>
      </c>
      <c r="AB1341">
        <f>IF($Y1341="","",INDEX($L$6:$L$40000,$Y1341)&amp;"")</f>
        <v/>
      </c>
    </row>
    <row r="1342">
      <c r="Y1342" s="47">
        <f>IFERROR(MATCH(Library!M1342,$M$6:$M$40000,0),"")</f>
        <v/>
      </c>
      <c r="Z1342">
        <f>IF($Y1342="","",INDEX($C$6:$C$40000,$Y1342)&amp;"")</f>
        <v/>
      </c>
      <c r="AA1342" s="59">
        <f>IF($Y1342="","",IF(INDEX($D$6:$D$40000,$Y1342)="","",INDEX($D$6:$D$40000,$Y1342)))</f>
        <v/>
      </c>
      <c r="AB1342">
        <f>IF($Y1342="","",INDEX($L$6:$L$40000,$Y1342)&amp;"")</f>
        <v/>
      </c>
    </row>
    <row r="1343">
      <c r="Y1343" s="47">
        <f>IFERROR(MATCH(Library!M1343,$M$6:$M$40000,0),"")</f>
        <v/>
      </c>
      <c r="Z1343">
        <f>IF($Y1343="","",INDEX($C$6:$C$40000,$Y1343)&amp;"")</f>
        <v/>
      </c>
      <c r="AA1343" s="59">
        <f>IF($Y1343="","",IF(INDEX($D$6:$D$40000,$Y1343)="","",INDEX($D$6:$D$40000,$Y1343)))</f>
        <v/>
      </c>
      <c r="AB1343">
        <f>IF($Y1343="","",INDEX($L$6:$L$40000,$Y1343)&amp;"")</f>
        <v/>
      </c>
    </row>
    <row r="1344">
      <c r="Y1344" s="47">
        <f>IFERROR(MATCH(Library!M1344,$M$6:$M$40000,0),"")</f>
        <v/>
      </c>
      <c r="Z1344">
        <f>IF($Y1344="","",INDEX($C$6:$C$40000,$Y1344)&amp;"")</f>
        <v/>
      </c>
      <c r="AA1344" s="59">
        <f>IF($Y1344="","",IF(INDEX($D$6:$D$40000,$Y1344)="","",INDEX($D$6:$D$40000,$Y1344)))</f>
        <v/>
      </c>
      <c r="AB1344">
        <f>IF($Y1344="","",INDEX($L$6:$L$40000,$Y1344)&amp;"")</f>
        <v/>
      </c>
    </row>
    <row r="1345">
      <c r="Y1345" s="47">
        <f>IFERROR(MATCH(Library!M1345,$M$6:$M$40000,0),"")</f>
        <v/>
      </c>
      <c r="Z1345">
        <f>IF($Y1345="","",INDEX($C$6:$C$40000,$Y1345)&amp;"")</f>
        <v/>
      </c>
      <c r="AA1345" s="59">
        <f>IF($Y1345="","",IF(INDEX($D$6:$D$40000,$Y1345)="","",INDEX($D$6:$D$40000,$Y1345)))</f>
        <v/>
      </c>
      <c r="AB1345">
        <f>IF($Y1345="","",INDEX($L$6:$L$40000,$Y1345)&amp;"")</f>
        <v/>
      </c>
    </row>
    <row r="1346">
      <c r="Y1346" s="47">
        <f>IFERROR(MATCH(Library!M1346,$M$6:$M$40000,0),"")</f>
        <v/>
      </c>
      <c r="Z1346">
        <f>IF($Y1346="","",INDEX($C$6:$C$40000,$Y1346)&amp;"")</f>
        <v/>
      </c>
      <c r="AA1346" s="59">
        <f>IF($Y1346="","",IF(INDEX($D$6:$D$40000,$Y1346)="","",INDEX($D$6:$D$40000,$Y1346)))</f>
        <v/>
      </c>
      <c r="AB1346">
        <f>IF($Y1346="","",INDEX($L$6:$L$40000,$Y1346)&amp;"")</f>
        <v/>
      </c>
    </row>
    <row r="1347">
      <c r="Y1347" s="47">
        <f>IFERROR(MATCH(Library!M1347,$M$6:$M$40000,0),"")</f>
        <v/>
      </c>
      <c r="Z1347">
        <f>IF($Y1347="","",INDEX($C$6:$C$40000,$Y1347)&amp;"")</f>
        <v/>
      </c>
      <c r="AA1347" s="59">
        <f>IF($Y1347="","",IF(INDEX($D$6:$D$40000,$Y1347)="","",INDEX($D$6:$D$40000,$Y1347)))</f>
        <v/>
      </c>
      <c r="AB1347">
        <f>IF($Y1347="","",INDEX($L$6:$L$40000,$Y1347)&amp;"")</f>
        <v/>
      </c>
    </row>
    <row r="1348">
      <c r="Y1348" s="47">
        <f>IFERROR(MATCH(Library!M1348,$M$6:$M$40000,0),"")</f>
        <v/>
      </c>
      <c r="Z1348">
        <f>IF($Y1348="","",INDEX($C$6:$C$40000,$Y1348)&amp;"")</f>
        <v/>
      </c>
      <c r="AA1348" s="59">
        <f>IF($Y1348="","",IF(INDEX($D$6:$D$40000,$Y1348)="","",INDEX($D$6:$D$40000,$Y1348)))</f>
        <v/>
      </c>
      <c r="AB1348">
        <f>IF($Y1348="","",INDEX($L$6:$L$40000,$Y1348)&amp;"")</f>
        <v/>
      </c>
    </row>
    <row r="1349">
      <c r="Y1349" s="47">
        <f>IFERROR(MATCH(Library!M1349,$M$6:$M$40000,0),"")</f>
        <v/>
      </c>
      <c r="Z1349">
        <f>IF($Y1349="","",INDEX($C$6:$C$40000,$Y1349)&amp;"")</f>
        <v/>
      </c>
      <c r="AA1349" s="59">
        <f>IF($Y1349="","",IF(INDEX($D$6:$D$40000,$Y1349)="","",INDEX($D$6:$D$40000,$Y1349)))</f>
        <v/>
      </c>
      <c r="AB1349">
        <f>IF($Y1349="","",INDEX($L$6:$L$40000,$Y1349)&amp;"")</f>
        <v/>
      </c>
    </row>
    <row r="1350">
      <c r="Y1350" s="47">
        <f>IFERROR(MATCH(Library!M1350,$M$6:$M$40000,0),"")</f>
        <v/>
      </c>
      <c r="Z1350">
        <f>IF($Y1350="","",INDEX($C$6:$C$40000,$Y1350)&amp;"")</f>
        <v/>
      </c>
      <c r="AA1350" s="59">
        <f>IF($Y1350="","",IF(INDEX($D$6:$D$40000,$Y1350)="","",INDEX($D$6:$D$40000,$Y1350)))</f>
        <v/>
      </c>
      <c r="AB1350">
        <f>IF($Y1350="","",INDEX($L$6:$L$40000,$Y1350)&amp;"")</f>
        <v/>
      </c>
    </row>
    <row r="1351">
      <c r="Y1351" s="47">
        <f>IFERROR(MATCH(Library!M1351,$M$6:$M$40000,0),"")</f>
        <v/>
      </c>
      <c r="Z1351">
        <f>IF($Y1351="","",INDEX($C$6:$C$40000,$Y1351)&amp;"")</f>
        <v/>
      </c>
      <c r="AA1351" s="59">
        <f>IF($Y1351="","",IF(INDEX($D$6:$D$40000,$Y1351)="","",INDEX($D$6:$D$40000,$Y1351)))</f>
        <v/>
      </c>
      <c r="AB1351">
        <f>IF($Y1351="","",INDEX($L$6:$L$40000,$Y1351)&amp;"")</f>
        <v/>
      </c>
    </row>
    <row r="1352">
      <c r="Y1352" s="47">
        <f>IFERROR(MATCH(Library!M1352,$M$6:$M$40000,0),"")</f>
        <v/>
      </c>
      <c r="Z1352">
        <f>IF($Y1352="","",INDEX($C$6:$C$40000,$Y1352)&amp;"")</f>
        <v/>
      </c>
      <c r="AA1352" s="59">
        <f>IF($Y1352="","",IF(INDEX($D$6:$D$40000,$Y1352)="","",INDEX($D$6:$D$40000,$Y1352)))</f>
        <v/>
      </c>
      <c r="AB1352">
        <f>IF($Y1352="","",INDEX($L$6:$L$40000,$Y1352)&amp;"")</f>
        <v/>
      </c>
    </row>
    <row r="1353">
      <c r="Y1353" s="47">
        <f>IFERROR(MATCH(Library!M1353,$M$6:$M$40000,0),"")</f>
        <v/>
      </c>
      <c r="Z1353">
        <f>IF($Y1353="","",INDEX($C$6:$C$40000,$Y1353)&amp;"")</f>
        <v/>
      </c>
      <c r="AA1353" s="59">
        <f>IF($Y1353="","",IF(INDEX($D$6:$D$40000,$Y1353)="","",INDEX($D$6:$D$40000,$Y1353)))</f>
        <v/>
      </c>
      <c r="AB1353">
        <f>IF($Y1353="","",INDEX($L$6:$L$40000,$Y1353)&amp;"")</f>
        <v/>
      </c>
    </row>
    <row r="1354">
      <c r="Y1354" s="47">
        <f>IFERROR(MATCH(Library!M1354,$M$6:$M$40000,0),"")</f>
        <v/>
      </c>
      <c r="Z1354">
        <f>IF($Y1354="","",INDEX($C$6:$C$40000,$Y1354)&amp;"")</f>
        <v/>
      </c>
      <c r="AA1354" s="59">
        <f>IF($Y1354="","",IF(INDEX($D$6:$D$40000,$Y1354)="","",INDEX($D$6:$D$40000,$Y1354)))</f>
        <v/>
      </c>
      <c r="AB1354">
        <f>IF($Y1354="","",INDEX($L$6:$L$40000,$Y1354)&amp;"")</f>
        <v/>
      </c>
    </row>
    <row r="1355">
      <c r="Y1355" s="47">
        <f>IFERROR(MATCH(Library!M1355,$M$6:$M$40000,0),"")</f>
        <v/>
      </c>
      <c r="Z1355">
        <f>IF($Y1355="","",INDEX($C$6:$C$40000,$Y1355)&amp;"")</f>
        <v/>
      </c>
      <c r="AA1355" s="59">
        <f>IF($Y1355="","",IF(INDEX($D$6:$D$40000,$Y1355)="","",INDEX($D$6:$D$40000,$Y1355)))</f>
        <v/>
      </c>
      <c r="AB1355">
        <f>IF($Y1355="","",INDEX($L$6:$L$40000,$Y1355)&amp;"")</f>
        <v/>
      </c>
    </row>
    <row r="1356">
      <c r="Y1356" s="47">
        <f>IFERROR(MATCH(Library!M1356,$M$6:$M$40000,0),"")</f>
        <v/>
      </c>
      <c r="Z1356">
        <f>IF($Y1356="","",INDEX($C$6:$C$40000,$Y1356)&amp;"")</f>
        <v/>
      </c>
      <c r="AA1356" s="59">
        <f>IF($Y1356="","",IF(INDEX($D$6:$D$40000,$Y1356)="","",INDEX($D$6:$D$40000,$Y1356)))</f>
        <v/>
      </c>
      <c r="AB1356">
        <f>IF($Y1356="","",INDEX($L$6:$L$40000,$Y1356)&amp;"")</f>
        <v/>
      </c>
    </row>
    <row r="1357">
      <c r="Y1357" s="47">
        <f>IFERROR(MATCH(Library!M1357,$M$6:$M$40000,0),"")</f>
        <v/>
      </c>
      <c r="Z1357">
        <f>IF($Y1357="","",INDEX($C$6:$C$40000,$Y1357)&amp;"")</f>
        <v/>
      </c>
      <c r="AA1357" s="59">
        <f>IF($Y1357="","",IF(INDEX($D$6:$D$40000,$Y1357)="","",INDEX($D$6:$D$40000,$Y1357)))</f>
        <v/>
      </c>
      <c r="AB1357">
        <f>IF($Y1357="","",INDEX($L$6:$L$40000,$Y1357)&amp;"")</f>
        <v/>
      </c>
    </row>
    <row r="1358">
      <c r="Y1358" s="47">
        <f>IFERROR(MATCH(Library!M1358,$M$6:$M$40000,0),"")</f>
        <v/>
      </c>
      <c r="Z1358">
        <f>IF($Y1358="","",INDEX($C$6:$C$40000,$Y1358)&amp;"")</f>
        <v/>
      </c>
      <c r="AA1358" s="59">
        <f>IF($Y1358="","",IF(INDEX($D$6:$D$40000,$Y1358)="","",INDEX($D$6:$D$40000,$Y1358)))</f>
        <v/>
      </c>
      <c r="AB1358">
        <f>IF($Y1358="","",INDEX($L$6:$L$40000,$Y1358)&amp;"")</f>
        <v/>
      </c>
    </row>
    <row r="1359">
      <c r="Y1359" s="47">
        <f>IFERROR(MATCH(Library!M1359,$M$6:$M$40000,0),"")</f>
        <v/>
      </c>
      <c r="Z1359">
        <f>IF($Y1359="","",INDEX($C$6:$C$40000,$Y1359)&amp;"")</f>
        <v/>
      </c>
      <c r="AA1359" s="59">
        <f>IF($Y1359="","",IF(INDEX($D$6:$D$40000,$Y1359)="","",INDEX($D$6:$D$40000,$Y1359)))</f>
        <v/>
      </c>
      <c r="AB1359">
        <f>IF($Y1359="","",INDEX($L$6:$L$40000,$Y1359)&amp;"")</f>
        <v/>
      </c>
    </row>
    <row r="1360">
      <c r="Y1360" s="47">
        <f>IFERROR(MATCH(Library!M1360,$M$6:$M$40000,0),"")</f>
        <v/>
      </c>
      <c r="Z1360">
        <f>IF($Y1360="","",INDEX($C$6:$C$40000,$Y1360)&amp;"")</f>
        <v/>
      </c>
      <c r="AA1360" s="59">
        <f>IF($Y1360="","",IF(INDEX($D$6:$D$40000,$Y1360)="","",INDEX($D$6:$D$40000,$Y1360)))</f>
        <v/>
      </c>
      <c r="AB1360">
        <f>IF($Y1360="","",INDEX($L$6:$L$40000,$Y1360)&amp;"")</f>
        <v/>
      </c>
    </row>
    <row r="1361">
      <c r="Y1361" s="47">
        <f>IFERROR(MATCH(Library!M1361,$M$6:$M$40000,0),"")</f>
        <v/>
      </c>
      <c r="Z1361">
        <f>IF($Y1361="","",INDEX($C$6:$C$40000,$Y1361)&amp;"")</f>
        <v/>
      </c>
      <c r="AA1361" s="59">
        <f>IF($Y1361="","",IF(INDEX($D$6:$D$40000,$Y1361)="","",INDEX($D$6:$D$40000,$Y1361)))</f>
        <v/>
      </c>
      <c r="AB1361">
        <f>IF($Y1361="","",INDEX($L$6:$L$40000,$Y1361)&amp;"")</f>
        <v/>
      </c>
    </row>
    <row r="1362">
      <c r="Y1362" s="47">
        <f>IFERROR(MATCH(Library!M1362,$M$6:$M$40000,0),"")</f>
        <v/>
      </c>
      <c r="Z1362">
        <f>IF($Y1362="","",INDEX($C$6:$C$40000,$Y1362)&amp;"")</f>
        <v/>
      </c>
      <c r="AA1362" s="59">
        <f>IF($Y1362="","",IF(INDEX($D$6:$D$40000,$Y1362)="","",INDEX($D$6:$D$40000,$Y1362)))</f>
        <v/>
      </c>
      <c r="AB1362">
        <f>IF($Y1362="","",INDEX($L$6:$L$40000,$Y1362)&amp;"")</f>
        <v/>
      </c>
    </row>
    <row r="1363">
      <c r="Y1363" s="47">
        <f>IFERROR(MATCH(Library!M1363,$M$6:$M$40000,0),"")</f>
        <v/>
      </c>
      <c r="Z1363">
        <f>IF($Y1363="","",INDEX($C$6:$C$40000,$Y1363)&amp;"")</f>
        <v/>
      </c>
      <c r="AA1363" s="59">
        <f>IF($Y1363="","",IF(INDEX($D$6:$D$40000,$Y1363)="","",INDEX($D$6:$D$40000,$Y1363)))</f>
        <v/>
      </c>
      <c r="AB1363">
        <f>IF($Y1363="","",INDEX($L$6:$L$40000,$Y1363)&amp;"")</f>
        <v/>
      </c>
    </row>
    <row r="1364">
      <c r="Y1364" s="47">
        <f>IFERROR(MATCH(Library!M1364,$M$6:$M$40000,0),"")</f>
        <v/>
      </c>
      <c r="Z1364">
        <f>IF($Y1364="","",INDEX($C$6:$C$40000,$Y1364)&amp;"")</f>
        <v/>
      </c>
      <c r="AA1364" s="59">
        <f>IF($Y1364="","",IF(INDEX($D$6:$D$40000,$Y1364)="","",INDEX($D$6:$D$40000,$Y1364)))</f>
        <v/>
      </c>
      <c r="AB1364">
        <f>IF($Y1364="","",INDEX($L$6:$L$40000,$Y1364)&amp;"")</f>
        <v/>
      </c>
    </row>
    <row r="1365">
      <c r="Y1365" s="47">
        <f>IFERROR(MATCH(Library!M1365,$M$6:$M$40000,0),"")</f>
        <v/>
      </c>
      <c r="Z1365">
        <f>IF($Y1365="","",INDEX($C$6:$C$40000,$Y1365)&amp;"")</f>
        <v/>
      </c>
      <c r="AA1365" s="59">
        <f>IF($Y1365="","",IF(INDEX($D$6:$D$40000,$Y1365)="","",INDEX($D$6:$D$40000,$Y1365)))</f>
        <v/>
      </c>
      <c r="AB1365">
        <f>IF($Y1365="","",INDEX($L$6:$L$40000,$Y1365)&amp;"")</f>
        <v/>
      </c>
    </row>
    <row r="1366">
      <c r="Y1366" s="47">
        <f>IFERROR(MATCH(Library!M1366,$M$6:$M$40000,0),"")</f>
        <v/>
      </c>
      <c r="Z1366">
        <f>IF($Y1366="","",INDEX($C$6:$C$40000,$Y1366)&amp;"")</f>
        <v/>
      </c>
      <c r="AA1366" s="59">
        <f>IF($Y1366="","",IF(INDEX($D$6:$D$40000,$Y1366)="","",INDEX($D$6:$D$40000,$Y1366)))</f>
        <v/>
      </c>
      <c r="AB1366">
        <f>IF($Y1366="","",INDEX($L$6:$L$40000,$Y1366)&amp;"")</f>
        <v/>
      </c>
    </row>
    <row r="1367">
      <c r="Y1367" s="47">
        <f>IFERROR(MATCH(Library!M1367,$M$6:$M$40000,0),"")</f>
        <v/>
      </c>
      <c r="Z1367">
        <f>IF($Y1367="","",INDEX($C$6:$C$40000,$Y1367)&amp;"")</f>
        <v/>
      </c>
      <c r="AA1367" s="59">
        <f>IF($Y1367="","",IF(INDEX($D$6:$D$40000,$Y1367)="","",INDEX($D$6:$D$40000,$Y1367)))</f>
        <v/>
      </c>
      <c r="AB1367">
        <f>IF($Y1367="","",INDEX($L$6:$L$40000,$Y1367)&amp;"")</f>
        <v/>
      </c>
    </row>
    <row r="1368">
      <c r="Y1368" s="47">
        <f>IFERROR(MATCH(Library!M1368,$M$6:$M$40000,0),"")</f>
        <v/>
      </c>
      <c r="Z1368">
        <f>IF($Y1368="","",INDEX($C$6:$C$40000,$Y1368)&amp;"")</f>
        <v/>
      </c>
      <c r="AA1368" s="59">
        <f>IF($Y1368="","",IF(INDEX($D$6:$D$40000,$Y1368)="","",INDEX($D$6:$D$40000,$Y1368)))</f>
        <v/>
      </c>
      <c r="AB1368">
        <f>IF($Y1368="","",INDEX($L$6:$L$40000,$Y1368)&amp;"")</f>
        <v/>
      </c>
    </row>
    <row r="1369">
      <c r="Y1369" s="47">
        <f>IFERROR(MATCH(Library!M1369,$M$6:$M$40000,0),"")</f>
        <v/>
      </c>
      <c r="Z1369">
        <f>IF($Y1369="","",INDEX($C$6:$C$40000,$Y1369)&amp;"")</f>
        <v/>
      </c>
      <c r="AA1369" s="59">
        <f>IF($Y1369="","",IF(INDEX($D$6:$D$40000,$Y1369)="","",INDEX($D$6:$D$40000,$Y1369)))</f>
        <v/>
      </c>
      <c r="AB1369">
        <f>IF($Y1369="","",INDEX($L$6:$L$40000,$Y1369)&amp;"")</f>
        <v/>
      </c>
    </row>
    <row r="1370">
      <c r="Y1370" s="47">
        <f>IFERROR(MATCH(Library!M1370,$M$6:$M$40000,0),"")</f>
        <v/>
      </c>
      <c r="Z1370">
        <f>IF($Y1370="","",INDEX($C$6:$C$40000,$Y1370)&amp;"")</f>
        <v/>
      </c>
      <c r="AA1370" s="59">
        <f>IF($Y1370="","",IF(INDEX($D$6:$D$40000,$Y1370)="","",INDEX($D$6:$D$40000,$Y1370)))</f>
        <v/>
      </c>
      <c r="AB1370">
        <f>IF($Y1370="","",INDEX($L$6:$L$40000,$Y1370)&amp;"")</f>
        <v/>
      </c>
    </row>
    <row r="1371">
      <c r="Y1371" s="47">
        <f>IFERROR(MATCH(Library!M1371,$M$6:$M$40000,0),"")</f>
        <v/>
      </c>
      <c r="Z1371">
        <f>IF($Y1371="","",INDEX($C$6:$C$40000,$Y1371)&amp;"")</f>
        <v/>
      </c>
      <c r="AA1371" s="59">
        <f>IF($Y1371="","",IF(INDEX($D$6:$D$40000,$Y1371)="","",INDEX($D$6:$D$40000,$Y1371)))</f>
        <v/>
      </c>
      <c r="AB1371">
        <f>IF($Y1371="","",INDEX($L$6:$L$40000,$Y1371)&amp;"")</f>
        <v/>
      </c>
    </row>
    <row r="1372">
      <c r="Y1372" s="47">
        <f>IFERROR(MATCH(Library!M1372,$M$6:$M$40000,0),"")</f>
        <v/>
      </c>
      <c r="Z1372">
        <f>IF($Y1372="","",INDEX($C$6:$C$40000,$Y1372)&amp;"")</f>
        <v/>
      </c>
      <c r="AA1372" s="59">
        <f>IF($Y1372="","",IF(INDEX($D$6:$D$40000,$Y1372)="","",INDEX($D$6:$D$40000,$Y1372)))</f>
        <v/>
      </c>
      <c r="AB1372">
        <f>IF($Y1372="","",INDEX($L$6:$L$40000,$Y1372)&amp;"")</f>
        <v/>
      </c>
    </row>
    <row r="1373">
      <c r="Y1373" s="47">
        <f>IFERROR(MATCH(Library!M1373,$M$6:$M$40000,0),"")</f>
        <v/>
      </c>
      <c r="Z1373">
        <f>IF($Y1373="","",INDEX($C$6:$C$40000,$Y1373)&amp;"")</f>
        <v/>
      </c>
      <c r="AA1373" s="59">
        <f>IF($Y1373="","",IF(INDEX($D$6:$D$40000,$Y1373)="","",INDEX($D$6:$D$40000,$Y1373)))</f>
        <v/>
      </c>
      <c r="AB1373">
        <f>IF($Y1373="","",INDEX($L$6:$L$40000,$Y1373)&amp;"")</f>
        <v/>
      </c>
    </row>
    <row r="1374">
      <c r="Y1374" s="47">
        <f>IFERROR(MATCH(Library!M1374,$M$6:$M$40000,0),"")</f>
        <v/>
      </c>
      <c r="Z1374">
        <f>IF($Y1374="","",INDEX($C$6:$C$40000,$Y1374)&amp;"")</f>
        <v/>
      </c>
      <c r="AA1374" s="59">
        <f>IF($Y1374="","",IF(INDEX($D$6:$D$40000,$Y1374)="","",INDEX($D$6:$D$40000,$Y1374)))</f>
        <v/>
      </c>
      <c r="AB1374">
        <f>IF($Y1374="","",INDEX($L$6:$L$40000,$Y1374)&amp;"")</f>
        <v/>
      </c>
    </row>
    <row r="1375">
      <c r="Y1375" s="47">
        <f>IFERROR(MATCH(Library!M1375,$M$6:$M$40000,0),"")</f>
        <v/>
      </c>
      <c r="Z1375">
        <f>IF($Y1375="","",INDEX($C$6:$C$40000,$Y1375)&amp;"")</f>
        <v/>
      </c>
      <c r="AA1375" s="59">
        <f>IF($Y1375="","",IF(INDEX($D$6:$D$40000,$Y1375)="","",INDEX($D$6:$D$40000,$Y1375)))</f>
        <v/>
      </c>
      <c r="AB1375">
        <f>IF($Y1375="","",INDEX($L$6:$L$40000,$Y1375)&amp;"")</f>
        <v/>
      </c>
    </row>
    <row r="1376">
      <c r="Y1376" s="47">
        <f>IFERROR(MATCH(Library!M1376,$M$6:$M$40000,0),"")</f>
        <v/>
      </c>
      <c r="Z1376">
        <f>IF($Y1376="","",INDEX($C$6:$C$40000,$Y1376)&amp;"")</f>
        <v/>
      </c>
      <c r="AA1376" s="59">
        <f>IF($Y1376="","",IF(INDEX($D$6:$D$40000,$Y1376)="","",INDEX($D$6:$D$40000,$Y1376)))</f>
        <v/>
      </c>
      <c r="AB1376">
        <f>IF($Y1376="","",INDEX($L$6:$L$40000,$Y1376)&amp;"")</f>
        <v/>
      </c>
    </row>
    <row r="1377">
      <c r="Y1377" s="47">
        <f>IFERROR(MATCH(Library!M1377,$M$6:$M$40000,0),"")</f>
        <v/>
      </c>
      <c r="Z1377">
        <f>IF($Y1377="","",INDEX($C$6:$C$40000,$Y1377)&amp;"")</f>
        <v/>
      </c>
      <c r="AA1377" s="59">
        <f>IF($Y1377="","",IF(INDEX($D$6:$D$40000,$Y1377)="","",INDEX($D$6:$D$40000,$Y1377)))</f>
        <v/>
      </c>
      <c r="AB1377">
        <f>IF($Y1377="","",INDEX($L$6:$L$40000,$Y1377)&amp;"")</f>
        <v/>
      </c>
    </row>
    <row r="1378">
      <c r="Y1378" s="47">
        <f>IFERROR(MATCH(Library!M1378,$M$6:$M$40000,0),"")</f>
        <v/>
      </c>
      <c r="Z1378">
        <f>IF($Y1378="","",INDEX($C$6:$C$40000,$Y1378)&amp;"")</f>
        <v/>
      </c>
      <c r="AA1378" s="59">
        <f>IF($Y1378="","",IF(INDEX($D$6:$D$40000,$Y1378)="","",INDEX($D$6:$D$40000,$Y1378)))</f>
        <v/>
      </c>
      <c r="AB1378">
        <f>IF($Y1378="","",INDEX($L$6:$L$40000,$Y1378)&amp;"")</f>
        <v/>
      </c>
    </row>
    <row r="1379">
      <c r="Y1379" s="47">
        <f>IFERROR(MATCH(Library!M1379,$M$6:$M$40000,0),"")</f>
        <v/>
      </c>
      <c r="Z1379">
        <f>IF($Y1379="","",INDEX($C$6:$C$40000,$Y1379)&amp;"")</f>
        <v/>
      </c>
      <c r="AA1379" s="59">
        <f>IF($Y1379="","",IF(INDEX($D$6:$D$40000,$Y1379)="","",INDEX($D$6:$D$40000,$Y1379)))</f>
        <v/>
      </c>
      <c r="AB1379">
        <f>IF($Y1379="","",INDEX($L$6:$L$40000,$Y1379)&amp;"")</f>
        <v/>
      </c>
    </row>
    <row r="1380">
      <c r="Y1380" s="47">
        <f>IFERROR(MATCH(Library!M1380,$M$6:$M$40000,0),"")</f>
        <v/>
      </c>
      <c r="Z1380">
        <f>IF($Y1380="","",INDEX($C$6:$C$40000,$Y1380)&amp;"")</f>
        <v/>
      </c>
      <c r="AA1380" s="59">
        <f>IF($Y1380="","",IF(INDEX($D$6:$D$40000,$Y1380)="","",INDEX($D$6:$D$40000,$Y1380)))</f>
        <v/>
      </c>
      <c r="AB1380">
        <f>IF($Y1380="","",INDEX($L$6:$L$40000,$Y1380)&amp;"")</f>
        <v/>
      </c>
    </row>
    <row r="1381">
      <c r="Y1381" s="47">
        <f>IFERROR(MATCH(Library!M1381,$M$6:$M$40000,0),"")</f>
        <v/>
      </c>
      <c r="Z1381">
        <f>IF($Y1381="","",INDEX($C$6:$C$40000,$Y1381)&amp;"")</f>
        <v/>
      </c>
      <c r="AA1381" s="59">
        <f>IF($Y1381="","",IF(INDEX($D$6:$D$40000,$Y1381)="","",INDEX($D$6:$D$40000,$Y1381)))</f>
        <v/>
      </c>
      <c r="AB1381">
        <f>IF($Y1381="","",INDEX($L$6:$L$40000,$Y1381)&amp;"")</f>
        <v/>
      </c>
    </row>
    <row r="1382">
      <c r="Y1382" s="47">
        <f>IFERROR(MATCH(Library!M1382,$M$6:$M$40000,0),"")</f>
        <v/>
      </c>
      <c r="Z1382">
        <f>IF($Y1382="","",INDEX($C$6:$C$40000,$Y1382)&amp;"")</f>
        <v/>
      </c>
      <c r="AA1382" s="59">
        <f>IF($Y1382="","",IF(INDEX($D$6:$D$40000,$Y1382)="","",INDEX($D$6:$D$40000,$Y1382)))</f>
        <v/>
      </c>
      <c r="AB1382">
        <f>IF($Y1382="","",INDEX($L$6:$L$40000,$Y1382)&amp;"")</f>
        <v/>
      </c>
    </row>
    <row r="1383">
      <c r="Y1383" s="47">
        <f>IFERROR(MATCH(Library!M1383,$M$6:$M$40000,0),"")</f>
        <v/>
      </c>
      <c r="Z1383">
        <f>IF($Y1383="","",INDEX($C$6:$C$40000,$Y1383)&amp;"")</f>
        <v/>
      </c>
      <c r="AA1383" s="59">
        <f>IF($Y1383="","",IF(INDEX($D$6:$D$40000,$Y1383)="","",INDEX($D$6:$D$40000,$Y1383)))</f>
        <v/>
      </c>
      <c r="AB1383">
        <f>IF($Y1383="","",INDEX($L$6:$L$40000,$Y1383)&amp;"")</f>
        <v/>
      </c>
    </row>
    <row r="1384">
      <c r="Y1384" s="47">
        <f>IFERROR(MATCH(Library!M1384,$M$6:$M$40000,0),"")</f>
        <v/>
      </c>
      <c r="Z1384">
        <f>IF($Y1384="","",INDEX($C$6:$C$40000,$Y1384)&amp;"")</f>
        <v/>
      </c>
      <c r="AA1384" s="59">
        <f>IF($Y1384="","",IF(INDEX($D$6:$D$40000,$Y1384)="","",INDEX($D$6:$D$40000,$Y1384)))</f>
        <v/>
      </c>
      <c r="AB1384">
        <f>IF($Y1384="","",INDEX($L$6:$L$40000,$Y1384)&amp;"")</f>
        <v/>
      </c>
    </row>
    <row r="1385">
      <c r="Y1385" s="47">
        <f>IFERROR(MATCH(Library!M1385,$M$6:$M$40000,0),"")</f>
        <v/>
      </c>
      <c r="Z1385">
        <f>IF($Y1385="","",INDEX($C$6:$C$40000,$Y1385)&amp;"")</f>
        <v/>
      </c>
      <c r="AA1385" s="59">
        <f>IF($Y1385="","",IF(INDEX($D$6:$D$40000,$Y1385)="","",INDEX($D$6:$D$40000,$Y1385)))</f>
        <v/>
      </c>
      <c r="AB1385">
        <f>IF($Y1385="","",INDEX($L$6:$L$40000,$Y1385)&amp;"")</f>
        <v/>
      </c>
    </row>
    <row r="1386">
      <c r="Y1386" s="47">
        <f>IFERROR(MATCH(Library!M1386,$M$6:$M$40000,0),"")</f>
        <v/>
      </c>
      <c r="Z1386">
        <f>IF($Y1386="","",INDEX($C$6:$C$40000,$Y1386)&amp;"")</f>
        <v/>
      </c>
      <c r="AA1386" s="59">
        <f>IF($Y1386="","",IF(INDEX($D$6:$D$40000,$Y1386)="","",INDEX($D$6:$D$40000,$Y1386)))</f>
        <v/>
      </c>
      <c r="AB1386">
        <f>IF($Y1386="","",INDEX($L$6:$L$40000,$Y1386)&amp;"")</f>
        <v/>
      </c>
    </row>
    <row r="1387">
      <c r="Y1387" s="47">
        <f>IFERROR(MATCH(Library!M1387,$M$6:$M$40000,0),"")</f>
        <v/>
      </c>
      <c r="Z1387">
        <f>IF($Y1387="","",INDEX($C$6:$C$40000,$Y1387)&amp;"")</f>
        <v/>
      </c>
      <c r="AA1387" s="59">
        <f>IF($Y1387="","",IF(INDEX($D$6:$D$40000,$Y1387)="","",INDEX($D$6:$D$40000,$Y1387)))</f>
        <v/>
      </c>
      <c r="AB1387">
        <f>IF($Y1387="","",INDEX($L$6:$L$40000,$Y1387)&amp;"")</f>
        <v/>
      </c>
    </row>
    <row r="1388">
      <c r="Y1388" s="47">
        <f>IFERROR(MATCH(Library!M1388,$M$6:$M$40000,0),"")</f>
        <v/>
      </c>
      <c r="Z1388">
        <f>IF($Y1388="","",INDEX($C$6:$C$40000,$Y1388)&amp;"")</f>
        <v/>
      </c>
      <c r="AA1388" s="59">
        <f>IF($Y1388="","",IF(INDEX($D$6:$D$40000,$Y1388)="","",INDEX($D$6:$D$40000,$Y1388)))</f>
        <v/>
      </c>
      <c r="AB1388">
        <f>IF($Y1388="","",INDEX($L$6:$L$40000,$Y1388)&amp;"")</f>
        <v/>
      </c>
    </row>
    <row r="1389">
      <c r="Y1389" s="47">
        <f>IFERROR(MATCH(Library!M1389,$M$6:$M$40000,0),"")</f>
        <v/>
      </c>
      <c r="Z1389">
        <f>IF($Y1389="","",INDEX($C$6:$C$40000,$Y1389)&amp;"")</f>
        <v/>
      </c>
      <c r="AA1389" s="59">
        <f>IF($Y1389="","",IF(INDEX($D$6:$D$40000,$Y1389)="","",INDEX($D$6:$D$40000,$Y1389)))</f>
        <v/>
      </c>
      <c r="AB1389">
        <f>IF($Y1389="","",INDEX($L$6:$L$40000,$Y1389)&amp;"")</f>
        <v/>
      </c>
    </row>
    <row r="1390">
      <c r="Y1390" s="47">
        <f>IFERROR(MATCH(Library!M1390,$M$6:$M$40000,0),"")</f>
        <v/>
      </c>
      <c r="Z1390">
        <f>IF($Y1390="","",INDEX($C$6:$C$40000,$Y1390)&amp;"")</f>
        <v/>
      </c>
      <c r="AA1390" s="59">
        <f>IF($Y1390="","",IF(INDEX($D$6:$D$40000,$Y1390)="","",INDEX($D$6:$D$40000,$Y1390)))</f>
        <v/>
      </c>
      <c r="AB1390">
        <f>IF($Y1390="","",INDEX($L$6:$L$40000,$Y1390)&amp;"")</f>
        <v/>
      </c>
    </row>
    <row r="1391">
      <c r="Y1391" s="47">
        <f>IFERROR(MATCH(Library!M1391,$M$6:$M$40000,0),"")</f>
        <v/>
      </c>
      <c r="Z1391">
        <f>IF($Y1391="","",INDEX($C$6:$C$40000,$Y1391)&amp;"")</f>
        <v/>
      </c>
      <c r="AA1391" s="59">
        <f>IF($Y1391="","",IF(INDEX($D$6:$D$40000,$Y1391)="","",INDEX($D$6:$D$40000,$Y1391)))</f>
        <v/>
      </c>
      <c r="AB1391">
        <f>IF($Y1391="","",INDEX($L$6:$L$40000,$Y1391)&amp;"")</f>
        <v/>
      </c>
    </row>
    <row r="1392">
      <c r="Y1392" s="47">
        <f>IFERROR(MATCH(Library!M1392,$M$6:$M$40000,0),"")</f>
        <v/>
      </c>
      <c r="Z1392">
        <f>IF($Y1392="","",INDEX($C$6:$C$40000,$Y1392)&amp;"")</f>
        <v/>
      </c>
      <c r="AA1392" s="59">
        <f>IF($Y1392="","",IF(INDEX($D$6:$D$40000,$Y1392)="","",INDEX($D$6:$D$40000,$Y1392)))</f>
        <v/>
      </c>
      <c r="AB1392">
        <f>IF($Y1392="","",INDEX($L$6:$L$40000,$Y1392)&amp;"")</f>
        <v/>
      </c>
    </row>
    <row r="1393">
      <c r="Y1393" s="47">
        <f>IFERROR(MATCH(Library!M1393,$M$6:$M$40000,0),"")</f>
        <v/>
      </c>
      <c r="Z1393">
        <f>IF($Y1393="","",INDEX($C$6:$C$40000,$Y1393)&amp;"")</f>
        <v/>
      </c>
      <c r="AA1393" s="59">
        <f>IF($Y1393="","",IF(INDEX($D$6:$D$40000,$Y1393)="","",INDEX($D$6:$D$40000,$Y1393)))</f>
        <v/>
      </c>
      <c r="AB1393">
        <f>IF($Y1393="","",INDEX($L$6:$L$40000,$Y1393)&amp;"")</f>
        <v/>
      </c>
    </row>
    <row r="1394">
      <c r="Y1394" s="47">
        <f>IFERROR(MATCH(Library!M1394,$M$6:$M$40000,0),"")</f>
        <v/>
      </c>
      <c r="Z1394">
        <f>IF($Y1394="","",INDEX($C$6:$C$40000,$Y1394)&amp;"")</f>
        <v/>
      </c>
      <c r="AA1394" s="59">
        <f>IF($Y1394="","",IF(INDEX($D$6:$D$40000,$Y1394)="","",INDEX($D$6:$D$40000,$Y1394)))</f>
        <v/>
      </c>
      <c r="AB1394">
        <f>IF($Y1394="","",INDEX($L$6:$L$40000,$Y1394)&amp;"")</f>
        <v/>
      </c>
    </row>
    <row r="1395">
      <c r="Y1395" s="47">
        <f>IFERROR(MATCH(Library!M1395,$M$6:$M$40000,0),"")</f>
        <v/>
      </c>
      <c r="Z1395">
        <f>IF($Y1395="","",INDEX($C$6:$C$40000,$Y1395)&amp;"")</f>
        <v/>
      </c>
      <c r="AA1395" s="59">
        <f>IF($Y1395="","",IF(INDEX($D$6:$D$40000,$Y1395)="","",INDEX($D$6:$D$40000,$Y1395)))</f>
        <v/>
      </c>
      <c r="AB1395">
        <f>IF($Y1395="","",INDEX($L$6:$L$40000,$Y1395)&amp;"")</f>
        <v/>
      </c>
    </row>
    <row r="1396">
      <c r="Y1396" s="47">
        <f>IFERROR(MATCH(Library!M1396,$M$6:$M$40000,0),"")</f>
        <v/>
      </c>
      <c r="Z1396">
        <f>IF($Y1396="","",INDEX($C$6:$C$40000,$Y1396)&amp;"")</f>
        <v/>
      </c>
      <c r="AA1396" s="59">
        <f>IF($Y1396="","",IF(INDEX($D$6:$D$40000,$Y1396)="","",INDEX($D$6:$D$40000,$Y1396)))</f>
        <v/>
      </c>
      <c r="AB1396">
        <f>IF($Y1396="","",INDEX($L$6:$L$40000,$Y1396)&amp;"")</f>
        <v/>
      </c>
    </row>
    <row r="1397">
      <c r="Y1397" s="47">
        <f>IFERROR(MATCH(Library!M1397,$M$6:$M$40000,0),"")</f>
        <v/>
      </c>
      <c r="Z1397">
        <f>IF($Y1397="","",INDEX($C$6:$C$40000,$Y1397)&amp;"")</f>
        <v/>
      </c>
      <c r="AA1397" s="59">
        <f>IF($Y1397="","",IF(INDEX($D$6:$D$40000,$Y1397)="","",INDEX($D$6:$D$40000,$Y1397)))</f>
        <v/>
      </c>
      <c r="AB1397">
        <f>IF($Y1397="","",INDEX($L$6:$L$40000,$Y1397)&amp;"")</f>
        <v/>
      </c>
    </row>
    <row r="1398">
      <c r="Y1398" s="47">
        <f>IFERROR(MATCH(Library!M1398,$M$6:$M$40000,0),"")</f>
        <v/>
      </c>
      <c r="Z1398">
        <f>IF($Y1398="","",INDEX($C$6:$C$40000,$Y1398)&amp;"")</f>
        <v/>
      </c>
      <c r="AA1398" s="59">
        <f>IF($Y1398="","",IF(INDEX($D$6:$D$40000,$Y1398)="","",INDEX($D$6:$D$40000,$Y1398)))</f>
        <v/>
      </c>
      <c r="AB1398">
        <f>IF($Y1398="","",INDEX($L$6:$L$40000,$Y1398)&amp;"")</f>
        <v/>
      </c>
    </row>
    <row r="1399">
      <c r="Y1399" s="47">
        <f>IFERROR(MATCH(Library!M1399,$M$6:$M$40000,0),"")</f>
        <v/>
      </c>
      <c r="Z1399">
        <f>IF($Y1399="","",INDEX($C$6:$C$40000,$Y1399)&amp;"")</f>
        <v/>
      </c>
      <c r="AA1399" s="59">
        <f>IF($Y1399="","",IF(INDEX($D$6:$D$40000,$Y1399)="","",INDEX($D$6:$D$40000,$Y1399)))</f>
        <v/>
      </c>
      <c r="AB1399">
        <f>IF($Y1399="","",INDEX($L$6:$L$40000,$Y1399)&amp;"")</f>
        <v/>
      </c>
    </row>
    <row r="1400">
      <c r="Y1400" s="47">
        <f>IFERROR(MATCH(Library!M1400,$M$6:$M$40000,0),"")</f>
        <v/>
      </c>
      <c r="Z1400">
        <f>IF($Y1400="","",INDEX($C$6:$C$40000,$Y1400)&amp;"")</f>
        <v/>
      </c>
      <c r="AA1400" s="59">
        <f>IF($Y1400="","",IF(INDEX($D$6:$D$40000,$Y1400)="","",INDEX($D$6:$D$40000,$Y1400)))</f>
        <v/>
      </c>
      <c r="AB1400">
        <f>IF($Y1400="","",INDEX($L$6:$L$40000,$Y1400)&amp;"")</f>
        <v/>
      </c>
    </row>
    <row r="1401">
      <c r="Y1401" s="47">
        <f>IFERROR(MATCH(Library!M1401,$M$6:$M$40000,0),"")</f>
        <v/>
      </c>
      <c r="Z1401">
        <f>IF($Y1401="","",INDEX($C$6:$C$40000,$Y1401)&amp;"")</f>
        <v/>
      </c>
      <c r="AA1401" s="59">
        <f>IF($Y1401="","",IF(INDEX($D$6:$D$40000,$Y1401)="","",INDEX($D$6:$D$40000,$Y1401)))</f>
        <v/>
      </c>
      <c r="AB1401">
        <f>IF($Y1401="","",INDEX($L$6:$L$40000,$Y1401)&amp;"")</f>
        <v/>
      </c>
    </row>
    <row r="1402">
      <c r="Y1402" s="47">
        <f>IFERROR(MATCH(Library!M1402,$M$6:$M$40000,0),"")</f>
        <v/>
      </c>
      <c r="Z1402">
        <f>IF($Y1402="","",INDEX($C$6:$C$40000,$Y1402)&amp;"")</f>
        <v/>
      </c>
      <c r="AA1402" s="59">
        <f>IF($Y1402="","",IF(INDEX($D$6:$D$40000,$Y1402)="","",INDEX($D$6:$D$40000,$Y1402)))</f>
        <v/>
      </c>
      <c r="AB1402">
        <f>IF($Y1402="","",INDEX($L$6:$L$40000,$Y1402)&amp;"")</f>
        <v/>
      </c>
    </row>
    <row r="1403">
      <c r="Y1403" s="47">
        <f>IFERROR(MATCH(Library!M1403,$M$6:$M$40000,0),"")</f>
        <v/>
      </c>
      <c r="Z1403">
        <f>IF($Y1403="","",INDEX($C$6:$C$40000,$Y1403)&amp;"")</f>
        <v/>
      </c>
      <c r="AA1403" s="59">
        <f>IF($Y1403="","",IF(INDEX($D$6:$D$40000,$Y1403)="","",INDEX($D$6:$D$40000,$Y1403)))</f>
        <v/>
      </c>
      <c r="AB1403">
        <f>IF($Y1403="","",INDEX($L$6:$L$40000,$Y1403)&amp;"")</f>
        <v/>
      </c>
    </row>
    <row r="1404">
      <c r="Y1404" s="47">
        <f>IFERROR(MATCH(Library!M1404,$M$6:$M$40000,0),"")</f>
        <v/>
      </c>
      <c r="Z1404">
        <f>IF($Y1404="","",INDEX($C$6:$C$40000,$Y1404)&amp;"")</f>
        <v/>
      </c>
      <c r="AA1404" s="59">
        <f>IF($Y1404="","",IF(INDEX($D$6:$D$40000,$Y1404)="","",INDEX($D$6:$D$40000,$Y1404)))</f>
        <v/>
      </c>
      <c r="AB1404">
        <f>IF($Y1404="","",INDEX($L$6:$L$40000,$Y1404)&amp;"")</f>
        <v/>
      </c>
    </row>
    <row r="1405">
      <c r="Y1405" s="47">
        <f>IFERROR(MATCH(Library!M1405,$M$6:$M$40000,0),"")</f>
        <v/>
      </c>
      <c r="Z1405">
        <f>IF($Y1405="","",INDEX($C$6:$C$40000,$Y1405)&amp;"")</f>
        <v/>
      </c>
      <c r="AA1405" s="59">
        <f>IF($Y1405="","",IF(INDEX($D$6:$D$40000,$Y1405)="","",INDEX($D$6:$D$40000,$Y1405)))</f>
        <v/>
      </c>
      <c r="AB1405">
        <f>IF($Y1405="","",INDEX($L$6:$L$40000,$Y1405)&amp;"")</f>
        <v/>
      </c>
    </row>
    <row r="1406">
      <c r="Y1406" s="47">
        <f>IFERROR(MATCH(Library!M1406,$M$6:$M$40000,0),"")</f>
        <v/>
      </c>
      <c r="Z1406">
        <f>IF($Y1406="","",INDEX($C$6:$C$40000,$Y1406)&amp;"")</f>
        <v/>
      </c>
      <c r="AA1406" s="59">
        <f>IF($Y1406="","",IF(INDEX($D$6:$D$40000,$Y1406)="","",INDEX($D$6:$D$40000,$Y1406)))</f>
        <v/>
      </c>
      <c r="AB1406">
        <f>IF($Y1406="","",INDEX($L$6:$L$40000,$Y1406)&amp;"")</f>
        <v/>
      </c>
    </row>
    <row r="1407">
      <c r="Y1407" s="47">
        <f>IFERROR(MATCH(Library!M1407,$M$6:$M$40000,0),"")</f>
        <v/>
      </c>
      <c r="Z1407">
        <f>IF($Y1407="","",INDEX($C$6:$C$40000,$Y1407)&amp;"")</f>
        <v/>
      </c>
      <c r="AA1407" s="59">
        <f>IF($Y1407="","",IF(INDEX($D$6:$D$40000,$Y1407)="","",INDEX($D$6:$D$40000,$Y1407)))</f>
        <v/>
      </c>
      <c r="AB1407">
        <f>IF($Y1407="","",INDEX($L$6:$L$40000,$Y1407)&amp;"")</f>
        <v/>
      </c>
    </row>
    <row r="1408">
      <c r="Y1408" s="47">
        <f>IFERROR(MATCH(Library!M1408,$M$6:$M$40000,0),"")</f>
        <v/>
      </c>
      <c r="Z1408">
        <f>IF($Y1408="","",INDEX($C$6:$C$40000,$Y1408)&amp;"")</f>
        <v/>
      </c>
      <c r="AA1408" s="59">
        <f>IF($Y1408="","",IF(INDEX($D$6:$D$40000,$Y1408)="","",INDEX($D$6:$D$40000,$Y1408)))</f>
        <v/>
      </c>
      <c r="AB1408">
        <f>IF($Y1408="","",INDEX($L$6:$L$40000,$Y1408)&amp;"")</f>
        <v/>
      </c>
    </row>
    <row r="1409">
      <c r="Y1409" s="47">
        <f>IFERROR(MATCH(Library!M1409,$M$6:$M$40000,0),"")</f>
        <v/>
      </c>
      <c r="Z1409">
        <f>IF($Y1409="","",INDEX($C$6:$C$40000,$Y1409)&amp;"")</f>
        <v/>
      </c>
      <c r="AA1409" s="59">
        <f>IF($Y1409="","",IF(INDEX($D$6:$D$40000,$Y1409)="","",INDEX($D$6:$D$40000,$Y1409)))</f>
        <v/>
      </c>
      <c r="AB1409">
        <f>IF($Y1409="","",INDEX($L$6:$L$40000,$Y1409)&amp;"")</f>
        <v/>
      </c>
    </row>
    <row r="1410">
      <c r="Y1410" s="47">
        <f>IFERROR(MATCH(Library!M1410,$M$6:$M$40000,0),"")</f>
        <v/>
      </c>
      <c r="Z1410">
        <f>IF($Y1410="","",INDEX($C$6:$C$40000,$Y1410)&amp;"")</f>
        <v/>
      </c>
      <c r="AA1410" s="59">
        <f>IF($Y1410="","",IF(INDEX($D$6:$D$40000,$Y1410)="","",INDEX($D$6:$D$40000,$Y1410)))</f>
        <v/>
      </c>
      <c r="AB1410">
        <f>IF($Y1410="","",INDEX($L$6:$L$40000,$Y1410)&amp;"")</f>
        <v/>
      </c>
    </row>
    <row r="1411">
      <c r="Y1411" s="47">
        <f>IFERROR(MATCH(Library!M1411,$M$6:$M$40000,0),"")</f>
        <v/>
      </c>
      <c r="Z1411">
        <f>IF($Y1411="","",INDEX($C$6:$C$40000,$Y1411)&amp;"")</f>
        <v/>
      </c>
      <c r="AA1411" s="59">
        <f>IF($Y1411="","",IF(INDEX($D$6:$D$40000,$Y1411)="","",INDEX($D$6:$D$40000,$Y1411)))</f>
        <v/>
      </c>
      <c r="AB1411">
        <f>IF($Y1411="","",INDEX($L$6:$L$40000,$Y1411)&amp;"")</f>
        <v/>
      </c>
    </row>
    <row r="1412">
      <c r="Y1412" s="47">
        <f>IFERROR(MATCH(Library!M1412,$M$6:$M$40000,0),"")</f>
        <v/>
      </c>
      <c r="Z1412">
        <f>IF($Y1412="","",INDEX($C$6:$C$40000,$Y1412)&amp;"")</f>
        <v/>
      </c>
      <c r="AA1412" s="59">
        <f>IF($Y1412="","",IF(INDEX($D$6:$D$40000,$Y1412)="","",INDEX($D$6:$D$40000,$Y1412)))</f>
        <v/>
      </c>
      <c r="AB1412">
        <f>IF($Y1412="","",INDEX($L$6:$L$40000,$Y1412)&amp;"")</f>
        <v/>
      </c>
    </row>
    <row r="1413">
      <c r="Y1413" s="47">
        <f>IFERROR(MATCH(Library!M1413,$M$6:$M$40000,0),"")</f>
        <v/>
      </c>
      <c r="Z1413">
        <f>IF($Y1413="","",INDEX($C$6:$C$40000,$Y1413)&amp;"")</f>
        <v/>
      </c>
      <c r="AA1413" s="59">
        <f>IF($Y1413="","",IF(INDEX($D$6:$D$40000,$Y1413)="","",INDEX($D$6:$D$40000,$Y1413)))</f>
        <v/>
      </c>
      <c r="AB1413">
        <f>IF($Y1413="","",INDEX($L$6:$L$40000,$Y1413)&amp;"")</f>
        <v/>
      </c>
    </row>
    <row r="1414">
      <c r="Y1414" s="47">
        <f>IFERROR(MATCH(Library!M1414,$M$6:$M$40000,0),"")</f>
        <v/>
      </c>
      <c r="Z1414">
        <f>IF($Y1414="","",INDEX($C$6:$C$40000,$Y1414)&amp;"")</f>
        <v/>
      </c>
      <c r="AA1414" s="59">
        <f>IF($Y1414="","",IF(INDEX($D$6:$D$40000,$Y1414)="","",INDEX($D$6:$D$40000,$Y1414)))</f>
        <v/>
      </c>
      <c r="AB1414">
        <f>IF($Y1414="","",INDEX($L$6:$L$40000,$Y1414)&amp;"")</f>
        <v/>
      </c>
    </row>
    <row r="1415">
      <c r="Y1415" s="47">
        <f>IFERROR(MATCH(Library!M1415,$M$6:$M$40000,0),"")</f>
        <v/>
      </c>
      <c r="Z1415">
        <f>IF($Y1415="","",INDEX($C$6:$C$40000,$Y1415)&amp;"")</f>
        <v/>
      </c>
      <c r="AA1415" s="59">
        <f>IF($Y1415="","",IF(INDEX($D$6:$D$40000,$Y1415)="","",INDEX($D$6:$D$40000,$Y1415)))</f>
        <v/>
      </c>
      <c r="AB1415">
        <f>IF($Y1415="","",INDEX($L$6:$L$40000,$Y1415)&amp;"")</f>
        <v/>
      </c>
    </row>
    <row r="1416">
      <c r="Y1416" s="47">
        <f>IFERROR(MATCH(Library!M1416,$M$6:$M$40000,0),"")</f>
        <v/>
      </c>
      <c r="Z1416">
        <f>IF($Y1416="","",INDEX($C$6:$C$40000,$Y1416)&amp;"")</f>
        <v/>
      </c>
      <c r="AA1416" s="59">
        <f>IF($Y1416="","",IF(INDEX($D$6:$D$40000,$Y1416)="","",INDEX($D$6:$D$40000,$Y1416)))</f>
        <v/>
      </c>
      <c r="AB1416">
        <f>IF($Y1416="","",INDEX($L$6:$L$40000,$Y1416)&amp;"")</f>
        <v/>
      </c>
    </row>
    <row r="1417">
      <c r="Y1417" s="47">
        <f>IFERROR(MATCH(Library!M1417,$M$6:$M$40000,0),"")</f>
        <v/>
      </c>
      <c r="Z1417">
        <f>IF($Y1417="","",INDEX($C$6:$C$40000,$Y1417)&amp;"")</f>
        <v/>
      </c>
      <c r="AA1417" s="59">
        <f>IF($Y1417="","",IF(INDEX($D$6:$D$40000,$Y1417)="","",INDEX($D$6:$D$40000,$Y1417)))</f>
        <v/>
      </c>
      <c r="AB1417">
        <f>IF($Y1417="","",INDEX($L$6:$L$40000,$Y1417)&amp;"")</f>
        <v/>
      </c>
    </row>
    <row r="1418">
      <c r="Y1418" s="47">
        <f>IFERROR(MATCH(Library!M1418,$M$6:$M$40000,0),"")</f>
        <v/>
      </c>
      <c r="Z1418">
        <f>IF($Y1418="","",INDEX($C$6:$C$40000,$Y1418)&amp;"")</f>
        <v/>
      </c>
      <c r="AA1418" s="59">
        <f>IF($Y1418="","",IF(INDEX($D$6:$D$40000,$Y1418)="","",INDEX($D$6:$D$40000,$Y1418)))</f>
        <v/>
      </c>
      <c r="AB1418">
        <f>IF($Y1418="","",INDEX($L$6:$L$40000,$Y1418)&amp;"")</f>
        <v/>
      </c>
    </row>
    <row r="1419">
      <c r="Y1419" s="47">
        <f>IFERROR(MATCH(Library!M1419,$M$6:$M$40000,0),"")</f>
        <v/>
      </c>
      <c r="Z1419">
        <f>IF($Y1419="","",INDEX($C$6:$C$40000,$Y1419)&amp;"")</f>
        <v/>
      </c>
      <c r="AA1419" s="59">
        <f>IF($Y1419="","",IF(INDEX($D$6:$D$40000,$Y1419)="","",INDEX($D$6:$D$40000,$Y1419)))</f>
        <v/>
      </c>
      <c r="AB1419">
        <f>IF($Y1419="","",INDEX($L$6:$L$40000,$Y1419)&amp;"")</f>
        <v/>
      </c>
    </row>
    <row r="1420">
      <c r="Y1420" s="47">
        <f>IFERROR(MATCH(Library!M1420,$M$6:$M$40000,0),"")</f>
        <v/>
      </c>
      <c r="Z1420">
        <f>IF($Y1420="","",INDEX($C$6:$C$40000,$Y1420)&amp;"")</f>
        <v/>
      </c>
      <c r="AA1420" s="59">
        <f>IF($Y1420="","",IF(INDEX($D$6:$D$40000,$Y1420)="","",INDEX($D$6:$D$40000,$Y1420)))</f>
        <v/>
      </c>
      <c r="AB1420">
        <f>IF($Y1420="","",INDEX($L$6:$L$40000,$Y1420)&amp;"")</f>
        <v/>
      </c>
    </row>
    <row r="1421">
      <c r="Y1421" s="47">
        <f>IFERROR(MATCH(Library!M1421,$M$6:$M$40000,0),"")</f>
        <v/>
      </c>
      <c r="Z1421">
        <f>IF($Y1421="","",INDEX($C$6:$C$40000,$Y1421)&amp;"")</f>
        <v/>
      </c>
      <c r="AA1421" s="59">
        <f>IF($Y1421="","",IF(INDEX($D$6:$D$40000,$Y1421)="","",INDEX($D$6:$D$40000,$Y1421)))</f>
        <v/>
      </c>
      <c r="AB1421">
        <f>IF($Y1421="","",INDEX($L$6:$L$40000,$Y1421)&amp;"")</f>
        <v/>
      </c>
    </row>
    <row r="1422">
      <c r="Y1422" s="47">
        <f>IFERROR(MATCH(Library!M1422,$M$6:$M$40000,0),"")</f>
        <v/>
      </c>
      <c r="Z1422">
        <f>IF($Y1422="","",INDEX($C$6:$C$40000,$Y1422)&amp;"")</f>
        <v/>
      </c>
      <c r="AA1422" s="59">
        <f>IF($Y1422="","",IF(INDEX($D$6:$D$40000,$Y1422)="","",INDEX($D$6:$D$40000,$Y1422)))</f>
        <v/>
      </c>
      <c r="AB1422">
        <f>IF($Y1422="","",INDEX($L$6:$L$40000,$Y1422)&amp;"")</f>
        <v/>
      </c>
    </row>
    <row r="1423">
      <c r="Y1423" s="47">
        <f>IFERROR(MATCH(Library!M1423,$M$6:$M$40000,0),"")</f>
        <v/>
      </c>
      <c r="Z1423">
        <f>IF($Y1423="","",INDEX($C$6:$C$40000,$Y1423)&amp;"")</f>
        <v/>
      </c>
      <c r="AA1423" s="59">
        <f>IF($Y1423="","",IF(INDEX($D$6:$D$40000,$Y1423)="","",INDEX($D$6:$D$40000,$Y1423)))</f>
        <v/>
      </c>
      <c r="AB1423">
        <f>IF($Y1423="","",INDEX($L$6:$L$40000,$Y1423)&amp;"")</f>
        <v/>
      </c>
    </row>
    <row r="1424">
      <c r="Y1424" s="47">
        <f>IFERROR(MATCH(Library!M1424,$M$6:$M$40000,0),"")</f>
        <v/>
      </c>
      <c r="Z1424">
        <f>IF($Y1424="","",INDEX($C$6:$C$40000,$Y1424)&amp;"")</f>
        <v/>
      </c>
      <c r="AA1424" s="59">
        <f>IF($Y1424="","",IF(INDEX($D$6:$D$40000,$Y1424)="","",INDEX($D$6:$D$40000,$Y1424)))</f>
        <v/>
      </c>
      <c r="AB1424">
        <f>IF($Y1424="","",INDEX($L$6:$L$40000,$Y1424)&amp;"")</f>
        <v/>
      </c>
    </row>
    <row r="1425">
      <c r="Y1425" s="47">
        <f>IFERROR(MATCH(Library!M1425,$M$6:$M$40000,0),"")</f>
        <v/>
      </c>
      <c r="Z1425">
        <f>IF($Y1425="","",INDEX($C$6:$C$40000,$Y1425)&amp;"")</f>
        <v/>
      </c>
      <c r="AA1425" s="59">
        <f>IF($Y1425="","",IF(INDEX($D$6:$D$40000,$Y1425)="","",INDEX($D$6:$D$40000,$Y1425)))</f>
        <v/>
      </c>
      <c r="AB1425">
        <f>IF($Y1425="","",INDEX($L$6:$L$40000,$Y1425)&amp;"")</f>
        <v/>
      </c>
    </row>
    <row r="1426">
      <c r="Y1426" s="47">
        <f>IFERROR(MATCH(Library!M1426,$M$6:$M$40000,0),"")</f>
        <v/>
      </c>
      <c r="Z1426">
        <f>IF($Y1426="","",INDEX($C$6:$C$40000,$Y1426)&amp;"")</f>
        <v/>
      </c>
      <c r="AA1426" s="59">
        <f>IF($Y1426="","",IF(INDEX($D$6:$D$40000,$Y1426)="","",INDEX($D$6:$D$40000,$Y1426)))</f>
        <v/>
      </c>
      <c r="AB1426">
        <f>IF($Y1426="","",INDEX($L$6:$L$40000,$Y1426)&amp;"")</f>
        <v/>
      </c>
    </row>
    <row r="1427">
      <c r="Y1427" s="47">
        <f>IFERROR(MATCH(Library!M1427,$M$6:$M$40000,0),"")</f>
        <v/>
      </c>
      <c r="Z1427">
        <f>IF($Y1427="","",INDEX($C$6:$C$40000,$Y1427)&amp;"")</f>
        <v/>
      </c>
      <c r="AA1427" s="59">
        <f>IF($Y1427="","",IF(INDEX($D$6:$D$40000,$Y1427)="","",INDEX($D$6:$D$40000,$Y1427)))</f>
        <v/>
      </c>
      <c r="AB1427">
        <f>IF($Y1427="","",INDEX($L$6:$L$40000,$Y1427)&amp;"")</f>
        <v/>
      </c>
    </row>
    <row r="1428">
      <c r="Y1428" s="47">
        <f>IFERROR(MATCH(Library!M1428,$M$6:$M$40000,0),"")</f>
        <v/>
      </c>
      <c r="Z1428">
        <f>IF($Y1428="","",INDEX($C$6:$C$40000,$Y1428)&amp;"")</f>
        <v/>
      </c>
      <c r="AA1428" s="59">
        <f>IF($Y1428="","",IF(INDEX($D$6:$D$40000,$Y1428)="","",INDEX($D$6:$D$40000,$Y1428)))</f>
        <v/>
      </c>
      <c r="AB1428">
        <f>IF($Y1428="","",INDEX($L$6:$L$40000,$Y1428)&amp;"")</f>
        <v/>
      </c>
    </row>
    <row r="1429">
      <c r="Y1429" s="47">
        <f>IFERROR(MATCH(Library!M1429,$M$6:$M$40000,0),"")</f>
        <v/>
      </c>
      <c r="Z1429">
        <f>IF($Y1429="","",INDEX($C$6:$C$40000,$Y1429)&amp;"")</f>
        <v/>
      </c>
      <c r="AA1429" s="59">
        <f>IF($Y1429="","",IF(INDEX($D$6:$D$40000,$Y1429)="","",INDEX($D$6:$D$40000,$Y1429)))</f>
        <v/>
      </c>
      <c r="AB1429">
        <f>IF($Y1429="","",INDEX($L$6:$L$40000,$Y1429)&amp;"")</f>
        <v/>
      </c>
    </row>
    <row r="1430">
      <c r="Y1430" s="47">
        <f>IFERROR(MATCH(Library!M1430,$M$6:$M$40000,0),"")</f>
        <v/>
      </c>
      <c r="Z1430">
        <f>IF($Y1430="","",INDEX($C$6:$C$40000,$Y1430)&amp;"")</f>
        <v/>
      </c>
      <c r="AA1430" s="59">
        <f>IF($Y1430="","",IF(INDEX($D$6:$D$40000,$Y1430)="","",INDEX($D$6:$D$40000,$Y1430)))</f>
        <v/>
      </c>
      <c r="AB1430">
        <f>IF($Y1430="","",INDEX($L$6:$L$40000,$Y1430)&amp;"")</f>
        <v/>
      </c>
    </row>
    <row r="1431">
      <c r="Y1431" s="47">
        <f>IFERROR(MATCH(Library!M1431,$M$6:$M$40000,0),"")</f>
        <v/>
      </c>
      <c r="Z1431">
        <f>IF($Y1431="","",INDEX($C$6:$C$40000,$Y1431)&amp;"")</f>
        <v/>
      </c>
      <c r="AA1431" s="59">
        <f>IF($Y1431="","",IF(INDEX($D$6:$D$40000,$Y1431)="","",INDEX($D$6:$D$40000,$Y1431)))</f>
        <v/>
      </c>
      <c r="AB1431">
        <f>IF($Y1431="","",INDEX($L$6:$L$40000,$Y1431)&amp;"")</f>
        <v/>
      </c>
    </row>
    <row r="1432">
      <c r="Y1432" s="47">
        <f>IFERROR(MATCH(Library!M1432,$M$6:$M$40000,0),"")</f>
        <v/>
      </c>
      <c r="Z1432">
        <f>IF($Y1432="","",INDEX($C$6:$C$40000,$Y1432)&amp;"")</f>
        <v/>
      </c>
      <c r="AA1432" s="59">
        <f>IF($Y1432="","",IF(INDEX($D$6:$D$40000,$Y1432)="","",INDEX($D$6:$D$40000,$Y1432)))</f>
        <v/>
      </c>
      <c r="AB1432">
        <f>IF($Y1432="","",INDEX($L$6:$L$40000,$Y1432)&amp;"")</f>
        <v/>
      </c>
    </row>
    <row r="1433">
      <c r="Y1433" s="47">
        <f>IFERROR(MATCH(Library!M1433,$M$6:$M$40000,0),"")</f>
        <v/>
      </c>
      <c r="Z1433">
        <f>IF($Y1433="","",INDEX($C$6:$C$40000,$Y1433)&amp;"")</f>
        <v/>
      </c>
      <c r="AA1433" s="59">
        <f>IF($Y1433="","",IF(INDEX($D$6:$D$40000,$Y1433)="","",INDEX($D$6:$D$40000,$Y1433)))</f>
        <v/>
      </c>
      <c r="AB1433">
        <f>IF($Y1433="","",INDEX($L$6:$L$40000,$Y1433)&amp;"")</f>
        <v/>
      </c>
    </row>
    <row r="1434">
      <c r="Y1434" s="47">
        <f>IFERROR(MATCH(Library!M1434,$M$6:$M$40000,0),"")</f>
        <v/>
      </c>
      <c r="Z1434">
        <f>IF($Y1434="","",INDEX($C$6:$C$40000,$Y1434)&amp;"")</f>
        <v/>
      </c>
      <c r="AA1434" s="59">
        <f>IF($Y1434="","",IF(INDEX($D$6:$D$40000,$Y1434)="","",INDEX($D$6:$D$40000,$Y1434)))</f>
        <v/>
      </c>
      <c r="AB1434">
        <f>IF($Y1434="","",INDEX($L$6:$L$40000,$Y1434)&amp;"")</f>
        <v/>
      </c>
    </row>
    <row r="1435">
      <c r="Y1435" s="47">
        <f>IFERROR(MATCH(Library!M1435,$M$6:$M$40000,0),"")</f>
        <v/>
      </c>
      <c r="Z1435">
        <f>IF($Y1435="","",INDEX($C$6:$C$40000,$Y1435)&amp;"")</f>
        <v/>
      </c>
      <c r="AA1435" s="59">
        <f>IF($Y1435="","",IF(INDEX($D$6:$D$40000,$Y1435)="","",INDEX($D$6:$D$40000,$Y1435)))</f>
        <v/>
      </c>
      <c r="AB1435">
        <f>IF($Y1435="","",INDEX($L$6:$L$40000,$Y1435)&amp;"")</f>
        <v/>
      </c>
    </row>
    <row r="1436">
      <c r="Y1436" s="47">
        <f>IFERROR(MATCH(Library!M1436,$M$6:$M$40000,0),"")</f>
        <v/>
      </c>
      <c r="Z1436">
        <f>IF($Y1436="","",INDEX($C$6:$C$40000,$Y1436)&amp;"")</f>
        <v/>
      </c>
      <c r="AA1436" s="59">
        <f>IF($Y1436="","",IF(INDEX($D$6:$D$40000,$Y1436)="","",INDEX($D$6:$D$40000,$Y1436)))</f>
        <v/>
      </c>
      <c r="AB1436">
        <f>IF($Y1436="","",INDEX($L$6:$L$40000,$Y1436)&amp;"")</f>
        <v/>
      </c>
    </row>
    <row r="1437">
      <c r="Y1437" s="47">
        <f>IFERROR(MATCH(Library!M1437,$M$6:$M$40000,0),"")</f>
        <v/>
      </c>
      <c r="Z1437">
        <f>IF($Y1437="","",INDEX($C$6:$C$40000,$Y1437)&amp;"")</f>
        <v/>
      </c>
      <c r="AA1437" s="59">
        <f>IF($Y1437="","",IF(INDEX($D$6:$D$40000,$Y1437)="","",INDEX($D$6:$D$40000,$Y1437)))</f>
        <v/>
      </c>
      <c r="AB1437">
        <f>IF($Y1437="","",INDEX($L$6:$L$40000,$Y1437)&amp;"")</f>
        <v/>
      </c>
    </row>
    <row r="1438">
      <c r="Y1438" s="47">
        <f>IFERROR(MATCH(Library!M1438,$M$6:$M$40000,0),"")</f>
        <v/>
      </c>
      <c r="Z1438">
        <f>IF($Y1438="","",INDEX($C$6:$C$40000,$Y1438)&amp;"")</f>
        <v/>
      </c>
      <c r="AA1438" s="59">
        <f>IF($Y1438="","",IF(INDEX($D$6:$D$40000,$Y1438)="","",INDEX($D$6:$D$40000,$Y1438)))</f>
        <v/>
      </c>
      <c r="AB1438">
        <f>IF($Y1438="","",INDEX($L$6:$L$40000,$Y1438)&amp;"")</f>
        <v/>
      </c>
    </row>
    <row r="1439">
      <c r="Y1439" s="47">
        <f>IFERROR(MATCH(Library!M1439,$M$6:$M$40000,0),"")</f>
        <v/>
      </c>
      <c r="Z1439">
        <f>IF($Y1439="","",INDEX($C$6:$C$40000,$Y1439)&amp;"")</f>
        <v/>
      </c>
      <c r="AA1439" s="59">
        <f>IF($Y1439="","",IF(INDEX($D$6:$D$40000,$Y1439)="","",INDEX($D$6:$D$40000,$Y1439)))</f>
        <v/>
      </c>
      <c r="AB1439">
        <f>IF($Y1439="","",INDEX($L$6:$L$40000,$Y1439)&amp;"")</f>
        <v/>
      </c>
    </row>
    <row r="1440">
      <c r="Y1440" s="47">
        <f>IFERROR(MATCH(Library!M1440,$M$6:$M$40000,0),"")</f>
        <v/>
      </c>
      <c r="Z1440">
        <f>IF($Y1440="","",INDEX($C$6:$C$40000,$Y1440)&amp;"")</f>
        <v/>
      </c>
      <c r="AA1440" s="59">
        <f>IF($Y1440="","",IF(INDEX($D$6:$D$40000,$Y1440)="","",INDEX($D$6:$D$40000,$Y1440)))</f>
        <v/>
      </c>
      <c r="AB1440">
        <f>IF($Y1440="","",INDEX($L$6:$L$40000,$Y1440)&amp;"")</f>
        <v/>
      </c>
    </row>
    <row r="1441">
      <c r="Y1441" s="47">
        <f>IFERROR(MATCH(Library!M1441,$M$6:$M$40000,0),"")</f>
        <v/>
      </c>
      <c r="Z1441">
        <f>IF($Y1441="","",INDEX($C$6:$C$40000,$Y1441)&amp;"")</f>
        <v/>
      </c>
      <c r="AA1441" s="59">
        <f>IF($Y1441="","",IF(INDEX($D$6:$D$40000,$Y1441)="","",INDEX($D$6:$D$40000,$Y1441)))</f>
        <v/>
      </c>
      <c r="AB1441">
        <f>IF($Y1441="","",INDEX($L$6:$L$40000,$Y1441)&amp;"")</f>
        <v/>
      </c>
    </row>
    <row r="1442">
      <c r="Y1442" s="47">
        <f>IFERROR(MATCH(Library!M1442,$M$6:$M$40000,0),"")</f>
        <v/>
      </c>
      <c r="Z1442">
        <f>IF($Y1442="","",INDEX($C$6:$C$40000,$Y1442)&amp;"")</f>
        <v/>
      </c>
      <c r="AA1442" s="59">
        <f>IF($Y1442="","",IF(INDEX($D$6:$D$40000,$Y1442)="","",INDEX($D$6:$D$40000,$Y1442)))</f>
        <v/>
      </c>
      <c r="AB1442">
        <f>IF($Y1442="","",INDEX($L$6:$L$40000,$Y1442)&amp;"")</f>
        <v/>
      </c>
    </row>
    <row r="1443">
      <c r="Y1443" s="47">
        <f>IFERROR(MATCH(Library!M1443,$M$6:$M$40000,0),"")</f>
        <v/>
      </c>
      <c r="Z1443">
        <f>IF($Y1443="","",INDEX($C$6:$C$40000,$Y1443)&amp;"")</f>
        <v/>
      </c>
      <c r="AA1443" s="59">
        <f>IF($Y1443="","",IF(INDEX($D$6:$D$40000,$Y1443)="","",INDEX($D$6:$D$40000,$Y1443)))</f>
        <v/>
      </c>
      <c r="AB1443">
        <f>IF($Y1443="","",INDEX($L$6:$L$40000,$Y1443)&amp;"")</f>
        <v/>
      </c>
    </row>
    <row r="1444">
      <c r="Y1444" s="47">
        <f>IFERROR(MATCH(Library!M1444,$M$6:$M$40000,0),"")</f>
        <v/>
      </c>
      <c r="Z1444">
        <f>IF($Y1444="","",INDEX($C$6:$C$40000,$Y1444)&amp;"")</f>
        <v/>
      </c>
      <c r="AA1444" s="59">
        <f>IF($Y1444="","",IF(INDEX($D$6:$D$40000,$Y1444)="","",INDEX($D$6:$D$40000,$Y1444)))</f>
        <v/>
      </c>
      <c r="AB1444">
        <f>IF($Y1444="","",INDEX($L$6:$L$40000,$Y1444)&amp;"")</f>
        <v/>
      </c>
    </row>
    <row r="1445">
      <c r="Y1445" s="47">
        <f>IFERROR(MATCH(Library!M1445,$M$6:$M$40000,0),"")</f>
        <v/>
      </c>
      <c r="Z1445">
        <f>IF($Y1445="","",INDEX($C$6:$C$40000,$Y1445)&amp;"")</f>
        <v/>
      </c>
      <c r="AA1445" s="59">
        <f>IF($Y1445="","",IF(INDEX($D$6:$D$40000,$Y1445)="","",INDEX($D$6:$D$40000,$Y1445)))</f>
        <v/>
      </c>
      <c r="AB1445">
        <f>IF($Y1445="","",INDEX($L$6:$L$40000,$Y1445)&amp;"")</f>
        <v/>
      </c>
    </row>
    <row r="1446">
      <c r="Y1446" s="47">
        <f>IFERROR(MATCH(Library!M1446,$M$6:$M$40000,0),"")</f>
        <v/>
      </c>
      <c r="Z1446">
        <f>IF($Y1446="","",INDEX($C$6:$C$40000,$Y1446)&amp;"")</f>
        <v/>
      </c>
      <c r="AA1446" s="59">
        <f>IF($Y1446="","",IF(INDEX($D$6:$D$40000,$Y1446)="","",INDEX($D$6:$D$40000,$Y1446)))</f>
        <v/>
      </c>
      <c r="AB1446">
        <f>IF($Y1446="","",INDEX($L$6:$L$40000,$Y1446)&amp;"")</f>
        <v/>
      </c>
    </row>
    <row r="1447">
      <c r="Y1447" s="47">
        <f>IFERROR(MATCH(Library!M1447,$M$6:$M$40000,0),"")</f>
        <v/>
      </c>
      <c r="Z1447">
        <f>IF($Y1447="","",INDEX($C$6:$C$40000,$Y1447)&amp;"")</f>
        <v/>
      </c>
      <c r="AA1447" s="59">
        <f>IF($Y1447="","",IF(INDEX($D$6:$D$40000,$Y1447)="","",INDEX($D$6:$D$40000,$Y1447)))</f>
        <v/>
      </c>
      <c r="AB1447">
        <f>IF($Y1447="","",INDEX($L$6:$L$40000,$Y1447)&amp;"")</f>
        <v/>
      </c>
    </row>
    <row r="1448">
      <c r="Y1448" s="47">
        <f>IFERROR(MATCH(Library!M1448,$M$6:$M$40000,0),"")</f>
        <v/>
      </c>
      <c r="Z1448">
        <f>IF($Y1448="","",INDEX($C$6:$C$40000,$Y1448)&amp;"")</f>
        <v/>
      </c>
      <c r="AA1448" s="59">
        <f>IF($Y1448="","",IF(INDEX($D$6:$D$40000,$Y1448)="","",INDEX($D$6:$D$40000,$Y1448)))</f>
        <v/>
      </c>
      <c r="AB1448">
        <f>IF($Y1448="","",INDEX($L$6:$L$40000,$Y1448)&amp;"")</f>
        <v/>
      </c>
    </row>
    <row r="1449">
      <c r="Y1449" s="47">
        <f>IFERROR(MATCH(Library!M1449,$M$6:$M$40000,0),"")</f>
        <v/>
      </c>
      <c r="Z1449">
        <f>IF($Y1449="","",INDEX($C$6:$C$40000,$Y1449)&amp;"")</f>
        <v/>
      </c>
      <c r="AA1449" s="59">
        <f>IF($Y1449="","",IF(INDEX($D$6:$D$40000,$Y1449)="","",INDEX($D$6:$D$40000,$Y1449)))</f>
        <v/>
      </c>
      <c r="AB1449">
        <f>IF($Y1449="","",INDEX($L$6:$L$40000,$Y1449)&amp;"")</f>
        <v/>
      </c>
    </row>
    <row r="1450">
      <c r="Y1450" s="47">
        <f>IFERROR(MATCH(Library!M1450,$M$6:$M$40000,0),"")</f>
        <v/>
      </c>
      <c r="Z1450">
        <f>IF($Y1450="","",INDEX($C$6:$C$40000,$Y1450)&amp;"")</f>
        <v/>
      </c>
      <c r="AA1450" s="59">
        <f>IF($Y1450="","",IF(INDEX($D$6:$D$40000,$Y1450)="","",INDEX($D$6:$D$40000,$Y1450)))</f>
        <v/>
      </c>
      <c r="AB1450">
        <f>IF($Y1450="","",INDEX($L$6:$L$40000,$Y1450)&amp;"")</f>
        <v/>
      </c>
    </row>
    <row r="1451">
      <c r="Y1451" s="47">
        <f>IFERROR(MATCH(Library!M1451,$M$6:$M$40000,0),"")</f>
        <v/>
      </c>
      <c r="Z1451">
        <f>IF($Y1451="","",INDEX($C$6:$C$40000,$Y1451)&amp;"")</f>
        <v/>
      </c>
      <c r="AA1451" s="59">
        <f>IF($Y1451="","",IF(INDEX($D$6:$D$40000,$Y1451)="","",INDEX($D$6:$D$40000,$Y1451)))</f>
        <v/>
      </c>
      <c r="AB1451">
        <f>IF($Y1451="","",INDEX($L$6:$L$40000,$Y1451)&amp;"")</f>
        <v/>
      </c>
    </row>
    <row r="1452">
      <c r="Y1452" s="47">
        <f>IFERROR(MATCH(Library!M1452,$M$6:$M$40000,0),"")</f>
        <v/>
      </c>
      <c r="Z1452">
        <f>IF($Y1452="","",INDEX($C$6:$C$40000,$Y1452)&amp;"")</f>
        <v/>
      </c>
      <c r="AA1452" s="59">
        <f>IF($Y1452="","",IF(INDEX($D$6:$D$40000,$Y1452)="","",INDEX($D$6:$D$40000,$Y1452)))</f>
        <v/>
      </c>
      <c r="AB1452">
        <f>IF($Y1452="","",INDEX($L$6:$L$40000,$Y1452)&amp;"")</f>
        <v/>
      </c>
    </row>
    <row r="1453">
      <c r="Y1453" s="47">
        <f>IFERROR(MATCH(Library!M1453,$M$6:$M$40000,0),"")</f>
        <v/>
      </c>
      <c r="Z1453">
        <f>IF($Y1453="","",INDEX($C$6:$C$40000,$Y1453)&amp;"")</f>
        <v/>
      </c>
      <c r="AA1453" s="59">
        <f>IF($Y1453="","",IF(INDEX($D$6:$D$40000,$Y1453)="","",INDEX($D$6:$D$40000,$Y1453)))</f>
        <v/>
      </c>
      <c r="AB1453">
        <f>IF($Y1453="","",INDEX($L$6:$L$40000,$Y1453)&amp;"")</f>
        <v/>
      </c>
    </row>
    <row r="1454">
      <c r="Y1454" s="47">
        <f>IFERROR(MATCH(Library!M1454,$M$6:$M$40000,0),"")</f>
        <v/>
      </c>
      <c r="Z1454">
        <f>IF($Y1454="","",INDEX($C$6:$C$40000,$Y1454)&amp;"")</f>
        <v/>
      </c>
      <c r="AA1454" s="59">
        <f>IF($Y1454="","",IF(INDEX($D$6:$D$40000,$Y1454)="","",INDEX($D$6:$D$40000,$Y1454)))</f>
        <v/>
      </c>
      <c r="AB1454">
        <f>IF($Y1454="","",INDEX($L$6:$L$40000,$Y1454)&amp;"")</f>
        <v/>
      </c>
    </row>
    <row r="1455">
      <c r="Y1455" s="47">
        <f>IFERROR(MATCH(Library!M1455,$M$6:$M$40000,0),"")</f>
        <v/>
      </c>
      <c r="Z1455">
        <f>IF($Y1455="","",INDEX($C$6:$C$40000,$Y1455)&amp;"")</f>
        <v/>
      </c>
      <c r="AA1455" s="59">
        <f>IF($Y1455="","",IF(INDEX($D$6:$D$40000,$Y1455)="","",INDEX($D$6:$D$40000,$Y1455)))</f>
        <v/>
      </c>
      <c r="AB1455">
        <f>IF($Y1455="","",INDEX($L$6:$L$40000,$Y1455)&amp;"")</f>
        <v/>
      </c>
    </row>
    <row r="1456">
      <c r="Y1456" s="47">
        <f>IFERROR(MATCH(Library!M1456,$M$6:$M$40000,0),"")</f>
        <v/>
      </c>
      <c r="Z1456">
        <f>IF($Y1456="","",INDEX($C$6:$C$40000,$Y1456)&amp;"")</f>
        <v/>
      </c>
      <c r="AA1456" s="59">
        <f>IF($Y1456="","",IF(INDEX($D$6:$D$40000,$Y1456)="","",INDEX($D$6:$D$40000,$Y1456)))</f>
        <v/>
      </c>
      <c r="AB1456">
        <f>IF($Y1456="","",INDEX($L$6:$L$40000,$Y1456)&amp;"")</f>
        <v/>
      </c>
    </row>
    <row r="1457">
      <c r="Y1457" s="47">
        <f>IFERROR(MATCH(Library!M1457,$M$6:$M$40000,0),"")</f>
        <v/>
      </c>
      <c r="Z1457">
        <f>IF($Y1457="","",INDEX($C$6:$C$40000,$Y1457)&amp;"")</f>
        <v/>
      </c>
      <c r="AA1457" s="59">
        <f>IF($Y1457="","",IF(INDEX($D$6:$D$40000,$Y1457)="","",INDEX($D$6:$D$40000,$Y1457)))</f>
        <v/>
      </c>
      <c r="AB1457">
        <f>IF($Y1457="","",INDEX($L$6:$L$40000,$Y1457)&amp;"")</f>
        <v/>
      </c>
    </row>
    <row r="1458">
      <c r="Y1458" s="47">
        <f>IFERROR(MATCH(Library!M1458,$M$6:$M$40000,0),"")</f>
        <v/>
      </c>
      <c r="Z1458">
        <f>IF($Y1458="","",INDEX($C$6:$C$40000,$Y1458)&amp;"")</f>
        <v/>
      </c>
      <c r="AA1458" s="59">
        <f>IF($Y1458="","",IF(INDEX($D$6:$D$40000,$Y1458)="","",INDEX($D$6:$D$40000,$Y1458)))</f>
        <v/>
      </c>
      <c r="AB1458">
        <f>IF($Y1458="","",INDEX($L$6:$L$40000,$Y1458)&amp;"")</f>
        <v/>
      </c>
    </row>
    <row r="1459">
      <c r="Y1459" s="47">
        <f>IFERROR(MATCH(Library!M1459,$M$6:$M$40000,0),"")</f>
        <v/>
      </c>
      <c r="Z1459">
        <f>IF($Y1459="","",INDEX($C$6:$C$40000,$Y1459)&amp;"")</f>
        <v/>
      </c>
      <c r="AA1459" s="59">
        <f>IF($Y1459="","",IF(INDEX($D$6:$D$40000,$Y1459)="","",INDEX($D$6:$D$40000,$Y1459)))</f>
        <v/>
      </c>
      <c r="AB1459">
        <f>IF($Y1459="","",INDEX($L$6:$L$40000,$Y1459)&amp;"")</f>
        <v/>
      </c>
    </row>
    <row r="1460">
      <c r="Y1460" s="47">
        <f>IFERROR(MATCH(Library!M1460,$M$6:$M$40000,0),"")</f>
        <v/>
      </c>
      <c r="Z1460">
        <f>IF($Y1460="","",INDEX($C$6:$C$40000,$Y1460)&amp;"")</f>
        <v/>
      </c>
      <c r="AA1460" s="59">
        <f>IF($Y1460="","",IF(INDEX($D$6:$D$40000,$Y1460)="","",INDEX($D$6:$D$40000,$Y1460)))</f>
        <v/>
      </c>
      <c r="AB1460">
        <f>IF($Y1460="","",INDEX($L$6:$L$40000,$Y1460)&amp;"")</f>
        <v/>
      </c>
    </row>
    <row r="1461">
      <c r="Y1461" s="47">
        <f>IFERROR(MATCH(Library!M1461,$M$6:$M$40000,0),"")</f>
        <v/>
      </c>
      <c r="Z1461">
        <f>IF($Y1461="","",INDEX($C$6:$C$40000,$Y1461)&amp;"")</f>
        <v/>
      </c>
      <c r="AA1461" s="59">
        <f>IF($Y1461="","",IF(INDEX($D$6:$D$40000,$Y1461)="","",INDEX($D$6:$D$40000,$Y1461)))</f>
        <v/>
      </c>
      <c r="AB1461">
        <f>IF($Y1461="","",INDEX($L$6:$L$40000,$Y1461)&amp;"")</f>
        <v/>
      </c>
    </row>
    <row r="1462">
      <c r="Y1462" s="47">
        <f>IFERROR(MATCH(Library!M1462,$M$6:$M$40000,0),"")</f>
        <v/>
      </c>
      <c r="Z1462">
        <f>IF($Y1462="","",INDEX($C$6:$C$40000,$Y1462)&amp;"")</f>
        <v/>
      </c>
      <c r="AA1462" s="59">
        <f>IF($Y1462="","",IF(INDEX($D$6:$D$40000,$Y1462)="","",INDEX($D$6:$D$40000,$Y1462)))</f>
        <v/>
      </c>
      <c r="AB1462">
        <f>IF($Y1462="","",INDEX($L$6:$L$40000,$Y1462)&amp;"")</f>
        <v/>
      </c>
    </row>
    <row r="1463">
      <c r="Y1463" s="47">
        <f>IFERROR(MATCH(Library!M1463,$M$6:$M$40000,0),"")</f>
        <v/>
      </c>
      <c r="Z1463">
        <f>IF($Y1463="","",INDEX($C$6:$C$40000,$Y1463)&amp;"")</f>
        <v/>
      </c>
      <c r="AA1463" s="59">
        <f>IF($Y1463="","",IF(INDEX($D$6:$D$40000,$Y1463)="","",INDEX($D$6:$D$40000,$Y1463)))</f>
        <v/>
      </c>
      <c r="AB1463">
        <f>IF($Y1463="","",INDEX($L$6:$L$40000,$Y1463)&amp;"")</f>
        <v/>
      </c>
    </row>
    <row r="1464">
      <c r="Y1464" s="47">
        <f>IFERROR(MATCH(Library!M1464,$M$6:$M$40000,0),"")</f>
        <v/>
      </c>
      <c r="Z1464">
        <f>IF($Y1464="","",INDEX($C$6:$C$40000,$Y1464)&amp;"")</f>
        <v/>
      </c>
      <c r="AA1464" s="59">
        <f>IF($Y1464="","",IF(INDEX($D$6:$D$40000,$Y1464)="","",INDEX($D$6:$D$40000,$Y1464)))</f>
        <v/>
      </c>
      <c r="AB1464">
        <f>IF($Y1464="","",INDEX($L$6:$L$40000,$Y1464)&amp;"")</f>
        <v/>
      </c>
    </row>
    <row r="1465">
      <c r="Y1465" s="47">
        <f>IFERROR(MATCH(Library!M1465,$M$6:$M$40000,0),"")</f>
        <v/>
      </c>
      <c r="Z1465">
        <f>IF($Y1465="","",INDEX($C$6:$C$40000,$Y1465)&amp;"")</f>
        <v/>
      </c>
      <c r="AA1465" s="59">
        <f>IF($Y1465="","",IF(INDEX($D$6:$D$40000,$Y1465)="","",INDEX($D$6:$D$40000,$Y1465)))</f>
        <v/>
      </c>
      <c r="AB1465">
        <f>IF($Y1465="","",INDEX($L$6:$L$40000,$Y1465)&amp;"")</f>
        <v/>
      </c>
    </row>
    <row r="1466">
      <c r="Y1466" s="47">
        <f>IFERROR(MATCH(Library!M1466,$M$6:$M$40000,0),"")</f>
        <v/>
      </c>
      <c r="Z1466">
        <f>IF($Y1466="","",INDEX($C$6:$C$40000,$Y1466)&amp;"")</f>
        <v/>
      </c>
      <c r="AA1466" s="59">
        <f>IF($Y1466="","",IF(INDEX($D$6:$D$40000,$Y1466)="","",INDEX($D$6:$D$40000,$Y1466)))</f>
        <v/>
      </c>
      <c r="AB1466">
        <f>IF($Y1466="","",INDEX($L$6:$L$40000,$Y1466)&amp;"")</f>
        <v/>
      </c>
    </row>
    <row r="1467">
      <c r="Y1467" s="47">
        <f>IFERROR(MATCH(Library!M1467,$M$6:$M$40000,0),"")</f>
        <v/>
      </c>
      <c r="Z1467">
        <f>IF($Y1467="","",INDEX($C$6:$C$40000,$Y1467)&amp;"")</f>
        <v/>
      </c>
      <c r="AA1467" s="59">
        <f>IF($Y1467="","",IF(INDEX($D$6:$D$40000,$Y1467)="","",INDEX($D$6:$D$40000,$Y1467)))</f>
        <v/>
      </c>
      <c r="AB1467">
        <f>IF($Y1467="","",INDEX($L$6:$L$40000,$Y1467)&amp;"")</f>
        <v/>
      </c>
    </row>
    <row r="1468">
      <c r="Y1468" s="47">
        <f>IFERROR(MATCH(Library!M1468,$M$6:$M$40000,0),"")</f>
        <v/>
      </c>
      <c r="Z1468">
        <f>IF($Y1468="","",INDEX($C$6:$C$40000,$Y1468)&amp;"")</f>
        <v/>
      </c>
      <c r="AA1468" s="59">
        <f>IF($Y1468="","",IF(INDEX($D$6:$D$40000,$Y1468)="","",INDEX($D$6:$D$40000,$Y1468)))</f>
        <v/>
      </c>
      <c r="AB1468">
        <f>IF($Y1468="","",INDEX($L$6:$L$40000,$Y1468)&amp;"")</f>
        <v/>
      </c>
    </row>
    <row r="1469">
      <c r="Y1469" s="47">
        <f>IFERROR(MATCH(Library!M1469,$M$6:$M$40000,0),"")</f>
        <v/>
      </c>
      <c r="Z1469">
        <f>IF($Y1469="","",INDEX($C$6:$C$40000,$Y1469)&amp;"")</f>
        <v/>
      </c>
      <c r="AA1469" s="59">
        <f>IF($Y1469="","",IF(INDEX($D$6:$D$40000,$Y1469)="","",INDEX($D$6:$D$40000,$Y1469)))</f>
        <v/>
      </c>
      <c r="AB1469">
        <f>IF($Y1469="","",INDEX($L$6:$L$40000,$Y1469)&amp;"")</f>
        <v/>
      </c>
    </row>
    <row r="1470">
      <c r="Y1470" s="47">
        <f>IFERROR(MATCH(Library!M1470,$M$6:$M$40000,0),"")</f>
        <v/>
      </c>
      <c r="Z1470">
        <f>IF($Y1470="","",INDEX($C$6:$C$40000,$Y1470)&amp;"")</f>
        <v/>
      </c>
      <c r="AA1470" s="59">
        <f>IF($Y1470="","",IF(INDEX($D$6:$D$40000,$Y1470)="","",INDEX($D$6:$D$40000,$Y1470)))</f>
        <v/>
      </c>
      <c r="AB1470">
        <f>IF($Y1470="","",INDEX($L$6:$L$40000,$Y1470)&amp;"")</f>
        <v/>
      </c>
    </row>
    <row r="1471">
      <c r="Y1471" s="47">
        <f>IFERROR(MATCH(Library!M1471,$M$6:$M$40000,0),"")</f>
        <v/>
      </c>
      <c r="Z1471">
        <f>IF($Y1471="","",INDEX($C$6:$C$40000,$Y1471)&amp;"")</f>
        <v/>
      </c>
      <c r="AA1471" s="59">
        <f>IF($Y1471="","",IF(INDEX($D$6:$D$40000,$Y1471)="","",INDEX($D$6:$D$40000,$Y1471)))</f>
        <v/>
      </c>
      <c r="AB1471">
        <f>IF($Y1471="","",INDEX($L$6:$L$40000,$Y1471)&amp;"")</f>
        <v/>
      </c>
    </row>
    <row r="1472">
      <c r="Y1472" s="47">
        <f>IFERROR(MATCH(Library!M1472,$M$6:$M$40000,0),"")</f>
        <v/>
      </c>
      <c r="Z1472">
        <f>IF($Y1472="","",INDEX($C$6:$C$40000,$Y1472)&amp;"")</f>
        <v/>
      </c>
      <c r="AA1472" s="59">
        <f>IF($Y1472="","",IF(INDEX($D$6:$D$40000,$Y1472)="","",INDEX($D$6:$D$40000,$Y1472)))</f>
        <v/>
      </c>
      <c r="AB1472">
        <f>IF($Y1472="","",INDEX($L$6:$L$40000,$Y1472)&amp;"")</f>
        <v/>
      </c>
    </row>
    <row r="1473">
      <c r="Y1473" s="47">
        <f>IFERROR(MATCH(Library!M1473,$M$6:$M$40000,0),"")</f>
        <v/>
      </c>
      <c r="Z1473">
        <f>IF($Y1473="","",INDEX($C$6:$C$40000,$Y1473)&amp;"")</f>
        <v/>
      </c>
      <c r="AA1473" s="59">
        <f>IF($Y1473="","",IF(INDEX($D$6:$D$40000,$Y1473)="","",INDEX($D$6:$D$40000,$Y1473)))</f>
        <v/>
      </c>
      <c r="AB1473">
        <f>IF($Y1473="","",INDEX($L$6:$L$40000,$Y1473)&amp;"")</f>
        <v/>
      </c>
    </row>
    <row r="1474">
      <c r="Y1474" s="47">
        <f>IFERROR(MATCH(Library!M1474,$M$6:$M$40000,0),"")</f>
        <v/>
      </c>
      <c r="Z1474">
        <f>IF($Y1474="","",INDEX($C$6:$C$40000,$Y1474)&amp;"")</f>
        <v/>
      </c>
      <c r="AA1474" s="59">
        <f>IF($Y1474="","",IF(INDEX($D$6:$D$40000,$Y1474)="","",INDEX($D$6:$D$40000,$Y1474)))</f>
        <v/>
      </c>
      <c r="AB1474">
        <f>IF($Y1474="","",INDEX($L$6:$L$40000,$Y1474)&amp;"")</f>
        <v/>
      </c>
    </row>
    <row r="1475">
      <c r="Y1475" s="47">
        <f>IFERROR(MATCH(Library!M1475,$M$6:$M$40000,0),"")</f>
        <v/>
      </c>
      <c r="Z1475">
        <f>IF($Y1475="","",INDEX($C$6:$C$40000,$Y1475)&amp;"")</f>
        <v/>
      </c>
      <c r="AA1475" s="59">
        <f>IF($Y1475="","",IF(INDEX($D$6:$D$40000,$Y1475)="","",INDEX($D$6:$D$40000,$Y1475)))</f>
        <v/>
      </c>
      <c r="AB1475">
        <f>IF($Y1475="","",INDEX($L$6:$L$40000,$Y1475)&amp;"")</f>
        <v/>
      </c>
    </row>
    <row r="1476">
      <c r="Y1476" s="47">
        <f>IFERROR(MATCH(Library!M1476,$M$6:$M$40000,0),"")</f>
        <v/>
      </c>
      <c r="Z1476">
        <f>IF($Y1476="","",INDEX($C$6:$C$40000,$Y1476)&amp;"")</f>
        <v/>
      </c>
      <c r="AA1476" s="59">
        <f>IF($Y1476="","",IF(INDEX($D$6:$D$40000,$Y1476)="","",INDEX($D$6:$D$40000,$Y1476)))</f>
        <v/>
      </c>
      <c r="AB1476">
        <f>IF($Y1476="","",INDEX($L$6:$L$40000,$Y1476)&amp;"")</f>
        <v/>
      </c>
    </row>
    <row r="1477">
      <c r="Y1477" s="47">
        <f>IFERROR(MATCH(Library!M1477,$M$6:$M$40000,0),"")</f>
        <v/>
      </c>
      <c r="Z1477">
        <f>IF($Y1477="","",INDEX($C$6:$C$40000,$Y1477)&amp;"")</f>
        <v/>
      </c>
      <c r="AA1477" s="59">
        <f>IF($Y1477="","",IF(INDEX($D$6:$D$40000,$Y1477)="","",INDEX($D$6:$D$40000,$Y1477)))</f>
        <v/>
      </c>
      <c r="AB1477">
        <f>IF($Y1477="","",INDEX($L$6:$L$40000,$Y1477)&amp;"")</f>
        <v/>
      </c>
    </row>
    <row r="1478">
      <c r="Y1478" s="47">
        <f>IFERROR(MATCH(Library!M1478,$M$6:$M$40000,0),"")</f>
        <v/>
      </c>
      <c r="Z1478">
        <f>IF($Y1478="","",INDEX($C$6:$C$40000,$Y1478)&amp;"")</f>
        <v/>
      </c>
      <c r="AA1478" s="59">
        <f>IF($Y1478="","",IF(INDEX($D$6:$D$40000,$Y1478)="","",INDEX($D$6:$D$40000,$Y1478)))</f>
        <v/>
      </c>
      <c r="AB1478">
        <f>IF($Y1478="","",INDEX($L$6:$L$40000,$Y1478)&amp;"")</f>
        <v/>
      </c>
    </row>
    <row r="1479">
      <c r="Y1479" s="47">
        <f>IFERROR(MATCH(Library!M1479,$M$6:$M$40000,0),"")</f>
        <v/>
      </c>
      <c r="Z1479">
        <f>IF($Y1479="","",INDEX($C$6:$C$40000,$Y1479)&amp;"")</f>
        <v/>
      </c>
      <c r="AA1479" s="59">
        <f>IF($Y1479="","",IF(INDEX($D$6:$D$40000,$Y1479)="","",INDEX($D$6:$D$40000,$Y1479)))</f>
        <v/>
      </c>
      <c r="AB1479">
        <f>IF($Y1479="","",INDEX($L$6:$L$40000,$Y1479)&amp;"")</f>
        <v/>
      </c>
    </row>
    <row r="1480">
      <c r="Y1480" s="47">
        <f>IFERROR(MATCH(Library!M1480,$M$6:$M$40000,0),"")</f>
        <v/>
      </c>
      <c r="Z1480">
        <f>IF($Y1480="","",INDEX($C$6:$C$40000,$Y1480)&amp;"")</f>
        <v/>
      </c>
      <c r="AA1480" s="59">
        <f>IF($Y1480="","",IF(INDEX($D$6:$D$40000,$Y1480)="","",INDEX($D$6:$D$40000,$Y1480)))</f>
        <v/>
      </c>
      <c r="AB1480">
        <f>IF($Y1480="","",INDEX($L$6:$L$40000,$Y1480)&amp;"")</f>
        <v/>
      </c>
    </row>
    <row r="1481">
      <c r="Y1481" s="47">
        <f>IFERROR(MATCH(Library!M1481,$M$6:$M$40000,0),"")</f>
        <v/>
      </c>
      <c r="Z1481">
        <f>IF($Y1481="","",INDEX($C$6:$C$40000,$Y1481)&amp;"")</f>
        <v/>
      </c>
      <c r="AA1481" s="59">
        <f>IF($Y1481="","",IF(INDEX($D$6:$D$40000,$Y1481)="","",INDEX($D$6:$D$40000,$Y1481)))</f>
        <v/>
      </c>
      <c r="AB1481">
        <f>IF($Y1481="","",INDEX($L$6:$L$40000,$Y1481)&amp;"")</f>
        <v/>
      </c>
    </row>
    <row r="1482">
      <c r="Y1482" s="47">
        <f>IFERROR(MATCH(Library!M1482,$M$6:$M$40000,0),"")</f>
        <v/>
      </c>
      <c r="Z1482">
        <f>IF($Y1482="","",INDEX($C$6:$C$40000,$Y1482)&amp;"")</f>
        <v/>
      </c>
      <c r="AA1482" s="59">
        <f>IF($Y1482="","",IF(INDEX($D$6:$D$40000,$Y1482)="","",INDEX($D$6:$D$40000,$Y1482)))</f>
        <v/>
      </c>
      <c r="AB1482">
        <f>IF($Y1482="","",INDEX($L$6:$L$40000,$Y1482)&amp;"")</f>
        <v/>
      </c>
    </row>
    <row r="1483">
      <c r="Y1483" s="47">
        <f>IFERROR(MATCH(Library!M1483,$M$6:$M$40000,0),"")</f>
        <v/>
      </c>
      <c r="Z1483">
        <f>IF($Y1483="","",INDEX($C$6:$C$40000,$Y1483)&amp;"")</f>
        <v/>
      </c>
      <c r="AA1483" s="59">
        <f>IF($Y1483="","",IF(INDEX($D$6:$D$40000,$Y1483)="","",INDEX($D$6:$D$40000,$Y1483)))</f>
        <v/>
      </c>
      <c r="AB1483">
        <f>IF($Y1483="","",INDEX($L$6:$L$40000,$Y1483)&amp;"")</f>
        <v/>
      </c>
    </row>
    <row r="1484">
      <c r="Y1484" s="47">
        <f>IFERROR(MATCH(Library!M1484,$M$6:$M$40000,0),"")</f>
        <v/>
      </c>
      <c r="Z1484">
        <f>IF($Y1484="","",INDEX($C$6:$C$40000,$Y1484)&amp;"")</f>
        <v/>
      </c>
      <c r="AA1484" s="59">
        <f>IF($Y1484="","",IF(INDEX($D$6:$D$40000,$Y1484)="","",INDEX($D$6:$D$40000,$Y1484)))</f>
        <v/>
      </c>
      <c r="AB1484">
        <f>IF($Y1484="","",INDEX($L$6:$L$40000,$Y1484)&amp;"")</f>
        <v/>
      </c>
    </row>
    <row r="1485">
      <c r="Y1485" s="47">
        <f>IFERROR(MATCH(Library!M1485,$M$6:$M$40000,0),"")</f>
        <v/>
      </c>
      <c r="Z1485">
        <f>IF($Y1485="","",INDEX($C$6:$C$40000,$Y1485)&amp;"")</f>
        <v/>
      </c>
      <c r="AA1485" s="59">
        <f>IF($Y1485="","",IF(INDEX($D$6:$D$40000,$Y1485)="","",INDEX($D$6:$D$40000,$Y1485)))</f>
        <v/>
      </c>
      <c r="AB1485">
        <f>IF($Y1485="","",INDEX($L$6:$L$40000,$Y1485)&amp;"")</f>
        <v/>
      </c>
    </row>
    <row r="1486">
      <c r="Y1486" s="47">
        <f>IFERROR(MATCH(Library!M1486,$M$6:$M$40000,0),"")</f>
        <v/>
      </c>
      <c r="Z1486">
        <f>IF($Y1486="","",INDEX($C$6:$C$40000,$Y1486)&amp;"")</f>
        <v/>
      </c>
      <c r="AA1486" s="59">
        <f>IF($Y1486="","",IF(INDEX($D$6:$D$40000,$Y1486)="","",INDEX($D$6:$D$40000,$Y1486)))</f>
        <v/>
      </c>
      <c r="AB1486">
        <f>IF($Y1486="","",INDEX($L$6:$L$40000,$Y1486)&amp;"")</f>
        <v/>
      </c>
    </row>
    <row r="1487">
      <c r="Y1487" s="47">
        <f>IFERROR(MATCH(Library!M1487,$M$6:$M$40000,0),"")</f>
        <v/>
      </c>
      <c r="Z1487">
        <f>IF($Y1487="","",INDEX($C$6:$C$40000,$Y1487)&amp;"")</f>
        <v/>
      </c>
      <c r="AA1487" s="59">
        <f>IF($Y1487="","",IF(INDEX($D$6:$D$40000,$Y1487)="","",INDEX($D$6:$D$40000,$Y1487)))</f>
        <v/>
      </c>
      <c r="AB1487">
        <f>IF($Y1487="","",INDEX($L$6:$L$40000,$Y1487)&amp;"")</f>
        <v/>
      </c>
    </row>
    <row r="1488">
      <c r="Y1488" s="47">
        <f>IFERROR(MATCH(Library!M1488,$M$6:$M$40000,0),"")</f>
        <v/>
      </c>
      <c r="Z1488">
        <f>IF($Y1488="","",INDEX($C$6:$C$40000,$Y1488)&amp;"")</f>
        <v/>
      </c>
      <c r="AA1488" s="59">
        <f>IF($Y1488="","",IF(INDEX($D$6:$D$40000,$Y1488)="","",INDEX($D$6:$D$40000,$Y1488)))</f>
        <v/>
      </c>
      <c r="AB1488">
        <f>IF($Y1488="","",INDEX($L$6:$L$40000,$Y1488)&amp;"")</f>
        <v/>
      </c>
    </row>
    <row r="1489">
      <c r="Y1489" s="47">
        <f>IFERROR(MATCH(Library!M1489,$M$6:$M$40000,0),"")</f>
        <v/>
      </c>
      <c r="Z1489">
        <f>IF($Y1489="","",INDEX($C$6:$C$40000,$Y1489)&amp;"")</f>
        <v/>
      </c>
      <c r="AA1489" s="59">
        <f>IF($Y1489="","",IF(INDEX($D$6:$D$40000,$Y1489)="","",INDEX($D$6:$D$40000,$Y1489)))</f>
        <v/>
      </c>
      <c r="AB1489">
        <f>IF($Y1489="","",INDEX($L$6:$L$40000,$Y1489)&amp;"")</f>
        <v/>
      </c>
    </row>
    <row r="1490">
      <c r="Y1490" s="47">
        <f>IFERROR(MATCH(Library!M1490,$M$6:$M$40000,0),"")</f>
        <v/>
      </c>
      <c r="Z1490">
        <f>IF($Y1490="","",INDEX($C$6:$C$40000,$Y1490)&amp;"")</f>
        <v/>
      </c>
      <c r="AA1490" s="59">
        <f>IF($Y1490="","",IF(INDEX($D$6:$D$40000,$Y1490)="","",INDEX($D$6:$D$40000,$Y1490)))</f>
        <v/>
      </c>
      <c r="AB1490">
        <f>IF($Y1490="","",INDEX($L$6:$L$40000,$Y1490)&amp;"")</f>
        <v/>
      </c>
    </row>
    <row r="1491">
      <c r="Y1491" s="47">
        <f>IFERROR(MATCH(Library!M1491,$M$6:$M$40000,0),"")</f>
        <v/>
      </c>
      <c r="Z1491">
        <f>IF($Y1491="","",INDEX($C$6:$C$40000,$Y1491)&amp;"")</f>
        <v/>
      </c>
      <c r="AA1491" s="59">
        <f>IF($Y1491="","",IF(INDEX($D$6:$D$40000,$Y1491)="","",INDEX($D$6:$D$40000,$Y1491)))</f>
        <v/>
      </c>
      <c r="AB1491">
        <f>IF($Y1491="","",INDEX($L$6:$L$40000,$Y1491)&amp;"")</f>
        <v/>
      </c>
    </row>
    <row r="1492">
      <c r="Y1492" s="47">
        <f>IFERROR(MATCH(Library!M1492,$M$6:$M$40000,0),"")</f>
        <v/>
      </c>
      <c r="Z1492">
        <f>IF($Y1492="","",INDEX($C$6:$C$40000,$Y1492)&amp;"")</f>
        <v/>
      </c>
      <c r="AA1492" s="59">
        <f>IF($Y1492="","",IF(INDEX($D$6:$D$40000,$Y1492)="","",INDEX($D$6:$D$40000,$Y1492)))</f>
        <v/>
      </c>
      <c r="AB1492">
        <f>IF($Y1492="","",INDEX($L$6:$L$40000,$Y1492)&amp;"")</f>
        <v/>
      </c>
    </row>
    <row r="1493">
      <c r="Y1493" s="47">
        <f>IFERROR(MATCH(Library!M1493,$M$6:$M$40000,0),"")</f>
        <v/>
      </c>
      <c r="Z1493">
        <f>IF($Y1493="","",INDEX($C$6:$C$40000,$Y1493)&amp;"")</f>
        <v/>
      </c>
      <c r="AA1493" s="59">
        <f>IF($Y1493="","",IF(INDEX($D$6:$D$40000,$Y1493)="","",INDEX($D$6:$D$40000,$Y1493)))</f>
        <v/>
      </c>
      <c r="AB1493">
        <f>IF($Y1493="","",INDEX($L$6:$L$40000,$Y1493)&amp;"")</f>
        <v/>
      </c>
    </row>
    <row r="1494">
      <c r="Y1494" s="47">
        <f>IFERROR(MATCH(Library!M1494,$M$6:$M$40000,0),"")</f>
        <v/>
      </c>
      <c r="Z1494">
        <f>IF($Y1494="","",INDEX($C$6:$C$40000,$Y1494)&amp;"")</f>
        <v/>
      </c>
      <c r="AA1494" s="59">
        <f>IF($Y1494="","",IF(INDEX($D$6:$D$40000,$Y1494)="","",INDEX($D$6:$D$40000,$Y1494)))</f>
        <v/>
      </c>
      <c r="AB1494">
        <f>IF($Y1494="","",INDEX($L$6:$L$40000,$Y1494)&amp;"")</f>
        <v/>
      </c>
    </row>
    <row r="1495">
      <c r="Y1495" s="47">
        <f>IFERROR(MATCH(Library!M1495,$M$6:$M$40000,0),"")</f>
        <v/>
      </c>
      <c r="Z1495">
        <f>IF($Y1495="","",INDEX($C$6:$C$40000,$Y1495)&amp;"")</f>
        <v/>
      </c>
      <c r="AA1495" s="59">
        <f>IF($Y1495="","",IF(INDEX($D$6:$D$40000,$Y1495)="","",INDEX($D$6:$D$40000,$Y1495)))</f>
        <v/>
      </c>
      <c r="AB1495">
        <f>IF($Y1495="","",INDEX($L$6:$L$40000,$Y1495)&amp;"")</f>
        <v/>
      </c>
    </row>
    <row r="1496">
      <c r="Y1496" s="47">
        <f>IFERROR(MATCH(Library!M1496,$M$6:$M$40000,0),"")</f>
        <v/>
      </c>
      <c r="Z1496">
        <f>IF($Y1496="","",INDEX($C$6:$C$40000,$Y1496)&amp;"")</f>
        <v/>
      </c>
      <c r="AA1496" s="59">
        <f>IF($Y1496="","",IF(INDEX($D$6:$D$40000,$Y1496)="","",INDEX($D$6:$D$40000,$Y1496)))</f>
        <v/>
      </c>
      <c r="AB1496">
        <f>IF($Y1496="","",INDEX($L$6:$L$40000,$Y1496)&amp;"")</f>
        <v/>
      </c>
    </row>
    <row r="1497">
      <c r="Y1497" s="47">
        <f>IFERROR(MATCH(Library!M1497,$M$6:$M$40000,0),"")</f>
        <v/>
      </c>
      <c r="Z1497">
        <f>IF($Y1497="","",INDEX($C$6:$C$40000,$Y1497)&amp;"")</f>
        <v/>
      </c>
      <c r="AA1497" s="59">
        <f>IF($Y1497="","",IF(INDEX($D$6:$D$40000,$Y1497)="","",INDEX($D$6:$D$40000,$Y1497)))</f>
        <v/>
      </c>
      <c r="AB1497">
        <f>IF($Y1497="","",INDEX($L$6:$L$40000,$Y1497)&amp;"")</f>
        <v/>
      </c>
    </row>
    <row r="1498">
      <c r="Y1498" s="47">
        <f>IFERROR(MATCH(Library!M1498,$M$6:$M$40000,0),"")</f>
        <v/>
      </c>
      <c r="Z1498">
        <f>IF($Y1498="","",INDEX($C$6:$C$40000,$Y1498)&amp;"")</f>
        <v/>
      </c>
      <c r="AA1498" s="59">
        <f>IF($Y1498="","",IF(INDEX($D$6:$D$40000,$Y1498)="","",INDEX($D$6:$D$40000,$Y1498)))</f>
        <v/>
      </c>
      <c r="AB1498">
        <f>IF($Y1498="","",INDEX($L$6:$L$40000,$Y1498)&amp;"")</f>
        <v/>
      </c>
    </row>
    <row r="1499">
      <c r="Y1499" s="47">
        <f>IFERROR(MATCH(Library!M1499,$M$6:$M$40000,0),"")</f>
        <v/>
      </c>
      <c r="Z1499">
        <f>IF($Y1499="","",INDEX($C$6:$C$40000,$Y1499)&amp;"")</f>
        <v/>
      </c>
      <c r="AA1499" s="59">
        <f>IF($Y1499="","",IF(INDEX($D$6:$D$40000,$Y1499)="","",INDEX($D$6:$D$40000,$Y1499)))</f>
        <v/>
      </c>
      <c r="AB1499">
        <f>IF($Y1499="","",INDEX($L$6:$L$40000,$Y1499)&amp;"")</f>
        <v/>
      </c>
    </row>
    <row r="1500">
      <c r="Y1500" s="47">
        <f>IFERROR(MATCH(Library!M1500,$M$6:$M$40000,0),"")</f>
        <v/>
      </c>
      <c r="Z1500">
        <f>IF($Y1500="","",INDEX($C$6:$C$40000,$Y1500)&amp;"")</f>
        <v/>
      </c>
      <c r="AA1500" s="59">
        <f>IF($Y1500="","",IF(INDEX($D$6:$D$40000,$Y1500)="","",INDEX($D$6:$D$40000,$Y1500)))</f>
        <v/>
      </c>
      <c r="AB1500">
        <f>IF($Y1500="","",INDEX($L$6:$L$40000,$Y1500)&amp;"")</f>
        <v/>
      </c>
    </row>
    <row r="1501">
      <c r="Y1501" s="47">
        <f>IFERROR(MATCH(Library!M1501,$M$6:$M$40000,0),"")</f>
        <v/>
      </c>
      <c r="Z1501">
        <f>IF($Y1501="","",INDEX($C$6:$C$40000,$Y1501)&amp;"")</f>
        <v/>
      </c>
      <c r="AA1501" s="59">
        <f>IF($Y1501="","",IF(INDEX($D$6:$D$40000,$Y1501)="","",INDEX($D$6:$D$40000,$Y1501)))</f>
        <v/>
      </c>
      <c r="AB1501">
        <f>IF($Y1501="","",INDEX($L$6:$L$40000,$Y1501)&amp;"")</f>
        <v/>
      </c>
    </row>
    <row r="1502">
      <c r="Y1502" s="47">
        <f>IFERROR(MATCH(Library!M1502,$M$6:$M$40000,0),"")</f>
        <v/>
      </c>
      <c r="Z1502">
        <f>IF($Y1502="","",INDEX($C$6:$C$40000,$Y1502)&amp;"")</f>
        <v/>
      </c>
      <c r="AA1502" s="59">
        <f>IF($Y1502="","",IF(INDEX($D$6:$D$40000,$Y1502)="","",INDEX($D$6:$D$40000,$Y1502)))</f>
        <v/>
      </c>
      <c r="AB1502">
        <f>IF($Y1502="","",INDEX($L$6:$L$40000,$Y1502)&amp;"")</f>
        <v/>
      </c>
    </row>
    <row r="1503">
      <c r="Y1503" s="47">
        <f>IFERROR(MATCH(Library!M1503,$M$6:$M$40000,0),"")</f>
        <v/>
      </c>
      <c r="Z1503">
        <f>IF($Y1503="","",INDEX($C$6:$C$40000,$Y1503)&amp;"")</f>
        <v/>
      </c>
      <c r="AA1503" s="59">
        <f>IF($Y1503="","",IF(INDEX($D$6:$D$40000,$Y1503)="","",INDEX($D$6:$D$40000,$Y1503)))</f>
        <v/>
      </c>
      <c r="AB1503">
        <f>IF($Y1503="","",INDEX($L$6:$L$40000,$Y1503)&amp;"")</f>
        <v/>
      </c>
    </row>
    <row r="1504">
      <c r="Y1504" s="47">
        <f>IFERROR(MATCH(Library!M1504,$M$6:$M$40000,0),"")</f>
        <v/>
      </c>
      <c r="Z1504">
        <f>IF($Y1504="","",INDEX($C$6:$C$40000,$Y1504)&amp;"")</f>
        <v/>
      </c>
      <c r="AA1504" s="59">
        <f>IF($Y1504="","",IF(INDEX($D$6:$D$40000,$Y1504)="","",INDEX($D$6:$D$40000,$Y1504)))</f>
        <v/>
      </c>
      <c r="AB1504">
        <f>IF($Y1504="","",INDEX($L$6:$L$40000,$Y1504)&amp;"")</f>
        <v/>
      </c>
    </row>
    <row r="1505">
      <c r="Y1505" s="47">
        <f>IFERROR(MATCH(Library!M1505,$M$6:$M$40000,0),"")</f>
        <v/>
      </c>
      <c r="Z1505">
        <f>IF($Y1505="","",INDEX($C$6:$C$40000,$Y1505)&amp;"")</f>
        <v/>
      </c>
      <c r="AA1505" s="59">
        <f>IF($Y1505="","",IF(INDEX($D$6:$D$40000,$Y1505)="","",INDEX($D$6:$D$40000,$Y1505)))</f>
        <v/>
      </c>
      <c r="AB1505">
        <f>IF($Y1505="","",INDEX($L$6:$L$40000,$Y1505)&amp;"")</f>
        <v/>
      </c>
    </row>
    <row r="1506">
      <c r="Y1506" s="47">
        <f>IFERROR(MATCH(Library!M1506,$M$6:$M$40000,0),"")</f>
        <v/>
      </c>
      <c r="Z1506">
        <f>IF($Y1506="","",INDEX($C$6:$C$40000,$Y1506)&amp;"")</f>
        <v/>
      </c>
      <c r="AA1506" s="59">
        <f>IF($Y1506="","",IF(INDEX($D$6:$D$40000,$Y1506)="","",INDEX($D$6:$D$40000,$Y1506)))</f>
        <v/>
      </c>
      <c r="AB1506">
        <f>IF($Y1506="","",INDEX($L$6:$L$40000,$Y1506)&amp;"")</f>
        <v/>
      </c>
    </row>
    <row r="1507">
      <c r="Y1507" s="47">
        <f>IFERROR(MATCH(Library!M1507,$M$6:$M$40000,0),"")</f>
        <v/>
      </c>
      <c r="Z1507">
        <f>IF($Y1507="","",INDEX($C$6:$C$40000,$Y1507)&amp;"")</f>
        <v/>
      </c>
      <c r="AA1507" s="59">
        <f>IF($Y1507="","",IF(INDEX($D$6:$D$40000,$Y1507)="","",INDEX($D$6:$D$40000,$Y1507)))</f>
        <v/>
      </c>
      <c r="AB1507">
        <f>IF($Y1507="","",INDEX($L$6:$L$40000,$Y1507)&amp;"")</f>
        <v/>
      </c>
    </row>
    <row r="1508">
      <c r="Y1508" s="47">
        <f>IFERROR(MATCH(Library!M1508,$M$6:$M$40000,0),"")</f>
        <v/>
      </c>
      <c r="Z1508">
        <f>IF($Y1508="","",INDEX($C$6:$C$40000,$Y1508)&amp;"")</f>
        <v/>
      </c>
      <c r="AA1508" s="59">
        <f>IF($Y1508="","",IF(INDEX($D$6:$D$40000,$Y1508)="","",INDEX($D$6:$D$40000,$Y1508)))</f>
        <v/>
      </c>
      <c r="AB1508">
        <f>IF($Y1508="","",INDEX($L$6:$L$40000,$Y1508)&amp;"")</f>
        <v/>
      </c>
    </row>
    <row r="1509">
      <c r="Y1509" s="47">
        <f>IFERROR(MATCH(Library!M1509,$M$6:$M$40000,0),"")</f>
        <v/>
      </c>
      <c r="Z1509">
        <f>IF($Y1509="","",INDEX($C$6:$C$40000,$Y1509)&amp;"")</f>
        <v/>
      </c>
      <c r="AA1509" s="59">
        <f>IF($Y1509="","",IF(INDEX($D$6:$D$40000,$Y1509)="","",INDEX($D$6:$D$40000,$Y1509)))</f>
        <v/>
      </c>
      <c r="AB1509">
        <f>IF($Y1509="","",INDEX($L$6:$L$40000,$Y1509)&amp;"")</f>
        <v/>
      </c>
    </row>
    <row r="1510">
      <c r="Y1510" s="47">
        <f>IFERROR(MATCH(Library!M1510,$M$6:$M$40000,0),"")</f>
        <v/>
      </c>
      <c r="Z1510">
        <f>IF($Y1510="","",INDEX($C$6:$C$40000,$Y1510)&amp;"")</f>
        <v/>
      </c>
      <c r="AA1510" s="59">
        <f>IF($Y1510="","",IF(INDEX($D$6:$D$40000,$Y1510)="","",INDEX($D$6:$D$40000,$Y1510)))</f>
        <v/>
      </c>
      <c r="AB1510">
        <f>IF($Y1510="","",INDEX($L$6:$L$40000,$Y1510)&amp;"")</f>
        <v/>
      </c>
    </row>
    <row r="1511">
      <c r="Y1511" s="47">
        <f>IFERROR(MATCH(Library!M1511,$M$6:$M$40000,0),"")</f>
        <v/>
      </c>
      <c r="Z1511">
        <f>IF($Y1511="","",INDEX($C$6:$C$40000,$Y1511)&amp;"")</f>
        <v/>
      </c>
      <c r="AA1511" s="59">
        <f>IF($Y1511="","",IF(INDEX($D$6:$D$40000,$Y1511)="","",INDEX($D$6:$D$40000,$Y1511)))</f>
        <v/>
      </c>
      <c r="AB1511">
        <f>IF($Y1511="","",INDEX($L$6:$L$40000,$Y1511)&amp;"")</f>
        <v/>
      </c>
    </row>
    <row r="1512">
      <c r="Y1512" s="47">
        <f>IFERROR(MATCH(Library!M1512,$M$6:$M$40000,0),"")</f>
        <v/>
      </c>
      <c r="Z1512">
        <f>IF($Y1512="","",INDEX($C$6:$C$40000,$Y1512)&amp;"")</f>
        <v/>
      </c>
      <c r="AA1512" s="59">
        <f>IF($Y1512="","",IF(INDEX($D$6:$D$40000,$Y1512)="","",INDEX($D$6:$D$40000,$Y1512)))</f>
        <v/>
      </c>
      <c r="AB1512">
        <f>IF($Y1512="","",INDEX($L$6:$L$40000,$Y1512)&amp;"")</f>
        <v/>
      </c>
    </row>
    <row r="1513">
      <c r="Y1513" s="47">
        <f>IFERROR(MATCH(Library!M1513,$M$6:$M$40000,0),"")</f>
        <v/>
      </c>
      <c r="Z1513">
        <f>IF($Y1513="","",INDEX($C$6:$C$40000,$Y1513)&amp;"")</f>
        <v/>
      </c>
      <c r="AA1513" s="59">
        <f>IF($Y1513="","",IF(INDEX($D$6:$D$40000,$Y1513)="","",INDEX($D$6:$D$40000,$Y1513)))</f>
        <v/>
      </c>
      <c r="AB1513">
        <f>IF($Y1513="","",INDEX($L$6:$L$40000,$Y1513)&amp;"")</f>
        <v/>
      </c>
    </row>
    <row r="1514">
      <c r="Y1514" s="47">
        <f>IFERROR(MATCH(Library!M1514,$M$6:$M$40000,0),"")</f>
        <v/>
      </c>
      <c r="Z1514">
        <f>IF($Y1514="","",INDEX($C$6:$C$40000,$Y1514)&amp;"")</f>
        <v/>
      </c>
      <c r="AA1514" s="59">
        <f>IF($Y1514="","",IF(INDEX($D$6:$D$40000,$Y1514)="","",INDEX($D$6:$D$40000,$Y1514)))</f>
        <v/>
      </c>
      <c r="AB1514">
        <f>IF($Y1514="","",INDEX($L$6:$L$40000,$Y1514)&amp;"")</f>
        <v/>
      </c>
    </row>
    <row r="1515">
      <c r="Y1515" s="47">
        <f>IFERROR(MATCH(Library!M1515,$M$6:$M$40000,0),"")</f>
        <v/>
      </c>
      <c r="Z1515">
        <f>IF($Y1515="","",INDEX($C$6:$C$40000,$Y1515)&amp;"")</f>
        <v/>
      </c>
      <c r="AA1515" s="59">
        <f>IF($Y1515="","",IF(INDEX($D$6:$D$40000,$Y1515)="","",INDEX($D$6:$D$40000,$Y1515)))</f>
        <v/>
      </c>
      <c r="AB1515">
        <f>IF($Y1515="","",INDEX($L$6:$L$40000,$Y1515)&amp;"")</f>
        <v/>
      </c>
    </row>
    <row r="1516">
      <c r="Y1516" s="47">
        <f>IFERROR(MATCH(Library!M1516,$M$6:$M$40000,0),"")</f>
        <v/>
      </c>
      <c r="Z1516">
        <f>IF($Y1516="","",INDEX($C$6:$C$40000,$Y1516)&amp;"")</f>
        <v/>
      </c>
      <c r="AA1516" s="59">
        <f>IF($Y1516="","",IF(INDEX($D$6:$D$40000,$Y1516)="","",INDEX($D$6:$D$40000,$Y1516)))</f>
        <v/>
      </c>
      <c r="AB1516">
        <f>IF($Y1516="","",INDEX($L$6:$L$40000,$Y1516)&amp;"")</f>
        <v/>
      </c>
    </row>
    <row r="1517">
      <c r="Y1517" s="47">
        <f>IFERROR(MATCH(Library!M1517,$M$6:$M$40000,0),"")</f>
        <v/>
      </c>
      <c r="Z1517">
        <f>IF($Y1517="","",INDEX($C$6:$C$40000,$Y1517)&amp;"")</f>
        <v/>
      </c>
      <c r="AA1517" s="59">
        <f>IF($Y1517="","",IF(INDEX($D$6:$D$40000,$Y1517)="","",INDEX($D$6:$D$40000,$Y1517)))</f>
        <v/>
      </c>
      <c r="AB1517">
        <f>IF($Y1517="","",INDEX($L$6:$L$40000,$Y1517)&amp;"")</f>
        <v/>
      </c>
    </row>
    <row r="1518">
      <c r="Y1518" s="47">
        <f>IFERROR(MATCH(Library!M1518,$M$6:$M$40000,0),"")</f>
        <v/>
      </c>
      <c r="Z1518">
        <f>IF($Y1518="","",INDEX($C$6:$C$40000,$Y1518)&amp;"")</f>
        <v/>
      </c>
      <c r="AA1518" s="59">
        <f>IF($Y1518="","",IF(INDEX($D$6:$D$40000,$Y1518)="","",INDEX($D$6:$D$40000,$Y1518)))</f>
        <v/>
      </c>
      <c r="AB1518">
        <f>IF($Y1518="","",INDEX($L$6:$L$40000,$Y1518)&amp;"")</f>
        <v/>
      </c>
    </row>
    <row r="1519">
      <c r="Y1519" s="47">
        <f>IFERROR(MATCH(Library!M1519,$M$6:$M$40000,0),"")</f>
        <v/>
      </c>
      <c r="Z1519">
        <f>IF($Y1519="","",INDEX($C$6:$C$40000,$Y1519)&amp;"")</f>
        <v/>
      </c>
      <c r="AA1519" s="59">
        <f>IF($Y1519="","",IF(INDEX($D$6:$D$40000,$Y1519)="","",INDEX($D$6:$D$40000,$Y1519)))</f>
        <v/>
      </c>
      <c r="AB1519">
        <f>IF($Y1519="","",INDEX($L$6:$L$40000,$Y1519)&amp;"")</f>
        <v/>
      </c>
    </row>
    <row r="1520">
      <c r="Y1520" s="47">
        <f>IFERROR(MATCH(Library!M1520,$M$6:$M$40000,0),"")</f>
        <v/>
      </c>
      <c r="Z1520">
        <f>IF($Y1520="","",INDEX($C$6:$C$40000,$Y1520)&amp;"")</f>
        <v/>
      </c>
      <c r="AA1520" s="59">
        <f>IF($Y1520="","",IF(INDEX($D$6:$D$40000,$Y1520)="","",INDEX($D$6:$D$40000,$Y1520)))</f>
        <v/>
      </c>
      <c r="AB1520">
        <f>IF($Y1520="","",INDEX($L$6:$L$40000,$Y1520)&amp;"")</f>
        <v/>
      </c>
    </row>
    <row r="1521">
      <c r="Y1521" s="47">
        <f>IFERROR(MATCH(Library!M1521,$M$6:$M$40000,0),"")</f>
        <v/>
      </c>
      <c r="Z1521">
        <f>IF($Y1521="","",INDEX($C$6:$C$40000,$Y1521)&amp;"")</f>
        <v/>
      </c>
      <c r="AA1521" s="59">
        <f>IF($Y1521="","",IF(INDEX($D$6:$D$40000,$Y1521)="","",INDEX($D$6:$D$40000,$Y1521)))</f>
        <v/>
      </c>
      <c r="AB1521">
        <f>IF($Y1521="","",INDEX($L$6:$L$40000,$Y1521)&amp;"")</f>
        <v/>
      </c>
    </row>
    <row r="1522">
      <c r="Y1522" s="47">
        <f>IFERROR(MATCH(Library!M1522,$M$6:$M$40000,0),"")</f>
        <v/>
      </c>
      <c r="Z1522">
        <f>IF($Y1522="","",INDEX($C$6:$C$40000,$Y1522)&amp;"")</f>
        <v/>
      </c>
      <c r="AA1522" s="59">
        <f>IF($Y1522="","",IF(INDEX($D$6:$D$40000,$Y1522)="","",INDEX($D$6:$D$40000,$Y1522)))</f>
        <v/>
      </c>
      <c r="AB1522">
        <f>IF($Y1522="","",INDEX($L$6:$L$40000,$Y1522)&amp;"")</f>
        <v/>
      </c>
    </row>
    <row r="1523">
      <c r="Y1523" s="47">
        <f>IFERROR(MATCH(Library!M1523,$M$6:$M$40000,0),"")</f>
        <v/>
      </c>
      <c r="Z1523">
        <f>IF($Y1523="","",INDEX($C$6:$C$40000,$Y1523)&amp;"")</f>
        <v/>
      </c>
      <c r="AA1523" s="59">
        <f>IF($Y1523="","",IF(INDEX($D$6:$D$40000,$Y1523)="","",INDEX($D$6:$D$40000,$Y1523)))</f>
        <v/>
      </c>
      <c r="AB1523">
        <f>IF($Y1523="","",INDEX($L$6:$L$40000,$Y1523)&amp;"")</f>
        <v/>
      </c>
    </row>
    <row r="1524">
      <c r="Y1524" s="47">
        <f>IFERROR(MATCH(Library!M1524,$M$6:$M$40000,0),"")</f>
        <v/>
      </c>
      <c r="Z1524">
        <f>IF($Y1524="","",INDEX($C$6:$C$40000,$Y1524)&amp;"")</f>
        <v/>
      </c>
      <c r="AA1524" s="59">
        <f>IF($Y1524="","",IF(INDEX($D$6:$D$40000,$Y1524)="","",INDEX($D$6:$D$40000,$Y1524)))</f>
        <v/>
      </c>
      <c r="AB1524">
        <f>IF($Y1524="","",INDEX($L$6:$L$40000,$Y1524)&amp;"")</f>
        <v/>
      </c>
    </row>
    <row r="1525">
      <c r="Y1525" s="47">
        <f>IFERROR(MATCH(Library!M1525,$M$6:$M$40000,0),"")</f>
        <v/>
      </c>
      <c r="Z1525">
        <f>IF($Y1525="","",INDEX($C$6:$C$40000,$Y1525)&amp;"")</f>
        <v/>
      </c>
      <c r="AA1525" s="59">
        <f>IF($Y1525="","",IF(INDEX($D$6:$D$40000,$Y1525)="","",INDEX($D$6:$D$40000,$Y1525)))</f>
        <v/>
      </c>
      <c r="AB1525">
        <f>IF($Y1525="","",INDEX($L$6:$L$40000,$Y1525)&amp;"")</f>
        <v/>
      </c>
    </row>
    <row r="1526">
      <c r="Y1526" s="47">
        <f>IFERROR(MATCH(Library!M1526,$M$6:$M$40000,0),"")</f>
        <v/>
      </c>
      <c r="Z1526">
        <f>IF($Y1526="","",INDEX($C$6:$C$40000,$Y1526)&amp;"")</f>
        <v/>
      </c>
      <c r="AA1526" s="59">
        <f>IF($Y1526="","",IF(INDEX($D$6:$D$40000,$Y1526)="","",INDEX($D$6:$D$40000,$Y1526)))</f>
        <v/>
      </c>
      <c r="AB1526">
        <f>IF($Y1526="","",INDEX($L$6:$L$40000,$Y1526)&amp;"")</f>
        <v/>
      </c>
    </row>
    <row r="1527">
      <c r="Y1527" s="47">
        <f>IFERROR(MATCH(Library!M1527,$M$6:$M$40000,0),"")</f>
        <v/>
      </c>
      <c r="Z1527">
        <f>IF($Y1527="","",INDEX($C$6:$C$40000,$Y1527)&amp;"")</f>
        <v/>
      </c>
      <c r="AA1527" s="59">
        <f>IF($Y1527="","",IF(INDEX($D$6:$D$40000,$Y1527)="","",INDEX($D$6:$D$40000,$Y1527)))</f>
        <v/>
      </c>
      <c r="AB1527">
        <f>IF($Y1527="","",INDEX($L$6:$L$40000,$Y1527)&amp;"")</f>
        <v/>
      </c>
    </row>
    <row r="1528">
      <c r="Y1528" s="47">
        <f>IFERROR(MATCH(Library!M1528,$M$6:$M$40000,0),"")</f>
        <v/>
      </c>
      <c r="Z1528">
        <f>IF($Y1528="","",INDEX($C$6:$C$40000,$Y1528)&amp;"")</f>
        <v/>
      </c>
      <c r="AA1528" s="59">
        <f>IF($Y1528="","",IF(INDEX($D$6:$D$40000,$Y1528)="","",INDEX($D$6:$D$40000,$Y1528)))</f>
        <v/>
      </c>
      <c r="AB1528">
        <f>IF($Y1528="","",INDEX($L$6:$L$40000,$Y1528)&amp;"")</f>
        <v/>
      </c>
    </row>
    <row r="1529">
      <c r="Y1529" s="47">
        <f>IFERROR(MATCH(Library!M1529,$M$6:$M$40000,0),"")</f>
        <v/>
      </c>
      <c r="Z1529">
        <f>IF($Y1529="","",INDEX($C$6:$C$40000,$Y1529)&amp;"")</f>
        <v/>
      </c>
      <c r="AA1529" s="59">
        <f>IF($Y1529="","",IF(INDEX($D$6:$D$40000,$Y1529)="","",INDEX($D$6:$D$40000,$Y1529)))</f>
        <v/>
      </c>
      <c r="AB1529">
        <f>IF($Y1529="","",INDEX($L$6:$L$40000,$Y1529)&amp;"")</f>
        <v/>
      </c>
    </row>
    <row r="1530">
      <c r="Y1530" s="47">
        <f>IFERROR(MATCH(Library!M1530,$M$6:$M$40000,0),"")</f>
        <v/>
      </c>
      <c r="Z1530">
        <f>IF($Y1530="","",INDEX($C$6:$C$40000,$Y1530)&amp;"")</f>
        <v/>
      </c>
      <c r="AA1530" s="59">
        <f>IF($Y1530="","",IF(INDEX($D$6:$D$40000,$Y1530)="","",INDEX($D$6:$D$40000,$Y1530)))</f>
        <v/>
      </c>
      <c r="AB1530">
        <f>IF($Y1530="","",INDEX($L$6:$L$40000,$Y1530)&amp;"")</f>
        <v/>
      </c>
    </row>
    <row r="1531">
      <c r="Y1531" s="47">
        <f>IFERROR(MATCH(Library!M1531,$M$6:$M$40000,0),"")</f>
        <v/>
      </c>
      <c r="Z1531">
        <f>IF($Y1531="","",INDEX($C$6:$C$40000,$Y1531)&amp;"")</f>
        <v/>
      </c>
      <c r="AA1531" s="59">
        <f>IF($Y1531="","",IF(INDEX($D$6:$D$40000,$Y1531)="","",INDEX($D$6:$D$40000,$Y1531)))</f>
        <v/>
      </c>
      <c r="AB1531">
        <f>IF($Y1531="","",INDEX($L$6:$L$40000,$Y1531)&amp;"")</f>
        <v/>
      </c>
    </row>
    <row r="1532">
      <c r="Y1532" s="47">
        <f>IFERROR(MATCH(Library!M1532,$M$6:$M$40000,0),"")</f>
        <v/>
      </c>
      <c r="Z1532">
        <f>IF($Y1532="","",INDEX($C$6:$C$40000,$Y1532)&amp;"")</f>
        <v/>
      </c>
      <c r="AA1532" s="59">
        <f>IF($Y1532="","",IF(INDEX($D$6:$D$40000,$Y1532)="","",INDEX($D$6:$D$40000,$Y1532)))</f>
        <v/>
      </c>
      <c r="AB1532">
        <f>IF($Y1532="","",INDEX($L$6:$L$40000,$Y1532)&amp;"")</f>
        <v/>
      </c>
    </row>
    <row r="1533">
      <c r="Y1533" s="47">
        <f>IFERROR(MATCH(Library!M1533,$M$6:$M$40000,0),"")</f>
        <v/>
      </c>
      <c r="Z1533">
        <f>IF($Y1533="","",INDEX($C$6:$C$40000,$Y1533)&amp;"")</f>
        <v/>
      </c>
      <c r="AA1533" s="59">
        <f>IF($Y1533="","",IF(INDEX($D$6:$D$40000,$Y1533)="","",INDEX($D$6:$D$40000,$Y1533)))</f>
        <v/>
      </c>
      <c r="AB1533">
        <f>IF($Y1533="","",INDEX($L$6:$L$40000,$Y1533)&amp;"")</f>
        <v/>
      </c>
    </row>
    <row r="1534">
      <c r="Y1534" s="47">
        <f>IFERROR(MATCH(Library!M1534,$M$6:$M$40000,0),"")</f>
        <v/>
      </c>
      <c r="Z1534">
        <f>IF($Y1534="","",INDEX($C$6:$C$40000,$Y1534)&amp;"")</f>
        <v/>
      </c>
      <c r="AA1534" s="59">
        <f>IF($Y1534="","",IF(INDEX($D$6:$D$40000,$Y1534)="","",INDEX($D$6:$D$40000,$Y1534)))</f>
        <v/>
      </c>
      <c r="AB1534">
        <f>IF($Y1534="","",INDEX($L$6:$L$40000,$Y1534)&amp;"")</f>
        <v/>
      </c>
    </row>
    <row r="1535">
      <c r="Y1535" s="47">
        <f>IFERROR(MATCH(Library!M1535,$M$6:$M$40000,0),"")</f>
        <v/>
      </c>
      <c r="Z1535">
        <f>IF($Y1535="","",INDEX($C$6:$C$40000,$Y1535)&amp;"")</f>
        <v/>
      </c>
      <c r="AA1535" s="59">
        <f>IF($Y1535="","",IF(INDEX($D$6:$D$40000,$Y1535)="","",INDEX($D$6:$D$40000,$Y1535)))</f>
        <v/>
      </c>
      <c r="AB1535">
        <f>IF($Y1535="","",INDEX($L$6:$L$40000,$Y1535)&amp;"")</f>
        <v/>
      </c>
    </row>
    <row r="1536">
      <c r="Y1536" s="47">
        <f>IFERROR(MATCH(Library!M1536,$M$6:$M$40000,0),"")</f>
        <v/>
      </c>
      <c r="Z1536">
        <f>IF($Y1536="","",INDEX($C$6:$C$40000,$Y1536)&amp;"")</f>
        <v/>
      </c>
      <c r="AA1536" s="59">
        <f>IF($Y1536="","",IF(INDEX($D$6:$D$40000,$Y1536)="","",INDEX($D$6:$D$40000,$Y1536)))</f>
        <v/>
      </c>
      <c r="AB1536">
        <f>IF($Y1536="","",INDEX($L$6:$L$40000,$Y1536)&amp;"")</f>
        <v/>
      </c>
    </row>
    <row r="1537">
      <c r="Y1537" s="47">
        <f>IFERROR(MATCH(Library!M1537,$M$6:$M$40000,0),"")</f>
        <v/>
      </c>
      <c r="Z1537">
        <f>IF($Y1537="","",INDEX($C$6:$C$40000,$Y1537)&amp;"")</f>
        <v/>
      </c>
      <c r="AA1537" s="59">
        <f>IF($Y1537="","",IF(INDEX($D$6:$D$40000,$Y1537)="","",INDEX($D$6:$D$40000,$Y1537)))</f>
        <v/>
      </c>
      <c r="AB1537">
        <f>IF($Y1537="","",INDEX($L$6:$L$40000,$Y1537)&amp;"")</f>
        <v/>
      </c>
    </row>
    <row r="1538">
      <c r="Y1538" s="47">
        <f>IFERROR(MATCH(Library!M1538,$M$6:$M$40000,0),"")</f>
        <v/>
      </c>
      <c r="Z1538">
        <f>IF($Y1538="","",INDEX($C$6:$C$40000,$Y1538)&amp;"")</f>
        <v/>
      </c>
      <c r="AA1538" s="59">
        <f>IF($Y1538="","",IF(INDEX($D$6:$D$40000,$Y1538)="","",INDEX($D$6:$D$40000,$Y1538)))</f>
        <v/>
      </c>
      <c r="AB1538">
        <f>IF($Y1538="","",INDEX($L$6:$L$40000,$Y1538)&amp;"")</f>
        <v/>
      </c>
    </row>
    <row r="1539">
      <c r="Y1539" s="47">
        <f>IFERROR(MATCH(Library!M1539,$M$6:$M$40000,0),"")</f>
        <v/>
      </c>
      <c r="Z1539">
        <f>IF($Y1539="","",INDEX($C$6:$C$40000,$Y1539)&amp;"")</f>
        <v/>
      </c>
      <c r="AA1539" s="59">
        <f>IF($Y1539="","",IF(INDEX($D$6:$D$40000,$Y1539)="","",INDEX($D$6:$D$40000,$Y1539)))</f>
        <v/>
      </c>
      <c r="AB1539">
        <f>IF($Y1539="","",INDEX($L$6:$L$40000,$Y1539)&amp;"")</f>
        <v/>
      </c>
    </row>
    <row r="1540">
      <c r="Y1540" s="47">
        <f>IFERROR(MATCH(Library!M1540,$M$6:$M$40000,0),"")</f>
        <v/>
      </c>
      <c r="Z1540">
        <f>IF($Y1540="","",INDEX($C$6:$C$40000,$Y1540)&amp;"")</f>
        <v/>
      </c>
      <c r="AA1540" s="59">
        <f>IF($Y1540="","",IF(INDEX($D$6:$D$40000,$Y1540)="","",INDEX($D$6:$D$40000,$Y1540)))</f>
        <v/>
      </c>
      <c r="AB1540">
        <f>IF($Y1540="","",INDEX($L$6:$L$40000,$Y1540)&amp;"")</f>
        <v/>
      </c>
    </row>
    <row r="1541">
      <c r="Y1541" s="47">
        <f>IFERROR(MATCH(Library!M1541,$M$6:$M$40000,0),"")</f>
        <v/>
      </c>
      <c r="Z1541">
        <f>IF($Y1541="","",INDEX($C$6:$C$40000,$Y1541)&amp;"")</f>
        <v/>
      </c>
      <c r="AA1541" s="59">
        <f>IF($Y1541="","",IF(INDEX($D$6:$D$40000,$Y1541)="","",INDEX($D$6:$D$40000,$Y1541)))</f>
        <v/>
      </c>
      <c r="AB1541">
        <f>IF($Y1541="","",INDEX($L$6:$L$40000,$Y1541)&amp;"")</f>
        <v/>
      </c>
    </row>
    <row r="1542">
      <c r="Y1542" s="47">
        <f>IFERROR(MATCH(Library!M1542,$M$6:$M$40000,0),"")</f>
        <v/>
      </c>
      <c r="Z1542">
        <f>IF($Y1542="","",INDEX($C$6:$C$40000,$Y1542)&amp;"")</f>
        <v/>
      </c>
      <c r="AA1542" s="59">
        <f>IF($Y1542="","",IF(INDEX($D$6:$D$40000,$Y1542)="","",INDEX($D$6:$D$40000,$Y1542)))</f>
        <v/>
      </c>
      <c r="AB1542">
        <f>IF($Y1542="","",INDEX($L$6:$L$40000,$Y1542)&amp;"")</f>
        <v/>
      </c>
    </row>
    <row r="1543">
      <c r="Y1543" s="47">
        <f>IFERROR(MATCH(Library!M1543,$M$6:$M$40000,0),"")</f>
        <v/>
      </c>
      <c r="Z1543">
        <f>IF($Y1543="","",INDEX($C$6:$C$40000,$Y1543)&amp;"")</f>
        <v/>
      </c>
      <c r="AA1543" s="59">
        <f>IF($Y1543="","",IF(INDEX($D$6:$D$40000,$Y1543)="","",INDEX($D$6:$D$40000,$Y1543)))</f>
        <v/>
      </c>
      <c r="AB1543">
        <f>IF($Y1543="","",INDEX($L$6:$L$40000,$Y1543)&amp;"")</f>
        <v/>
      </c>
    </row>
    <row r="1544">
      <c r="Y1544" s="47">
        <f>IFERROR(MATCH(Library!M1544,$M$6:$M$40000,0),"")</f>
        <v/>
      </c>
      <c r="Z1544">
        <f>IF($Y1544="","",INDEX($C$6:$C$40000,$Y1544)&amp;"")</f>
        <v/>
      </c>
      <c r="AA1544" s="59">
        <f>IF($Y1544="","",IF(INDEX($D$6:$D$40000,$Y1544)="","",INDEX($D$6:$D$40000,$Y1544)))</f>
        <v/>
      </c>
      <c r="AB1544">
        <f>IF($Y1544="","",INDEX($L$6:$L$40000,$Y1544)&amp;"")</f>
        <v/>
      </c>
    </row>
    <row r="1545">
      <c r="Y1545" s="47">
        <f>IFERROR(MATCH(Library!M1545,$M$6:$M$40000,0),"")</f>
        <v/>
      </c>
      <c r="Z1545">
        <f>IF($Y1545="","",INDEX($C$6:$C$40000,$Y1545)&amp;"")</f>
        <v/>
      </c>
      <c r="AA1545" s="59">
        <f>IF($Y1545="","",IF(INDEX($D$6:$D$40000,$Y1545)="","",INDEX($D$6:$D$40000,$Y1545)))</f>
        <v/>
      </c>
      <c r="AB1545">
        <f>IF($Y1545="","",INDEX($L$6:$L$40000,$Y1545)&amp;"")</f>
        <v/>
      </c>
    </row>
    <row r="1546">
      <c r="Y1546" s="47">
        <f>IFERROR(MATCH(Library!M1546,$M$6:$M$40000,0),"")</f>
        <v/>
      </c>
      <c r="Z1546">
        <f>IF($Y1546="","",INDEX($C$6:$C$40000,$Y1546)&amp;"")</f>
        <v/>
      </c>
      <c r="AA1546" s="59">
        <f>IF($Y1546="","",IF(INDEX($D$6:$D$40000,$Y1546)="","",INDEX($D$6:$D$40000,$Y1546)))</f>
        <v/>
      </c>
      <c r="AB1546">
        <f>IF($Y1546="","",INDEX($L$6:$L$40000,$Y1546)&amp;"")</f>
        <v/>
      </c>
    </row>
    <row r="1547">
      <c r="Y1547" s="47">
        <f>IFERROR(MATCH(Library!M1547,$M$6:$M$40000,0),"")</f>
        <v/>
      </c>
      <c r="Z1547">
        <f>IF($Y1547="","",INDEX($C$6:$C$40000,$Y1547)&amp;"")</f>
        <v/>
      </c>
      <c r="AA1547" s="59">
        <f>IF($Y1547="","",IF(INDEX($D$6:$D$40000,$Y1547)="","",INDEX($D$6:$D$40000,$Y1547)))</f>
        <v/>
      </c>
      <c r="AB1547">
        <f>IF($Y1547="","",INDEX($L$6:$L$40000,$Y1547)&amp;"")</f>
        <v/>
      </c>
    </row>
    <row r="1548">
      <c r="Y1548" s="47">
        <f>IFERROR(MATCH(Library!M1548,$M$6:$M$40000,0),"")</f>
        <v/>
      </c>
      <c r="Z1548">
        <f>IF($Y1548="","",INDEX($C$6:$C$40000,$Y1548)&amp;"")</f>
        <v/>
      </c>
      <c r="AA1548" s="59">
        <f>IF($Y1548="","",IF(INDEX($D$6:$D$40000,$Y1548)="","",INDEX($D$6:$D$40000,$Y1548)))</f>
        <v/>
      </c>
      <c r="AB1548">
        <f>IF($Y1548="","",INDEX($L$6:$L$40000,$Y1548)&amp;"")</f>
        <v/>
      </c>
    </row>
    <row r="1549">
      <c r="Y1549" s="47">
        <f>IFERROR(MATCH(Library!M1549,$M$6:$M$40000,0),"")</f>
        <v/>
      </c>
      <c r="Z1549">
        <f>IF($Y1549="","",INDEX($C$6:$C$40000,$Y1549)&amp;"")</f>
        <v/>
      </c>
      <c r="AA1549" s="59">
        <f>IF($Y1549="","",IF(INDEX($D$6:$D$40000,$Y1549)="","",INDEX($D$6:$D$40000,$Y1549)))</f>
        <v/>
      </c>
      <c r="AB1549">
        <f>IF($Y1549="","",INDEX($L$6:$L$40000,$Y1549)&amp;"")</f>
        <v/>
      </c>
    </row>
    <row r="1550">
      <c r="Y1550" s="47">
        <f>IFERROR(MATCH(Library!M1550,$M$6:$M$40000,0),"")</f>
        <v/>
      </c>
      <c r="Z1550">
        <f>IF($Y1550="","",INDEX($C$6:$C$40000,$Y1550)&amp;"")</f>
        <v/>
      </c>
      <c r="AA1550" s="59">
        <f>IF($Y1550="","",IF(INDEX($D$6:$D$40000,$Y1550)="","",INDEX($D$6:$D$40000,$Y1550)))</f>
        <v/>
      </c>
      <c r="AB1550">
        <f>IF($Y1550="","",INDEX($L$6:$L$40000,$Y1550)&amp;"")</f>
        <v/>
      </c>
    </row>
    <row r="1551">
      <c r="Y1551" s="47">
        <f>IFERROR(MATCH(Library!M1551,$M$6:$M$40000,0),"")</f>
        <v/>
      </c>
      <c r="Z1551">
        <f>IF($Y1551="","",INDEX($C$6:$C$40000,$Y1551)&amp;"")</f>
        <v/>
      </c>
      <c r="AA1551" s="59">
        <f>IF($Y1551="","",IF(INDEX($D$6:$D$40000,$Y1551)="","",INDEX($D$6:$D$40000,$Y1551)))</f>
        <v/>
      </c>
      <c r="AB1551">
        <f>IF($Y1551="","",INDEX($L$6:$L$40000,$Y1551)&amp;"")</f>
        <v/>
      </c>
    </row>
    <row r="1552">
      <c r="Y1552" s="47">
        <f>IFERROR(MATCH(Library!M1552,$M$6:$M$40000,0),"")</f>
        <v/>
      </c>
      <c r="Z1552">
        <f>IF($Y1552="","",INDEX($C$6:$C$40000,$Y1552)&amp;"")</f>
        <v/>
      </c>
      <c r="AA1552" s="59">
        <f>IF($Y1552="","",IF(INDEX($D$6:$D$40000,$Y1552)="","",INDEX($D$6:$D$40000,$Y1552)))</f>
        <v/>
      </c>
      <c r="AB1552">
        <f>IF($Y1552="","",INDEX($L$6:$L$40000,$Y1552)&amp;"")</f>
        <v/>
      </c>
    </row>
    <row r="1553">
      <c r="Y1553" s="47">
        <f>IFERROR(MATCH(Library!M1553,$M$6:$M$40000,0),"")</f>
        <v/>
      </c>
      <c r="Z1553">
        <f>IF($Y1553="","",INDEX($C$6:$C$40000,$Y1553)&amp;"")</f>
        <v/>
      </c>
      <c r="AA1553" s="59">
        <f>IF($Y1553="","",IF(INDEX($D$6:$D$40000,$Y1553)="","",INDEX($D$6:$D$40000,$Y1553)))</f>
        <v/>
      </c>
      <c r="AB1553">
        <f>IF($Y1553="","",INDEX($L$6:$L$40000,$Y1553)&amp;"")</f>
        <v/>
      </c>
    </row>
    <row r="1554">
      <c r="Y1554" s="47">
        <f>IFERROR(MATCH(Library!M1554,$M$6:$M$40000,0),"")</f>
        <v/>
      </c>
      <c r="Z1554">
        <f>IF($Y1554="","",INDEX($C$6:$C$40000,$Y1554)&amp;"")</f>
        <v/>
      </c>
      <c r="AA1554" s="59">
        <f>IF($Y1554="","",IF(INDEX($D$6:$D$40000,$Y1554)="","",INDEX($D$6:$D$40000,$Y1554)))</f>
        <v/>
      </c>
      <c r="AB1554">
        <f>IF($Y1554="","",INDEX($L$6:$L$40000,$Y1554)&amp;"")</f>
        <v/>
      </c>
    </row>
    <row r="1555">
      <c r="Y1555" s="47">
        <f>IFERROR(MATCH(Library!M1555,$M$6:$M$40000,0),"")</f>
        <v/>
      </c>
      <c r="Z1555">
        <f>IF($Y1555="","",INDEX($C$6:$C$40000,$Y1555)&amp;"")</f>
        <v/>
      </c>
      <c r="AA1555" s="59">
        <f>IF($Y1555="","",IF(INDEX($D$6:$D$40000,$Y1555)="","",INDEX($D$6:$D$40000,$Y1555)))</f>
        <v/>
      </c>
      <c r="AB1555">
        <f>IF($Y1555="","",INDEX($L$6:$L$40000,$Y1555)&amp;"")</f>
        <v/>
      </c>
    </row>
    <row r="1556">
      <c r="Y1556" s="47">
        <f>IFERROR(MATCH(Library!M1556,$M$6:$M$40000,0),"")</f>
        <v/>
      </c>
      <c r="Z1556">
        <f>IF($Y1556="","",INDEX($C$6:$C$40000,$Y1556)&amp;"")</f>
        <v/>
      </c>
      <c r="AA1556" s="59">
        <f>IF($Y1556="","",IF(INDEX($D$6:$D$40000,$Y1556)="","",INDEX($D$6:$D$40000,$Y1556)))</f>
        <v/>
      </c>
      <c r="AB1556">
        <f>IF($Y1556="","",INDEX($L$6:$L$40000,$Y1556)&amp;"")</f>
        <v/>
      </c>
    </row>
    <row r="1557">
      <c r="Y1557" s="47">
        <f>IFERROR(MATCH(Library!M1557,$M$6:$M$40000,0),"")</f>
        <v/>
      </c>
      <c r="Z1557">
        <f>IF($Y1557="","",INDEX($C$6:$C$40000,$Y1557)&amp;"")</f>
        <v/>
      </c>
      <c r="AA1557" s="59">
        <f>IF($Y1557="","",IF(INDEX($D$6:$D$40000,$Y1557)="","",INDEX($D$6:$D$40000,$Y1557)))</f>
        <v/>
      </c>
      <c r="AB1557">
        <f>IF($Y1557="","",INDEX($L$6:$L$40000,$Y1557)&amp;"")</f>
        <v/>
      </c>
    </row>
    <row r="1558">
      <c r="Y1558" s="47">
        <f>IFERROR(MATCH(Library!M1558,$M$6:$M$40000,0),"")</f>
        <v/>
      </c>
      <c r="Z1558">
        <f>IF($Y1558="","",INDEX($C$6:$C$40000,$Y1558)&amp;"")</f>
        <v/>
      </c>
      <c r="AA1558" s="59">
        <f>IF($Y1558="","",IF(INDEX($D$6:$D$40000,$Y1558)="","",INDEX($D$6:$D$40000,$Y1558)))</f>
        <v/>
      </c>
      <c r="AB1558">
        <f>IF($Y1558="","",INDEX($L$6:$L$40000,$Y1558)&amp;"")</f>
        <v/>
      </c>
    </row>
    <row r="1559">
      <c r="Y1559" s="47">
        <f>IFERROR(MATCH(Library!M1559,$M$6:$M$40000,0),"")</f>
        <v/>
      </c>
      <c r="Z1559">
        <f>IF($Y1559="","",INDEX($C$6:$C$40000,$Y1559)&amp;"")</f>
        <v/>
      </c>
      <c r="AA1559" s="59">
        <f>IF($Y1559="","",IF(INDEX($D$6:$D$40000,$Y1559)="","",INDEX($D$6:$D$40000,$Y1559)))</f>
        <v/>
      </c>
      <c r="AB1559">
        <f>IF($Y1559="","",INDEX($L$6:$L$40000,$Y1559)&amp;"")</f>
        <v/>
      </c>
    </row>
    <row r="1560">
      <c r="Y1560" s="47">
        <f>IFERROR(MATCH(Library!M1560,$M$6:$M$40000,0),"")</f>
        <v/>
      </c>
      <c r="Z1560">
        <f>IF($Y1560="","",INDEX($C$6:$C$40000,$Y1560)&amp;"")</f>
        <v/>
      </c>
      <c r="AA1560" s="59">
        <f>IF($Y1560="","",IF(INDEX($D$6:$D$40000,$Y1560)="","",INDEX($D$6:$D$40000,$Y1560)))</f>
        <v/>
      </c>
      <c r="AB1560">
        <f>IF($Y1560="","",INDEX($L$6:$L$40000,$Y1560)&amp;"")</f>
        <v/>
      </c>
    </row>
    <row r="1561">
      <c r="Y1561" s="47">
        <f>IFERROR(MATCH(Library!M1561,$M$6:$M$40000,0),"")</f>
        <v/>
      </c>
      <c r="Z1561">
        <f>IF($Y1561="","",INDEX($C$6:$C$40000,$Y1561)&amp;"")</f>
        <v/>
      </c>
      <c r="AA1561" s="59">
        <f>IF($Y1561="","",IF(INDEX($D$6:$D$40000,$Y1561)="","",INDEX($D$6:$D$40000,$Y1561)))</f>
        <v/>
      </c>
      <c r="AB1561">
        <f>IF($Y1561="","",INDEX($L$6:$L$40000,$Y1561)&amp;"")</f>
        <v/>
      </c>
    </row>
    <row r="1562">
      <c r="Y1562" s="47">
        <f>IFERROR(MATCH(Library!M1562,$M$6:$M$40000,0),"")</f>
        <v/>
      </c>
      <c r="Z1562">
        <f>IF($Y1562="","",INDEX($C$6:$C$40000,$Y1562)&amp;"")</f>
        <v/>
      </c>
      <c r="AA1562" s="59">
        <f>IF($Y1562="","",IF(INDEX($D$6:$D$40000,$Y1562)="","",INDEX($D$6:$D$40000,$Y1562)))</f>
        <v/>
      </c>
      <c r="AB1562">
        <f>IF($Y1562="","",INDEX($L$6:$L$40000,$Y1562)&amp;"")</f>
        <v/>
      </c>
    </row>
    <row r="1563">
      <c r="Y1563" s="47">
        <f>IFERROR(MATCH(Library!M1563,$M$6:$M$40000,0),"")</f>
        <v/>
      </c>
      <c r="Z1563">
        <f>IF($Y1563="","",INDEX($C$6:$C$40000,$Y1563)&amp;"")</f>
        <v/>
      </c>
      <c r="AA1563" s="59">
        <f>IF($Y1563="","",IF(INDEX($D$6:$D$40000,$Y1563)="","",INDEX($D$6:$D$40000,$Y1563)))</f>
        <v/>
      </c>
      <c r="AB1563">
        <f>IF($Y1563="","",INDEX($L$6:$L$40000,$Y1563)&amp;"")</f>
        <v/>
      </c>
    </row>
    <row r="1564">
      <c r="Y1564" s="47">
        <f>IFERROR(MATCH(Library!M1564,$M$6:$M$40000,0),"")</f>
        <v/>
      </c>
      <c r="Z1564">
        <f>IF($Y1564="","",INDEX($C$6:$C$40000,$Y1564)&amp;"")</f>
        <v/>
      </c>
      <c r="AA1564" s="59">
        <f>IF($Y1564="","",IF(INDEX($D$6:$D$40000,$Y1564)="","",INDEX($D$6:$D$40000,$Y1564)))</f>
        <v/>
      </c>
      <c r="AB1564">
        <f>IF($Y1564="","",INDEX($L$6:$L$40000,$Y1564)&amp;"")</f>
        <v/>
      </c>
    </row>
    <row r="1565">
      <c r="Y1565" s="47">
        <f>IFERROR(MATCH(Library!M1565,$M$6:$M$40000,0),"")</f>
        <v/>
      </c>
      <c r="Z1565">
        <f>IF($Y1565="","",INDEX($C$6:$C$40000,$Y1565)&amp;"")</f>
        <v/>
      </c>
      <c r="AA1565" s="59">
        <f>IF($Y1565="","",IF(INDEX($D$6:$D$40000,$Y1565)="","",INDEX($D$6:$D$40000,$Y1565)))</f>
        <v/>
      </c>
      <c r="AB1565">
        <f>IF($Y1565="","",INDEX($L$6:$L$40000,$Y1565)&amp;"")</f>
        <v/>
      </c>
    </row>
    <row r="1566">
      <c r="Y1566" s="47">
        <f>IFERROR(MATCH(Library!M1566,$M$6:$M$40000,0),"")</f>
        <v/>
      </c>
      <c r="Z1566">
        <f>IF($Y1566="","",INDEX($C$6:$C$40000,$Y1566)&amp;"")</f>
        <v/>
      </c>
      <c r="AA1566" s="59">
        <f>IF($Y1566="","",IF(INDEX($D$6:$D$40000,$Y1566)="","",INDEX($D$6:$D$40000,$Y1566)))</f>
        <v/>
      </c>
      <c r="AB1566">
        <f>IF($Y1566="","",INDEX($L$6:$L$40000,$Y1566)&amp;"")</f>
        <v/>
      </c>
    </row>
    <row r="1567">
      <c r="Y1567" s="47">
        <f>IFERROR(MATCH(Library!M1567,$M$6:$M$40000,0),"")</f>
        <v/>
      </c>
      <c r="Z1567">
        <f>IF($Y1567="","",INDEX($C$6:$C$40000,$Y1567)&amp;"")</f>
        <v/>
      </c>
      <c r="AA1567" s="59">
        <f>IF($Y1567="","",IF(INDEX($D$6:$D$40000,$Y1567)="","",INDEX($D$6:$D$40000,$Y1567)))</f>
        <v/>
      </c>
      <c r="AB1567">
        <f>IF($Y1567="","",INDEX($L$6:$L$40000,$Y1567)&amp;"")</f>
        <v/>
      </c>
    </row>
    <row r="1568">
      <c r="Y1568" s="47">
        <f>IFERROR(MATCH(Library!M1568,$M$6:$M$40000,0),"")</f>
        <v/>
      </c>
      <c r="Z1568">
        <f>IF($Y1568="","",INDEX($C$6:$C$40000,$Y1568)&amp;"")</f>
        <v/>
      </c>
      <c r="AA1568" s="59">
        <f>IF($Y1568="","",IF(INDEX($D$6:$D$40000,$Y1568)="","",INDEX($D$6:$D$40000,$Y1568)))</f>
        <v/>
      </c>
      <c r="AB1568">
        <f>IF($Y1568="","",INDEX($L$6:$L$40000,$Y1568)&amp;"")</f>
        <v/>
      </c>
    </row>
    <row r="1569">
      <c r="Y1569" s="47">
        <f>IFERROR(MATCH(Library!M1569,$M$6:$M$40000,0),"")</f>
        <v/>
      </c>
      <c r="Z1569">
        <f>IF($Y1569="","",INDEX($C$6:$C$40000,$Y1569)&amp;"")</f>
        <v/>
      </c>
      <c r="AA1569" s="59">
        <f>IF($Y1569="","",IF(INDEX($D$6:$D$40000,$Y1569)="","",INDEX($D$6:$D$40000,$Y1569)))</f>
        <v/>
      </c>
      <c r="AB1569">
        <f>IF($Y1569="","",INDEX($L$6:$L$40000,$Y1569)&amp;"")</f>
        <v/>
      </c>
    </row>
    <row r="1570">
      <c r="Y1570" s="47">
        <f>IFERROR(MATCH(Library!M1570,$M$6:$M$40000,0),"")</f>
        <v/>
      </c>
      <c r="Z1570">
        <f>IF($Y1570="","",INDEX($C$6:$C$40000,$Y1570)&amp;"")</f>
        <v/>
      </c>
      <c r="AA1570" s="59">
        <f>IF($Y1570="","",IF(INDEX($D$6:$D$40000,$Y1570)="","",INDEX($D$6:$D$40000,$Y1570)))</f>
        <v/>
      </c>
      <c r="AB1570">
        <f>IF($Y1570="","",INDEX($L$6:$L$40000,$Y1570)&amp;"")</f>
        <v/>
      </c>
    </row>
    <row r="1571">
      <c r="Y1571" s="47">
        <f>IFERROR(MATCH(Library!M1571,$M$6:$M$40000,0),"")</f>
        <v/>
      </c>
      <c r="Z1571">
        <f>IF($Y1571="","",INDEX($C$6:$C$40000,$Y1571)&amp;"")</f>
        <v/>
      </c>
      <c r="AA1571" s="59">
        <f>IF($Y1571="","",IF(INDEX($D$6:$D$40000,$Y1571)="","",INDEX($D$6:$D$40000,$Y1571)))</f>
        <v/>
      </c>
      <c r="AB1571">
        <f>IF($Y1571="","",INDEX($L$6:$L$40000,$Y1571)&amp;"")</f>
        <v/>
      </c>
    </row>
    <row r="1572">
      <c r="Y1572" s="47">
        <f>IFERROR(MATCH(Library!M1572,$M$6:$M$40000,0),"")</f>
        <v/>
      </c>
      <c r="Z1572">
        <f>IF($Y1572="","",INDEX($C$6:$C$40000,$Y1572)&amp;"")</f>
        <v/>
      </c>
      <c r="AA1572" s="59">
        <f>IF($Y1572="","",IF(INDEX($D$6:$D$40000,$Y1572)="","",INDEX($D$6:$D$40000,$Y1572)))</f>
        <v/>
      </c>
      <c r="AB1572">
        <f>IF($Y1572="","",INDEX($L$6:$L$40000,$Y1572)&amp;"")</f>
        <v/>
      </c>
    </row>
    <row r="1573">
      <c r="Y1573" s="47">
        <f>IFERROR(MATCH(Library!M1573,$M$6:$M$40000,0),"")</f>
        <v/>
      </c>
      <c r="Z1573">
        <f>IF($Y1573="","",INDEX($C$6:$C$40000,$Y1573)&amp;"")</f>
        <v/>
      </c>
      <c r="AA1573" s="59">
        <f>IF($Y1573="","",IF(INDEX($D$6:$D$40000,$Y1573)="","",INDEX($D$6:$D$40000,$Y1573)))</f>
        <v/>
      </c>
      <c r="AB1573">
        <f>IF($Y1573="","",INDEX($L$6:$L$40000,$Y1573)&amp;"")</f>
        <v/>
      </c>
    </row>
    <row r="1574">
      <c r="Y1574" s="47">
        <f>IFERROR(MATCH(Library!M1574,$M$6:$M$40000,0),"")</f>
        <v/>
      </c>
      <c r="Z1574">
        <f>IF($Y1574="","",INDEX($C$6:$C$40000,$Y1574)&amp;"")</f>
        <v/>
      </c>
      <c r="AA1574" s="59">
        <f>IF($Y1574="","",IF(INDEX($D$6:$D$40000,$Y1574)="","",INDEX($D$6:$D$40000,$Y1574)))</f>
        <v/>
      </c>
      <c r="AB1574">
        <f>IF($Y1574="","",INDEX($L$6:$L$40000,$Y1574)&amp;"")</f>
        <v/>
      </c>
    </row>
    <row r="1575">
      <c r="Y1575" s="47">
        <f>IFERROR(MATCH(Library!M1575,$M$6:$M$40000,0),"")</f>
        <v/>
      </c>
      <c r="Z1575">
        <f>IF($Y1575="","",INDEX($C$6:$C$40000,$Y1575)&amp;"")</f>
        <v/>
      </c>
      <c r="AA1575" s="59">
        <f>IF($Y1575="","",IF(INDEX($D$6:$D$40000,$Y1575)="","",INDEX($D$6:$D$40000,$Y1575)))</f>
        <v/>
      </c>
      <c r="AB1575">
        <f>IF($Y1575="","",INDEX($L$6:$L$40000,$Y1575)&amp;"")</f>
        <v/>
      </c>
    </row>
    <row r="1576">
      <c r="Y1576" s="47">
        <f>IFERROR(MATCH(Library!M1576,$M$6:$M$40000,0),"")</f>
        <v/>
      </c>
      <c r="Z1576">
        <f>IF($Y1576="","",INDEX($C$6:$C$40000,$Y1576)&amp;"")</f>
        <v/>
      </c>
      <c r="AA1576" s="59">
        <f>IF($Y1576="","",IF(INDEX($D$6:$D$40000,$Y1576)="","",INDEX($D$6:$D$40000,$Y1576)))</f>
        <v/>
      </c>
      <c r="AB1576">
        <f>IF($Y1576="","",INDEX($L$6:$L$40000,$Y1576)&amp;"")</f>
        <v/>
      </c>
    </row>
    <row r="1577">
      <c r="Y1577" s="47">
        <f>IFERROR(MATCH(Library!M1577,$M$6:$M$40000,0),"")</f>
        <v/>
      </c>
      <c r="Z1577">
        <f>IF($Y1577="","",INDEX($C$6:$C$40000,$Y1577)&amp;"")</f>
        <v/>
      </c>
      <c r="AA1577" s="59">
        <f>IF($Y1577="","",IF(INDEX($D$6:$D$40000,$Y1577)="","",INDEX($D$6:$D$40000,$Y1577)))</f>
        <v/>
      </c>
      <c r="AB1577">
        <f>IF($Y1577="","",INDEX($L$6:$L$40000,$Y1577)&amp;"")</f>
        <v/>
      </c>
    </row>
    <row r="1578">
      <c r="Y1578" s="47">
        <f>IFERROR(MATCH(Library!M1578,$M$6:$M$40000,0),"")</f>
        <v/>
      </c>
      <c r="Z1578">
        <f>IF($Y1578="","",INDEX($C$6:$C$40000,$Y1578)&amp;"")</f>
        <v/>
      </c>
      <c r="AA1578" s="59">
        <f>IF($Y1578="","",IF(INDEX($D$6:$D$40000,$Y1578)="","",INDEX($D$6:$D$40000,$Y1578)))</f>
        <v/>
      </c>
      <c r="AB1578">
        <f>IF($Y1578="","",INDEX($L$6:$L$40000,$Y1578)&amp;"")</f>
        <v/>
      </c>
    </row>
    <row r="1579">
      <c r="Y1579" s="47">
        <f>IFERROR(MATCH(Library!M1579,$M$6:$M$40000,0),"")</f>
        <v/>
      </c>
      <c r="Z1579">
        <f>IF($Y1579="","",INDEX($C$6:$C$40000,$Y1579)&amp;"")</f>
        <v/>
      </c>
      <c r="AA1579" s="59">
        <f>IF($Y1579="","",IF(INDEX($D$6:$D$40000,$Y1579)="","",INDEX($D$6:$D$40000,$Y1579)))</f>
        <v/>
      </c>
      <c r="AB1579">
        <f>IF($Y1579="","",INDEX($L$6:$L$40000,$Y1579)&amp;"")</f>
        <v/>
      </c>
    </row>
    <row r="1580">
      <c r="Y1580" s="47">
        <f>IFERROR(MATCH(Library!M1580,$M$6:$M$40000,0),"")</f>
        <v/>
      </c>
      <c r="Z1580">
        <f>IF($Y1580="","",INDEX($C$6:$C$40000,$Y1580)&amp;"")</f>
        <v/>
      </c>
      <c r="AA1580" s="59">
        <f>IF($Y1580="","",IF(INDEX($D$6:$D$40000,$Y1580)="","",INDEX($D$6:$D$40000,$Y1580)))</f>
        <v/>
      </c>
      <c r="AB1580">
        <f>IF($Y1580="","",INDEX($L$6:$L$40000,$Y1580)&amp;"")</f>
        <v/>
      </c>
    </row>
    <row r="1581">
      <c r="Y1581" s="47">
        <f>IFERROR(MATCH(Library!M1581,$M$6:$M$40000,0),"")</f>
        <v/>
      </c>
      <c r="Z1581">
        <f>IF($Y1581="","",INDEX($C$6:$C$40000,$Y1581)&amp;"")</f>
        <v/>
      </c>
      <c r="AA1581" s="59">
        <f>IF($Y1581="","",IF(INDEX($D$6:$D$40000,$Y1581)="","",INDEX($D$6:$D$40000,$Y1581)))</f>
        <v/>
      </c>
      <c r="AB1581">
        <f>IF($Y1581="","",INDEX($L$6:$L$40000,$Y1581)&amp;"")</f>
        <v/>
      </c>
    </row>
    <row r="1582">
      <c r="Y1582" s="47">
        <f>IFERROR(MATCH(Library!M1582,$M$6:$M$40000,0),"")</f>
        <v/>
      </c>
      <c r="Z1582">
        <f>IF($Y1582="","",INDEX($C$6:$C$40000,$Y1582)&amp;"")</f>
        <v/>
      </c>
      <c r="AA1582" s="59">
        <f>IF($Y1582="","",IF(INDEX($D$6:$D$40000,$Y1582)="","",INDEX($D$6:$D$40000,$Y1582)))</f>
        <v/>
      </c>
      <c r="AB1582">
        <f>IF($Y1582="","",INDEX($L$6:$L$40000,$Y1582)&amp;"")</f>
        <v/>
      </c>
    </row>
    <row r="1583">
      <c r="Y1583" s="47">
        <f>IFERROR(MATCH(Library!M1583,$M$6:$M$40000,0),"")</f>
        <v/>
      </c>
      <c r="Z1583">
        <f>IF($Y1583="","",INDEX($C$6:$C$40000,$Y1583)&amp;"")</f>
        <v/>
      </c>
      <c r="AA1583" s="59">
        <f>IF($Y1583="","",IF(INDEX($D$6:$D$40000,$Y1583)="","",INDEX($D$6:$D$40000,$Y1583)))</f>
        <v/>
      </c>
      <c r="AB1583">
        <f>IF($Y1583="","",INDEX($L$6:$L$40000,$Y1583)&amp;"")</f>
        <v/>
      </c>
    </row>
    <row r="1584">
      <c r="Y1584" s="47">
        <f>IFERROR(MATCH(Library!M1584,$M$6:$M$40000,0),"")</f>
        <v/>
      </c>
      <c r="Z1584">
        <f>IF($Y1584="","",INDEX($C$6:$C$40000,$Y1584)&amp;"")</f>
        <v/>
      </c>
      <c r="AA1584" s="59">
        <f>IF($Y1584="","",IF(INDEX($D$6:$D$40000,$Y1584)="","",INDEX($D$6:$D$40000,$Y1584)))</f>
        <v/>
      </c>
      <c r="AB1584">
        <f>IF($Y1584="","",INDEX($L$6:$L$40000,$Y1584)&amp;"")</f>
        <v/>
      </c>
    </row>
    <row r="1585">
      <c r="Y1585" s="47">
        <f>IFERROR(MATCH(Library!M1585,$M$6:$M$40000,0),"")</f>
        <v/>
      </c>
      <c r="Z1585">
        <f>IF($Y1585="","",INDEX($C$6:$C$40000,$Y1585)&amp;"")</f>
        <v/>
      </c>
      <c r="AA1585" s="59">
        <f>IF($Y1585="","",IF(INDEX($D$6:$D$40000,$Y1585)="","",INDEX($D$6:$D$40000,$Y1585)))</f>
        <v/>
      </c>
      <c r="AB1585">
        <f>IF($Y1585="","",INDEX($L$6:$L$40000,$Y1585)&amp;"")</f>
        <v/>
      </c>
    </row>
    <row r="1586">
      <c r="Y1586" s="47">
        <f>IFERROR(MATCH(Library!M1586,$M$6:$M$40000,0),"")</f>
        <v/>
      </c>
      <c r="Z1586">
        <f>IF($Y1586="","",INDEX($C$6:$C$40000,$Y1586)&amp;"")</f>
        <v/>
      </c>
      <c r="AA1586" s="59">
        <f>IF($Y1586="","",IF(INDEX($D$6:$D$40000,$Y1586)="","",INDEX($D$6:$D$40000,$Y1586)))</f>
        <v/>
      </c>
      <c r="AB1586">
        <f>IF($Y1586="","",INDEX($L$6:$L$40000,$Y1586)&amp;"")</f>
        <v/>
      </c>
    </row>
    <row r="1587">
      <c r="Y1587" s="47">
        <f>IFERROR(MATCH(Library!M1587,$M$6:$M$40000,0),"")</f>
        <v/>
      </c>
      <c r="Z1587">
        <f>IF($Y1587="","",INDEX($C$6:$C$40000,$Y1587)&amp;"")</f>
        <v/>
      </c>
      <c r="AA1587" s="59">
        <f>IF($Y1587="","",IF(INDEX($D$6:$D$40000,$Y1587)="","",INDEX($D$6:$D$40000,$Y1587)))</f>
        <v/>
      </c>
      <c r="AB1587">
        <f>IF($Y1587="","",INDEX($L$6:$L$40000,$Y1587)&amp;"")</f>
        <v/>
      </c>
    </row>
    <row r="1588">
      <c r="Y1588" s="47">
        <f>IFERROR(MATCH(Library!M1588,$M$6:$M$40000,0),"")</f>
        <v/>
      </c>
      <c r="Z1588">
        <f>IF($Y1588="","",INDEX($C$6:$C$40000,$Y1588)&amp;"")</f>
        <v/>
      </c>
      <c r="AA1588" s="59">
        <f>IF($Y1588="","",IF(INDEX($D$6:$D$40000,$Y1588)="","",INDEX($D$6:$D$40000,$Y1588)))</f>
        <v/>
      </c>
      <c r="AB1588">
        <f>IF($Y1588="","",INDEX($L$6:$L$40000,$Y1588)&amp;"")</f>
        <v/>
      </c>
    </row>
    <row r="1589">
      <c r="Y1589" s="47">
        <f>IFERROR(MATCH(Library!M1589,$M$6:$M$40000,0),"")</f>
        <v/>
      </c>
      <c r="Z1589">
        <f>IF($Y1589="","",INDEX($C$6:$C$40000,$Y1589)&amp;"")</f>
        <v/>
      </c>
      <c r="AA1589" s="59">
        <f>IF($Y1589="","",IF(INDEX($D$6:$D$40000,$Y1589)="","",INDEX($D$6:$D$40000,$Y1589)))</f>
        <v/>
      </c>
      <c r="AB1589">
        <f>IF($Y1589="","",INDEX($L$6:$L$40000,$Y1589)&amp;"")</f>
        <v/>
      </c>
    </row>
    <row r="1590">
      <c r="Y1590" s="47">
        <f>IFERROR(MATCH(Library!M1590,$M$6:$M$40000,0),"")</f>
        <v/>
      </c>
      <c r="Z1590">
        <f>IF($Y1590="","",INDEX($C$6:$C$40000,$Y1590)&amp;"")</f>
        <v/>
      </c>
      <c r="AA1590" s="59">
        <f>IF($Y1590="","",IF(INDEX($D$6:$D$40000,$Y1590)="","",INDEX($D$6:$D$40000,$Y1590)))</f>
        <v/>
      </c>
      <c r="AB1590">
        <f>IF($Y1590="","",INDEX($L$6:$L$40000,$Y1590)&amp;"")</f>
        <v/>
      </c>
    </row>
    <row r="1591">
      <c r="Y1591" s="47">
        <f>IFERROR(MATCH(Library!M1591,$M$6:$M$40000,0),"")</f>
        <v/>
      </c>
      <c r="Z1591">
        <f>IF($Y1591="","",INDEX($C$6:$C$40000,$Y1591)&amp;"")</f>
        <v/>
      </c>
      <c r="AA1591" s="59">
        <f>IF($Y1591="","",IF(INDEX($D$6:$D$40000,$Y1591)="","",INDEX($D$6:$D$40000,$Y1591)))</f>
        <v/>
      </c>
      <c r="AB1591">
        <f>IF($Y1591="","",INDEX($L$6:$L$40000,$Y1591)&amp;"")</f>
        <v/>
      </c>
    </row>
    <row r="1592">
      <c r="Y1592" s="47">
        <f>IFERROR(MATCH(Library!M1592,$M$6:$M$40000,0),"")</f>
        <v/>
      </c>
      <c r="Z1592">
        <f>IF($Y1592="","",INDEX($C$6:$C$40000,$Y1592)&amp;"")</f>
        <v/>
      </c>
      <c r="AA1592" s="59">
        <f>IF($Y1592="","",IF(INDEX($D$6:$D$40000,$Y1592)="","",INDEX($D$6:$D$40000,$Y1592)))</f>
        <v/>
      </c>
      <c r="AB1592">
        <f>IF($Y1592="","",INDEX($L$6:$L$40000,$Y1592)&amp;"")</f>
        <v/>
      </c>
    </row>
    <row r="1593">
      <c r="Y1593" s="47">
        <f>IFERROR(MATCH(Library!M1593,$M$6:$M$40000,0),"")</f>
        <v/>
      </c>
      <c r="Z1593">
        <f>IF($Y1593="","",INDEX($C$6:$C$40000,$Y1593)&amp;"")</f>
        <v/>
      </c>
      <c r="AA1593" s="59">
        <f>IF($Y1593="","",IF(INDEX($D$6:$D$40000,$Y1593)="","",INDEX($D$6:$D$40000,$Y1593)))</f>
        <v/>
      </c>
      <c r="AB1593">
        <f>IF($Y1593="","",INDEX($L$6:$L$40000,$Y1593)&amp;"")</f>
        <v/>
      </c>
    </row>
    <row r="1594">
      <c r="Y1594" s="47">
        <f>IFERROR(MATCH(Library!M1594,$M$6:$M$40000,0),"")</f>
        <v/>
      </c>
      <c r="Z1594">
        <f>IF($Y1594="","",INDEX($C$6:$C$40000,$Y1594)&amp;"")</f>
        <v/>
      </c>
      <c r="AA1594" s="59">
        <f>IF($Y1594="","",IF(INDEX($D$6:$D$40000,$Y1594)="","",INDEX($D$6:$D$40000,$Y1594)))</f>
        <v/>
      </c>
      <c r="AB1594">
        <f>IF($Y1594="","",INDEX($L$6:$L$40000,$Y1594)&amp;"")</f>
        <v/>
      </c>
    </row>
    <row r="1595">
      <c r="Y1595" s="47">
        <f>IFERROR(MATCH(Library!M1595,$M$6:$M$40000,0),"")</f>
        <v/>
      </c>
      <c r="Z1595">
        <f>IF($Y1595="","",INDEX($C$6:$C$40000,$Y1595)&amp;"")</f>
        <v/>
      </c>
      <c r="AA1595" s="59">
        <f>IF($Y1595="","",IF(INDEX($D$6:$D$40000,$Y1595)="","",INDEX($D$6:$D$40000,$Y1595)))</f>
        <v/>
      </c>
      <c r="AB1595">
        <f>IF($Y1595="","",INDEX($L$6:$L$40000,$Y1595)&amp;"")</f>
        <v/>
      </c>
    </row>
    <row r="1596">
      <c r="Y1596" s="47">
        <f>IFERROR(MATCH(Library!M1596,$M$6:$M$40000,0),"")</f>
        <v/>
      </c>
      <c r="Z1596">
        <f>IF($Y1596="","",INDEX($C$6:$C$40000,$Y1596)&amp;"")</f>
        <v/>
      </c>
      <c r="AA1596" s="59">
        <f>IF($Y1596="","",IF(INDEX($D$6:$D$40000,$Y1596)="","",INDEX($D$6:$D$40000,$Y1596)))</f>
        <v/>
      </c>
      <c r="AB1596">
        <f>IF($Y1596="","",INDEX($L$6:$L$40000,$Y1596)&amp;"")</f>
        <v/>
      </c>
    </row>
    <row r="1597">
      <c r="Y1597" s="47">
        <f>IFERROR(MATCH(Library!M1597,$M$6:$M$40000,0),"")</f>
        <v/>
      </c>
      <c r="Z1597">
        <f>IF($Y1597="","",INDEX($C$6:$C$40000,$Y1597)&amp;"")</f>
        <v/>
      </c>
      <c r="AA1597" s="59">
        <f>IF($Y1597="","",IF(INDEX($D$6:$D$40000,$Y1597)="","",INDEX($D$6:$D$40000,$Y1597)))</f>
        <v/>
      </c>
      <c r="AB1597">
        <f>IF($Y1597="","",INDEX($L$6:$L$40000,$Y1597)&amp;"")</f>
        <v/>
      </c>
    </row>
    <row r="1598">
      <c r="Y1598" s="47">
        <f>IFERROR(MATCH(Library!M1598,$M$6:$M$40000,0),"")</f>
        <v/>
      </c>
      <c r="Z1598">
        <f>IF($Y1598="","",INDEX($C$6:$C$40000,$Y1598)&amp;"")</f>
        <v/>
      </c>
      <c r="AA1598" s="59">
        <f>IF($Y1598="","",IF(INDEX($D$6:$D$40000,$Y1598)="","",INDEX($D$6:$D$40000,$Y1598)))</f>
        <v/>
      </c>
      <c r="AB1598">
        <f>IF($Y1598="","",INDEX($L$6:$L$40000,$Y1598)&amp;"")</f>
        <v/>
      </c>
    </row>
    <row r="1599">
      <c r="Y1599" s="47">
        <f>IFERROR(MATCH(Library!M1599,$M$6:$M$40000,0),"")</f>
        <v/>
      </c>
      <c r="Z1599">
        <f>IF($Y1599="","",INDEX($C$6:$C$40000,$Y1599)&amp;"")</f>
        <v/>
      </c>
      <c r="AA1599" s="59">
        <f>IF($Y1599="","",IF(INDEX($D$6:$D$40000,$Y1599)="","",INDEX($D$6:$D$40000,$Y1599)))</f>
        <v/>
      </c>
      <c r="AB1599">
        <f>IF($Y1599="","",INDEX($L$6:$L$40000,$Y1599)&amp;"")</f>
        <v/>
      </c>
    </row>
    <row r="1600">
      <c r="Y1600" s="47">
        <f>IFERROR(MATCH(Library!M1600,$M$6:$M$40000,0),"")</f>
        <v/>
      </c>
      <c r="Z1600">
        <f>IF($Y1600="","",INDEX($C$6:$C$40000,$Y1600)&amp;"")</f>
        <v/>
      </c>
      <c r="AA1600" s="59">
        <f>IF($Y1600="","",IF(INDEX($D$6:$D$40000,$Y1600)="","",INDEX($D$6:$D$40000,$Y1600)))</f>
        <v/>
      </c>
      <c r="AB1600">
        <f>IF($Y1600="","",INDEX($L$6:$L$40000,$Y1600)&amp;"")</f>
        <v/>
      </c>
    </row>
    <row r="1601">
      <c r="Y1601" s="47">
        <f>IFERROR(MATCH(Library!M1601,$M$6:$M$40000,0),"")</f>
        <v/>
      </c>
      <c r="Z1601">
        <f>IF($Y1601="","",INDEX($C$6:$C$40000,$Y1601)&amp;"")</f>
        <v/>
      </c>
      <c r="AA1601" s="59">
        <f>IF($Y1601="","",IF(INDEX($D$6:$D$40000,$Y1601)="","",INDEX($D$6:$D$40000,$Y1601)))</f>
        <v/>
      </c>
      <c r="AB1601">
        <f>IF($Y1601="","",INDEX($L$6:$L$40000,$Y1601)&amp;"")</f>
        <v/>
      </c>
    </row>
    <row r="1602">
      <c r="Y1602" s="47">
        <f>IFERROR(MATCH(Library!M1602,$M$6:$M$40000,0),"")</f>
        <v/>
      </c>
      <c r="Z1602">
        <f>IF($Y1602="","",INDEX($C$6:$C$40000,$Y1602)&amp;"")</f>
        <v/>
      </c>
      <c r="AA1602" s="59">
        <f>IF($Y1602="","",IF(INDEX($D$6:$D$40000,$Y1602)="","",INDEX($D$6:$D$40000,$Y1602)))</f>
        <v/>
      </c>
      <c r="AB1602">
        <f>IF($Y1602="","",INDEX($L$6:$L$40000,$Y1602)&amp;"")</f>
        <v/>
      </c>
    </row>
    <row r="1603">
      <c r="Y1603" s="47">
        <f>IFERROR(MATCH(Library!M1603,$M$6:$M$40000,0),"")</f>
        <v/>
      </c>
      <c r="Z1603">
        <f>IF($Y1603="","",INDEX($C$6:$C$40000,$Y1603)&amp;"")</f>
        <v/>
      </c>
      <c r="AA1603" s="59">
        <f>IF($Y1603="","",IF(INDEX($D$6:$D$40000,$Y1603)="","",INDEX($D$6:$D$40000,$Y1603)))</f>
        <v/>
      </c>
      <c r="AB1603">
        <f>IF($Y1603="","",INDEX($L$6:$L$40000,$Y1603)&amp;"")</f>
        <v/>
      </c>
    </row>
    <row r="1604">
      <c r="Y1604" s="47">
        <f>IFERROR(MATCH(Library!M1604,$M$6:$M$40000,0),"")</f>
        <v/>
      </c>
      <c r="Z1604">
        <f>IF($Y1604="","",INDEX($C$6:$C$40000,$Y1604)&amp;"")</f>
        <v/>
      </c>
      <c r="AA1604" s="59">
        <f>IF($Y1604="","",IF(INDEX($D$6:$D$40000,$Y1604)="","",INDEX($D$6:$D$40000,$Y1604)))</f>
        <v/>
      </c>
      <c r="AB1604">
        <f>IF($Y1604="","",INDEX($L$6:$L$40000,$Y1604)&amp;"")</f>
        <v/>
      </c>
    </row>
    <row r="1605">
      <c r="Y1605" s="47">
        <f>IFERROR(MATCH(Library!M1605,$M$6:$M$40000,0),"")</f>
        <v/>
      </c>
      <c r="Z1605">
        <f>IF($Y1605="","",INDEX($C$6:$C$40000,$Y1605)&amp;"")</f>
        <v/>
      </c>
      <c r="AA1605" s="59">
        <f>IF($Y1605="","",IF(INDEX($D$6:$D$40000,$Y1605)="","",INDEX($D$6:$D$40000,$Y1605)))</f>
        <v/>
      </c>
      <c r="AB1605">
        <f>IF($Y1605="","",INDEX($L$6:$L$40000,$Y1605)&amp;"")</f>
        <v/>
      </c>
    </row>
    <row r="1606">
      <c r="Y1606" s="47">
        <f>IFERROR(MATCH(Library!M1606,$M$6:$M$40000,0),"")</f>
        <v/>
      </c>
      <c r="Z1606">
        <f>IF($Y1606="","",INDEX($C$6:$C$40000,$Y1606)&amp;"")</f>
        <v/>
      </c>
      <c r="AA1606" s="59">
        <f>IF($Y1606="","",IF(INDEX($D$6:$D$40000,$Y1606)="","",INDEX($D$6:$D$40000,$Y1606)))</f>
        <v/>
      </c>
      <c r="AB1606">
        <f>IF($Y1606="","",INDEX($L$6:$L$40000,$Y1606)&amp;"")</f>
        <v/>
      </c>
    </row>
    <row r="1607">
      <c r="Y1607" s="47">
        <f>IFERROR(MATCH(Library!M1607,$M$6:$M$40000,0),"")</f>
        <v/>
      </c>
      <c r="Z1607">
        <f>IF($Y1607="","",INDEX($C$6:$C$40000,$Y1607)&amp;"")</f>
        <v/>
      </c>
      <c r="AA1607" s="59">
        <f>IF($Y1607="","",IF(INDEX($D$6:$D$40000,$Y1607)="","",INDEX($D$6:$D$40000,$Y1607)))</f>
        <v/>
      </c>
      <c r="AB1607">
        <f>IF($Y1607="","",INDEX($L$6:$L$40000,$Y1607)&amp;"")</f>
        <v/>
      </c>
    </row>
    <row r="1608">
      <c r="Y1608" s="47">
        <f>IFERROR(MATCH(Library!M1608,$M$6:$M$40000,0),"")</f>
        <v/>
      </c>
      <c r="Z1608">
        <f>IF($Y1608="","",INDEX($C$6:$C$40000,$Y1608)&amp;"")</f>
        <v/>
      </c>
      <c r="AA1608" s="59">
        <f>IF($Y1608="","",IF(INDEX($D$6:$D$40000,$Y1608)="","",INDEX($D$6:$D$40000,$Y1608)))</f>
        <v/>
      </c>
      <c r="AB1608">
        <f>IF($Y1608="","",INDEX($L$6:$L$40000,$Y1608)&amp;"")</f>
        <v/>
      </c>
    </row>
    <row r="1609">
      <c r="Y1609" s="47">
        <f>IFERROR(MATCH(Library!M1609,$M$6:$M$40000,0),"")</f>
        <v/>
      </c>
      <c r="Z1609">
        <f>IF($Y1609="","",INDEX($C$6:$C$40000,$Y1609)&amp;"")</f>
        <v/>
      </c>
      <c r="AA1609" s="59">
        <f>IF($Y1609="","",IF(INDEX($D$6:$D$40000,$Y1609)="","",INDEX($D$6:$D$40000,$Y1609)))</f>
        <v/>
      </c>
      <c r="AB1609">
        <f>IF($Y1609="","",INDEX($L$6:$L$40000,$Y1609)&amp;"")</f>
        <v/>
      </c>
    </row>
    <row r="1610">
      <c r="Y1610" s="47">
        <f>IFERROR(MATCH(Library!M1610,$M$6:$M$40000,0),"")</f>
        <v/>
      </c>
      <c r="Z1610">
        <f>IF($Y1610="","",INDEX($C$6:$C$40000,$Y1610)&amp;"")</f>
        <v/>
      </c>
      <c r="AA1610" s="59">
        <f>IF($Y1610="","",IF(INDEX($D$6:$D$40000,$Y1610)="","",INDEX($D$6:$D$40000,$Y1610)))</f>
        <v/>
      </c>
      <c r="AB1610">
        <f>IF($Y1610="","",INDEX($L$6:$L$40000,$Y1610)&amp;"")</f>
        <v/>
      </c>
    </row>
    <row r="1611">
      <c r="Y1611" s="47">
        <f>IFERROR(MATCH(Library!M1611,$M$6:$M$40000,0),"")</f>
        <v/>
      </c>
      <c r="Z1611">
        <f>IF($Y1611="","",INDEX($C$6:$C$40000,$Y1611)&amp;"")</f>
        <v/>
      </c>
      <c r="AA1611" s="59">
        <f>IF($Y1611="","",IF(INDEX($D$6:$D$40000,$Y1611)="","",INDEX($D$6:$D$40000,$Y1611)))</f>
        <v/>
      </c>
      <c r="AB1611">
        <f>IF($Y1611="","",INDEX($L$6:$L$40000,$Y1611)&amp;"")</f>
        <v/>
      </c>
    </row>
    <row r="1612">
      <c r="Y1612" s="47">
        <f>IFERROR(MATCH(Library!M1612,$M$6:$M$40000,0),"")</f>
        <v/>
      </c>
      <c r="Z1612">
        <f>IF($Y1612="","",INDEX($C$6:$C$40000,$Y1612)&amp;"")</f>
        <v/>
      </c>
      <c r="AA1612" s="59">
        <f>IF($Y1612="","",IF(INDEX($D$6:$D$40000,$Y1612)="","",INDEX($D$6:$D$40000,$Y1612)))</f>
        <v/>
      </c>
      <c r="AB1612">
        <f>IF($Y1612="","",INDEX($L$6:$L$40000,$Y1612)&amp;"")</f>
        <v/>
      </c>
    </row>
    <row r="1613">
      <c r="Y1613" s="47">
        <f>IFERROR(MATCH(Library!M1613,$M$6:$M$40000,0),"")</f>
        <v/>
      </c>
      <c r="Z1613">
        <f>IF($Y1613="","",INDEX($C$6:$C$40000,$Y1613)&amp;"")</f>
        <v/>
      </c>
      <c r="AA1613" s="59">
        <f>IF($Y1613="","",IF(INDEX($D$6:$D$40000,$Y1613)="","",INDEX($D$6:$D$40000,$Y1613)))</f>
        <v/>
      </c>
      <c r="AB1613">
        <f>IF($Y1613="","",INDEX($L$6:$L$40000,$Y1613)&amp;"")</f>
        <v/>
      </c>
    </row>
    <row r="1614">
      <c r="Y1614" s="47">
        <f>IFERROR(MATCH(Library!M1614,$M$6:$M$40000,0),"")</f>
        <v/>
      </c>
      <c r="Z1614">
        <f>IF($Y1614="","",INDEX($C$6:$C$40000,$Y1614)&amp;"")</f>
        <v/>
      </c>
      <c r="AA1614" s="59">
        <f>IF($Y1614="","",IF(INDEX($D$6:$D$40000,$Y1614)="","",INDEX($D$6:$D$40000,$Y1614)))</f>
        <v/>
      </c>
      <c r="AB1614">
        <f>IF($Y1614="","",INDEX($L$6:$L$40000,$Y1614)&amp;"")</f>
        <v/>
      </c>
    </row>
    <row r="1615">
      <c r="Y1615" s="47">
        <f>IFERROR(MATCH(Library!M1615,$M$6:$M$40000,0),"")</f>
        <v/>
      </c>
      <c r="Z1615">
        <f>IF($Y1615="","",INDEX($C$6:$C$40000,$Y1615)&amp;"")</f>
        <v/>
      </c>
      <c r="AA1615" s="59">
        <f>IF($Y1615="","",IF(INDEX($D$6:$D$40000,$Y1615)="","",INDEX($D$6:$D$40000,$Y1615)))</f>
        <v/>
      </c>
      <c r="AB1615">
        <f>IF($Y1615="","",INDEX($L$6:$L$40000,$Y1615)&amp;"")</f>
        <v/>
      </c>
    </row>
    <row r="1616">
      <c r="Y1616" s="47">
        <f>IFERROR(MATCH(Library!M1616,$M$6:$M$40000,0),"")</f>
        <v/>
      </c>
      <c r="Z1616">
        <f>IF($Y1616="","",INDEX($C$6:$C$40000,$Y1616)&amp;"")</f>
        <v/>
      </c>
      <c r="AA1616" s="59">
        <f>IF($Y1616="","",IF(INDEX($D$6:$D$40000,$Y1616)="","",INDEX($D$6:$D$40000,$Y1616)))</f>
        <v/>
      </c>
      <c r="AB1616">
        <f>IF($Y1616="","",INDEX($L$6:$L$40000,$Y1616)&amp;"")</f>
        <v/>
      </c>
    </row>
    <row r="1617">
      <c r="Y1617" s="47">
        <f>IFERROR(MATCH(Library!M1617,$M$6:$M$40000,0),"")</f>
        <v/>
      </c>
      <c r="Z1617">
        <f>IF($Y1617="","",INDEX($C$6:$C$40000,$Y1617)&amp;"")</f>
        <v/>
      </c>
      <c r="AA1617" s="59">
        <f>IF($Y1617="","",IF(INDEX($D$6:$D$40000,$Y1617)="","",INDEX($D$6:$D$40000,$Y1617)))</f>
        <v/>
      </c>
      <c r="AB1617">
        <f>IF($Y1617="","",INDEX($L$6:$L$40000,$Y1617)&amp;"")</f>
        <v/>
      </c>
    </row>
    <row r="1618">
      <c r="Y1618" s="47">
        <f>IFERROR(MATCH(Library!M1618,$M$6:$M$40000,0),"")</f>
        <v/>
      </c>
      <c r="Z1618">
        <f>IF($Y1618="","",INDEX($C$6:$C$40000,$Y1618)&amp;"")</f>
        <v/>
      </c>
      <c r="AA1618" s="59">
        <f>IF($Y1618="","",IF(INDEX($D$6:$D$40000,$Y1618)="","",INDEX($D$6:$D$40000,$Y1618)))</f>
        <v/>
      </c>
      <c r="AB1618">
        <f>IF($Y1618="","",INDEX($L$6:$L$40000,$Y1618)&amp;"")</f>
        <v/>
      </c>
    </row>
    <row r="1619">
      <c r="Y1619" s="47">
        <f>IFERROR(MATCH(Library!M1619,$M$6:$M$40000,0),"")</f>
        <v/>
      </c>
      <c r="Z1619">
        <f>IF($Y1619="","",INDEX($C$6:$C$40000,$Y1619)&amp;"")</f>
        <v/>
      </c>
      <c r="AA1619" s="59">
        <f>IF($Y1619="","",IF(INDEX($D$6:$D$40000,$Y1619)="","",INDEX($D$6:$D$40000,$Y1619)))</f>
        <v/>
      </c>
      <c r="AB1619">
        <f>IF($Y1619="","",INDEX($L$6:$L$40000,$Y1619)&amp;"")</f>
        <v/>
      </c>
    </row>
    <row r="1620">
      <c r="Y1620" s="47">
        <f>IFERROR(MATCH(Library!M1620,$M$6:$M$40000,0),"")</f>
        <v/>
      </c>
      <c r="Z1620">
        <f>IF($Y1620="","",INDEX($C$6:$C$40000,$Y1620)&amp;"")</f>
        <v/>
      </c>
      <c r="AA1620" s="59">
        <f>IF($Y1620="","",IF(INDEX($D$6:$D$40000,$Y1620)="","",INDEX($D$6:$D$40000,$Y1620)))</f>
        <v/>
      </c>
      <c r="AB1620">
        <f>IF($Y1620="","",INDEX($L$6:$L$40000,$Y1620)&amp;"")</f>
        <v/>
      </c>
    </row>
    <row r="1621">
      <c r="Y1621" s="47">
        <f>IFERROR(MATCH(Library!M1621,$M$6:$M$40000,0),"")</f>
        <v/>
      </c>
      <c r="Z1621">
        <f>IF($Y1621="","",INDEX($C$6:$C$40000,$Y1621)&amp;"")</f>
        <v/>
      </c>
      <c r="AA1621" s="59">
        <f>IF($Y1621="","",IF(INDEX($D$6:$D$40000,$Y1621)="","",INDEX($D$6:$D$40000,$Y1621)))</f>
        <v/>
      </c>
      <c r="AB1621">
        <f>IF($Y1621="","",INDEX($L$6:$L$40000,$Y1621)&amp;"")</f>
        <v/>
      </c>
    </row>
    <row r="1622">
      <c r="Y1622" s="47">
        <f>IFERROR(MATCH(Library!M1622,$M$6:$M$40000,0),"")</f>
        <v/>
      </c>
      <c r="Z1622">
        <f>IF($Y1622="","",INDEX($C$6:$C$40000,$Y1622)&amp;"")</f>
        <v/>
      </c>
      <c r="AA1622" s="59">
        <f>IF($Y1622="","",IF(INDEX($D$6:$D$40000,$Y1622)="","",INDEX($D$6:$D$40000,$Y1622)))</f>
        <v/>
      </c>
      <c r="AB1622">
        <f>IF($Y1622="","",INDEX($L$6:$L$40000,$Y1622)&amp;"")</f>
        <v/>
      </c>
    </row>
    <row r="1623">
      <c r="Y1623" s="47">
        <f>IFERROR(MATCH(Library!M1623,$M$6:$M$40000,0),"")</f>
        <v/>
      </c>
      <c r="Z1623">
        <f>IF($Y1623="","",INDEX($C$6:$C$40000,$Y1623)&amp;"")</f>
        <v/>
      </c>
      <c r="AA1623" s="59">
        <f>IF($Y1623="","",IF(INDEX($D$6:$D$40000,$Y1623)="","",INDEX($D$6:$D$40000,$Y1623)))</f>
        <v/>
      </c>
      <c r="AB1623">
        <f>IF($Y1623="","",INDEX($L$6:$L$40000,$Y1623)&amp;"")</f>
        <v/>
      </c>
    </row>
    <row r="1624">
      <c r="Y1624" s="47">
        <f>IFERROR(MATCH(Library!M1624,$M$6:$M$40000,0),"")</f>
        <v/>
      </c>
      <c r="Z1624">
        <f>IF($Y1624="","",INDEX($C$6:$C$40000,$Y1624)&amp;"")</f>
        <v/>
      </c>
      <c r="AA1624" s="59">
        <f>IF($Y1624="","",IF(INDEX($D$6:$D$40000,$Y1624)="","",INDEX($D$6:$D$40000,$Y1624)))</f>
        <v/>
      </c>
      <c r="AB1624">
        <f>IF($Y1624="","",INDEX($L$6:$L$40000,$Y1624)&amp;"")</f>
        <v/>
      </c>
    </row>
    <row r="1625">
      <c r="Y1625" s="47">
        <f>IFERROR(MATCH(Library!M1625,$M$6:$M$40000,0),"")</f>
        <v/>
      </c>
      <c r="Z1625">
        <f>IF($Y1625="","",INDEX($C$6:$C$40000,$Y1625)&amp;"")</f>
        <v/>
      </c>
      <c r="AA1625" s="59">
        <f>IF($Y1625="","",IF(INDEX($D$6:$D$40000,$Y1625)="","",INDEX($D$6:$D$40000,$Y1625)))</f>
        <v/>
      </c>
      <c r="AB1625">
        <f>IF($Y1625="","",INDEX($L$6:$L$40000,$Y1625)&amp;"")</f>
        <v/>
      </c>
    </row>
    <row r="1626">
      <c r="Y1626" s="47">
        <f>IFERROR(MATCH(Library!M1626,$M$6:$M$40000,0),"")</f>
        <v/>
      </c>
      <c r="Z1626">
        <f>IF($Y1626="","",INDEX($C$6:$C$40000,$Y1626)&amp;"")</f>
        <v/>
      </c>
      <c r="AA1626" s="59">
        <f>IF($Y1626="","",IF(INDEX($D$6:$D$40000,$Y1626)="","",INDEX($D$6:$D$40000,$Y1626)))</f>
        <v/>
      </c>
      <c r="AB1626">
        <f>IF($Y1626="","",INDEX($L$6:$L$40000,$Y1626)&amp;"")</f>
        <v/>
      </c>
    </row>
    <row r="1627">
      <c r="Y1627" s="47">
        <f>IFERROR(MATCH(Library!M1627,$M$6:$M$40000,0),"")</f>
        <v/>
      </c>
      <c r="Z1627">
        <f>IF($Y1627="","",INDEX($C$6:$C$40000,$Y1627)&amp;"")</f>
        <v/>
      </c>
      <c r="AA1627" s="59">
        <f>IF($Y1627="","",IF(INDEX($D$6:$D$40000,$Y1627)="","",INDEX($D$6:$D$40000,$Y1627)))</f>
        <v/>
      </c>
      <c r="AB1627">
        <f>IF($Y1627="","",INDEX($L$6:$L$40000,$Y1627)&amp;"")</f>
        <v/>
      </c>
    </row>
    <row r="1628">
      <c r="Y1628" s="47">
        <f>IFERROR(MATCH(Library!M1628,$M$6:$M$40000,0),"")</f>
        <v/>
      </c>
      <c r="Z1628">
        <f>IF($Y1628="","",INDEX($C$6:$C$40000,$Y1628)&amp;"")</f>
        <v/>
      </c>
      <c r="AA1628" s="59">
        <f>IF($Y1628="","",IF(INDEX($D$6:$D$40000,$Y1628)="","",INDEX($D$6:$D$40000,$Y1628)))</f>
        <v/>
      </c>
      <c r="AB1628">
        <f>IF($Y1628="","",INDEX($L$6:$L$40000,$Y1628)&amp;"")</f>
        <v/>
      </c>
    </row>
    <row r="1629">
      <c r="Y1629" s="47">
        <f>IFERROR(MATCH(Library!M1629,$M$6:$M$40000,0),"")</f>
        <v/>
      </c>
      <c r="Z1629">
        <f>IF($Y1629="","",INDEX($C$6:$C$40000,$Y1629)&amp;"")</f>
        <v/>
      </c>
      <c r="AA1629" s="59">
        <f>IF($Y1629="","",IF(INDEX($D$6:$D$40000,$Y1629)="","",INDEX($D$6:$D$40000,$Y1629)))</f>
        <v/>
      </c>
      <c r="AB1629">
        <f>IF($Y1629="","",INDEX($L$6:$L$40000,$Y1629)&amp;"")</f>
        <v/>
      </c>
    </row>
    <row r="1630">
      <c r="Y1630" s="47">
        <f>IFERROR(MATCH(Library!M1630,$M$6:$M$40000,0),"")</f>
        <v/>
      </c>
      <c r="Z1630">
        <f>IF($Y1630="","",INDEX($C$6:$C$40000,$Y1630)&amp;"")</f>
        <v/>
      </c>
      <c r="AA1630" s="59">
        <f>IF($Y1630="","",IF(INDEX($D$6:$D$40000,$Y1630)="","",INDEX($D$6:$D$40000,$Y1630)))</f>
        <v/>
      </c>
      <c r="AB1630">
        <f>IF($Y1630="","",INDEX($L$6:$L$40000,$Y1630)&amp;"")</f>
        <v/>
      </c>
    </row>
    <row r="1631">
      <c r="Y1631" s="47">
        <f>IFERROR(MATCH(Library!M1631,$M$6:$M$40000,0),"")</f>
        <v/>
      </c>
      <c r="Z1631">
        <f>IF($Y1631="","",INDEX($C$6:$C$40000,$Y1631)&amp;"")</f>
        <v/>
      </c>
      <c r="AA1631" s="59">
        <f>IF($Y1631="","",IF(INDEX($D$6:$D$40000,$Y1631)="","",INDEX($D$6:$D$40000,$Y1631)))</f>
        <v/>
      </c>
      <c r="AB1631">
        <f>IF($Y1631="","",INDEX($L$6:$L$40000,$Y1631)&amp;"")</f>
        <v/>
      </c>
    </row>
    <row r="1632">
      <c r="Y1632" s="47">
        <f>IFERROR(MATCH(Library!M1632,$M$6:$M$40000,0),"")</f>
        <v/>
      </c>
      <c r="Z1632">
        <f>IF($Y1632="","",INDEX($C$6:$C$40000,$Y1632)&amp;"")</f>
        <v/>
      </c>
      <c r="AA1632" s="59">
        <f>IF($Y1632="","",IF(INDEX($D$6:$D$40000,$Y1632)="","",INDEX($D$6:$D$40000,$Y1632)))</f>
        <v/>
      </c>
      <c r="AB1632">
        <f>IF($Y1632="","",INDEX($L$6:$L$40000,$Y1632)&amp;"")</f>
        <v/>
      </c>
    </row>
    <row r="1633">
      <c r="Y1633" s="47">
        <f>IFERROR(MATCH(Library!M1633,$M$6:$M$40000,0),"")</f>
        <v/>
      </c>
      <c r="Z1633">
        <f>IF($Y1633="","",INDEX($C$6:$C$40000,$Y1633)&amp;"")</f>
        <v/>
      </c>
      <c r="AA1633" s="59">
        <f>IF($Y1633="","",IF(INDEX($D$6:$D$40000,$Y1633)="","",INDEX($D$6:$D$40000,$Y1633)))</f>
        <v/>
      </c>
      <c r="AB1633">
        <f>IF($Y1633="","",INDEX($L$6:$L$40000,$Y1633)&amp;"")</f>
        <v/>
      </c>
    </row>
    <row r="1634">
      <c r="Y1634" s="47">
        <f>IFERROR(MATCH(Library!M1634,$M$6:$M$40000,0),"")</f>
        <v/>
      </c>
      <c r="Z1634">
        <f>IF($Y1634="","",INDEX($C$6:$C$40000,$Y1634)&amp;"")</f>
        <v/>
      </c>
      <c r="AA1634" s="59">
        <f>IF($Y1634="","",IF(INDEX($D$6:$D$40000,$Y1634)="","",INDEX($D$6:$D$40000,$Y1634)))</f>
        <v/>
      </c>
      <c r="AB1634">
        <f>IF($Y1634="","",INDEX($L$6:$L$40000,$Y1634)&amp;"")</f>
        <v/>
      </c>
    </row>
    <row r="1635">
      <c r="Y1635" s="47">
        <f>IFERROR(MATCH(Library!M1635,$M$6:$M$40000,0),"")</f>
        <v/>
      </c>
      <c r="Z1635">
        <f>IF($Y1635="","",INDEX($C$6:$C$40000,$Y1635)&amp;"")</f>
        <v/>
      </c>
      <c r="AA1635" s="59">
        <f>IF($Y1635="","",IF(INDEX($D$6:$D$40000,$Y1635)="","",INDEX($D$6:$D$40000,$Y1635)))</f>
        <v/>
      </c>
      <c r="AB1635">
        <f>IF($Y1635="","",INDEX($L$6:$L$40000,$Y1635)&amp;"")</f>
        <v/>
      </c>
    </row>
    <row r="1636">
      <c r="Y1636" s="47">
        <f>IFERROR(MATCH(Library!M1636,$M$6:$M$40000,0),"")</f>
        <v/>
      </c>
      <c r="Z1636">
        <f>IF($Y1636="","",INDEX($C$6:$C$40000,$Y1636)&amp;"")</f>
        <v/>
      </c>
      <c r="AA1636" s="59">
        <f>IF($Y1636="","",IF(INDEX($D$6:$D$40000,$Y1636)="","",INDEX($D$6:$D$40000,$Y1636)))</f>
        <v/>
      </c>
      <c r="AB1636">
        <f>IF($Y1636="","",INDEX($L$6:$L$40000,$Y1636)&amp;"")</f>
        <v/>
      </c>
    </row>
    <row r="1637">
      <c r="Y1637" s="47">
        <f>IFERROR(MATCH(Library!M1637,$M$6:$M$40000,0),"")</f>
        <v/>
      </c>
      <c r="Z1637">
        <f>IF($Y1637="","",INDEX($C$6:$C$40000,$Y1637)&amp;"")</f>
        <v/>
      </c>
      <c r="AA1637" s="59">
        <f>IF($Y1637="","",IF(INDEX($D$6:$D$40000,$Y1637)="","",INDEX($D$6:$D$40000,$Y1637)))</f>
        <v/>
      </c>
      <c r="AB1637">
        <f>IF($Y1637="","",INDEX($L$6:$L$40000,$Y1637)&amp;"")</f>
        <v/>
      </c>
    </row>
    <row r="1638">
      <c r="Y1638" s="47">
        <f>IFERROR(MATCH(Library!M1638,$M$6:$M$40000,0),"")</f>
        <v/>
      </c>
      <c r="Z1638">
        <f>IF($Y1638="","",INDEX($C$6:$C$40000,$Y1638)&amp;"")</f>
        <v/>
      </c>
      <c r="AA1638" s="59">
        <f>IF($Y1638="","",IF(INDEX($D$6:$D$40000,$Y1638)="","",INDEX($D$6:$D$40000,$Y1638)))</f>
        <v/>
      </c>
      <c r="AB1638">
        <f>IF($Y1638="","",INDEX($L$6:$L$40000,$Y1638)&amp;"")</f>
        <v/>
      </c>
    </row>
    <row r="1639">
      <c r="Y1639" s="47">
        <f>IFERROR(MATCH(Library!M1639,$M$6:$M$40000,0),"")</f>
        <v/>
      </c>
      <c r="Z1639">
        <f>IF($Y1639="","",INDEX($C$6:$C$40000,$Y1639)&amp;"")</f>
        <v/>
      </c>
      <c r="AA1639" s="59">
        <f>IF($Y1639="","",IF(INDEX($D$6:$D$40000,$Y1639)="","",INDEX($D$6:$D$40000,$Y1639)))</f>
        <v/>
      </c>
      <c r="AB1639">
        <f>IF($Y1639="","",INDEX($L$6:$L$40000,$Y1639)&amp;"")</f>
        <v/>
      </c>
    </row>
    <row r="1640">
      <c r="Y1640" s="47">
        <f>IFERROR(MATCH(Library!M1640,$M$6:$M$40000,0),"")</f>
        <v/>
      </c>
      <c r="Z1640">
        <f>IF($Y1640="","",INDEX($C$6:$C$40000,$Y1640)&amp;"")</f>
        <v/>
      </c>
      <c r="AA1640" s="59">
        <f>IF($Y1640="","",IF(INDEX($D$6:$D$40000,$Y1640)="","",INDEX($D$6:$D$40000,$Y1640)))</f>
        <v/>
      </c>
      <c r="AB1640">
        <f>IF($Y1640="","",INDEX($L$6:$L$40000,$Y1640)&amp;"")</f>
        <v/>
      </c>
    </row>
    <row r="1641">
      <c r="Y1641" s="47">
        <f>IFERROR(MATCH(Library!M1641,$M$6:$M$40000,0),"")</f>
        <v/>
      </c>
      <c r="Z1641">
        <f>IF($Y1641="","",INDEX($C$6:$C$40000,$Y1641)&amp;"")</f>
        <v/>
      </c>
      <c r="AA1641" s="59">
        <f>IF($Y1641="","",IF(INDEX($D$6:$D$40000,$Y1641)="","",INDEX($D$6:$D$40000,$Y1641)))</f>
        <v/>
      </c>
      <c r="AB1641">
        <f>IF($Y1641="","",INDEX($L$6:$L$40000,$Y1641)&amp;"")</f>
        <v/>
      </c>
    </row>
    <row r="1642">
      <c r="Y1642" s="47">
        <f>IFERROR(MATCH(Library!M1642,$M$6:$M$40000,0),"")</f>
        <v/>
      </c>
      <c r="Z1642">
        <f>IF($Y1642="","",INDEX($C$6:$C$40000,$Y1642)&amp;"")</f>
        <v/>
      </c>
      <c r="AA1642" s="59">
        <f>IF($Y1642="","",IF(INDEX($D$6:$D$40000,$Y1642)="","",INDEX($D$6:$D$40000,$Y1642)))</f>
        <v/>
      </c>
      <c r="AB1642">
        <f>IF($Y1642="","",INDEX($L$6:$L$40000,$Y1642)&amp;"")</f>
        <v/>
      </c>
    </row>
    <row r="1643">
      <c r="Y1643" s="47">
        <f>IFERROR(MATCH(Library!M1643,$M$6:$M$40000,0),"")</f>
        <v/>
      </c>
      <c r="Z1643">
        <f>IF($Y1643="","",INDEX($C$6:$C$40000,$Y1643)&amp;"")</f>
        <v/>
      </c>
      <c r="AA1643" s="59">
        <f>IF($Y1643="","",IF(INDEX($D$6:$D$40000,$Y1643)="","",INDEX($D$6:$D$40000,$Y1643)))</f>
        <v/>
      </c>
      <c r="AB1643">
        <f>IF($Y1643="","",INDEX($L$6:$L$40000,$Y1643)&amp;"")</f>
        <v/>
      </c>
    </row>
    <row r="1644">
      <c r="Y1644" s="47">
        <f>IFERROR(MATCH(Library!M1644,$M$6:$M$40000,0),"")</f>
        <v/>
      </c>
      <c r="Z1644">
        <f>IF($Y1644="","",INDEX($C$6:$C$40000,$Y1644)&amp;"")</f>
        <v/>
      </c>
      <c r="AA1644" s="59">
        <f>IF($Y1644="","",IF(INDEX($D$6:$D$40000,$Y1644)="","",INDEX($D$6:$D$40000,$Y1644)))</f>
        <v/>
      </c>
      <c r="AB1644">
        <f>IF($Y1644="","",INDEX($L$6:$L$40000,$Y1644)&amp;"")</f>
        <v/>
      </c>
    </row>
    <row r="1645">
      <c r="Y1645" s="47">
        <f>IFERROR(MATCH(Library!M1645,$M$6:$M$40000,0),"")</f>
        <v/>
      </c>
      <c r="Z1645">
        <f>IF($Y1645="","",INDEX($C$6:$C$40000,$Y1645)&amp;"")</f>
        <v/>
      </c>
      <c r="AA1645" s="59">
        <f>IF($Y1645="","",IF(INDEX($D$6:$D$40000,$Y1645)="","",INDEX($D$6:$D$40000,$Y1645)))</f>
        <v/>
      </c>
      <c r="AB1645">
        <f>IF($Y1645="","",INDEX($L$6:$L$40000,$Y1645)&amp;"")</f>
        <v/>
      </c>
    </row>
    <row r="1646">
      <c r="Y1646" s="47">
        <f>IFERROR(MATCH(Library!M1646,$M$6:$M$40000,0),"")</f>
        <v/>
      </c>
      <c r="Z1646">
        <f>IF($Y1646="","",INDEX($C$6:$C$40000,$Y1646)&amp;"")</f>
        <v/>
      </c>
      <c r="AA1646" s="59">
        <f>IF($Y1646="","",IF(INDEX($D$6:$D$40000,$Y1646)="","",INDEX($D$6:$D$40000,$Y1646)))</f>
        <v/>
      </c>
      <c r="AB1646">
        <f>IF($Y1646="","",INDEX($L$6:$L$40000,$Y1646)&amp;"")</f>
        <v/>
      </c>
    </row>
    <row r="1647">
      <c r="Y1647" s="47">
        <f>IFERROR(MATCH(Library!M1647,$M$6:$M$40000,0),"")</f>
        <v/>
      </c>
      <c r="Z1647">
        <f>IF($Y1647="","",INDEX($C$6:$C$40000,$Y1647)&amp;"")</f>
        <v/>
      </c>
      <c r="AA1647" s="59">
        <f>IF($Y1647="","",IF(INDEX($D$6:$D$40000,$Y1647)="","",INDEX($D$6:$D$40000,$Y1647)))</f>
        <v/>
      </c>
      <c r="AB1647">
        <f>IF($Y1647="","",INDEX($L$6:$L$40000,$Y1647)&amp;"")</f>
        <v/>
      </c>
    </row>
    <row r="1648">
      <c r="Y1648" s="47">
        <f>IFERROR(MATCH(Library!M1648,$M$6:$M$40000,0),"")</f>
        <v/>
      </c>
      <c r="Z1648">
        <f>IF($Y1648="","",INDEX($C$6:$C$40000,$Y1648)&amp;"")</f>
        <v/>
      </c>
      <c r="AA1648" s="59">
        <f>IF($Y1648="","",IF(INDEX($D$6:$D$40000,$Y1648)="","",INDEX($D$6:$D$40000,$Y1648)))</f>
        <v/>
      </c>
      <c r="AB1648">
        <f>IF($Y1648="","",INDEX($L$6:$L$40000,$Y1648)&amp;"")</f>
        <v/>
      </c>
    </row>
    <row r="1649">
      <c r="Y1649" s="47">
        <f>IFERROR(MATCH(Library!M1649,$M$6:$M$40000,0),"")</f>
        <v/>
      </c>
      <c r="Z1649">
        <f>IF($Y1649="","",INDEX($C$6:$C$40000,$Y1649)&amp;"")</f>
        <v/>
      </c>
      <c r="AA1649" s="59">
        <f>IF($Y1649="","",IF(INDEX($D$6:$D$40000,$Y1649)="","",INDEX($D$6:$D$40000,$Y1649)))</f>
        <v/>
      </c>
      <c r="AB1649">
        <f>IF($Y1649="","",INDEX($L$6:$L$40000,$Y1649)&amp;"")</f>
        <v/>
      </c>
    </row>
    <row r="1650">
      <c r="Y1650" s="47">
        <f>IFERROR(MATCH(Library!M1650,$M$6:$M$40000,0),"")</f>
        <v/>
      </c>
      <c r="Z1650">
        <f>IF($Y1650="","",INDEX($C$6:$C$40000,$Y1650)&amp;"")</f>
        <v/>
      </c>
      <c r="AA1650" s="59">
        <f>IF($Y1650="","",IF(INDEX($D$6:$D$40000,$Y1650)="","",INDEX($D$6:$D$40000,$Y1650)))</f>
        <v/>
      </c>
      <c r="AB1650">
        <f>IF($Y1650="","",INDEX($L$6:$L$40000,$Y1650)&amp;"")</f>
        <v/>
      </c>
    </row>
    <row r="1651">
      <c r="Y1651" s="47">
        <f>IFERROR(MATCH(Library!M1651,$M$6:$M$40000,0),"")</f>
        <v/>
      </c>
      <c r="Z1651">
        <f>IF($Y1651="","",INDEX($C$6:$C$40000,$Y1651)&amp;"")</f>
        <v/>
      </c>
      <c r="AA1651" s="59">
        <f>IF($Y1651="","",IF(INDEX($D$6:$D$40000,$Y1651)="","",INDEX($D$6:$D$40000,$Y1651)))</f>
        <v/>
      </c>
      <c r="AB1651">
        <f>IF($Y1651="","",INDEX($L$6:$L$40000,$Y1651)&amp;"")</f>
        <v/>
      </c>
    </row>
    <row r="1652">
      <c r="Y1652" s="47">
        <f>IFERROR(MATCH(Library!M1652,$M$6:$M$40000,0),"")</f>
        <v/>
      </c>
      <c r="Z1652">
        <f>IF($Y1652="","",INDEX($C$6:$C$40000,$Y1652)&amp;"")</f>
        <v/>
      </c>
      <c r="AA1652" s="59">
        <f>IF($Y1652="","",IF(INDEX($D$6:$D$40000,$Y1652)="","",INDEX($D$6:$D$40000,$Y1652)))</f>
        <v/>
      </c>
      <c r="AB1652">
        <f>IF($Y1652="","",INDEX($L$6:$L$40000,$Y1652)&amp;"")</f>
        <v/>
      </c>
    </row>
    <row r="1653">
      <c r="Y1653" s="47">
        <f>IFERROR(MATCH(Library!M1653,$M$6:$M$40000,0),"")</f>
        <v/>
      </c>
      <c r="Z1653">
        <f>IF($Y1653="","",INDEX($C$6:$C$40000,$Y1653)&amp;"")</f>
        <v/>
      </c>
      <c r="AA1653" s="59">
        <f>IF($Y1653="","",IF(INDEX($D$6:$D$40000,$Y1653)="","",INDEX($D$6:$D$40000,$Y1653)))</f>
        <v/>
      </c>
      <c r="AB1653">
        <f>IF($Y1653="","",INDEX($L$6:$L$40000,$Y1653)&amp;"")</f>
        <v/>
      </c>
    </row>
    <row r="1654">
      <c r="Y1654" s="47">
        <f>IFERROR(MATCH(Library!M1654,$M$6:$M$40000,0),"")</f>
        <v/>
      </c>
      <c r="Z1654">
        <f>IF($Y1654="","",INDEX($C$6:$C$40000,$Y1654)&amp;"")</f>
        <v/>
      </c>
      <c r="AA1654" s="59">
        <f>IF($Y1654="","",IF(INDEX($D$6:$D$40000,$Y1654)="","",INDEX($D$6:$D$40000,$Y1654)))</f>
        <v/>
      </c>
      <c r="AB1654">
        <f>IF($Y1654="","",INDEX($L$6:$L$40000,$Y1654)&amp;"")</f>
        <v/>
      </c>
    </row>
    <row r="1655">
      <c r="Y1655" s="47">
        <f>IFERROR(MATCH(Library!M1655,$M$6:$M$40000,0),"")</f>
        <v/>
      </c>
      <c r="Z1655">
        <f>IF($Y1655="","",INDEX($C$6:$C$40000,$Y1655)&amp;"")</f>
        <v/>
      </c>
      <c r="AA1655" s="59">
        <f>IF($Y1655="","",IF(INDEX($D$6:$D$40000,$Y1655)="","",INDEX($D$6:$D$40000,$Y1655)))</f>
        <v/>
      </c>
      <c r="AB1655">
        <f>IF($Y1655="","",INDEX($L$6:$L$40000,$Y1655)&amp;"")</f>
        <v/>
      </c>
    </row>
    <row r="1656">
      <c r="Y1656" s="47">
        <f>IFERROR(MATCH(Library!M1656,$M$6:$M$40000,0),"")</f>
        <v/>
      </c>
      <c r="Z1656">
        <f>IF($Y1656="","",INDEX($C$6:$C$40000,$Y1656)&amp;"")</f>
        <v/>
      </c>
      <c r="AA1656" s="59">
        <f>IF($Y1656="","",IF(INDEX($D$6:$D$40000,$Y1656)="","",INDEX($D$6:$D$40000,$Y1656)))</f>
        <v/>
      </c>
      <c r="AB1656">
        <f>IF($Y1656="","",INDEX($L$6:$L$40000,$Y1656)&amp;"")</f>
        <v/>
      </c>
    </row>
    <row r="1657">
      <c r="Y1657" s="47">
        <f>IFERROR(MATCH(Library!M1657,$M$6:$M$40000,0),"")</f>
        <v/>
      </c>
      <c r="Z1657">
        <f>IF($Y1657="","",INDEX($C$6:$C$40000,$Y1657)&amp;"")</f>
        <v/>
      </c>
      <c r="AA1657" s="59">
        <f>IF($Y1657="","",IF(INDEX($D$6:$D$40000,$Y1657)="","",INDEX($D$6:$D$40000,$Y1657)))</f>
        <v/>
      </c>
      <c r="AB1657">
        <f>IF($Y1657="","",INDEX($L$6:$L$40000,$Y1657)&amp;"")</f>
        <v/>
      </c>
    </row>
    <row r="1658">
      <c r="Y1658" s="47">
        <f>IFERROR(MATCH(Library!M1658,$M$6:$M$40000,0),"")</f>
        <v/>
      </c>
      <c r="Z1658">
        <f>IF($Y1658="","",INDEX($C$6:$C$40000,$Y1658)&amp;"")</f>
        <v/>
      </c>
      <c r="AA1658" s="59">
        <f>IF($Y1658="","",IF(INDEX($D$6:$D$40000,$Y1658)="","",INDEX($D$6:$D$40000,$Y1658)))</f>
        <v/>
      </c>
      <c r="AB1658">
        <f>IF($Y1658="","",INDEX($L$6:$L$40000,$Y1658)&amp;"")</f>
        <v/>
      </c>
    </row>
    <row r="1659">
      <c r="Y1659" s="47">
        <f>IFERROR(MATCH(Library!M1659,$M$6:$M$40000,0),"")</f>
        <v/>
      </c>
      <c r="Z1659">
        <f>IF($Y1659="","",INDEX($C$6:$C$40000,$Y1659)&amp;"")</f>
        <v/>
      </c>
      <c r="AA1659" s="59">
        <f>IF($Y1659="","",IF(INDEX($D$6:$D$40000,$Y1659)="","",INDEX($D$6:$D$40000,$Y1659)))</f>
        <v/>
      </c>
      <c r="AB1659">
        <f>IF($Y1659="","",INDEX($L$6:$L$40000,$Y1659)&amp;"")</f>
        <v/>
      </c>
    </row>
    <row r="1660">
      <c r="Y1660" s="47">
        <f>IFERROR(MATCH(Library!M1660,$M$6:$M$40000,0),"")</f>
        <v/>
      </c>
      <c r="Z1660">
        <f>IF($Y1660="","",INDEX($C$6:$C$40000,$Y1660)&amp;"")</f>
        <v/>
      </c>
      <c r="AA1660" s="59">
        <f>IF($Y1660="","",IF(INDEX($D$6:$D$40000,$Y1660)="","",INDEX($D$6:$D$40000,$Y1660)))</f>
        <v/>
      </c>
      <c r="AB1660">
        <f>IF($Y1660="","",INDEX($L$6:$L$40000,$Y1660)&amp;"")</f>
        <v/>
      </c>
    </row>
    <row r="1661">
      <c r="Y1661" s="47">
        <f>IFERROR(MATCH(Library!M1661,$M$6:$M$40000,0),"")</f>
        <v/>
      </c>
      <c r="Z1661">
        <f>IF($Y1661="","",INDEX($C$6:$C$40000,$Y1661)&amp;"")</f>
        <v/>
      </c>
      <c r="AA1661" s="59">
        <f>IF($Y1661="","",IF(INDEX($D$6:$D$40000,$Y1661)="","",INDEX($D$6:$D$40000,$Y1661)))</f>
        <v/>
      </c>
      <c r="AB1661">
        <f>IF($Y1661="","",INDEX($L$6:$L$40000,$Y1661)&amp;"")</f>
        <v/>
      </c>
    </row>
    <row r="1662">
      <c r="Y1662" s="47">
        <f>IFERROR(MATCH(Library!M1662,$M$6:$M$40000,0),"")</f>
        <v/>
      </c>
      <c r="Z1662">
        <f>IF($Y1662="","",INDEX($C$6:$C$40000,$Y1662)&amp;"")</f>
        <v/>
      </c>
      <c r="AA1662" s="59">
        <f>IF($Y1662="","",IF(INDEX($D$6:$D$40000,$Y1662)="","",INDEX($D$6:$D$40000,$Y1662)))</f>
        <v/>
      </c>
      <c r="AB1662">
        <f>IF($Y1662="","",INDEX($L$6:$L$40000,$Y1662)&amp;"")</f>
        <v/>
      </c>
    </row>
    <row r="1663">
      <c r="Y1663" s="47">
        <f>IFERROR(MATCH(Library!M1663,$M$6:$M$40000,0),"")</f>
        <v/>
      </c>
      <c r="Z1663">
        <f>IF($Y1663="","",INDEX($C$6:$C$40000,$Y1663)&amp;"")</f>
        <v/>
      </c>
      <c r="AA1663" s="59">
        <f>IF($Y1663="","",IF(INDEX($D$6:$D$40000,$Y1663)="","",INDEX($D$6:$D$40000,$Y1663)))</f>
        <v/>
      </c>
      <c r="AB1663">
        <f>IF($Y1663="","",INDEX($L$6:$L$40000,$Y1663)&amp;"")</f>
        <v/>
      </c>
    </row>
    <row r="1664">
      <c r="Y1664" s="47">
        <f>IFERROR(MATCH(Library!M1664,$M$6:$M$40000,0),"")</f>
        <v/>
      </c>
      <c r="Z1664">
        <f>IF($Y1664="","",INDEX($C$6:$C$40000,$Y1664)&amp;"")</f>
        <v/>
      </c>
      <c r="AA1664" s="59">
        <f>IF($Y1664="","",IF(INDEX($D$6:$D$40000,$Y1664)="","",INDEX($D$6:$D$40000,$Y1664)))</f>
        <v/>
      </c>
      <c r="AB1664">
        <f>IF($Y1664="","",INDEX($L$6:$L$40000,$Y1664)&amp;"")</f>
        <v/>
      </c>
    </row>
    <row r="1665">
      <c r="Y1665" s="47">
        <f>IFERROR(MATCH(Library!M1665,$M$6:$M$40000,0),"")</f>
        <v/>
      </c>
      <c r="Z1665">
        <f>IF($Y1665="","",INDEX($C$6:$C$40000,$Y1665)&amp;"")</f>
        <v/>
      </c>
      <c r="AA1665" s="59">
        <f>IF($Y1665="","",IF(INDEX($D$6:$D$40000,$Y1665)="","",INDEX($D$6:$D$40000,$Y1665)))</f>
        <v/>
      </c>
      <c r="AB1665">
        <f>IF($Y1665="","",INDEX($L$6:$L$40000,$Y1665)&amp;"")</f>
        <v/>
      </c>
    </row>
    <row r="1666">
      <c r="Y1666" s="47">
        <f>IFERROR(MATCH(Library!M1666,$M$6:$M$40000,0),"")</f>
        <v/>
      </c>
      <c r="Z1666">
        <f>IF($Y1666="","",INDEX($C$6:$C$40000,$Y1666)&amp;"")</f>
        <v/>
      </c>
      <c r="AA1666" s="59">
        <f>IF($Y1666="","",IF(INDEX($D$6:$D$40000,$Y1666)="","",INDEX($D$6:$D$40000,$Y1666)))</f>
        <v/>
      </c>
      <c r="AB1666">
        <f>IF($Y1666="","",INDEX($L$6:$L$40000,$Y1666)&amp;"")</f>
        <v/>
      </c>
    </row>
    <row r="1667">
      <c r="Y1667" s="47">
        <f>IFERROR(MATCH(Library!M1667,$M$6:$M$40000,0),"")</f>
        <v/>
      </c>
      <c r="Z1667">
        <f>IF($Y1667="","",INDEX($C$6:$C$40000,$Y1667)&amp;"")</f>
        <v/>
      </c>
      <c r="AA1667" s="59">
        <f>IF($Y1667="","",IF(INDEX($D$6:$D$40000,$Y1667)="","",INDEX($D$6:$D$40000,$Y1667)))</f>
        <v/>
      </c>
      <c r="AB1667">
        <f>IF($Y1667="","",INDEX($L$6:$L$40000,$Y1667)&amp;"")</f>
        <v/>
      </c>
    </row>
    <row r="1668">
      <c r="Y1668" s="47">
        <f>IFERROR(MATCH(Library!M1668,$M$6:$M$40000,0),"")</f>
        <v/>
      </c>
      <c r="Z1668">
        <f>IF($Y1668="","",INDEX($C$6:$C$40000,$Y1668)&amp;"")</f>
        <v/>
      </c>
      <c r="AA1668" s="59">
        <f>IF($Y1668="","",IF(INDEX($D$6:$D$40000,$Y1668)="","",INDEX($D$6:$D$40000,$Y1668)))</f>
        <v/>
      </c>
      <c r="AB1668">
        <f>IF($Y1668="","",INDEX($L$6:$L$40000,$Y1668)&amp;"")</f>
        <v/>
      </c>
    </row>
    <row r="1669">
      <c r="Y1669" s="47">
        <f>IFERROR(MATCH(Library!M1669,$M$6:$M$40000,0),"")</f>
        <v/>
      </c>
      <c r="Z1669">
        <f>IF($Y1669="","",INDEX($C$6:$C$40000,$Y1669)&amp;"")</f>
        <v/>
      </c>
      <c r="AA1669" s="59">
        <f>IF($Y1669="","",IF(INDEX($D$6:$D$40000,$Y1669)="","",INDEX($D$6:$D$40000,$Y1669)))</f>
        <v/>
      </c>
      <c r="AB1669">
        <f>IF($Y1669="","",INDEX($L$6:$L$40000,$Y1669)&amp;"")</f>
        <v/>
      </c>
    </row>
    <row r="1670">
      <c r="Y1670" s="47">
        <f>IFERROR(MATCH(Library!M1670,$M$6:$M$40000,0),"")</f>
        <v/>
      </c>
      <c r="Z1670">
        <f>IF($Y1670="","",INDEX($C$6:$C$40000,$Y1670)&amp;"")</f>
        <v/>
      </c>
      <c r="AA1670" s="59">
        <f>IF($Y1670="","",IF(INDEX($D$6:$D$40000,$Y1670)="","",INDEX($D$6:$D$40000,$Y1670)))</f>
        <v/>
      </c>
      <c r="AB1670">
        <f>IF($Y1670="","",INDEX($L$6:$L$40000,$Y1670)&amp;"")</f>
        <v/>
      </c>
    </row>
    <row r="1671">
      <c r="Y1671" s="47">
        <f>IFERROR(MATCH(Library!M1671,$M$6:$M$40000,0),"")</f>
        <v/>
      </c>
      <c r="Z1671">
        <f>IF($Y1671="","",INDEX($C$6:$C$40000,$Y1671)&amp;"")</f>
        <v/>
      </c>
      <c r="AA1671" s="59">
        <f>IF($Y1671="","",IF(INDEX($D$6:$D$40000,$Y1671)="","",INDEX($D$6:$D$40000,$Y1671)))</f>
        <v/>
      </c>
      <c r="AB1671">
        <f>IF($Y1671="","",INDEX($L$6:$L$40000,$Y1671)&amp;"")</f>
        <v/>
      </c>
    </row>
    <row r="1672">
      <c r="Y1672" s="47">
        <f>IFERROR(MATCH(Library!M1672,$M$6:$M$40000,0),"")</f>
        <v/>
      </c>
      <c r="Z1672">
        <f>IF($Y1672="","",INDEX($C$6:$C$40000,$Y1672)&amp;"")</f>
        <v/>
      </c>
      <c r="AA1672" s="59">
        <f>IF($Y1672="","",IF(INDEX($D$6:$D$40000,$Y1672)="","",INDEX($D$6:$D$40000,$Y1672)))</f>
        <v/>
      </c>
      <c r="AB1672">
        <f>IF($Y1672="","",INDEX($L$6:$L$40000,$Y1672)&amp;"")</f>
        <v/>
      </c>
    </row>
    <row r="1673">
      <c r="Y1673" s="47">
        <f>IFERROR(MATCH(Library!M1673,$M$6:$M$40000,0),"")</f>
        <v/>
      </c>
      <c r="Z1673">
        <f>IF($Y1673="","",INDEX($C$6:$C$40000,$Y1673)&amp;"")</f>
        <v/>
      </c>
      <c r="AA1673" s="59">
        <f>IF($Y1673="","",IF(INDEX($D$6:$D$40000,$Y1673)="","",INDEX($D$6:$D$40000,$Y1673)))</f>
        <v/>
      </c>
      <c r="AB1673">
        <f>IF($Y1673="","",INDEX($L$6:$L$40000,$Y1673)&amp;"")</f>
        <v/>
      </c>
    </row>
    <row r="1674">
      <c r="Y1674" s="47">
        <f>IFERROR(MATCH(Library!M1674,$M$6:$M$40000,0),"")</f>
        <v/>
      </c>
      <c r="Z1674">
        <f>IF($Y1674="","",INDEX($C$6:$C$40000,$Y1674)&amp;"")</f>
        <v/>
      </c>
      <c r="AA1674" s="59">
        <f>IF($Y1674="","",IF(INDEX($D$6:$D$40000,$Y1674)="","",INDEX($D$6:$D$40000,$Y1674)))</f>
        <v/>
      </c>
      <c r="AB1674">
        <f>IF($Y1674="","",INDEX($L$6:$L$40000,$Y1674)&amp;"")</f>
        <v/>
      </c>
    </row>
    <row r="1675">
      <c r="Y1675" s="47">
        <f>IFERROR(MATCH(Library!M1675,$M$6:$M$40000,0),"")</f>
        <v/>
      </c>
      <c r="Z1675">
        <f>IF($Y1675="","",INDEX($C$6:$C$40000,$Y1675)&amp;"")</f>
        <v/>
      </c>
      <c r="AA1675" s="59">
        <f>IF($Y1675="","",IF(INDEX($D$6:$D$40000,$Y1675)="","",INDEX($D$6:$D$40000,$Y1675)))</f>
        <v/>
      </c>
      <c r="AB1675">
        <f>IF($Y1675="","",INDEX($L$6:$L$40000,$Y1675)&amp;"")</f>
        <v/>
      </c>
    </row>
    <row r="1676">
      <c r="Y1676" s="47">
        <f>IFERROR(MATCH(Library!M1676,$M$6:$M$40000,0),"")</f>
        <v/>
      </c>
      <c r="Z1676">
        <f>IF($Y1676="","",INDEX($C$6:$C$40000,$Y1676)&amp;"")</f>
        <v/>
      </c>
      <c r="AA1676" s="59">
        <f>IF($Y1676="","",IF(INDEX($D$6:$D$40000,$Y1676)="","",INDEX($D$6:$D$40000,$Y1676)))</f>
        <v/>
      </c>
      <c r="AB1676">
        <f>IF($Y1676="","",INDEX($L$6:$L$40000,$Y1676)&amp;"")</f>
        <v/>
      </c>
    </row>
    <row r="1677">
      <c r="Y1677" s="47">
        <f>IFERROR(MATCH(Library!M1677,$M$6:$M$40000,0),"")</f>
        <v/>
      </c>
      <c r="Z1677">
        <f>IF($Y1677="","",INDEX($C$6:$C$40000,$Y1677)&amp;"")</f>
        <v/>
      </c>
      <c r="AA1677" s="59">
        <f>IF($Y1677="","",IF(INDEX($D$6:$D$40000,$Y1677)="","",INDEX($D$6:$D$40000,$Y1677)))</f>
        <v/>
      </c>
      <c r="AB1677">
        <f>IF($Y1677="","",INDEX($L$6:$L$40000,$Y1677)&amp;"")</f>
        <v/>
      </c>
    </row>
    <row r="1678">
      <c r="Y1678" s="47">
        <f>IFERROR(MATCH(Library!M1678,$M$6:$M$40000,0),"")</f>
        <v/>
      </c>
      <c r="Z1678">
        <f>IF($Y1678="","",INDEX($C$6:$C$40000,$Y1678)&amp;"")</f>
        <v/>
      </c>
      <c r="AA1678" s="59">
        <f>IF($Y1678="","",IF(INDEX($D$6:$D$40000,$Y1678)="","",INDEX($D$6:$D$40000,$Y1678)))</f>
        <v/>
      </c>
      <c r="AB1678">
        <f>IF($Y1678="","",INDEX($L$6:$L$40000,$Y1678)&amp;"")</f>
        <v/>
      </c>
    </row>
    <row r="1679">
      <c r="Y1679" s="47">
        <f>IFERROR(MATCH(Library!M1679,$M$6:$M$40000,0),"")</f>
        <v/>
      </c>
      <c r="Z1679">
        <f>IF($Y1679="","",INDEX($C$6:$C$40000,$Y1679)&amp;"")</f>
        <v/>
      </c>
      <c r="AA1679" s="59">
        <f>IF($Y1679="","",IF(INDEX($D$6:$D$40000,$Y1679)="","",INDEX($D$6:$D$40000,$Y1679)))</f>
        <v/>
      </c>
      <c r="AB1679">
        <f>IF($Y1679="","",INDEX($L$6:$L$40000,$Y1679)&amp;"")</f>
        <v/>
      </c>
    </row>
    <row r="1680">
      <c r="Y1680" s="47">
        <f>IFERROR(MATCH(Library!M1680,$M$6:$M$40000,0),"")</f>
        <v/>
      </c>
      <c r="Z1680">
        <f>IF($Y1680="","",INDEX($C$6:$C$40000,$Y1680)&amp;"")</f>
        <v/>
      </c>
      <c r="AA1680" s="59">
        <f>IF($Y1680="","",IF(INDEX($D$6:$D$40000,$Y1680)="","",INDEX($D$6:$D$40000,$Y1680)))</f>
        <v/>
      </c>
      <c r="AB1680">
        <f>IF($Y1680="","",INDEX($L$6:$L$40000,$Y1680)&amp;"")</f>
        <v/>
      </c>
    </row>
    <row r="1681">
      <c r="Y1681" s="47">
        <f>IFERROR(MATCH(Library!M1681,$M$6:$M$40000,0),"")</f>
        <v/>
      </c>
      <c r="Z1681">
        <f>IF($Y1681="","",INDEX($C$6:$C$40000,$Y1681)&amp;"")</f>
        <v/>
      </c>
      <c r="AA1681" s="59">
        <f>IF($Y1681="","",IF(INDEX($D$6:$D$40000,$Y1681)="","",INDEX($D$6:$D$40000,$Y1681)))</f>
        <v/>
      </c>
      <c r="AB1681">
        <f>IF($Y1681="","",INDEX($L$6:$L$40000,$Y1681)&amp;"")</f>
        <v/>
      </c>
    </row>
    <row r="1682">
      <c r="Y1682" s="47">
        <f>IFERROR(MATCH(Library!M1682,$M$6:$M$40000,0),"")</f>
        <v/>
      </c>
      <c r="Z1682">
        <f>IF($Y1682="","",INDEX($C$6:$C$40000,$Y1682)&amp;"")</f>
        <v/>
      </c>
      <c r="AA1682" s="59">
        <f>IF($Y1682="","",IF(INDEX($D$6:$D$40000,$Y1682)="","",INDEX($D$6:$D$40000,$Y1682)))</f>
        <v/>
      </c>
      <c r="AB1682">
        <f>IF($Y1682="","",INDEX($L$6:$L$40000,$Y1682)&amp;"")</f>
        <v/>
      </c>
    </row>
    <row r="1683">
      <c r="Y1683" s="47">
        <f>IFERROR(MATCH(Library!M1683,$M$6:$M$40000,0),"")</f>
        <v/>
      </c>
      <c r="Z1683">
        <f>IF($Y1683="","",INDEX($C$6:$C$40000,$Y1683)&amp;"")</f>
        <v/>
      </c>
      <c r="AA1683" s="59">
        <f>IF($Y1683="","",IF(INDEX($D$6:$D$40000,$Y1683)="","",INDEX($D$6:$D$40000,$Y1683)))</f>
        <v/>
      </c>
      <c r="AB1683">
        <f>IF($Y1683="","",INDEX($L$6:$L$40000,$Y1683)&amp;"")</f>
        <v/>
      </c>
    </row>
    <row r="1684">
      <c r="Y1684" s="47">
        <f>IFERROR(MATCH(Library!M1684,$M$6:$M$40000,0),"")</f>
        <v/>
      </c>
      <c r="Z1684">
        <f>IF($Y1684="","",INDEX($C$6:$C$40000,$Y1684)&amp;"")</f>
        <v/>
      </c>
      <c r="AA1684" s="59">
        <f>IF($Y1684="","",IF(INDEX($D$6:$D$40000,$Y1684)="","",INDEX($D$6:$D$40000,$Y1684)))</f>
        <v/>
      </c>
      <c r="AB1684">
        <f>IF($Y1684="","",INDEX($L$6:$L$40000,$Y1684)&amp;"")</f>
        <v/>
      </c>
    </row>
    <row r="1685">
      <c r="Y1685" s="47">
        <f>IFERROR(MATCH(Library!M1685,$M$6:$M$40000,0),"")</f>
        <v/>
      </c>
      <c r="Z1685">
        <f>IF($Y1685="","",INDEX($C$6:$C$40000,$Y1685)&amp;"")</f>
        <v/>
      </c>
      <c r="AA1685" s="59">
        <f>IF($Y1685="","",IF(INDEX($D$6:$D$40000,$Y1685)="","",INDEX($D$6:$D$40000,$Y1685)))</f>
        <v/>
      </c>
      <c r="AB1685">
        <f>IF($Y1685="","",INDEX($L$6:$L$40000,$Y1685)&amp;"")</f>
        <v/>
      </c>
    </row>
    <row r="1686">
      <c r="Y1686" s="47">
        <f>IFERROR(MATCH(Library!M1686,$M$6:$M$40000,0),"")</f>
        <v/>
      </c>
      <c r="Z1686">
        <f>IF($Y1686="","",INDEX($C$6:$C$40000,$Y1686)&amp;"")</f>
        <v/>
      </c>
      <c r="AA1686" s="59">
        <f>IF($Y1686="","",IF(INDEX($D$6:$D$40000,$Y1686)="","",INDEX($D$6:$D$40000,$Y1686)))</f>
        <v/>
      </c>
      <c r="AB1686">
        <f>IF($Y1686="","",INDEX($L$6:$L$40000,$Y1686)&amp;"")</f>
        <v/>
      </c>
    </row>
    <row r="1687">
      <c r="Y1687" s="47">
        <f>IFERROR(MATCH(Library!M1687,$M$6:$M$40000,0),"")</f>
        <v/>
      </c>
      <c r="Z1687">
        <f>IF($Y1687="","",INDEX($C$6:$C$40000,$Y1687)&amp;"")</f>
        <v/>
      </c>
      <c r="AA1687" s="59">
        <f>IF($Y1687="","",IF(INDEX($D$6:$D$40000,$Y1687)="","",INDEX($D$6:$D$40000,$Y1687)))</f>
        <v/>
      </c>
      <c r="AB1687">
        <f>IF($Y1687="","",INDEX($L$6:$L$40000,$Y1687)&amp;"")</f>
        <v/>
      </c>
    </row>
    <row r="1688">
      <c r="Y1688" s="47">
        <f>IFERROR(MATCH(Library!M1688,$M$6:$M$40000,0),"")</f>
        <v/>
      </c>
      <c r="Z1688">
        <f>IF($Y1688="","",INDEX($C$6:$C$40000,$Y1688)&amp;"")</f>
        <v/>
      </c>
      <c r="AA1688" s="59">
        <f>IF($Y1688="","",IF(INDEX($D$6:$D$40000,$Y1688)="","",INDEX($D$6:$D$40000,$Y1688)))</f>
        <v/>
      </c>
      <c r="AB1688">
        <f>IF($Y1688="","",INDEX($L$6:$L$40000,$Y1688)&amp;"")</f>
        <v/>
      </c>
    </row>
    <row r="1689">
      <c r="Y1689" s="47">
        <f>IFERROR(MATCH(Library!M1689,$M$6:$M$40000,0),"")</f>
        <v/>
      </c>
      <c r="Z1689">
        <f>IF($Y1689="","",INDEX($C$6:$C$40000,$Y1689)&amp;"")</f>
        <v/>
      </c>
      <c r="AA1689" s="59">
        <f>IF($Y1689="","",IF(INDEX($D$6:$D$40000,$Y1689)="","",INDEX($D$6:$D$40000,$Y1689)))</f>
        <v/>
      </c>
      <c r="AB1689">
        <f>IF($Y1689="","",INDEX($L$6:$L$40000,$Y1689)&amp;"")</f>
        <v/>
      </c>
    </row>
    <row r="1690">
      <c r="Y1690" s="47">
        <f>IFERROR(MATCH(Library!M1690,$M$6:$M$40000,0),"")</f>
        <v/>
      </c>
      <c r="Z1690">
        <f>IF($Y1690="","",INDEX($C$6:$C$40000,$Y1690)&amp;"")</f>
        <v/>
      </c>
      <c r="AA1690" s="59">
        <f>IF($Y1690="","",IF(INDEX($D$6:$D$40000,$Y1690)="","",INDEX($D$6:$D$40000,$Y1690)))</f>
        <v/>
      </c>
      <c r="AB1690">
        <f>IF($Y1690="","",INDEX($L$6:$L$40000,$Y1690)&amp;"")</f>
        <v/>
      </c>
    </row>
    <row r="1691">
      <c r="Y1691" s="47">
        <f>IFERROR(MATCH(Library!M1691,$M$6:$M$40000,0),"")</f>
        <v/>
      </c>
      <c r="Z1691">
        <f>IF($Y1691="","",INDEX($C$6:$C$40000,$Y1691)&amp;"")</f>
        <v/>
      </c>
      <c r="AA1691" s="59">
        <f>IF($Y1691="","",IF(INDEX($D$6:$D$40000,$Y1691)="","",INDEX($D$6:$D$40000,$Y1691)))</f>
        <v/>
      </c>
      <c r="AB1691">
        <f>IF($Y1691="","",INDEX($L$6:$L$40000,$Y1691)&amp;"")</f>
        <v/>
      </c>
    </row>
    <row r="1692">
      <c r="Y1692" s="47">
        <f>IFERROR(MATCH(Library!M1692,$M$6:$M$40000,0),"")</f>
        <v/>
      </c>
      <c r="Z1692">
        <f>IF($Y1692="","",INDEX($C$6:$C$40000,$Y1692)&amp;"")</f>
        <v/>
      </c>
      <c r="AA1692" s="59">
        <f>IF($Y1692="","",IF(INDEX($D$6:$D$40000,$Y1692)="","",INDEX($D$6:$D$40000,$Y1692)))</f>
        <v/>
      </c>
      <c r="AB1692">
        <f>IF($Y1692="","",INDEX($L$6:$L$40000,$Y1692)&amp;"")</f>
        <v/>
      </c>
    </row>
    <row r="1693">
      <c r="Y1693" s="47">
        <f>IFERROR(MATCH(Library!M1693,$M$6:$M$40000,0),"")</f>
        <v/>
      </c>
      <c r="Z1693">
        <f>IF($Y1693="","",INDEX($C$6:$C$40000,$Y1693)&amp;"")</f>
        <v/>
      </c>
      <c r="AA1693" s="59">
        <f>IF($Y1693="","",IF(INDEX($D$6:$D$40000,$Y1693)="","",INDEX($D$6:$D$40000,$Y1693)))</f>
        <v/>
      </c>
      <c r="AB1693">
        <f>IF($Y1693="","",INDEX($L$6:$L$40000,$Y1693)&amp;"")</f>
        <v/>
      </c>
    </row>
    <row r="1694">
      <c r="Y1694" s="47">
        <f>IFERROR(MATCH(Library!M1694,$M$6:$M$40000,0),"")</f>
        <v/>
      </c>
      <c r="Z1694">
        <f>IF($Y1694="","",INDEX($C$6:$C$40000,$Y1694)&amp;"")</f>
        <v/>
      </c>
      <c r="AA1694" s="59">
        <f>IF($Y1694="","",IF(INDEX($D$6:$D$40000,$Y1694)="","",INDEX($D$6:$D$40000,$Y1694)))</f>
        <v/>
      </c>
      <c r="AB1694">
        <f>IF($Y1694="","",INDEX($L$6:$L$40000,$Y1694)&amp;"")</f>
        <v/>
      </c>
    </row>
    <row r="1695">
      <c r="Y1695" s="47">
        <f>IFERROR(MATCH(Library!M1695,$M$6:$M$40000,0),"")</f>
        <v/>
      </c>
      <c r="Z1695">
        <f>IF($Y1695="","",INDEX($C$6:$C$40000,$Y1695)&amp;"")</f>
        <v/>
      </c>
      <c r="AA1695" s="59">
        <f>IF($Y1695="","",IF(INDEX($D$6:$D$40000,$Y1695)="","",INDEX($D$6:$D$40000,$Y1695)))</f>
        <v/>
      </c>
      <c r="AB1695">
        <f>IF($Y1695="","",INDEX($L$6:$L$40000,$Y1695)&amp;"")</f>
        <v/>
      </c>
    </row>
    <row r="1696">
      <c r="Y1696" s="47">
        <f>IFERROR(MATCH(Library!M1696,$M$6:$M$40000,0),"")</f>
        <v/>
      </c>
      <c r="Z1696">
        <f>IF($Y1696="","",INDEX($C$6:$C$40000,$Y1696)&amp;"")</f>
        <v/>
      </c>
      <c r="AA1696" s="59">
        <f>IF($Y1696="","",IF(INDEX($D$6:$D$40000,$Y1696)="","",INDEX($D$6:$D$40000,$Y1696)))</f>
        <v/>
      </c>
      <c r="AB1696">
        <f>IF($Y1696="","",INDEX($L$6:$L$40000,$Y1696)&amp;"")</f>
        <v/>
      </c>
    </row>
    <row r="1697">
      <c r="Y1697" s="47">
        <f>IFERROR(MATCH(Library!M1697,$M$6:$M$40000,0),"")</f>
        <v/>
      </c>
      <c r="Z1697">
        <f>IF($Y1697="","",INDEX($C$6:$C$40000,$Y1697)&amp;"")</f>
        <v/>
      </c>
      <c r="AA1697" s="59">
        <f>IF($Y1697="","",IF(INDEX($D$6:$D$40000,$Y1697)="","",INDEX($D$6:$D$40000,$Y1697)))</f>
        <v/>
      </c>
      <c r="AB1697">
        <f>IF($Y1697="","",INDEX($L$6:$L$40000,$Y1697)&amp;"")</f>
        <v/>
      </c>
    </row>
    <row r="1698">
      <c r="Y1698" s="47">
        <f>IFERROR(MATCH(Library!M1698,$M$6:$M$40000,0),"")</f>
        <v/>
      </c>
      <c r="Z1698">
        <f>IF($Y1698="","",INDEX($C$6:$C$40000,$Y1698)&amp;"")</f>
        <v/>
      </c>
      <c r="AA1698" s="59">
        <f>IF($Y1698="","",IF(INDEX($D$6:$D$40000,$Y1698)="","",INDEX($D$6:$D$40000,$Y1698)))</f>
        <v/>
      </c>
      <c r="AB1698">
        <f>IF($Y1698="","",INDEX($L$6:$L$40000,$Y1698)&amp;"")</f>
        <v/>
      </c>
    </row>
    <row r="1699">
      <c r="Y1699" s="47">
        <f>IFERROR(MATCH(Library!M1699,$M$6:$M$40000,0),"")</f>
        <v/>
      </c>
      <c r="Z1699">
        <f>IF($Y1699="","",INDEX($C$6:$C$40000,$Y1699)&amp;"")</f>
        <v/>
      </c>
      <c r="AA1699" s="59">
        <f>IF($Y1699="","",IF(INDEX($D$6:$D$40000,$Y1699)="","",INDEX($D$6:$D$40000,$Y1699)))</f>
        <v/>
      </c>
      <c r="AB1699">
        <f>IF($Y1699="","",INDEX($L$6:$L$40000,$Y1699)&amp;"")</f>
        <v/>
      </c>
    </row>
    <row r="1700">
      <c r="Y1700" s="47">
        <f>IFERROR(MATCH(Library!M1700,$M$6:$M$40000,0),"")</f>
        <v/>
      </c>
      <c r="Z1700">
        <f>IF($Y1700="","",INDEX($C$6:$C$40000,$Y1700)&amp;"")</f>
        <v/>
      </c>
      <c r="AA1700" s="59">
        <f>IF($Y1700="","",IF(INDEX($D$6:$D$40000,$Y1700)="","",INDEX($D$6:$D$40000,$Y1700)))</f>
        <v/>
      </c>
      <c r="AB1700">
        <f>IF($Y1700="","",INDEX($L$6:$L$40000,$Y1700)&amp;"")</f>
        <v/>
      </c>
    </row>
    <row r="1701">
      <c r="Y1701" s="47">
        <f>IFERROR(MATCH(Library!M1701,$M$6:$M$40000,0),"")</f>
        <v/>
      </c>
      <c r="Z1701">
        <f>IF($Y1701="","",INDEX($C$6:$C$40000,$Y1701)&amp;"")</f>
        <v/>
      </c>
      <c r="AA1701" s="59">
        <f>IF($Y1701="","",IF(INDEX($D$6:$D$40000,$Y1701)="","",INDEX($D$6:$D$40000,$Y1701)))</f>
        <v/>
      </c>
      <c r="AB1701">
        <f>IF($Y1701="","",INDEX($L$6:$L$40000,$Y1701)&amp;"")</f>
        <v/>
      </c>
    </row>
    <row r="1702">
      <c r="Y1702" s="47">
        <f>IFERROR(MATCH(Library!M1702,$M$6:$M$40000,0),"")</f>
        <v/>
      </c>
      <c r="Z1702">
        <f>IF($Y1702="","",INDEX($C$6:$C$40000,$Y1702)&amp;"")</f>
        <v/>
      </c>
      <c r="AA1702" s="59">
        <f>IF($Y1702="","",IF(INDEX($D$6:$D$40000,$Y1702)="","",INDEX($D$6:$D$40000,$Y1702)))</f>
        <v/>
      </c>
      <c r="AB1702">
        <f>IF($Y1702="","",INDEX($L$6:$L$40000,$Y1702)&amp;"")</f>
        <v/>
      </c>
    </row>
    <row r="1703">
      <c r="Y1703" s="47">
        <f>IFERROR(MATCH(Library!M1703,$M$6:$M$40000,0),"")</f>
        <v/>
      </c>
      <c r="Z1703">
        <f>IF($Y1703="","",INDEX($C$6:$C$40000,$Y1703)&amp;"")</f>
        <v/>
      </c>
      <c r="AA1703" s="59">
        <f>IF($Y1703="","",IF(INDEX($D$6:$D$40000,$Y1703)="","",INDEX($D$6:$D$40000,$Y1703)))</f>
        <v/>
      </c>
      <c r="AB1703">
        <f>IF($Y1703="","",INDEX($L$6:$L$40000,$Y1703)&amp;"")</f>
        <v/>
      </c>
    </row>
    <row r="1704">
      <c r="Y1704" s="47">
        <f>IFERROR(MATCH(Library!M1704,$M$6:$M$40000,0),"")</f>
        <v/>
      </c>
      <c r="Z1704">
        <f>IF($Y1704="","",INDEX($C$6:$C$40000,$Y1704)&amp;"")</f>
        <v/>
      </c>
      <c r="AA1704" s="59">
        <f>IF($Y1704="","",IF(INDEX($D$6:$D$40000,$Y1704)="","",INDEX($D$6:$D$40000,$Y1704)))</f>
        <v/>
      </c>
      <c r="AB1704">
        <f>IF($Y1704="","",INDEX($L$6:$L$40000,$Y1704)&amp;"")</f>
        <v/>
      </c>
    </row>
    <row r="1705">
      <c r="Y1705" s="47">
        <f>IFERROR(MATCH(Library!M1705,$M$6:$M$40000,0),"")</f>
        <v/>
      </c>
      <c r="Z1705">
        <f>IF($Y1705="","",INDEX($C$6:$C$40000,$Y1705)&amp;"")</f>
        <v/>
      </c>
      <c r="AA1705" s="59">
        <f>IF($Y1705="","",IF(INDEX($D$6:$D$40000,$Y1705)="","",INDEX($D$6:$D$40000,$Y1705)))</f>
        <v/>
      </c>
      <c r="AB1705">
        <f>IF($Y1705="","",INDEX($L$6:$L$40000,$Y1705)&amp;"")</f>
        <v/>
      </c>
    </row>
    <row r="1706">
      <c r="Y1706" s="47">
        <f>IFERROR(MATCH(Library!M1706,$M$6:$M$40000,0),"")</f>
        <v/>
      </c>
      <c r="Z1706">
        <f>IF($Y1706="","",INDEX($C$6:$C$40000,$Y1706)&amp;"")</f>
        <v/>
      </c>
      <c r="AA1706" s="59">
        <f>IF($Y1706="","",IF(INDEX($D$6:$D$40000,$Y1706)="","",INDEX($D$6:$D$40000,$Y1706)))</f>
        <v/>
      </c>
      <c r="AB1706">
        <f>IF($Y1706="","",INDEX($L$6:$L$40000,$Y1706)&amp;"")</f>
        <v/>
      </c>
    </row>
    <row r="1707">
      <c r="Y1707" s="47">
        <f>IFERROR(MATCH(Library!M1707,$M$6:$M$40000,0),"")</f>
        <v/>
      </c>
      <c r="Z1707">
        <f>IF($Y1707="","",INDEX($C$6:$C$40000,$Y1707)&amp;"")</f>
        <v/>
      </c>
      <c r="AA1707" s="59">
        <f>IF($Y1707="","",IF(INDEX($D$6:$D$40000,$Y1707)="","",INDEX($D$6:$D$40000,$Y1707)))</f>
        <v/>
      </c>
      <c r="AB1707">
        <f>IF($Y1707="","",INDEX($L$6:$L$40000,$Y1707)&amp;"")</f>
        <v/>
      </c>
    </row>
    <row r="1708">
      <c r="Y1708" s="47">
        <f>IFERROR(MATCH(Library!M1708,$M$6:$M$40000,0),"")</f>
        <v/>
      </c>
      <c r="Z1708">
        <f>IF($Y1708="","",INDEX($C$6:$C$40000,$Y1708)&amp;"")</f>
        <v/>
      </c>
      <c r="AA1708" s="59">
        <f>IF($Y1708="","",IF(INDEX($D$6:$D$40000,$Y1708)="","",INDEX($D$6:$D$40000,$Y1708)))</f>
        <v/>
      </c>
      <c r="AB1708">
        <f>IF($Y1708="","",INDEX($L$6:$L$40000,$Y1708)&amp;"")</f>
        <v/>
      </c>
    </row>
    <row r="1709">
      <c r="Y1709" s="47">
        <f>IFERROR(MATCH(Library!M1709,$M$6:$M$40000,0),"")</f>
        <v/>
      </c>
      <c r="Z1709">
        <f>IF($Y1709="","",INDEX($C$6:$C$40000,$Y1709)&amp;"")</f>
        <v/>
      </c>
      <c r="AA1709" s="59">
        <f>IF($Y1709="","",IF(INDEX($D$6:$D$40000,$Y1709)="","",INDEX($D$6:$D$40000,$Y1709)))</f>
        <v/>
      </c>
      <c r="AB1709">
        <f>IF($Y1709="","",INDEX($L$6:$L$40000,$Y1709)&amp;"")</f>
        <v/>
      </c>
    </row>
    <row r="1710">
      <c r="Y1710" s="47">
        <f>IFERROR(MATCH(Library!M1710,$M$6:$M$40000,0),"")</f>
        <v/>
      </c>
      <c r="Z1710">
        <f>IF($Y1710="","",INDEX($C$6:$C$40000,$Y1710)&amp;"")</f>
        <v/>
      </c>
      <c r="AA1710" s="59">
        <f>IF($Y1710="","",IF(INDEX($D$6:$D$40000,$Y1710)="","",INDEX($D$6:$D$40000,$Y1710)))</f>
        <v/>
      </c>
      <c r="AB1710">
        <f>IF($Y1710="","",INDEX($L$6:$L$40000,$Y1710)&amp;"")</f>
        <v/>
      </c>
    </row>
    <row r="1711">
      <c r="Y1711" s="47">
        <f>IFERROR(MATCH(Library!M1711,$M$6:$M$40000,0),"")</f>
        <v/>
      </c>
      <c r="Z1711">
        <f>IF($Y1711="","",INDEX($C$6:$C$40000,$Y1711)&amp;"")</f>
        <v/>
      </c>
      <c r="AA1711" s="59">
        <f>IF($Y1711="","",IF(INDEX($D$6:$D$40000,$Y1711)="","",INDEX($D$6:$D$40000,$Y1711)))</f>
        <v/>
      </c>
      <c r="AB1711">
        <f>IF($Y1711="","",INDEX($L$6:$L$40000,$Y1711)&amp;"")</f>
        <v/>
      </c>
    </row>
    <row r="1712">
      <c r="Y1712" s="47">
        <f>IFERROR(MATCH(Library!M1712,$M$6:$M$40000,0),"")</f>
        <v/>
      </c>
      <c r="Z1712">
        <f>IF($Y1712="","",INDEX($C$6:$C$40000,$Y1712)&amp;"")</f>
        <v/>
      </c>
      <c r="AA1712" s="59">
        <f>IF($Y1712="","",IF(INDEX($D$6:$D$40000,$Y1712)="","",INDEX($D$6:$D$40000,$Y1712)))</f>
        <v/>
      </c>
      <c r="AB1712">
        <f>IF($Y1712="","",INDEX($L$6:$L$40000,$Y1712)&amp;"")</f>
        <v/>
      </c>
    </row>
    <row r="1713">
      <c r="Y1713" s="47">
        <f>IFERROR(MATCH(Library!M1713,$M$6:$M$40000,0),"")</f>
        <v/>
      </c>
      <c r="Z1713">
        <f>IF($Y1713="","",INDEX($C$6:$C$40000,$Y1713)&amp;"")</f>
        <v/>
      </c>
      <c r="AA1713" s="59">
        <f>IF($Y1713="","",IF(INDEX($D$6:$D$40000,$Y1713)="","",INDEX($D$6:$D$40000,$Y1713)))</f>
        <v/>
      </c>
      <c r="AB1713">
        <f>IF($Y1713="","",INDEX($L$6:$L$40000,$Y1713)&amp;"")</f>
        <v/>
      </c>
    </row>
    <row r="1714">
      <c r="Y1714" s="47">
        <f>IFERROR(MATCH(Library!M1714,$M$6:$M$40000,0),"")</f>
        <v/>
      </c>
      <c r="Z1714">
        <f>IF($Y1714="","",INDEX($C$6:$C$40000,$Y1714)&amp;"")</f>
        <v/>
      </c>
      <c r="AA1714" s="59">
        <f>IF($Y1714="","",IF(INDEX($D$6:$D$40000,$Y1714)="","",INDEX($D$6:$D$40000,$Y1714)))</f>
        <v/>
      </c>
      <c r="AB1714">
        <f>IF($Y1714="","",INDEX($L$6:$L$40000,$Y1714)&amp;"")</f>
        <v/>
      </c>
    </row>
    <row r="1715">
      <c r="Y1715" s="47">
        <f>IFERROR(MATCH(Library!M1715,$M$6:$M$40000,0),"")</f>
        <v/>
      </c>
      <c r="Z1715">
        <f>IF($Y1715="","",INDEX($C$6:$C$40000,$Y1715)&amp;"")</f>
        <v/>
      </c>
      <c r="AA1715" s="59">
        <f>IF($Y1715="","",IF(INDEX($D$6:$D$40000,$Y1715)="","",INDEX($D$6:$D$40000,$Y1715)))</f>
        <v/>
      </c>
      <c r="AB1715">
        <f>IF($Y1715="","",INDEX($L$6:$L$40000,$Y1715)&amp;"")</f>
        <v/>
      </c>
    </row>
    <row r="1716">
      <c r="Y1716" s="47">
        <f>IFERROR(MATCH(Library!M1716,$M$6:$M$40000,0),"")</f>
        <v/>
      </c>
      <c r="Z1716">
        <f>IF($Y1716="","",INDEX($C$6:$C$40000,$Y1716)&amp;"")</f>
        <v/>
      </c>
      <c r="AA1716" s="59">
        <f>IF($Y1716="","",IF(INDEX($D$6:$D$40000,$Y1716)="","",INDEX($D$6:$D$40000,$Y1716)))</f>
        <v/>
      </c>
      <c r="AB1716">
        <f>IF($Y1716="","",INDEX($L$6:$L$40000,$Y1716)&amp;"")</f>
        <v/>
      </c>
    </row>
    <row r="1717">
      <c r="Y1717" s="47">
        <f>IFERROR(MATCH(Library!M1717,$M$6:$M$40000,0),"")</f>
        <v/>
      </c>
      <c r="Z1717">
        <f>IF($Y1717="","",INDEX($C$6:$C$40000,$Y1717)&amp;"")</f>
        <v/>
      </c>
      <c r="AA1717" s="59">
        <f>IF($Y1717="","",IF(INDEX($D$6:$D$40000,$Y1717)="","",INDEX($D$6:$D$40000,$Y1717)))</f>
        <v/>
      </c>
      <c r="AB1717">
        <f>IF($Y1717="","",INDEX($L$6:$L$40000,$Y1717)&amp;"")</f>
        <v/>
      </c>
    </row>
    <row r="1718">
      <c r="Y1718" s="47">
        <f>IFERROR(MATCH(Library!M1718,$M$6:$M$40000,0),"")</f>
        <v/>
      </c>
      <c r="Z1718">
        <f>IF($Y1718="","",INDEX($C$6:$C$40000,$Y1718)&amp;"")</f>
        <v/>
      </c>
      <c r="AA1718" s="59">
        <f>IF($Y1718="","",IF(INDEX($D$6:$D$40000,$Y1718)="","",INDEX($D$6:$D$40000,$Y1718)))</f>
        <v/>
      </c>
      <c r="AB1718">
        <f>IF($Y1718="","",INDEX($L$6:$L$40000,$Y1718)&amp;"")</f>
        <v/>
      </c>
    </row>
    <row r="1719">
      <c r="Y1719" s="47">
        <f>IFERROR(MATCH(Library!M1719,$M$6:$M$40000,0),"")</f>
        <v/>
      </c>
      <c r="Z1719">
        <f>IF($Y1719="","",INDEX($C$6:$C$40000,$Y1719)&amp;"")</f>
        <v/>
      </c>
      <c r="AA1719" s="59">
        <f>IF($Y1719="","",IF(INDEX($D$6:$D$40000,$Y1719)="","",INDEX($D$6:$D$40000,$Y1719)))</f>
        <v/>
      </c>
      <c r="AB1719">
        <f>IF($Y1719="","",INDEX($L$6:$L$40000,$Y1719)&amp;"")</f>
        <v/>
      </c>
    </row>
    <row r="1720">
      <c r="Y1720" s="47">
        <f>IFERROR(MATCH(Library!M1720,$M$6:$M$40000,0),"")</f>
        <v/>
      </c>
      <c r="Z1720">
        <f>IF($Y1720="","",INDEX($C$6:$C$40000,$Y1720)&amp;"")</f>
        <v/>
      </c>
      <c r="AA1720" s="59">
        <f>IF($Y1720="","",IF(INDEX($D$6:$D$40000,$Y1720)="","",INDEX($D$6:$D$40000,$Y1720)))</f>
        <v/>
      </c>
      <c r="AB1720">
        <f>IF($Y1720="","",INDEX($L$6:$L$40000,$Y1720)&amp;"")</f>
        <v/>
      </c>
    </row>
    <row r="1721">
      <c r="Y1721" s="47">
        <f>IFERROR(MATCH(Library!M1721,$M$6:$M$40000,0),"")</f>
        <v/>
      </c>
      <c r="Z1721">
        <f>IF($Y1721="","",INDEX($C$6:$C$40000,$Y1721)&amp;"")</f>
        <v/>
      </c>
      <c r="AA1721" s="59">
        <f>IF($Y1721="","",IF(INDEX($D$6:$D$40000,$Y1721)="","",INDEX($D$6:$D$40000,$Y1721)))</f>
        <v/>
      </c>
      <c r="AB1721">
        <f>IF($Y1721="","",INDEX($L$6:$L$40000,$Y1721)&amp;"")</f>
        <v/>
      </c>
    </row>
    <row r="1722">
      <c r="Y1722" s="47">
        <f>IFERROR(MATCH(Library!M1722,$M$6:$M$40000,0),"")</f>
        <v/>
      </c>
      <c r="Z1722">
        <f>IF($Y1722="","",INDEX($C$6:$C$40000,$Y1722)&amp;"")</f>
        <v/>
      </c>
      <c r="AA1722" s="59">
        <f>IF($Y1722="","",IF(INDEX($D$6:$D$40000,$Y1722)="","",INDEX($D$6:$D$40000,$Y1722)))</f>
        <v/>
      </c>
      <c r="AB1722">
        <f>IF($Y1722="","",INDEX($L$6:$L$40000,$Y1722)&amp;"")</f>
        <v/>
      </c>
    </row>
    <row r="1723">
      <c r="Y1723" s="47">
        <f>IFERROR(MATCH(Library!M1723,$M$6:$M$40000,0),"")</f>
        <v/>
      </c>
      <c r="Z1723">
        <f>IF($Y1723="","",INDEX($C$6:$C$40000,$Y1723)&amp;"")</f>
        <v/>
      </c>
      <c r="AA1723" s="59">
        <f>IF($Y1723="","",IF(INDEX($D$6:$D$40000,$Y1723)="","",INDEX($D$6:$D$40000,$Y1723)))</f>
        <v/>
      </c>
      <c r="AB1723">
        <f>IF($Y1723="","",INDEX($L$6:$L$40000,$Y1723)&amp;"")</f>
        <v/>
      </c>
    </row>
    <row r="1724">
      <c r="Y1724" s="47">
        <f>IFERROR(MATCH(Library!M1724,$M$6:$M$40000,0),"")</f>
        <v/>
      </c>
      <c r="Z1724">
        <f>IF($Y1724="","",INDEX($C$6:$C$40000,$Y1724)&amp;"")</f>
        <v/>
      </c>
      <c r="AA1724" s="59">
        <f>IF($Y1724="","",IF(INDEX($D$6:$D$40000,$Y1724)="","",INDEX($D$6:$D$40000,$Y1724)))</f>
        <v/>
      </c>
      <c r="AB1724">
        <f>IF($Y1724="","",INDEX($L$6:$L$40000,$Y1724)&amp;"")</f>
        <v/>
      </c>
    </row>
    <row r="1725">
      <c r="Y1725" s="47">
        <f>IFERROR(MATCH(Library!M1725,$M$6:$M$40000,0),"")</f>
        <v/>
      </c>
      <c r="Z1725">
        <f>IF($Y1725="","",INDEX($C$6:$C$40000,$Y1725)&amp;"")</f>
        <v/>
      </c>
      <c r="AA1725" s="59">
        <f>IF($Y1725="","",IF(INDEX($D$6:$D$40000,$Y1725)="","",INDEX($D$6:$D$40000,$Y1725)))</f>
        <v/>
      </c>
      <c r="AB1725">
        <f>IF($Y1725="","",INDEX($L$6:$L$40000,$Y1725)&amp;"")</f>
        <v/>
      </c>
    </row>
    <row r="1726">
      <c r="Y1726" s="47">
        <f>IFERROR(MATCH(Library!M1726,$M$6:$M$40000,0),"")</f>
        <v/>
      </c>
      <c r="Z1726">
        <f>IF($Y1726="","",INDEX($C$6:$C$40000,$Y1726)&amp;"")</f>
        <v/>
      </c>
      <c r="AA1726" s="59">
        <f>IF($Y1726="","",IF(INDEX($D$6:$D$40000,$Y1726)="","",INDEX($D$6:$D$40000,$Y1726)))</f>
        <v/>
      </c>
      <c r="AB1726">
        <f>IF($Y1726="","",INDEX($L$6:$L$40000,$Y1726)&amp;"")</f>
        <v/>
      </c>
    </row>
    <row r="1727">
      <c r="Y1727" s="47">
        <f>IFERROR(MATCH(Library!M1727,$M$6:$M$40000,0),"")</f>
        <v/>
      </c>
      <c r="Z1727">
        <f>IF($Y1727="","",INDEX($C$6:$C$40000,$Y1727)&amp;"")</f>
        <v/>
      </c>
      <c r="AA1727" s="59">
        <f>IF($Y1727="","",IF(INDEX($D$6:$D$40000,$Y1727)="","",INDEX($D$6:$D$40000,$Y1727)))</f>
        <v/>
      </c>
      <c r="AB1727">
        <f>IF($Y1727="","",INDEX($L$6:$L$40000,$Y1727)&amp;"")</f>
        <v/>
      </c>
    </row>
    <row r="1728">
      <c r="Y1728" s="47">
        <f>IFERROR(MATCH(Library!M1728,$M$6:$M$40000,0),"")</f>
        <v/>
      </c>
      <c r="Z1728">
        <f>IF($Y1728="","",INDEX($C$6:$C$40000,$Y1728)&amp;"")</f>
        <v/>
      </c>
      <c r="AA1728" s="59">
        <f>IF($Y1728="","",IF(INDEX($D$6:$D$40000,$Y1728)="","",INDEX($D$6:$D$40000,$Y1728)))</f>
        <v/>
      </c>
      <c r="AB1728">
        <f>IF($Y1728="","",INDEX($L$6:$L$40000,$Y1728)&amp;"")</f>
        <v/>
      </c>
    </row>
    <row r="1729">
      <c r="Y1729" s="47">
        <f>IFERROR(MATCH(Library!M1729,$M$6:$M$40000,0),"")</f>
        <v/>
      </c>
      <c r="Z1729">
        <f>IF($Y1729="","",INDEX($C$6:$C$40000,$Y1729)&amp;"")</f>
        <v/>
      </c>
      <c r="AA1729" s="59">
        <f>IF($Y1729="","",IF(INDEX($D$6:$D$40000,$Y1729)="","",INDEX($D$6:$D$40000,$Y1729)))</f>
        <v/>
      </c>
      <c r="AB1729">
        <f>IF($Y1729="","",INDEX($L$6:$L$40000,$Y1729)&amp;"")</f>
        <v/>
      </c>
    </row>
    <row r="1730">
      <c r="Y1730" s="47">
        <f>IFERROR(MATCH(Library!M1730,$M$6:$M$40000,0),"")</f>
        <v/>
      </c>
      <c r="Z1730">
        <f>IF($Y1730="","",INDEX($C$6:$C$40000,$Y1730)&amp;"")</f>
        <v/>
      </c>
      <c r="AA1730" s="59">
        <f>IF($Y1730="","",IF(INDEX($D$6:$D$40000,$Y1730)="","",INDEX($D$6:$D$40000,$Y1730)))</f>
        <v/>
      </c>
      <c r="AB1730">
        <f>IF($Y1730="","",INDEX($L$6:$L$40000,$Y1730)&amp;"")</f>
        <v/>
      </c>
    </row>
    <row r="1731">
      <c r="Y1731" s="47">
        <f>IFERROR(MATCH(Library!M1731,$M$6:$M$40000,0),"")</f>
        <v/>
      </c>
      <c r="Z1731">
        <f>IF($Y1731="","",INDEX($C$6:$C$40000,$Y1731)&amp;"")</f>
        <v/>
      </c>
      <c r="AA1731" s="59">
        <f>IF($Y1731="","",IF(INDEX($D$6:$D$40000,$Y1731)="","",INDEX($D$6:$D$40000,$Y1731)))</f>
        <v/>
      </c>
      <c r="AB1731">
        <f>IF($Y1731="","",INDEX($L$6:$L$40000,$Y1731)&amp;"")</f>
        <v/>
      </c>
    </row>
    <row r="1732">
      <c r="Y1732" s="47">
        <f>IFERROR(MATCH(Library!M1732,$M$6:$M$40000,0),"")</f>
        <v/>
      </c>
      <c r="Z1732">
        <f>IF($Y1732="","",INDEX($C$6:$C$40000,$Y1732)&amp;"")</f>
        <v/>
      </c>
      <c r="AA1732" s="59">
        <f>IF($Y1732="","",IF(INDEX($D$6:$D$40000,$Y1732)="","",INDEX($D$6:$D$40000,$Y1732)))</f>
        <v/>
      </c>
      <c r="AB1732">
        <f>IF($Y1732="","",INDEX($L$6:$L$40000,$Y1732)&amp;"")</f>
        <v/>
      </c>
    </row>
    <row r="1733">
      <c r="Y1733" s="47">
        <f>IFERROR(MATCH(Library!M1733,$M$6:$M$40000,0),"")</f>
        <v/>
      </c>
      <c r="Z1733">
        <f>IF($Y1733="","",INDEX($C$6:$C$40000,$Y1733)&amp;"")</f>
        <v/>
      </c>
      <c r="AA1733" s="59">
        <f>IF($Y1733="","",IF(INDEX($D$6:$D$40000,$Y1733)="","",INDEX($D$6:$D$40000,$Y1733)))</f>
        <v/>
      </c>
      <c r="AB1733">
        <f>IF($Y1733="","",INDEX($L$6:$L$40000,$Y1733)&amp;"")</f>
        <v/>
      </c>
    </row>
    <row r="1734">
      <c r="Y1734" s="47">
        <f>IFERROR(MATCH(Library!M1734,$M$6:$M$40000,0),"")</f>
        <v/>
      </c>
      <c r="Z1734">
        <f>IF($Y1734="","",INDEX($C$6:$C$40000,$Y1734)&amp;"")</f>
        <v/>
      </c>
      <c r="AA1734" s="59">
        <f>IF($Y1734="","",IF(INDEX($D$6:$D$40000,$Y1734)="","",INDEX($D$6:$D$40000,$Y1734)))</f>
        <v/>
      </c>
      <c r="AB1734">
        <f>IF($Y1734="","",INDEX($L$6:$L$40000,$Y1734)&amp;"")</f>
        <v/>
      </c>
    </row>
    <row r="1735">
      <c r="Y1735" s="47">
        <f>IFERROR(MATCH(Library!M1735,$M$6:$M$40000,0),"")</f>
        <v/>
      </c>
      <c r="Z1735">
        <f>IF($Y1735="","",INDEX($C$6:$C$40000,$Y1735)&amp;"")</f>
        <v/>
      </c>
      <c r="AA1735" s="59">
        <f>IF($Y1735="","",IF(INDEX($D$6:$D$40000,$Y1735)="","",INDEX($D$6:$D$40000,$Y1735)))</f>
        <v/>
      </c>
      <c r="AB1735">
        <f>IF($Y1735="","",INDEX($L$6:$L$40000,$Y1735)&amp;"")</f>
        <v/>
      </c>
    </row>
    <row r="1736">
      <c r="Y1736" s="47">
        <f>IFERROR(MATCH(Library!M1736,$M$6:$M$40000,0),"")</f>
        <v/>
      </c>
      <c r="Z1736">
        <f>IF($Y1736="","",INDEX($C$6:$C$40000,$Y1736)&amp;"")</f>
        <v/>
      </c>
      <c r="AA1736" s="59">
        <f>IF($Y1736="","",IF(INDEX($D$6:$D$40000,$Y1736)="","",INDEX($D$6:$D$40000,$Y1736)))</f>
        <v/>
      </c>
      <c r="AB1736">
        <f>IF($Y1736="","",INDEX($L$6:$L$40000,$Y1736)&amp;"")</f>
        <v/>
      </c>
    </row>
    <row r="1737">
      <c r="Y1737" s="47">
        <f>IFERROR(MATCH(Library!M1737,$M$6:$M$40000,0),"")</f>
        <v/>
      </c>
      <c r="Z1737">
        <f>IF($Y1737="","",INDEX($C$6:$C$40000,$Y1737)&amp;"")</f>
        <v/>
      </c>
      <c r="AA1737" s="59">
        <f>IF($Y1737="","",IF(INDEX($D$6:$D$40000,$Y1737)="","",INDEX($D$6:$D$40000,$Y1737)))</f>
        <v/>
      </c>
      <c r="AB1737">
        <f>IF($Y1737="","",INDEX($L$6:$L$40000,$Y1737)&amp;"")</f>
        <v/>
      </c>
    </row>
    <row r="1738">
      <c r="Y1738" s="47">
        <f>IFERROR(MATCH(Library!M1738,$M$6:$M$40000,0),"")</f>
        <v/>
      </c>
      <c r="Z1738">
        <f>IF($Y1738="","",INDEX($C$6:$C$40000,$Y1738)&amp;"")</f>
        <v/>
      </c>
      <c r="AA1738" s="59">
        <f>IF($Y1738="","",IF(INDEX($D$6:$D$40000,$Y1738)="","",INDEX($D$6:$D$40000,$Y1738)))</f>
        <v/>
      </c>
      <c r="AB1738">
        <f>IF($Y1738="","",INDEX($L$6:$L$40000,$Y1738)&amp;"")</f>
        <v/>
      </c>
    </row>
    <row r="1739">
      <c r="Y1739" s="47">
        <f>IFERROR(MATCH(Library!M1739,$M$6:$M$40000,0),"")</f>
        <v/>
      </c>
      <c r="Z1739">
        <f>IF($Y1739="","",INDEX($C$6:$C$40000,$Y1739)&amp;"")</f>
        <v/>
      </c>
      <c r="AA1739" s="59">
        <f>IF($Y1739="","",IF(INDEX($D$6:$D$40000,$Y1739)="","",INDEX($D$6:$D$40000,$Y1739)))</f>
        <v/>
      </c>
      <c r="AB1739">
        <f>IF($Y1739="","",INDEX($L$6:$L$40000,$Y1739)&amp;"")</f>
        <v/>
      </c>
    </row>
    <row r="1740">
      <c r="Y1740" s="47">
        <f>IFERROR(MATCH(Library!M1740,$M$6:$M$40000,0),"")</f>
        <v/>
      </c>
      <c r="Z1740">
        <f>IF($Y1740="","",INDEX($C$6:$C$40000,$Y1740)&amp;"")</f>
        <v/>
      </c>
      <c r="AA1740" s="59">
        <f>IF($Y1740="","",IF(INDEX($D$6:$D$40000,$Y1740)="","",INDEX($D$6:$D$40000,$Y1740)))</f>
        <v/>
      </c>
      <c r="AB1740">
        <f>IF($Y1740="","",INDEX($L$6:$L$40000,$Y1740)&amp;"")</f>
        <v/>
      </c>
    </row>
    <row r="1741">
      <c r="Y1741" s="47">
        <f>IFERROR(MATCH(Library!M1741,$M$6:$M$40000,0),"")</f>
        <v/>
      </c>
      <c r="Z1741">
        <f>IF($Y1741="","",INDEX($C$6:$C$40000,$Y1741)&amp;"")</f>
        <v/>
      </c>
      <c r="AA1741" s="59">
        <f>IF($Y1741="","",IF(INDEX($D$6:$D$40000,$Y1741)="","",INDEX($D$6:$D$40000,$Y1741)))</f>
        <v/>
      </c>
      <c r="AB1741">
        <f>IF($Y1741="","",INDEX($L$6:$L$40000,$Y1741)&amp;"")</f>
        <v/>
      </c>
    </row>
    <row r="1742">
      <c r="Y1742" s="47">
        <f>IFERROR(MATCH(Library!M1742,$M$6:$M$40000,0),"")</f>
        <v/>
      </c>
      <c r="Z1742">
        <f>IF($Y1742="","",INDEX($C$6:$C$40000,$Y1742)&amp;"")</f>
        <v/>
      </c>
      <c r="AA1742" s="59">
        <f>IF($Y1742="","",IF(INDEX($D$6:$D$40000,$Y1742)="","",INDEX($D$6:$D$40000,$Y1742)))</f>
        <v/>
      </c>
      <c r="AB1742">
        <f>IF($Y1742="","",INDEX($L$6:$L$40000,$Y1742)&amp;"")</f>
        <v/>
      </c>
    </row>
    <row r="1743">
      <c r="Y1743" s="47">
        <f>IFERROR(MATCH(Library!M1743,$M$6:$M$40000,0),"")</f>
        <v/>
      </c>
      <c r="Z1743">
        <f>IF($Y1743="","",INDEX($C$6:$C$40000,$Y1743)&amp;"")</f>
        <v/>
      </c>
      <c r="AA1743" s="59">
        <f>IF($Y1743="","",IF(INDEX($D$6:$D$40000,$Y1743)="","",INDEX($D$6:$D$40000,$Y1743)))</f>
        <v/>
      </c>
      <c r="AB1743">
        <f>IF($Y1743="","",INDEX($L$6:$L$40000,$Y1743)&amp;"")</f>
        <v/>
      </c>
    </row>
    <row r="1744">
      <c r="Y1744" s="47">
        <f>IFERROR(MATCH(Library!M1744,$M$6:$M$40000,0),"")</f>
        <v/>
      </c>
      <c r="Z1744">
        <f>IF($Y1744="","",INDEX($C$6:$C$40000,$Y1744)&amp;"")</f>
        <v/>
      </c>
      <c r="AA1744" s="59">
        <f>IF($Y1744="","",IF(INDEX($D$6:$D$40000,$Y1744)="","",INDEX($D$6:$D$40000,$Y1744)))</f>
        <v/>
      </c>
      <c r="AB1744">
        <f>IF($Y1744="","",INDEX($L$6:$L$40000,$Y1744)&amp;"")</f>
        <v/>
      </c>
    </row>
    <row r="1745">
      <c r="Y1745" s="47">
        <f>IFERROR(MATCH(Library!M1745,$M$6:$M$40000,0),"")</f>
        <v/>
      </c>
      <c r="Z1745">
        <f>IF($Y1745="","",INDEX($C$6:$C$40000,$Y1745)&amp;"")</f>
        <v/>
      </c>
      <c r="AA1745" s="59">
        <f>IF($Y1745="","",IF(INDEX($D$6:$D$40000,$Y1745)="","",INDEX($D$6:$D$40000,$Y1745)))</f>
        <v/>
      </c>
      <c r="AB1745">
        <f>IF($Y1745="","",INDEX($L$6:$L$40000,$Y1745)&amp;"")</f>
        <v/>
      </c>
    </row>
    <row r="1746">
      <c r="Y1746" s="47">
        <f>IFERROR(MATCH(Library!M1746,$M$6:$M$40000,0),"")</f>
        <v/>
      </c>
      <c r="Z1746">
        <f>IF($Y1746="","",INDEX($C$6:$C$40000,$Y1746)&amp;"")</f>
        <v/>
      </c>
      <c r="AA1746" s="59">
        <f>IF($Y1746="","",IF(INDEX($D$6:$D$40000,$Y1746)="","",INDEX($D$6:$D$40000,$Y1746)))</f>
        <v/>
      </c>
      <c r="AB1746">
        <f>IF($Y1746="","",INDEX($L$6:$L$40000,$Y1746)&amp;"")</f>
        <v/>
      </c>
    </row>
    <row r="1747">
      <c r="Y1747" s="47">
        <f>IFERROR(MATCH(Library!M1747,$M$6:$M$40000,0),"")</f>
        <v/>
      </c>
      <c r="Z1747">
        <f>IF($Y1747="","",INDEX($C$6:$C$40000,$Y1747)&amp;"")</f>
        <v/>
      </c>
      <c r="AA1747" s="59">
        <f>IF($Y1747="","",IF(INDEX($D$6:$D$40000,$Y1747)="","",INDEX($D$6:$D$40000,$Y1747)))</f>
        <v/>
      </c>
      <c r="AB1747">
        <f>IF($Y1747="","",INDEX($L$6:$L$40000,$Y1747)&amp;"")</f>
        <v/>
      </c>
    </row>
    <row r="1748">
      <c r="Y1748" s="47">
        <f>IFERROR(MATCH(Library!M1748,$M$6:$M$40000,0),"")</f>
        <v/>
      </c>
      <c r="Z1748">
        <f>IF($Y1748="","",INDEX($C$6:$C$40000,$Y1748)&amp;"")</f>
        <v/>
      </c>
      <c r="AA1748" s="59">
        <f>IF($Y1748="","",IF(INDEX($D$6:$D$40000,$Y1748)="","",INDEX($D$6:$D$40000,$Y1748)))</f>
        <v/>
      </c>
      <c r="AB1748">
        <f>IF($Y1748="","",INDEX($L$6:$L$40000,$Y1748)&amp;"")</f>
        <v/>
      </c>
    </row>
    <row r="1749">
      <c r="Y1749" s="47">
        <f>IFERROR(MATCH(Library!M1749,$M$6:$M$40000,0),"")</f>
        <v/>
      </c>
      <c r="Z1749">
        <f>IF($Y1749="","",INDEX($C$6:$C$40000,$Y1749)&amp;"")</f>
        <v/>
      </c>
      <c r="AA1749" s="59">
        <f>IF($Y1749="","",IF(INDEX($D$6:$D$40000,$Y1749)="","",INDEX($D$6:$D$40000,$Y1749)))</f>
        <v/>
      </c>
      <c r="AB1749">
        <f>IF($Y1749="","",INDEX($L$6:$L$40000,$Y1749)&amp;"")</f>
        <v/>
      </c>
    </row>
    <row r="1750">
      <c r="Y1750" s="47">
        <f>IFERROR(MATCH(Library!M1750,$M$6:$M$40000,0),"")</f>
        <v/>
      </c>
      <c r="Z1750">
        <f>IF($Y1750="","",INDEX($C$6:$C$40000,$Y1750)&amp;"")</f>
        <v/>
      </c>
      <c r="AA1750" s="59">
        <f>IF($Y1750="","",IF(INDEX($D$6:$D$40000,$Y1750)="","",INDEX($D$6:$D$40000,$Y1750)))</f>
        <v/>
      </c>
      <c r="AB1750">
        <f>IF($Y1750="","",INDEX($L$6:$L$40000,$Y1750)&amp;"")</f>
        <v/>
      </c>
    </row>
    <row r="1751">
      <c r="Y1751" s="47">
        <f>IFERROR(MATCH(Library!M1751,$M$6:$M$40000,0),"")</f>
        <v/>
      </c>
      <c r="Z1751">
        <f>IF($Y1751="","",INDEX($C$6:$C$40000,$Y1751)&amp;"")</f>
        <v/>
      </c>
      <c r="AA1751" s="59">
        <f>IF($Y1751="","",IF(INDEX($D$6:$D$40000,$Y1751)="","",INDEX($D$6:$D$40000,$Y1751)))</f>
        <v/>
      </c>
      <c r="AB1751">
        <f>IF($Y1751="","",INDEX($L$6:$L$40000,$Y1751)&amp;"")</f>
        <v/>
      </c>
    </row>
    <row r="1752">
      <c r="Y1752" s="47">
        <f>IFERROR(MATCH(Library!M1752,$M$6:$M$40000,0),"")</f>
        <v/>
      </c>
      <c r="Z1752">
        <f>IF($Y1752="","",INDEX($C$6:$C$40000,$Y1752)&amp;"")</f>
        <v/>
      </c>
      <c r="AA1752" s="59">
        <f>IF($Y1752="","",IF(INDEX($D$6:$D$40000,$Y1752)="","",INDEX($D$6:$D$40000,$Y1752)))</f>
        <v/>
      </c>
      <c r="AB1752">
        <f>IF($Y1752="","",INDEX($L$6:$L$40000,$Y1752)&amp;"")</f>
        <v/>
      </c>
    </row>
    <row r="1753">
      <c r="Y1753" s="47">
        <f>IFERROR(MATCH(Library!M1753,$M$6:$M$40000,0),"")</f>
        <v/>
      </c>
      <c r="Z1753">
        <f>IF($Y1753="","",INDEX($C$6:$C$40000,$Y1753)&amp;"")</f>
        <v/>
      </c>
      <c r="AA1753" s="59">
        <f>IF($Y1753="","",IF(INDEX($D$6:$D$40000,$Y1753)="","",INDEX($D$6:$D$40000,$Y1753)))</f>
        <v/>
      </c>
      <c r="AB1753">
        <f>IF($Y1753="","",INDEX($L$6:$L$40000,$Y1753)&amp;"")</f>
        <v/>
      </c>
    </row>
    <row r="1754">
      <c r="Y1754" s="47">
        <f>IFERROR(MATCH(Library!M1754,$M$6:$M$40000,0),"")</f>
        <v/>
      </c>
      <c r="Z1754">
        <f>IF($Y1754="","",INDEX($C$6:$C$40000,$Y1754)&amp;"")</f>
        <v/>
      </c>
      <c r="AA1754" s="59">
        <f>IF($Y1754="","",IF(INDEX($D$6:$D$40000,$Y1754)="","",INDEX($D$6:$D$40000,$Y1754)))</f>
        <v/>
      </c>
      <c r="AB1754">
        <f>IF($Y1754="","",INDEX($L$6:$L$40000,$Y1754)&amp;"")</f>
        <v/>
      </c>
    </row>
    <row r="1755">
      <c r="Y1755" s="47">
        <f>IFERROR(MATCH(Library!M1755,$M$6:$M$40000,0),"")</f>
        <v/>
      </c>
      <c r="Z1755">
        <f>IF($Y1755="","",INDEX($C$6:$C$40000,$Y1755)&amp;"")</f>
        <v/>
      </c>
      <c r="AA1755" s="59">
        <f>IF($Y1755="","",IF(INDEX($D$6:$D$40000,$Y1755)="","",INDEX($D$6:$D$40000,$Y1755)))</f>
        <v/>
      </c>
      <c r="AB1755">
        <f>IF($Y1755="","",INDEX($L$6:$L$40000,$Y1755)&amp;"")</f>
        <v/>
      </c>
    </row>
    <row r="1756">
      <c r="Y1756" s="47">
        <f>IFERROR(MATCH(Library!M1756,$M$6:$M$40000,0),"")</f>
        <v/>
      </c>
      <c r="Z1756">
        <f>IF($Y1756="","",INDEX($C$6:$C$40000,$Y1756)&amp;"")</f>
        <v/>
      </c>
      <c r="AA1756" s="59">
        <f>IF($Y1756="","",IF(INDEX($D$6:$D$40000,$Y1756)="","",INDEX($D$6:$D$40000,$Y1756)))</f>
        <v/>
      </c>
      <c r="AB1756">
        <f>IF($Y1756="","",INDEX($L$6:$L$40000,$Y1756)&amp;"")</f>
        <v/>
      </c>
    </row>
    <row r="1757">
      <c r="Y1757" s="47">
        <f>IFERROR(MATCH(Library!M1757,$M$6:$M$40000,0),"")</f>
        <v/>
      </c>
      <c r="Z1757">
        <f>IF($Y1757="","",INDEX($C$6:$C$40000,$Y1757)&amp;"")</f>
        <v/>
      </c>
      <c r="AA1757" s="59">
        <f>IF($Y1757="","",IF(INDEX($D$6:$D$40000,$Y1757)="","",INDEX($D$6:$D$40000,$Y1757)))</f>
        <v/>
      </c>
      <c r="AB1757">
        <f>IF($Y1757="","",INDEX($L$6:$L$40000,$Y1757)&amp;"")</f>
        <v/>
      </c>
    </row>
    <row r="1758">
      <c r="Y1758" s="47">
        <f>IFERROR(MATCH(Library!M1758,$M$6:$M$40000,0),"")</f>
        <v/>
      </c>
      <c r="Z1758">
        <f>IF($Y1758="","",INDEX($C$6:$C$40000,$Y1758)&amp;"")</f>
        <v/>
      </c>
      <c r="AA1758" s="59">
        <f>IF($Y1758="","",IF(INDEX($D$6:$D$40000,$Y1758)="","",INDEX($D$6:$D$40000,$Y1758)))</f>
        <v/>
      </c>
      <c r="AB1758">
        <f>IF($Y1758="","",INDEX($L$6:$L$40000,$Y1758)&amp;"")</f>
        <v/>
      </c>
    </row>
    <row r="1759">
      <c r="Y1759" s="47">
        <f>IFERROR(MATCH(Library!M1759,$M$6:$M$40000,0),"")</f>
        <v/>
      </c>
      <c r="Z1759">
        <f>IF($Y1759="","",INDEX($C$6:$C$40000,$Y1759)&amp;"")</f>
        <v/>
      </c>
      <c r="AA1759" s="59">
        <f>IF($Y1759="","",IF(INDEX($D$6:$D$40000,$Y1759)="","",INDEX($D$6:$D$40000,$Y1759)))</f>
        <v/>
      </c>
      <c r="AB1759">
        <f>IF($Y1759="","",INDEX($L$6:$L$40000,$Y1759)&amp;"")</f>
        <v/>
      </c>
    </row>
    <row r="1760">
      <c r="Y1760" s="47">
        <f>IFERROR(MATCH(Library!M1760,$M$6:$M$40000,0),"")</f>
        <v/>
      </c>
      <c r="Z1760">
        <f>IF($Y1760="","",INDEX($C$6:$C$40000,$Y1760)&amp;"")</f>
        <v/>
      </c>
      <c r="AA1760" s="59">
        <f>IF($Y1760="","",IF(INDEX($D$6:$D$40000,$Y1760)="","",INDEX($D$6:$D$40000,$Y1760)))</f>
        <v/>
      </c>
      <c r="AB1760">
        <f>IF($Y1760="","",INDEX($L$6:$L$40000,$Y1760)&amp;"")</f>
        <v/>
      </c>
    </row>
    <row r="1761">
      <c r="Y1761" s="47">
        <f>IFERROR(MATCH(Library!M1761,$M$6:$M$40000,0),"")</f>
        <v/>
      </c>
      <c r="Z1761">
        <f>IF($Y1761="","",INDEX($C$6:$C$40000,$Y1761)&amp;"")</f>
        <v/>
      </c>
      <c r="AA1761" s="59">
        <f>IF($Y1761="","",IF(INDEX($D$6:$D$40000,$Y1761)="","",INDEX($D$6:$D$40000,$Y1761)))</f>
        <v/>
      </c>
      <c r="AB1761">
        <f>IF($Y1761="","",INDEX($L$6:$L$40000,$Y1761)&amp;"")</f>
        <v/>
      </c>
    </row>
    <row r="1762">
      <c r="Y1762" s="47">
        <f>IFERROR(MATCH(Library!M1762,$M$6:$M$40000,0),"")</f>
        <v/>
      </c>
      <c r="Z1762">
        <f>IF($Y1762="","",INDEX($C$6:$C$40000,$Y1762)&amp;"")</f>
        <v/>
      </c>
      <c r="AA1762" s="59">
        <f>IF($Y1762="","",IF(INDEX($D$6:$D$40000,$Y1762)="","",INDEX($D$6:$D$40000,$Y1762)))</f>
        <v/>
      </c>
      <c r="AB1762">
        <f>IF($Y1762="","",INDEX($L$6:$L$40000,$Y1762)&amp;"")</f>
        <v/>
      </c>
    </row>
    <row r="1763">
      <c r="Y1763" s="47">
        <f>IFERROR(MATCH(Library!M1763,$M$6:$M$40000,0),"")</f>
        <v/>
      </c>
      <c r="Z1763">
        <f>IF($Y1763="","",INDEX($C$6:$C$40000,$Y1763)&amp;"")</f>
        <v/>
      </c>
      <c r="AA1763" s="59">
        <f>IF($Y1763="","",IF(INDEX($D$6:$D$40000,$Y1763)="","",INDEX($D$6:$D$40000,$Y1763)))</f>
        <v/>
      </c>
      <c r="AB1763">
        <f>IF($Y1763="","",INDEX($L$6:$L$40000,$Y1763)&amp;"")</f>
        <v/>
      </c>
    </row>
    <row r="1764">
      <c r="Y1764" s="47">
        <f>IFERROR(MATCH(Library!M1764,$M$6:$M$40000,0),"")</f>
        <v/>
      </c>
      <c r="Z1764">
        <f>IF($Y1764="","",INDEX($C$6:$C$40000,$Y1764)&amp;"")</f>
        <v/>
      </c>
      <c r="AA1764" s="59">
        <f>IF($Y1764="","",IF(INDEX($D$6:$D$40000,$Y1764)="","",INDEX($D$6:$D$40000,$Y1764)))</f>
        <v/>
      </c>
      <c r="AB1764">
        <f>IF($Y1764="","",INDEX($L$6:$L$40000,$Y1764)&amp;"")</f>
        <v/>
      </c>
    </row>
    <row r="1765">
      <c r="Y1765" s="47">
        <f>IFERROR(MATCH(Library!M1765,$M$6:$M$40000,0),"")</f>
        <v/>
      </c>
      <c r="Z1765">
        <f>IF($Y1765="","",INDEX($C$6:$C$40000,$Y1765)&amp;"")</f>
        <v/>
      </c>
      <c r="AA1765" s="59">
        <f>IF($Y1765="","",IF(INDEX($D$6:$D$40000,$Y1765)="","",INDEX($D$6:$D$40000,$Y1765)))</f>
        <v/>
      </c>
      <c r="AB1765">
        <f>IF($Y1765="","",INDEX($L$6:$L$40000,$Y1765)&amp;"")</f>
        <v/>
      </c>
    </row>
    <row r="1766">
      <c r="Y1766" s="47">
        <f>IFERROR(MATCH(Library!M1766,$M$6:$M$40000,0),"")</f>
        <v/>
      </c>
      <c r="Z1766">
        <f>IF($Y1766="","",INDEX($C$6:$C$40000,$Y1766)&amp;"")</f>
        <v/>
      </c>
      <c r="AA1766" s="59">
        <f>IF($Y1766="","",IF(INDEX($D$6:$D$40000,$Y1766)="","",INDEX($D$6:$D$40000,$Y1766)))</f>
        <v/>
      </c>
      <c r="AB1766">
        <f>IF($Y1766="","",INDEX($L$6:$L$40000,$Y1766)&amp;"")</f>
        <v/>
      </c>
    </row>
    <row r="1767">
      <c r="Y1767" s="47">
        <f>IFERROR(MATCH(Library!M1767,$M$6:$M$40000,0),"")</f>
        <v/>
      </c>
      <c r="Z1767">
        <f>IF($Y1767="","",INDEX($C$6:$C$40000,$Y1767)&amp;"")</f>
        <v/>
      </c>
      <c r="AA1767" s="59">
        <f>IF($Y1767="","",IF(INDEX($D$6:$D$40000,$Y1767)="","",INDEX($D$6:$D$40000,$Y1767)))</f>
        <v/>
      </c>
      <c r="AB1767">
        <f>IF($Y1767="","",INDEX($L$6:$L$40000,$Y1767)&amp;"")</f>
        <v/>
      </c>
    </row>
    <row r="1768">
      <c r="Y1768" s="47">
        <f>IFERROR(MATCH(Library!M1768,$M$6:$M$40000,0),"")</f>
        <v/>
      </c>
      <c r="Z1768">
        <f>IF($Y1768="","",INDEX($C$6:$C$40000,$Y1768)&amp;"")</f>
        <v/>
      </c>
      <c r="AA1768" s="59">
        <f>IF($Y1768="","",IF(INDEX($D$6:$D$40000,$Y1768)="","",INDEX($D$6:$D$40000,$Y1768)))</f>
        <v/>
      </c>
      <c r="AB1768">
        <f>IF($Y1768="","",INDEX($L$6:$L$40000,$Y1768)&amp;"")</f>
        <v/>
      </c>
    </row>
    <row r="1769">
      <c r="Y1769" s="47">
        <f>IFERROR(MATCH(Library!M1769,$M$6:$M$40000,0),"")</f>
        <v/>
      </c>
      <c r="Z1769">
        <f>IF($Y1769="","",INDEX($C$6:$C$40000,$Y1769)&amp;"")</f>
        <v/>
      </c>
      <c r="AA1769" s="59">
        <f>IF($Y1769="","",IF(INDEX($D$6:$D$40000,$Y1769)="","",INDEX($D$6:$D$40000,$Y1769)))</f>
        <v/>
      </c>
      <c r="AB1769">
        <f>IF($Y1769="","",INDEX($L$6:$L$40000,$Y1769)&amp;"")</f>
        <v/>
      </c>
    </row>
    <row r="1770">
      <c r="Y1770" s="47">
        <f>IFERROR(MATCH(Library!M1770,$M$6:$M$40000,0),"")</f>
        <v/>
      </c>
      <c r="Z1770">
        <f>IF($Y1770="","",INDEX($C$6:$C$40000,$Y1770)&amp;"")</f>
        <v/>
      </c>
      <c r="AA1770" s="59">
        <f>IF($Y1770="","",IF(INDEX($D$6:$D$40000,$Y1770)="","",INDEX($D$6:$D$40000,$Y1770)))</f>
        <v/>
      </c>
      <c r="AB1770">
        <f>IF($Y1770="","",INDEX($L$6:$L$40000,$Y1770)&amp;"")</f>
        <v/>
      </c>
    </row>
    <row r="1771">
      <c r="Y1771" s="47">
        <f>IFERROR(MATCH(Library!M1771,$M$6:$M$40000,0),"")</f>
        <v/>
      </c>
      <c r="Z1771">
        <f>IF($Y1771="","",INDEX($C$6:$C$40000,$Y1771)&amp;"")</f>
        <v/>
      </c>
      <c r="AA1771" s="59">
        <f>IF($Y1771="","",IF(INDEX($D$6:$D$40000,$Y1771)="","",INDEX($D$6:$D$40000,$Y1771)))</f>
        <v/>
      </c>
      <c r="AB1771">
        <f>IF($Y1771="","",INDEX($L$6:$L$40000,$Y1771)&amp;"")</f>
        <v/>
      </c>
    </row>
    <row r="1772">
      <c r="Y1772" s="47">
        <f>IFERROR(MATCH(Library!M1772,$M$6:$M$40000,0),"")</f>
        <v/>
      </c>
      <c r="Z1772">
        <f>IF($Y1772="","",INDEX($C$6:$C$40000,$Y1772)&amp;"")</f>
        <v/>
      </c>
      <c r="AA1772" s="59">
        <f>IF($Y1772="","",IF(INDEX($D$6:$D$40000,$Y1772)="","",INDEX($D$6:$D$40000,$Y1772)))</f>
        <v/>
      </c>
      <c r="AB1772">
        <f>IF($Y1772="","",INDEX($L$6:$L$40000,$Y1772)&amp;"")</f>
        <v/>
      </c>
    </row>
    <row r="1773">
      <c r="Y1773" s="47">
        <f>IFERROR(MATCH(Library!M1773,$M$6:$M$40000,0),"")</f>
        <v/>
      </c>
      <c r="Z1773">
        <f>IF($Y1773="","",INDEX($C$6:$C$40000,$Y1773)&amp;"")</f>
        <v/>
      </c>
      <c r="AA1773" s="59">
        <f>IF($Y1773="","",IF(INDEX($D$6:$D$40000,$Y1773)="","",INDEX($D$6:$D$40000,$Y1773)))</f>
        <v/>
      </c>
      <c r="AB1773">
        <f>IF($Y1773="","",INDEX($L$6:$L$40000,$Y1773)&amp;"")</f>
        <v/>
      </c>
    </row>
    <row r="1774">
      <c r="Y1774" s="47">
        <f>IFERROR(MATCH(Library!M1774,$M$6:$M$40000,0),"")</f>
        <v/>
      </c>
      <c r="Z1774">
        <f>IF($Y1774="","",INDEX($C$6:$C$40000,$Y1774)&amp;"")</f>
        <v/>
      </c>
      <c r="AA1774" s="59">
        <f>IF($Y1774="","",IF(INDEX($D$6:$D$40000,$Y1774)="","",INDEX($D$6:$D$40000,$Y1774)))</f>
        <v/>
      </c>
      <c r="AB1774">
        <f>IF($Y1774="","",INDEX($L$6:$L$40000,$Y1774)&amp;"")</f>
        <v/>
      </c>
    </row>
    <row r="1775">
      <c r="Y1775" s="47">
        <f>IFERROR(MATCH(Library!M1775,$M$6:$M$40000,0),"")</f>
        <v/>
      </c>
      <c r="Z1775">
        <f>IF($Y1775="","",INDEX($C$6:$C$40000,$Y1775)&amp;"")</f>
        <v/>
      </c>
      <c r="AA1775" s="59">
        <f>IF($Y1775="","",IF(INDEX($D$6:$D$40000,$Y1775)="","",INDEX($D$6:$D$40000,$Y1775)))</f>
        <v/>
      </c>
      <c r="AB1775">
        <f>IF($Y1775="","",INDEX($L$6:$L$40000,$Y1775)&amp;"")</f>
        <v/>
      </c>
    </row>
    <row r="1776">
      <c r="Y1776" s="47">
        <f>IFERROR(MATCH(Library!M1776,$M$6:$M$40000,0),"")</f>
        <v/>
      </c>
      <c r="Z1776">
        <f>IF($Y1776="","",INDEX($C$6:$C$40000,$Y1776)&amp;"")</f>
        <v/>
      </c>
      <c r="AA1776" s="59">
        <f>IF($Y1776="","",IF(INDEX($D$6:$D$40000,$Y1776)="","",INDEX($D$6:$D$40000,$Y1776)))</f>
        <v/>
      </c>
      <c r="AB1776">
        <f>IF($Y1776="","",INDEX($L$6:$L$40000,$Y1776)&amp;"")</f>
        <v/>
      </c>
    </row>
    <row r="1777">
      <c r="Y1777" s="47">
        <f>IFERROR(MATCH(Library!M1777,$M$6:$M$40000,0),"")</f>
        <v/>
      </c>
      <c r="Z1777">
        <f>IF($Y1777="","",INDEX($C$6:$C$40000,$Y1777)&amp;"")</f>
        <v/>
      </c>
      <c r="AA1777" s="59">
        <f>IF($Y1777="","",IF(INDEX($D$6:$D$40000,$Y1777)="","",INDEX($D$6:$D$40000,$Y1777)))</f>
        <v/>
      </c>
      <c r="AB1777">
        <f>IF($Y1777="","",INDEX($L$6:$L$40000,$Y1777)&amp;"")</f>
        <v/>
      </c>
    </row>
    <row r="1778">
      <c r="Y1778" s="47">
        <f>IFERROR(MATCH(Library!M1778,$M$6:$M$40000,0),"")</f>
        <v/>
      </c>
      <c r="Z1778">
        <f>IF($Y1778="","",INDEX($C$6:$C$40000,$Y1778)&amp;"")</f>
        <v/>
      </c>
      <c r="AA1778" s="59">
        <f>IF($Y1778="","",IF(INDEX($D$6:$D$40000,$Y1778)="","",INDEX($D$6:$D$40000,$Y1778)))</f>
        <v/>
      </c>
      <c r="AB1778">
        <f>IF($Y1778="","",INDEX($L$6:$L$40000,$Y1778)&amp;"")</f>
        <v/>
      </c>
    </row>
    <row r="1779">
      <c r="Y1779" s="47">
        <f>IFERROR(MATCH(Library!M1779,$M$6:$M$40000,0),"")</f>
        <v/>
      </c>
      <c r="Z1779">
        <f>IF($Y1779="","",INDEX($C$6:$C$40000,$Y1779)&amp;"")</f>
        <v/>
      </c>
      <c r="AA1779" s="59">
        <f>IF($Y1779="","",IF(INDEX($D$6:$D$40000,$Y1779)="","",INDEX($D$6:$D$40000,$Y1779)))</f>
        <v/>
      </c>
      <c r="AB1779">
        <f>IF($Y1779="","",INDEX($L$6:$L$40000,$Y1779)&amp;"")</f>
        <v/>
      </c>
    </row>
    <row r="1780">
      <c r="Y1780" s="47">
        <f>IFERROR(MATCH(Library!M1780,$M$6:$M$40000,0),"")</f>
        <v/>
      </c>
      <c r="Z1780">
        <f>IF($Y1780="","",INDEX($C$6:$C$40000,$Y1780)&amp;"")</f>
        <v/>
      </c>
      <c r="AA1780" s="59">
        <f>IF($Y1780="","",IF(INDEX($D$6:$D$40000,$Y1780)="","",INDEX($D$6:$D$40000,$Y1780)))</f>
        <v/>
      </c>
      <c r="AB1780">
        <f>IF($Y1780="","",INDEX($L$6:$L$40000,$Y1780)&amp;"")</f>
        <v/>
      </c>
    </row>
    <row r="1781">
      <c r="Y1781" s="47">
        <f>IFERROR(MATCH(Library!M1781,$M$6:$M$40000,0),"")</f>
        <v/>
      </c>
      <c r="Z1781">
        <f>IF($Y1781="","",INDEX($C$6:$C$40000,$Y1781)&amp;"")</f>
        <v/>
      </c>
      <c r="AA1781" s="59">
        <f>IF($Y1781="","",IF(INDEX($D$6:$D$40000,$Y1781)="","",INDEX($D$6:$D$40000,$Y1781)))</f>
        <v/>
      </c>
      <c r="AB1781">
        <f>IF($Y1781="","",INDEX($L$6:$L$40000,$Y1781)&amp;"")</f>
        <v/>
      </c>
    </row>
    <row r="1782">
      <c r="Y1782" s="47">
        <f>IFERROR(MATCH(Library!M1782,$M$6:$M$40000,0),"")</f>
        <v/>
      </c>
      <c r="Z1782">
        <f>IF($Y1782="","",INDEX($C$6:$C$40000,$Y1782)&amp;"")</f>
        <v/>
      </c>
      <c r="AA1782" s="59">
        <f>IF($Y1782="","",IF(INDEX($D$6:$D$40000,$Y1782)="","",INDEX($D$6:$D$40000,$Y1782)))</f>
        <v/>
      </c>
      <c r="AB1782">
        <f>IF($Y1782="","",INDEX($L$6:$L$40000,$Y1782)&amp;"")</f>
        <v/>
      </c>
    </row>
    <row r="1783">
      <c r="Y1783" s="47">
        <f>IFERROR(MATCH(Library!M1783,$M$6:$M$40000,0),"")</f>
        <v/>
      </c>
      <c r="Z1783">
        <f>IF($Y1783="","",INDEX($C$6:$C$40000,$Y1783)&amp;"")</f>
        <v/>
      </c>
      <c r="AA1783" s="59">
        <f>IF($Y1783="","",IF(INDEX($D$6:$D$40000,$Y1783)="","",INDEX($D$6:$D$40000,$Y1783)))</f>
        <v/>
      </c>
      <c r="AB1783">
        <f>IF($Y1783="","",INDEX($L$6:$L$40000,$Y1783)&amp;"")</f>
        <v/>
      </c>
    </row>
    <row r="1784">
      <c r="Y1784" s="47">
        <f>IFERROR(MATCH(Library!M1784,$M$6:$M$40000,0),"")</f>
        <v/>
      </c>
      <c r="Z1784">
        <f>IF($Y1784="","",INDEX($C$6:$C$40000,$Y1784)&amp;"")</f>
        <v/>
      </c>
      <c r="AA1784" s="59">
        <f>IF($Y1784="","",IF(INDEX($D$6:$D$40000,$Y1784)="","",INDEX($D$6:$D$40000,$Y1784)))</f>
        <v/>
      </c>
      <c r="AB1784">
        <f>IF($Y1784="","",INDEX($L$6:$L$40000,$Y1784)&amp;"")</f>
        <v/>
      </c>
    </row>
    <row r="1785">
      <c r="Y1785" s="47">
        <f>IFERROR(MATCH(Library!M1785,$M$6:$M$40000,0),"")</f>
        <v/>
      </c>
      <c r="Z1785">
        <f>IF($Y1785="","",INDEX($C$6:$C$40000,$Y1785)&amp;"")</f>
        <v/>
      </c>
      <c r="AA1785" s="59">
        <f>IF($Y1785="","",IF(INDEX($D$6:$D$40000,$Y1785)="","",INDEX($D$6:$D$40000,$Y1785)))</f>
        <v/>
      </c>
      <c r="AB1785">
        <f>IF($Y1785="","",INDEX($L$6:$L$40000,$Y1785)&amp;"")</f>
        <v/>
      </c>
    </row>
    <row r="1786">
      <c r="Y1786" s="47">
        <f>IFERROR(MATCH(Library!M1786,$M$6:$M$40000,0),"")</f>
        <v/>
      </c>
      <c r="Z1786">
        <f>IF($Y1786="","",INDEX($C$6:$C$40000,$Y1786)&amp;"")</f>
        <v/>
      </c>
      <c r="AA1786" s="59">
        <f>IF($Y1786="","",IF(INDEX($D$6:$D$40000,$Y1786)="","",INDEX($D$6:$D$40000,$Y1786)))</f>
        <v/>
      </c>
      <c r="AB1786">
        <f>IF($Y1786="","",INDEX($L$6:$L$40000,$Y1786)&amp;"")</f>
        <v/>
      </c>
    </row>
    <row r="1787">
      <c r="Y1787" s="47">
        <f>IFERROR(MATCH(Library!M1787,$M$6:$M$40000,0),"")</f>
        <v/>
      </c>
      <c r="Z1787">
        <f>IF($Y1787="","",INDEX($C$6:$C$40000,$Y1787)&amp;"")</f>
        <v/>
      </c>
      <c r="AA1787" s="59">
        <f>IF($Y1787="","",IF(INDEX($D$6:$D$40000,$Y1787)="","",INDEX($D$6:$D$40000,$Y1787)))</f>
        <v/>
      </c>
      <c r="AB1787">
        <f>IF($Y1787="","",INDEX($L$6:$L$40000,$Y1787)&amp;"")</f>
        <v/>
      </c>
    </row>
    <row r="1788">
      <c r="Y1788" s="47">
        <f>IFERROR(MATCH(Library!M1788,$M$6:$M$40000,0),"")</f>
        <v/>
      </c>
      <c r="Z1788">
        <f>IF($Y1788="","",INDEX($C$6:$C$40000,$Y1788)&amp;"")</f>
        <v/>
      </c>
      <c r="AA1788" s="59">
        <f>IF($Y1788="","",IF(INDEX($D$6:$D$40000,$Y1788)="","",INDEX($D$6:$D$40000,$Y1788)))</f>
        <v/>
      </c>
      <c r="AB1788">
        <f>IF($Y1788="","",INDEX($L$6:$L$40000,$Y1788)&amp;"")</f>
        <v/>
      </c>
    </row>
    <row r="1789">
      <c r="Y1789" s="47">
        <f>IFERROR(MATCH(Library!M1789,$M$6:$M$40000,0),"")</f>
        <v/>
      </c>
      <c r="Z1789">
        <f>IF($Y1789="","",INDEX($C$6:$C$40000,$Y1789)&amp;"")</f>
        <v/>
      </c>
      <c r="AA1789" s="59">
        <f>IF($Y1789="","",IF(INDEX($D$6:$D$40000,$Y1789)="","",INDEX($D$6:$D$40000,$Y1789)))</f>
        <v/>
      </c>
      <c r="AB1789">
        <f>IF($Y1789="","",INDEX($L$6:$L$40000,$Y1789)&amp;"")</f>
        <v/>
      </c>
    </row>
    <row r="1790">
      <c r="Y1790" s="47">
        <f>IFERROR(MATCH(Library!M1790,$M$6:$M$40000,0),"")</f>
        <v/>
      </c>
      <c r="Z1790">
        <f>IF($Y1790="","",INDEX($C$6:$C$40000,$Y1790)&amp;"")</f>
        <v/>
      </c>
      <c r="AA1790" s="59">
        <f>IF($Y1790="","",IF(INDEX($D$6:$D$40000,$Y1790)="","",INDEX($D$6:$D$40000,$Y1790)))</f>
        <v/>
      </c>
      <c r="AB1790">
        <f>IF($Y1790="","",INDEX($L$6:$L$40000,$Y1790)&amp;"")</f>
        <v/>
      </c>
    </row>
    <row r="1791">
      <c r="Y1791" s="47">
        <f>IFERROR(MATCH(Library!M1791,$M$6:$M$40000,0),"")</f>
        <v/>
      </c>
      <c r="Z1791">
        <f>IF($Y1791="","",INDEX($C$6:$C$40000,$Y1791)&amp;"")</f>
        <v/>
      </c>
      <c r="AA1791" s="59">
        <f>IF($Y1791="","",IF(INDEX($D$6:$D$40000,$Y1791)="","",INDEX($D$6:$D$40000,$Y1791)))</f>
        <v/>
      </c>
      <c r="AB1791">
        <f>IF($Y1791="","",INDEX($L$6:$L$40000,$Y1791)&amp;"")</f>
        <v/>
      </c>
    </row>
    <row r="1792">
      <c r="Y1792" s="47">
        <f>IFERROR(MATCH(Library!M1792,$M$6:$M$40000,0),"")</f>
        <v/>
      </c>
      <c r="Z1792">
        <f>IF($Y1792="","",INDEX($C$6:$C$40000,$Y1792)&amp;"")</f>
        <v/>
      </c>
      <c r="AA1792" s="59">
        <f>IF($Y1792="","",IF(INDEX($D$6:$D$40000,$Y1792)="","",INDEX($D$6:$D$40000,$Y1792)))</f>
        <v/>
      </c>
      <c r="AB1792">
        <f>IF($Y1792="","",INDEX($L$6:$L$40000,$Y1792)&amp;"")</f>
        <v/>
      </c>
    </row>
    <row r="1793">
      <c r="Y1793" s="47">
        <f>IFERROR(MATCH(Library!M1793,$M$6:$M$40000,0),"")</f>
        <v/>
      </c>
      <c r="Z1793">
        <f>IF($Y1793="","",INDEX($C$6:$C$40000,$Y1793)&amp;"")</f>
        <v/>
      </c>
      <c r="AA1793" s="59">
        <f>IF($Y1793="","",IF(INDEX($D$6:$D$40000,$Y1793)="","",INDEX($D$6:$D$40000,$Y1793)))</f>
        <v/>
      </c>
      <c r="AB1793">
        <f>IF($Y1793="","",INDEX($L$6:$L$40000,$Y1793)&amp;"")</f>
        <v/>
      </c>
    </row>
    <row r="1794">
      <c r="Y1794" s="47">
        <f>IFERROR(MATCH(Library!M1794,$M$6:$M$40000,0),"")</f>
        <v/>
      </c>
      <c r="Z1794">
        <f>IF($Y1794="","",INDEX($C$6:$C$40000,$Y1794)&amp;"")</f>
        <v/>
      </c>
      <c r="AA1794" s="59">
        <f>IF($Y1794="","",IF(INDEX($D$6:$D$40000,$Y1794)="","",INDEX($D$6:$D$40000,$Y1794)))</f>
        <v/>
      </c>
      <c r="AB1794">
        <f>IF($Y1794="","",INDEX($L$6:$L$40000,$Y1794)&amp;"")</f>
        <v/>
      </c>
    </row>
    <row r="1795">
      <c r="Y1795" s="47">
        <f>IFERROR(MATCH(Library!M1795,$M$6:$M$40000,0),"")</f>
        <v/>
      </c>
      <c r="Z1795">
        <f>IF($Y1795="","",INDEX($C$6:$C$40000,$Y1795)&amp;"")</f>
        <v/>
      </c>
      <c r="AA1795" s="59">
        <f>IF($Y1795="","",IF(INDEX($D$6:$D$40000,$Y1795)="","",INDEX($D$6:$D$40000,$Y1795)))</f>
        <v/>
      </c>
      <c r="AB1795">
        <f>IF($Y1795="","",INDEX($L$6:$L$40000,$Y1795)&amp;"")</f>
        <v/>
      </c>
    </row>
    <row r="1796">
      <c r="Y1796" s="47">
        <f>IFERROR(MATCH(Library!M1796,$M$6:$M$40000,0),"")</f>
        <v/>
      </c>
      <c r="Z1796">
        <f>IF($Y1796="","",INDEX($C$6:$C$40000,$Y1796)&amp;"")</f>
        <v/>
      </c>
      <c r="AA1796" s="59">
        <f>IF($Y1796="","",IF(INDEX($D$6:$D$40000,$Y1796)="","",INDEX($D$6:$D$40000,$Y1796)))</f>
        <v/>
      </c>
      <c r="AB1796">
        <f>IF($Y1796="","",INDEX($L$6:$L$40000,$Y1796)&amp;"")</f>
        <v/>
      </c>
    </row>
    <row r="1797">
      <c r="Y1797" s="47">
        <f>IFERROR(MATCH(Library!M1797,$M$6:$M$40000,0),"")</f>
        <v/>
      </c>
      <c r="Z1797">
        <f>IF($Y1797="","",INDEX($C$6:$C$40000,$Y1797)&amp;"")</f>
        <v/>
      </c>
      <c r="AA1797" s="59">
        <f>IF($Y1797="","",IF(INDEX($D$6:$D$40000,$Y1797)="","",INDEX($D$6:$D$40000,$Y1797)))</f>
        <v/>
      </c>
      <c r="AB1797">
        <f>IF($Y1797="","",INDEX($L$6:$L$40000,$Y1797)&amp;"")</f>
        <v/>
      </c>
    </row>
    <row r="1798">
      <c r="Y1798" s="47">
        <f>IFERROR(MATCH(Library!M1798,$M$6:$M$40000,0),"")</f>
        <v/>
      </c>
      <c r="Z1798">
        <f>IF($Y1798="","",INDEX($C$6:$C$40000,$Y1798)&amp;"")</f>
        <v/>
      </c>
      <c r="AA1798" s="59">
        <f>IF($Y1798="","",IF(INDEX($D$6:$D$40000,$Y1798)="","",INDEX($D$6:$D$40000,$Y1798)))</f>
        <v/>
      </c>
      <c r="AB1798">
        <f>IF($Y1798="","",INDEX($L$6:$L$40000,$Y1798)&amp;"")</f>
        <v/>
      </c>
    </row>
    <row r="1799">
      <c r="Y1799" s="47">
        <f>IFERROR(MATCH(Library!M1799,$M$6:$M$40000,0),"")</f>
        <v/>
      </c>
      <c r="Z1799">
        <f>IF($Y1799="","",INDEX($C$6:$C$40000,$Y1799)&amp;"")</f>
        <v/>
      </c>
      <c r="AA1799" s="59">
        <f>IF($Y1799="","",IF(INDEX($D$6:$D$40000,$Y1799)="","",INDEX($D$6:$D$40000,$Y1799)))</f>
        <v/>
      </c>
      <c r="AB1799">
        <f>IF($Y1799="","",INDEX($L$6:$L$40000,$Y1799)&amp;"")</f>
        <v/>
      </c>
    </row>
    <row r="1800">
      <c r="Y1800" s="47">
        <f>IFERROR(MATCH(Library!M1800,$M$6:$M$40000,0),"")</f>
        <v/>
      </c>
      <c r="Z1800">
        <f>IF($Y1800="","",INDEX($C$6:$C$40000,$Y1800)&amp;"")</f>
        <v/>
      </c>
      <c r="AA1800" s="59">
        <f>IF($Y1800="","",IF(INDEX($D$6:$D$40000,$Y1800)="","",INDEX($D$6:$D$40000,$Y1800)))</f>
        <v/>
      </c>
      <c r="AB1800">
        <f>IF($Y1800="","",INDEX($L$6:$L$40000,$Y1800)&amp;"")</f>
        <v/>
      </c>
    </row>
    <row r="1801">
      <c r="Y1801" s="47">
        <f>IFERROR(MATCH(Library!M1801,$M$6:$M$40000,0),"")</f>
        <v/>
      </c>
      <c r="Z1801">
        <f>IF($Y1801="","",INDEX($C$6:$C$40000,$Y1801)&amp;"")</f>
        <v/>
      </c>
      <c r="AA1801" s="59">
        <f>IF($Y1801="","",IF(INDEX($D$6:$D$40000,$Y1801)="","",INDEX($D$6:$D$40000,$Y1801)))</f>
        <v/>
      </c>
      <c r="AB1801">
        <f>IF($Y1801="","",INDEX($L$6:$L$40000,$Y1801)&amp;"")</f>
        <v/>
      </c>
    </row>
    <row r="1802">
      <c r="Y1802" s="47">
        <f>IFERROR(MATCH(Library!M1802,$M$6:$M$40000,0),"")</f>
        <v/>
      </c>
      <c r="Z1802">
        <f>IF($Y1802="","",INDEX($C$6:$C$40000,$Y1802)&amp;"")</f>
        <v/>
      </c>
      <c r="AA1802" s="59">
        <f>IF($Y1802="","",IF(INDEX($D$6:$D$40000,$Y1802)="","",INDEX($D$6:$D$40000,$Y1802)))</f>
        <v/>
      </c>
      <c r="AB1802">
        <f>IF($Y1802="","",INDEX($L$6:$L$40000,$Y1802)&amp;"")</f>
        <v/>
      </c>
    </row>
    <row r="1803">
      <c r="Y1803" s="47">
        <f>IFERROR(MATCH(Library!M1803,$M$6:$M$40000,0),"")</f>
        <v/>
      </c>
      <c r="Z1803">
        <f>IF($Y1803="","",INDEX($C$6:$C$40000,$Y1803)&amp;"")</f>
        <v/>
      </c>
      <c r="AA1803" s="59">
        <f>IF($Y1803="","",IF(INDEX($D$6:$D$40000,$Y1803)="","",INDEX($D$6:$D$40000,$Y1803)))</f>
        <v/>
      </c>
      <c r="AB1803">
        <f>IF($Y1803="","",INDEX($L$6:$L$40000,$Y1803)&amp;"")</f>
        <v/>
      </c>
    </row>
    <row r="1804">
      <c r="Y1804" s="47">
        <f>IFERROR(MATCH(Library!M1804,$M$6:$M$40000,0),"")</f>
        <v/>
      </c>
      <c r="Z1804">
        <f>IF($Y1804="","",INDEX($C$6:$C$40000,$Y1804)&amp;"")</f>
        <v/>
      </c>
      <c r="AA1804" s="59">
        <f>IF($Y1804="","",IF(INDEX($D$6:$D$40000,$Y1804)="","",INDEX($D$6:$D$40000,$Y1804)))</f>
        <v/>
      </c>
      <c r="AB1804">
        <f>IF($Y1804="","",INDEX($L$6:$L$40000,$Y1804)&amp;"")</f>
        <v/>
      </c>
    </row>
    <row r="1805">
      <c r="Y1805" s="47">
        <f>IFERROR(MATCH(Library!M1805,$M$6:$M$40000,0),"")</f>
        <v/>
      </c>
      <c r="Z1805">
        <f>IF($Y1805="","",INDEX($C$6:$C$40000,$Y1805)&amp;"")</f>
        <v/>
      </c>
      <c r="AA1805" s="59">
        <f>IF($Y1805="","",IF(INDEX($D$6:$D$40000,$Y1805)="","",INDEX($D$6:$D$40000,$Y1805)))</f>
        <v/>
      </c>
      <c r="AB1805">
        <f>IF($Y1805="","",INDEX($L$6:$L$40000,$Y1805)&amp;"")</f>
        <v/>
      </c>
    </row>
    <row r="1806">
      <c r="Y1806" s="47">
        <f>IFERROR(MATCH(Library!M1806,$M$6:$M$40000,0),"")</f>
        <v/>
      </c>
      <c r="Z1806">
        <f>IF($Y1806="","",INDEX($C$6:$C$40000,$Y1806)&amp;"")</f>
        <v/>
      </c>
      <c r="AA1806" s="59">
        <f>IF($Y1806="","",IF(INDEX($D$6:$D$40000,$Y1806)="","",INDEX($D$6:$D$40000,$Y1806)))</f>
        <v/>
      </c>
      <c r="AB1806">
        <f>IF($Y1806="","",INDEX($L$6:$L$40000,$Y1806)&amp;"")</f>
        <v/>
      </c>
    </row>
    <row r="1807">
      <c r="Y1807" s="47">
        <f>IFERROR(MATCH(Library!M1807,$M$6:$M$40000,0),"")</f>
        <v/>
      </c>
      <c r="Z1807">
        <f>IF($Y1807="","",INDEX($C$6:$C$40000,$Y1807)&amp;"")</f>
        <v/>
      </c>
      <c r="AA1807" s="59">
        <f>IF($Y1807="","",IF(INDEX($D$6:$D$40000,$Y1807)="","",INDEX($D$6:$D$40000,$Y1807)))</f>
        <v/>
      </c>
      <c r="AB1807">
        <f>IF($Y1807="","",INDEX($L$6:$L$40000,$Y1807)&amp;"")</f>
        <v/>
      </c>
    </row>
    <row r="1808">
      <c r="Y1808" s="47">
        <f>IFERROR(MATCH(Library!M1808,$M$6:$M$40000,0),"")</f>
        <v/>
      </c>
      <c r="Z1808">
        <f>IF($Y1808="","",INDEX($C$6:$C$40000,$Y1808)&amp;"")</f>
        <v/>
      </c>
      <c r="AA1808" s="59">
        <f>IF($Y1808="","",IF(INDEX($D$6:$D$40000,$Y1808)="","",INDEX($D$6:$D$40000,$Y1808)))</f>
        <v/>
      </c>
      <c r="AB1808">
        <f>IF($Y1808="","",INDEX($L$6:$L$40000,$Y1808)&amp;"")</f>
        <v/>
      </c>
    </row>
    <row r="1809">
      <c r="Y1809" s="47">
        <f>IFERROR(MATCH(Library!M1809,$M$6:$M$40000,0),"")</f>
        <v/>
      </c>
      <c r="Z1809">
        <f>IF($Y1809="","",INDEX($C$6:$C$40000,$Y1809)&amp;"")</f>
        <v/>
      </c>
      <c r="AA1809" s="59">
        <f>IF($Y1809="","",IF(INDEX($D$6:$D$40000,$Y1809)="","",INDEX($D$6:$D$40000,$Y1809)))</f>
        <v/>
      </c>
      <c r="AB1809">
        <f>IF($Y1809="","",INDEX($L$6:$L$40000,$Y1809)&amp;"")</f>
        <v/>
      </c>
    </row>
    <row r="1810">
      <c r="Y1810" s="47">
        <f>IFERROR(MATCH(Library!M1810,$M$6:$M$40000,0),"")</f>
        <v/>
      </c>
      <c r="Z1810">
        <f>IF($Y1810="","",INDEX($C$6:$C$40000,$Y1810)&amp;"")</f>
        <v/>
      </c>
      <c r="AA1810" s="59">
        <f>IF($Y1810="","",IF(INDEX($D$6:$D$40000,$Y1810)="","",INDEX($D$6:$D$40000,$Y1810)))</f>
        <v/>
      </c>
      <c r="AB1810">
        <f>IF($Y1810="","",INDEX($L$6:$L$40000,$Y1810)&amp;"")</f>
        <v/>
      </c>
    </row>
    <row r="1811">
      <c r="Y1811" s="47">
        <f>IFERROR(MATCH(Library!M1811,$M$6:$M$40000,0),"")</f>
        <v/>
      </c>
      <c r="Z1811">
        <f>IF($Y1811="","",INDEX($C$6:$C$40000,$Y1811)&amp;"")</f>
        <v/>
      </c>
      <c r="AA1811" s="59">
        <f>IF($Y1811="","",IF(INDEX($D$6:$D$40000,$Y1811)="","",INDEX($D$6:$D$40000,$Y1811)))</f>
        <v/>
      </c>
      <c r="AB1811">
        <f>IF($Y1811="","",INDEX($L$6:$L$40000,$Y1811)&amp;"")</f>
        <v/>
      </c>
    </row>
    <row r="1812">
      <c r="Y1812" s="47">
        <f>IFERROR(MATCH(Library!M1812,$M$6:$M$40000,0),"")</f>
        <v/>
      </c>
      <c r="Z1812">
        <f>IF($Y1812="","",INDEX($C$6:$C$40000,$Y1812)&amp;"")</f>
        <v/>
      </c>
      <c r="AA1812" s="59">
        <f>IF($Y1812="","",IF(INDEX($D$6:$D$40000,$Y1812)="","",INDEX($D$6:$D$40000,$Y1812)))</f>
        <v/>
      </c>
      <c r="AB1812">
        <f>IF($Y1812="","",INDEX($L$6:$L$40000,$Y1812)&amp;"")</f>
        <v/>
      </c>
    </row>
    <row r="1813">
      <c r="Y1813" s="47">
        <f>IFERROR(MATCH(Library!M1813,$M$6:$M$40000,0),"")</f>
        <v/>
      </c>
      <c r="Z1813">
        <f>IF($Y1813="","",INDEX($C$6:$C$40000,$Y1813)&amp;"")</f>
        <v/>
      </c>
      <c r="AA1813" s="59">
        <f>IF($Y1813="","",IF(INDEX($D$6:$D$40000,$Y1813)="","",INDEX($D$6:$D$40000,$Y1813)))</f>
        <v/>
      </c>
      <c r="AB1813">
        <f>IF($Y1813="","",INDEX($L$6:$L$40000,$Y1813)&amp;"")</f>
        <v/>
      </c>
    </row>
    <row r="1814">
      <c r="Y1814" s="47">
        <f>IFERROR(MATCH(Library!M1814,$M$6:$M$40000,0),"")</f>
        <v/>
      </c>
      <c r="Z1814">
        <f>IF($Y1814="","",INDEX($C$6:$C$40000,$Y1814)&amp;"")</f>
        <v/>
      </c>
      <c r="AA1814" s="59">
        <f>IF($Y1814="","",IF(INDEX($D$6:$D$40000,$Y1814)="","",INDEX($D$6:$D$40000,$Y1814)))</f>
        <v/>
      </c>
      <c r="AB1814">
        <f>IF($Y1814="","",INDEX($L$6:$L$40000,$Y1814)&amp;"")</f>
        <v/>
      </c>
    </row>
    <row r="1815">
      <c r="Y1815" s="47">
        <f>IFERROR(MATCH(Library!M1815,$M$6:$M$40000,0),"")</f>
        <v/>
      </c>
      <c r="Z1815">
        <f>IF($Y1815="","",INDEX($C$6:$C$40000,$Y1815)&amp;"")</f>
        <v/>
      </c>
      <c r="AA1815" s="59">
        <f>IF($Y1815="","",IF(INDEX($D$6:$D$40000,$Y1815)="","",INDEX($D$6:$D$40000,$Y1815)))</f>
        <v/>
      </c>
      <c r="AB1815">
        <f>IF($Y1815="","",INDEX($L$6:$L$40000,$Y1815)&amp;"")</f>
        <v/>
      </c>
    </row>
    <row r="1816">
      <c r="Y1816" s="47">
        <f>IFERROR(MATCH(Library!M1816,$M$6:$M$40000,0),"")</f>
        <v/>
      </c>
      <c r="Z1816">
        <f>IF($Y1816="","",INDEX($C$6:$C$40000,$Y1816)&amp;"")</f>
        <v/>
      </c>
      <c r="AA1816" s="59">
        <f>IF($Y1816="","",IF(INDEX($D$6:$D$40000,$Y1816)="","",INDEX($D$6:$D$40000,$Y1816)))</f>
        <v/>
      </c>
      <c r="AB1816">
        <f>IF($Y1816="","",INDEX($L$6:$L$40000,$Y1816)&amp;"")</f>
        <v/>
      </c>
    </row>
    <row r="1817">
      <c r="Y1817" s="47">
        <f>IFERROR(MATCH(Library!M1817,$M$6:$M$40000,0),"")</f>
        <v/>
      </c>
      <c r="Z1817">
        <f>IF($Y1817="","",INDEX($C$6:$C$40000,$Y1817)&amp;"")</f>
        <v/>
      </c>
      <c r="AA1817" s="59">
        <f>IF($Y1817="","",IF(INDEX($D$6:$D$40000,$Y1817)="","",INDEX($D$6:$D$40000,$Y1817)))</f>
        <v/>
      </c>
      <c r="AB1817">
        <f>IF($Y1817="","",INDEX($L$6:$L$40000,$Y1817)&amp;"")</f>
        <v/>
      </c>
    </row>
    <row r="1818">
      <c r="Y1818" s="47">
        <f>IFERROR(MATCH(Library!M1818,$M$6:$M$40000,0),"")</f>
        <v/>
      </c>
      <c r="Z1818">
        <f>IF($Y1818="","",INDEX($C$6:$C$40000,$Y1818)&amp;"")</f>
        <v/>
      </c>
      <c r="AA1818" s="59">
        <f>IF($Y1818="","",IF(INDEX($D$6:$D$40000,$Y1818)="","",INDEX($D$6:$D$40000,$Y1818)))</f>
        <v/>
      </c>
      <c r="AB1818">
        <f>IF($Y1818="","",INDEX($L$6:$L$40000,$Y1818)&amp;"")</f>
        <v/>
      </c>
    </row>
    <row r="1819">
      <c r="Y1819" s="47">
        <f>IFERROR(MATCH(Library!M1819,$M$6:$M$40000,0),"")</f>
        <v/>
      </c>
      <c r="Z1819">
        <f>IF($Y1819="","",INDEX($C$6:$C$40000,$Y1819)&amp;"")</f>
        <v/>
      </c>
      <c r="AA1819" s="59">
        <f>IF($Y1819="","",IF(INDEX($D$6:$D$40000,$Y1819)="","",INDEX($D$6:$D$40000,$Y1819)))</f>
        <v/>
      </c>
      <c r="AB1819">
        <f>IF($Y1819="","",INDEX($L$6:$L$40000,$Y1819)&amp;"")</f>
        <v/>
      </c>
    </row>
    <row r="1820">
      <c r="Y1820" s="47">
        <f>IFERROR(MATCH(Library!M1820,$M$6:$M$40000,0),"")</f>
        <v/>
      </c>
      <c r="Z1820">
        <f>IF($Y1820="","",INDEX($C$6:$C$40000,$Y1820)&amp;"")</f>
        <v/>
      </c>
      <c r="AA1820" s="59">
        <f>IF($Y1820="","",IF(INDEX($D$6:$D$40000,$Y1820)="","",INDEX($D$6:$D$40000,$Y1820)))</f>
        <v/>
      </c>
      <c r="AB1820">
        <f>IF($Y1820="","",INDEX($L$6:$L$40000,$Y1820)&amp;"")</f>
        <v/>
      </c>
    </row>
    <row r="1821">
      <c r="Y1821" s="47">
        <f>IFERROR(MATCH(Library!M1821,$M$6:$M$40000,0),"")</f>
        <v/>
      </c>
      <c r="Z1821">
        <f>IF($Y1821="","",INDEX($C$6:$C$40000,$Y1821)&amp;"")</f>
        <v/>
      </c>
      <c r="AA1821" s="59">
        <f>IF($Y1821="","",IF(INDEX($D$6:$D$40000,$Y1821)="","",INDEX($D$6:$D$40000,$Y1821)))</f>
        <v/>
      </c>
      <c r="AB1821">
        <f>IF($Y1821="","",INDEX($L$6:$L$40000,$Y1821)&amp;"")</f>
        <v/>
      </c>
    </row>
    <row r="1822">
      <c r="Y1822" s="47">
        <f>IFERROR(MATCH(Library!M1822,$M$6:$M$40000,0),"")</f>
        <v/>
      </c>
      <c r="Z1822">
        <f>IF($Y1822="","",INDEX($C$6:$C$40000,$Y1822)&amp;"")</f>
        <v/>
      </c>
      <c r="AA1822" s="59">
        <f>IF($Y1822="","",IF(INDEX($D$6:$D$40000,$Y1822)="","",INDEX($D$6:$D$40000,$Y1822)))</f>
        <v/>
      </c>
      <c r="AB1822">
        <f>IF($Y1822="","",INDEX($L$6:$L$40000,$Y1822)&amp;"")</f>
        <v/>
      </c>
    </row>
    <row r="1823">
      <c r="Y1823" s="47">
        <f>IFERROR(MATCH(Library!M1823,$M$6:$M$40000,0),"")</f>
        <v/>
      </c>
      <c r="Z1823">
        <f>IF($Y1823="","",INDEX($C$6:$C$40000,$Y1823)&amp;"")</f>
        <v/>
      </c>
      <c r="AA1823" s="59">
        <f>IF($Y1823="","",IF(INDEX($D$6:$D$40000,$Y1823)="","",INDEX($D$6:$D$40000,$Y1823)))</f>
        <v/>
      </c>
      <c r="AB1823">
        <f>IF($Y1823="","",INDEX($L$6:$L$40000,$Y1823)&amp;"")</f>
        <v/>
      </c>
    </row>
    <row r="1824">
      <c r="Y1824" s="47">
        <f>IFERROR(MATCH(Library!M1824,$M$6:$M$40000,0),"")</f>
        <v/>
      </c>
      <c r="Z1824">
        <f>IF($Y1824="","",INDEX($C$6:$C$40000,$Y1824)&amp;"")</f>
        <v/>
      </c>
      <c r="AA1824" s="59">
        <f>IF($Y1824="","",IF(INDEX($D$6:$D$40000,$Y1824)="","",INDEX($D$6:$D$40000,$Y1824)))</f>
        <v/>
      </c>
      <c r="AB1824">
        <f>IF($Y1824="","",INDEX($L$6:$L$40000,$Y1824)&amp;"")</f>
        <v/>
      </c>
    </row>
    <row r="1825">
      <c r="Y1825" s="47">
        <f>IFERROR(MATCH(Library!M1825,$M$6:$M$40000,0),"")</f>
        <v/>
      </c>
      <c r="Z1825">
        <f>IF($Y1825="","",INDEX($C$6:$C$40000,$Y1825)&amp;"")</f>
        <v/>
      </c>
      <c r="AA1825" s="59">
        <f>IF($Y1825="","",IF(INDEX($D$6:$D$40000,$Y1825)="","",INDEX($D$6:$D$40000,$Y1825)))</f>
        <v/>
      </c>
      <c r="AB1825">
        <f>IF($Y1825="","",INDEX($L$6:$L$40000,$Y1825)&amp;"")</f>
        <v/>
      </c>
    </row>
    <row r="1826">
      <c r="Y1826" s="47">
        <f>IFERROR(MATCH(Library!M1826,$M$6:$M$40000,0),"")</f>
        <v/>
      </c>
      <c r="Z1826">
        <f>IF($Y1826="","",INDEX($C$6:$C$40000,$Y1826)&amp;"")</f>
        <v/>
      </c>
      <c r="AA1826" s="59">
        <f>IF($Y1826="","",IF(INDEX($D$6:$D$40000,$Y1826)="","",INDEX($D$6:$D$40000,$Y1826)))</f>
        <v/>
      </c>
      <c r="AB1826">
        <f>IF($Y1826="","",INDEX($L$6:$L$40000,$Y1826)&amp;"")</f>
        <v/>
      </c>
    </row>
    <row r="1827">
      <c r="Y1827" s="47">
        <f>IFERROR(MATCH(Library!M1827,$M$6:$M$40000,0),"")</f>
        <v/>
      </c>
      <c r="Z1827">
        <f>IF($Y1827="","",INDEX($C$6:$C$40000,$Y1827)&amp;"")</f>
        <v/>
      </c>
      <c r="AA1827" s="59">
        <f>IF($Y1827="","",IF(INDEX($D$6:$D$40000,$Y1827)="","",INDEX($D$6:$D$40000,$Y1827)))</f>
        <v/>
      </c>
      <c r="AB1827">
        <f>IF($Y1827="","",INDEX($L$6:$L$40000,$Y1827)&amp;"")</f>
        <v/>
      </c>
    </row>
    <row r="1828">
      <c r="Y1828" s="47">
        <f>IFERROR(MATCH(Library!M1828,$M$6:$M$40000,0),"")</f>
        <v/>
      </c>
      <c r="Z1828">
        <f>IF($Y1828="","",INDEX($C$6:$C$40000,$Y1828)&amp;"")</f>
        <v/>
      </c>
      <c r="AA1828" s="59">
        <f>IF($Y1828="","",IF(INDEX($D$6:$D$40000,$Y1828)="","",INDEX($D$6:$D$40000,$Y1828)))</f>
        <v/>
      </c>
      <c r="AB1828">
        <f>IF($Y1828="","",INDEX($L$6:$L$40000,$Y1828)&amp;"")</f>
        <v/>
      </c>
    </row>
    <row r="1829">
      <c r="Y1829" s="47">
        <f>IFERROR(MATCH(Library!M1829,$M$6:$M$40000,0),"")</f>
        <v/>
      </c>
      <c r="Z1829">
        <f>IF($Y1829="","",INDEX($C$6:$C$40000,$Y1829)&amp;"")</f>
        <v/>
      </c>
      <c r="AA1829" s="59">
        <f>IF($Y1829="","",IF(INDEX($D$6:$D$40000,$Y1829)="","",INDEX($D$6:$D$40000,$Y1829)))</f>
        <v/>
      </c>
      <c r="AB1829">
        <f>IF($Y1829="","",INDEX($L$6:$L$40000,$Y1829)&amp;"")</f>
        <v/>
      </c>
    </row>
    <row r="1830">
      <c r="Y1830" s="47">
        <f>IFERROR(MATCH(Library!M1830,$M$6:$M$40000,0),"")</f>
        <v/>
      </c>
      <c r="Z1830">
        <f>IF($Y1830="","",INDEX($C$6:$C$40000,$Y1830)&amp;"")</f>
        <v/>
      </c>
      <c r="AA1830" s="59">
        <f>IF($Y1830="","",IF(INDEX($D$6:$D$40000,$Y1830)="","",INDEX($D$6:$D$40000,$Y1830)))</f>
        <v/>
      </c>
      <c r="AB1830">
        <f>IF($Y1830="","",INDEX($L$6:$L$40000,$Y1830)&amp;"")</f>
        <v/>
      </c>
    </row>
    <row r="1831">
      <c r="Y1831" s="47">
        <f>IFERROR(MATCH(Library!M1831,$M$6:$M$40000,0),"")</f>
        <v/>
      </c>
      <c r="Z1831">
        <f>IF($Y1831="","",INDEX($C$6:$C$40000,$Y1831)&amp;"")</f>
        <v/>
      </c>
      <c r="AA1831" s="59">
        <f>IF($Y1831="","",IF(INDEX($D$6:$D$40000,$Y1831)="","",INDEX($D$6:$D$40000,$Y1831)))</f>
        <v/>
      </c>
      <c r="AB1831">
        <f>IF($Y1831="","",INDEX($L$6:$L$40000,$Y1831)&amp;"")</f>
        <v/>
      </c>
    </row>
    <row r="1832">
      <c r="Y1832" s="47">
        <f>IFERROR(MATCH(Library!M1832,$M$6:$M$40000,0),"")</f>
        <v/>
      </c>
      <c r="Z1832">
        <f>IF($Y1832="","",INDEX($C$6:$C$40000,$Y1832)&amp;"")</f>
        <v/>
      </c>
      <c r="AA1832" s="59">
        <f>IF($Y1832="","",IF(INDEX($D$6:$D$40000,$Y1832)="","",INDEX($D$6:$D$40000,$Y1832)))</f>
        <v/>
      </c>
      <c r="AB1832">
        <f>IF($Y1832="","",INDEX($L$6:$L$40000,$Y1832)&amp;"")</f>
        <v/>
      </c>
    </row>
    <row r="1833">
      <c r="Y1833" s="47">
        <f>IFERROR(MATCH(Library!M1833,$M$6:$M$40000,0),"")</f>
        <v/>
      </c>
      <c r="Z1833">
        <f>IF($Y1833="","",INDEX($C$6:$C$40000,$Y1833)&amp;"")</f>
        <v/>
      </c>
      <c r="AA1833" s="59">
        <f>IF($Y1833="","",IF(INDEX($D$6:$D$40000,$Y1833)="","",INDEX($D$6:$D$40000,$Y1833)))</f>
        <v/>
      </c>
      <c r="AB1833">
        <f>IF($Y1833="","",INDEX($L$6:$L$40000,$Y1833)&amp;"")</f>
        <v/>
      </c>
    </row>
    <row r="1834">
      <c r="Y1834" s="47">
        <f>IFERROR(MATCH(Library!M1834,$M$6:$M$40000,0),"")</f>
        <v/>
      </c>
      <c r="Z1834">
        <f>IF($Y1834="","",INDEX($C$6:$C$40000,$Y1834)&amp;"")</f>
        <v/>
      </c>
      <c r="AA1834" s="59">
        <f>IF($Y1834="","",IF(INDEX($D$6:$D$40000,$Y1834)="","",INDEX($D$6:$D$40000,$Y1834)))</f>
        <v/>
      </c>
      <c r="AB1834">
        <f>IF($Y1834="","",INDEX($L$6:$L$40000,$Y1834)&amp;"")</f>
        <v/>
      </c>
    </row>
    <row r="1835">
      <c r="Y1835" s="47">
        <f>IFERROR(MATCH(Library!M1835,$M$6:$M$40000,0),"")</f>
        <v/>
      </c>
      <c r="Z1835">
        <f>IF($Y1835="","",INDEX($C$6:$C$40000,$Y1835)&amp;"")</f>
        <v/>
      </c>
      <c r="AA1835" s="59">
        <f>IF($Y1835="","",IF(INDEX($D$6:$D$40000,$Y1835)="","",INDEX($D$6:$D$40000,$Y1835)))</f>
        <v/>
      </c>
      <c r="AB1835">
        <f>IF($Y1835="","",INDEX($L$6:$L$40000,$Y1835)&amp;"")</f>
        <v/>
      </c>
    </row>
    <row r="1836">
      <c r="Y1836" s="47">
        <f>IFERROR(MATCH(Library!M1836,$M$6:$M$40000,0),"")</f>
        <v/>
      </c>
      <c r="Z1836">
        <f>IF($Y1836="","",INDEX($C$6:$C$40000,$Y1836)&amp;"")</f>
        <v/>
      </c>
      <c r="AA1836" s="59">
        <f>IF($Y1836="","",IF(INDEX($D$6:$D$40000,$Y1836)="","",INDEX($D$6:$D$40000,$Y1836)))</f>
        <v/>
      </c>
      <c r="AB1836">
        <f>IF($Y1836="","",INDEX($L$6:$L$40000,$Y1836)&amp;"")</f>
        <v/>
      </c>
    </row>
    <row r="1837">
      <c r="Y1837" s="47">
        <f>IFERROR(MATCH(Library!M1837,$M$6:$M$40000,0),"")</f>
        <v/>
      </c>
      <c r="Z1837">
        <f>IF($Y1837="","",INDEX($C$6:$C$40000,$Y1837)&amp;"")</f>
        <v/>
      </c>
      <c r="AA1837" s="59">
        <f>IF($Y1837="","",IF(INDEX($D$6:$D$40000,$Y1837)="","",INDEX($D$6:$D$40000,$Y1837)))</f>
        <v/>
      </c>
      <c r="AB1837">
        <f>IF($Y1837="","",INDEX($L$6:$L$40000,$Y1837)&amp;"")</f>
        <v/>
      </c>
    </row>
    <row r="1838">
      <c r="Y1838" s="47">
        <f>IFERROR(MATCH(Library!M1838,$M$6:$M$40000,0),"")</f>
        <v/>
      </c>
      <c r="Z1838">
        <f>IF($Y1838="","",INDEX($C$6:$C$40000,$Y1838)&amp;"")</f>
        <v/>
      </c>
      <c r="AA1838" s="59">
        <f>IF($Y1838="","",IF(INDEX($D$6:$D$40000,$Y1838)="","",INDEX($D$6:$D$40000,$Y1838)))</f>
        <v/>
      </c>
      <c r="AB1838">
        <f>IF($Y1838="","",INDEX($L$6:$L$40000,$Y1838)&amp;"")</f>
        <v/>
      </c>
    </row>
    <row r="1839">
      <c r="Y1839" s="47">
        <f>IFERROR(MATCH(Library!M1839,$M$6:$M$40000,0),"")</f>
        <v/>
      </c>
      <c r="Z1839">
        <f>IF($Y1839="","",INDEX($C$6:$C$40000,$Y1839)&amp;"")</f>
        <v/>
      </c>
      <c r="AA1839" s="59">
        <f>IF($Y1839="","",IF(INDEX($D$6:$D$40000,$Y1839)="","",INDEX($D$6:$D$40000,$Y1839)))</f>
        <v/>
      </c>
      <c r="AB1839">
        <f>IF($Y1839="","",INDEX($L$6:$L$40000,$Y1839)&amp;"")</f>
        <v/>
      </c>
    </row>
    <row r="1840">
      <c r="Y1840" s="47">
        <f>IFERROR(MATCH(Library!M1840,$M$6:$M$40000,0),"")</f>
        <v/>
      </c>
      <c r="Z1840">
        <f>IF($Y1840="","",INDEX($C$6:$C$40000,$Y1840)&amp;"")</f>
        <v/>
      </c>
      <c r="AA1840" s="59">
        <f>IF($Y1840="","",IF(INDEX($D$6:$D$40000,$Y1840)="","",INDEX($D$6:$D$40000,$Y1840)))</f>
        <v/>
      </c>
      <c r="AB1840">
        <f>IF($Y1840="","",INDEX($L$6:$L$40000,$Y1840)&amp;"")</f>
        <v/>
      </c>
    </row>
    <row r="1841">
      <c r="Y1841" s="47">
        <f>IFERROR(MATCH(Library!M1841,$M$6:$M$40000,0),"")</f>
        <v/>
      </c>
      <c r="Z1841">
        <f>IF($Y1841="","",INDEX($C$6:$C$40000,$Y1841)&amp;"")</f>
        <v/>
      </c>
      <c r="AA1841" s="59">
        <f>IF($Y1841="","",IF(INDEX($D$6:$D$40000,$Y1841)="","",INDEX($D$6:$D$40000,$Y1841)))</f>
        <v/>
      </c>
      <c r="AB1841">
        <f>IF($Y1841="","",INDEX($L$6:$L$40000,$Y1841)&amp;"")</f>
        <v/>
      </c>
    </row>
    <row r="1842">
      <c r="Y1842" s="47">
        <f>IFERROR(MATCH(Library!M1842,$M$6:$M$40000,0),"")</f>
        <v/>
      </c>
      <c r="Z1842">
        <f>IF($Y1842="","",INDEX($C$6:$C$40000,$Y1842)&amp;"")</f>
        <v/>
      </c>
      <c r="AA1842" s="59">
        <f>IF($Y1842="","",IF(INDEX($D$6:$D$40000,$Y1842)="","",INDEX($D$6:$D$40000,$Y1842)))</f>
        <v/>
      </c>
      <c r="AB1842">
        <f>IF($Y1842="","",INDEX($L$6:$L$40000,$Y1842)&amp;"")</f>
        <v/>
      </c>
    </row>
    <row r="1843">
      <c r="Y1843" s="47">
        <f>IFERROR(MATCH(Library!M1843,$M$6:$M$40000,0),"")</f>
        <v/>
      </c>
      <c r="Z1843">
        <f>IF($Y1843="","",INDEX($C$6:$C$40000,$Y1843)&amp;"")</f>
        <v/>
      </c>
      <c r="AA1843" s="59">
        <f>IF($Y1843="","",IF(INDEX($D$6:$D$40000,$Y1843)="","",INDEX($D$6:$D$40000,$Y1843)))</f>
        <v/>
      </c>
      <c r="AB1843">
        <f>IF($Y1843="","",INDEX($L$6:$L$40000,$Y1843)&amp;"")</f>
        <v/>
      </c>
    </row>
    <row r="1844">
      <c r="Y1844" s="47">
        <f>IFERROR(MATCH(Library!M1844,$M$6:$M$40000,0),"")</f>
        <v/>
      </c>
      <c r="Z1844">
        <f>IF($Y1844="","",INDEX($C$6:$C$40000,$Y1844)&amp;"")</f>
        <v/>
      </c>
      <c r="AA1844" s="59">
        <f>IF($Y1844="","",IF(INDEX($D$6:$D$40000,$Y1844)="","",INDEX($D$6:$D$40000,$Y1844)))</f>
        <v/>
      </c>
      <c r="AB1844">
        <f>IF($Y1844="","",INDEX($L$6:$L$40000,$Y1844)&amp;"")</f>
        <v/>
      </c>
    </row>
    <row r="1845">
      <c r="Y1845" s="47">
        <f>IFERROR(MATCH(Library!M1845,$M$6:$M$40000,0),"")</f>
        <v/>
      </c>
      <c r="Z1845">
        <f>IF($Y1845="","",INDEX($C$6:$C$40000,$Y1845)&amp;"")</f>
        <v/>
      </c>
      <c r="AA1845" s="59">
        <f>IF($Y1845="","",IF(INDEX($D$6:$D$40000,$Y1845)="","",INDEX($D$6:$D$40000,$Y1845)))</f>
        <v/>
      </c>
      <c r="AB1845">
        <f>IF($Y1845="","",INDEX($L$6:$L$40000,$Y1845)&amp;"")</f>
        <v/>
      </c>
    </row>
    <row r="1846">
      <c r="Y1846" s="47">
        <f>IFERROR(MATCH(Library!M1846,$M$6:$M$40000,0),"")</f>
        <v/>
      </c>
      <c r="Z1846">
        <f>IF($Y1846="","",INDEX($C$6:$C$40000,$Y1846)&amp;"")</f>
        <v/>
      </c>
      <c r="AA1846" s="59">
        <f>IF($Y1846="","",IF(INDEX($D$6:$D$40000,$Y1846)="","",INDEX($D$6:$D$40000,$Y1846)))</f>
        <v/>
      </c>
      <c r="AB1846">
        <f>IF($Y1846="","",INDEX($L$6:$L$40000,$Y1846)&amp;"")</f>
        <v/>
      </c>
    </row>
    <row r="1847">
      <c r="Y1847" s="47">
        <f>IFERROR(MATCH(Library!M1847,$M$6:$M$40000,0),"")</f>
        <v/>
      </c>
      <c r="Z1847">
        <f>IF($Y1847="","",INDEX($C$6:$C$40000,$Y1847)&amp;"")</f>
        <v/>
      </c>
      <c r="AA1847" s="59">
        <f>IF($Y1847="","",IF(INDEX($D$6:$D$40000,$Y1847)="","",INDEX($D$6:$D$40000,$Y1847)))</f>
        <v/>
      </c>
      <c r="AB1847">
        <f>IF($Y1847="","",INDEX($L$6:$L$40000,$Y1847)&amp;"")</f>
        <v/>
      </c>
    </row>
    <row r="1848">
      <c r="Y1848" s="47">
        <f>IFERROR(MATCH(Library!M1848,$M$6:$M$40000,0),"")</f>
        <v/>
      </c>
      <c r="Z1848">
        <f>IF($Y1848="","",INDEX($C$6:$C$40000,$Y1848)&amp;"")</f>
        <v/>
      </c>
      <c r="AA1848" s="59">
        <f>IF($Y1848="","",IF(INDEX($D$6:$D$40000,$Y1848)="","",INDEX($D$6:$D$40000,$Y1848)))</f>
        <v/>
      </c>
      <c r="AB1848">
        <f>IF($Y1848="","",INDEX($L$6:$L$40000,$Y1848)&amp;"")</f>
        <v/>
      </c>
    </row>
    <row r="1849">
      <c r="Y1849" s="47">
        <f>IFERROR(MATCH(Library!M1849,$M$6:$M$40000,0),"")</f>
        <v/>
      </c>
      <c r="Z1849">
        <f>IF($Y1849="","",INDEX($C$6:$C$40000,$Y1849)&amp;"")</f>
        <v/>
      </c>
      <c r="AA1849" s="59">
        <f>IF($Y1849="","",IF(INDEX($D$6:$D$40000,$Y1849)="","",INDEX($D$6:$D$40000,$Y1849)))</f>
        <v/>
      </c>
      <c r="AB1849">
        <f>IF($Y1849="","",INDEX($L$6:$L$40000,$Y1849)&amp;"")</f>
        <v/>
      </c>
    </row>
    <row r="1850">
      <c r="Y1850" s="47">
        <f>IFERROR(MATCH(Library!M1850,$M$6:$M$40000,0),"")</f>
        <v/>
      </c>
      <c r="Z1850">
        <f>IF($Y1850="","",INDEX($C$6:$C$40000,$Y1850)&amp;"")</f>
        <v/>
      </c>
      <c r="AA1850" s="59">
        <f>IF($Y1850="","",IF(INDEX($D$6:$D$40000,$Y1850)="","",INDEX($D$6:$D$40000,$Y1850)))</f>
        <v/>
      </c>
      <c r="AB1850">
        <f>IF($Y1850="","",INDEX($L$6:$L$40000,$Y1850)&amp;"")</f>
        <v/>
      </c>
    </row>
    <row r="1851">
      <c r="Y1851" s="47">
        <f>IFERROR(MATCH(Library!M1851,$M$6:$M$40000,0),"")</f>
        <v/>
      </c>
      <c r="Z1851">
        <f>IF($Y1851="","",INDEX($C$6:$C$40000,$Y1851)&amp;"")</f>
        <v/>
      </c>
      <c r="AA1851" s="59">
        <f>IF($Y1851="","",IF(INDEX($D$6:$D$40000,$Y1851)="","",INDEX($D$6:$D$40000,$Y1851)))</f>
        <v/>
      </c>
      <c r="AB1851">
        <f>IF($Y1851="","",INDEX($L$6:$L$40000,$Y1851)&amp;"")</f>
        <v/>
      </c>
    </row>
    <row r="1852">
      <c r="Y1852" s="47">
        <f>IFERROR(MATCH(Library!M1852,$M$6:$M$40000,0),"")</f>
        <v/>
      </c>
      <c r="Z1852">
        <f>IF($Y1852="","",INDEX($C$6:$C$40000,$Y1852)&amp;"")</f>
        <v/>
      </c>
      <c r="AA1852" s="59">
        <f>IF($Y1852="","",IF(INDEX($D$6:$D$40000,$Y1852)="","",INDEX($D$6:$D$40000,$Y1852)))</f>
        <v/>
      </c>
      <c r="AB1852">
        <f>IF($Y1852="","",INDEX($L$6:$L$40000,$Y1852)&amp;"")</f>
        <v/>
      </c>
    </row>
    <row r="1853">
      <c r="Y1853" s="47">
        <f>IFERROR(MATCH(Library!M1853,$M$6:$M$40000,0),"")</f>
        <v/>
      </c>
      <c r="Z1853">
        <f>IF($Y1853="","",INDEX($C$6:$C$40000,$Y1853)&amp;"")</f>
        <v/>
      </c>
      <c r="AA1853" s="59">
        <f>IF($Y1853="","",IF(INDEX($D$6:$D$40000,$Y1853)="","",INDEX($D$6:$D$40000,$Y1853)))</f>
        <v/>
      </c>
      <c r="AB1853">
        <f>IF($Y1853="","",INDEX($L$6:$L$40000,$Y1853)&amp;"")</f>
        <v/>
      </c>
    </row>
    <row r="1854">
      <c r="Y1854" s="47">
        <f>IFERROR(MATCH(Library!M1854,$M$6:$M$40000,0),"")</f>
        <v/>
      </c>
      <c r="Z1854">
        <f>IF($Y1854="","",INDEX($C$6:$C$40000,$Y1854)&amp;"")</f>
        <v/>
      </c>
      <c r="AA1854" s="59">
        <f>IF($Y1854="","",IF(INDEX($D$6:$D$40000,$Y1854)="","",INDEX($D$6:$D$40000,$Y1854)))</f>
        <v/>
      </c>
      <c r="AB1854">
        <f>IF($Y1854="","",INDEX($L$6:$L$40000,$Y1854)&amp;"")</f>
        <v/>
      </c>
    </row>
    <row r="1855">
      <c r="Y1855" s="47">
        <f>IFERROR(MATCH(Library!M1855,$M$6:$M$40000,0),"")</f>
        <v/>
      </c>
      <c r="Z1855">
        <f>IF($Y1855="","",INDEX($C$6:$C$40000,$Y1855)&amp;"")</f>
        <v/>
      </c>
      <c r="AA1855" s="59">
        <f>IF($Y1855="","",IF(INDEX($D$6:$D$40000,$Y1855)="","",INDEX($D$6:$D$40000,$Y1855)))</f>
        <v/>
      </c>
      <c r="AB1855">
        <f>IF($Y1855="","",INDEX($L$6:$L$40000,$Y1855)&amp;"")</f>
        <v/>
      </c>
    </row>
    <row r="1856">
      <c r="Y1856" s="47">
        <f>IFERROR(MATCH(Library!M1856,$M$6:$M$40000,0),"")</f>
        <v/>
      </c>
      <c r="Z1856">
        <f>IF($Y1856="","",INDEX($C$6:$C$40000,$Y1856)&amp;"")</f>
        <v/>
      </c>
      <c r="AA1856" s="59">
        <f>IF($Y1856="","",IF(INDEX($D$6:$D$40000,$Y1856)="","",INDEX($D$6:$D$40000,$Y1856)))</f>
        <v/>
      </c>
      <c r="AB1856">
        <f>IF($Y1856="","",INDEX($L$6:$L$40000,$Y1856)&amp;"")</f>
        <v/>
      </c>
    </row>
    <row r="1857">
      <c r="Y1857" s="47">
        <f>IFERROR(MATCH(Library!M1857,$M$6:$M$40000,0),"")</f>
        <v/>
      </c>
      <c r="Z1857">
        <f>IF($Y1857="","",INDEX($C$6:$C$40000,$Y1857)&amp;"")</f>
        <v/>
      </c>
      <c r="AA1857" s="59">
        <f>IF($Y1857="","",IF(INDEX($D$6:$D$40000,$Y1857)="","",INDEX($D$6:$D$40000,$Y1857)))</f>
        <v/>
      </c>
      <c r="AB1857">
        <f>IF($Y1857="","",INDEX($L$6:$L$40000,$Y1857)&amp;"")</f>
        <v/>
      </c>
    </row>
    <row r="1858">
      <c r="Y1858" s="47">
        <f>IFERROR(MATCH(Library!M1858,$M$6:$M$40000,0),"")</f>
        <v/>
      </c>
      <c r="Z1858">
        <f>IF($Y1858="","",INDEX($C$6:$C$40000,$Y1858)&amp;"")</f>
        <v/>
      </c>
      <c r="AA1858" s="59">
        <f>IF($Y1858="","",IF(INDEX($D$6:$D$40000,$Y1858)="","",INDEX($D$6:$D$40000,$Y1858)))</f>
        <v/>
      </c>
      <c r="AB1858">
        <f>IF($Y1858="","",INDEX($L$6:$L$40000,$Y1858)&amp;"")</f>
        <v/>
      </c>
    </row>
    <row r="1859">
      <c r="Y1859" s="47">
        <f>IFERROR(MATCH(Library!M1859,$M$6:$M$40000,0),"")</f>
        <v/>
      </c>
      <c r="Z1859">
        <f>IF($Y1859="","",INDEX($C$6:$C$40000,$Y1859)&amp;"")</f>
        <v/>
      </c>
      <c r="AA1859" s="59">
        <f>IF($Y1859="","",IF(INDEX($D$6:$D$40000,$Y1859)="","",INDEX($D$6:$D$40000,$Y1859)))</f>
        <v/>
      </c>
      <c r="AB1859">
        <f>IF($Y1859="","",INDEX($L$6:$L$40000,$Y1859)&amp;"")</f>
        <v/>
      </c>
    </row>
    <row r="1860">
      <c r="Y1860" s="47">
        <f>IFERROR(MATCH(Library!M1860,$M$6:$M$40000,0),"")</f>
        <v/>
      </c>
      <c r="Z1860">
        <f>IF($Y1860="","",INDEX($C$6:$C$40000,$Y1860)&amp;"")</f>
        <v/>
      </c>
      <c r="AA1860" s="59">
        <f>IF($Y1860="","",IF(INDEX($D$6:$D$40000,$Y1860)="","",INDEX($D$6:$D$40000,$Y1860)))</f>
        <v/>
      </c>
      <c r="AB1860">
        <f>IF($Y1860="","",INDEX($L$6:$L$40000,$Y1860)&amp;"")</f>
        <v/>
      </c>
    </row>
    <row r="1861">
      <c r="Y1861" s="47">
        <f>IFERROR(MATCH(Library!M1861,$M$6:$M$40000,0),"")</f>
        <v/>
      </c>
      <c r="Z1861">
        <f>IF($Y1861="","",INDEX($C$6:$C$40000,$Y1861)&amp;"")</f>
        <v/>
      </c>
      <c r="AA1861" s="59">
        <f>IF($Y1861="","",IF(INDEX($D$6:$D$40000,$Y1861)="","",INDEX($D$6:$D$40000,$Y1861)))</f>
        <v/>
      </c>
      <c r="AB1861">
        <f>IF($Y1861="","",INDEX($L$6:$L$40000,$Y1861)&amp;"")</f>
        <v/>
      </c>
    </row>
    <row r="1862">
      <c r="Y1862" s="47">
        <f>IFERROR(MATCH(Library!M1862,$M$6:$M$40000,0),"")</f>
        <v/>
      </c>
      <c r="Z1862">
        <f>IF($Y1862="","",INDEX($C$6:$C$40000,$Y1862)&amp;"")</f>
        <v/>
      </c>
      <c r="AA1862" s="59">
        <f>IF($Y1862="","",IF(INDEX($D$6:$D$40000,$Y1862)="","",INDEX($D$6:$D$40000,$Y1862)))</f>
        <v/>
      </c>
      <c r="AB1862">
        <f>IF($Y1862="","",INDEX($L$6:$L$40000,$Y1862)&amp;"")</f>
        <v/>
      </c>
    </row>
    <row r="1863">
      <c r="Y1863" s="47">
        <f>IFERROR(MATCH(Library!M1863,$M$6:$M$40000,0),"")</f>
        <v/>
      </c>
      <c r="Z1863">
        <f>IF($Y1863="","",INDEX($C$6:$C$40000,$Y1863)&amp;"")</f>
        <v/>
      </c>
      <c r="AA1863" s="59">
        <f>IF($Y1863="","",IF(INDEX($D$6:$D$40000,$Y1863)="","",INDEX($D$6:$D$40000,$Y1863)))</f>
        <v/>
      </c>
      <c r="AB1863">
        <f>IF($Y1863="","",INDEX($L$6:$L$40000,$Y1863)&amp;"")</f>
        <v/>
      </c>
    </row>
    <row r="1864">
      <c r="Y1864" s="47">
        <f>IFERROR(MATCH(Library!M1864,$M$6:$M$40000,0),"")</f>
        <v/>
      </c>
      <c r="Z1864">
        <f>IF($Y1864="","",INDEX($C$6:$C$40000,$Y1864)&amp;"")</f>
        <v/>
      </c>
      <c r="AA1864" s="59">
        <f>IF($Y1864="","",IF(INDEX($D$6:$D$40000,$Y1864)="","",INDEX($D$6:$D$40000,$Y1864)))</f>
        <v/>
      </c>
      <c r="AB1864">
        <f>IF($Y1864="","",INDEX($L$6:$L$40000,$Y1864)&amp;"")</f>
        <v/>
      </c>
    </row>
    <row r="1865">
      <c r="Y1865" s="47">
        <f>IFERROR(MATCH(Library!M1865,$M$6:$M$40000,0),"")</f>
        <v/>
      </c>
      <c r="Z1865">
        <f>IF($Y1865="","",INDEX($C$6:$C$40000,$Y1865)&amp;"")</f>
        <v/>
      </c>
      <c r="AA1865" s="59">
        <f>IF($Y1865="","",IF(INDEX($D$6:$D$40000,$Y1865)="","",INDEX($D$6:$D$40000,$Y1865)))</f>
        <v/>
      </c>
      <c r="AB1865">
        <f>IF($Y1865="","",INDEX($L$6:$L$40000,$Y1865)&amp;"")</f>
        <v/>
      </c>
    </row>
    <row r="1866">
      <c r="Y1866" s="47">
        <f>IFERROR(MATCH(Library!M1866,$M$6:$M$40000,0),"")</f>
        <v/>
      </c>
      <c r="Z1866">
        <f>IF($Y1866="","",INDEX($C$6:$C$40000,$Y1866)&amp;"")</f>
        <v/>
      </c>
      <c r="AA1866" s="59">
        <f>IF($Y1866="","",IF(INDEX($D$6:$D$40000,$Y1866)="","",INDEX($D$6:$D$40000,$Y1866)))</f>
        <v/>
      </c>
      <c r="AB1866">
        <f>IF($Y1866="","",INDEX($L$6:$L$40000,$Y1866)&amp;"")</f>
        <v/>
      </c>
    </row>
    <row r="1867">
      <c r="Y1867" s="47">
        <f>IFERROR(MATCH(Library!M1867,$M$6:$M$40000,0),"")</f>
        <v/>
      </c>
      <c r="Z1867">
        <f>IF($Y1867="","",INDEX($C$6:$C$40000,$Y1867)&amp;"")</f>
        <v/>
      </c>
      <c r="AA1867" s="59">
        <f>IF($Y1867="","",IF(INDEX($D$6:$D$40000,$Y1867)="","",INDEX($D$6:$D$40000,$Y1867)))</f>
        <v/>
      </c>
      <c r="AB1867">
        <f>IF($Y1867="","",INDEX($L$6:$L$40000,$Y1867)&amp;"")</f>
        <v/>
      </c>
    </row>
    <row r="1868">
      <c r="Y1868" s="47">
        <f>IFERROR(MATCH(Library!M1868,$M$6:$M$40000,0),"")</f>
        <v/>
      </c>
      <c r="Z1868">
        <f>IF($Y1868="","",INDEX($C$6:$C$40000,$Y1868)&amp;"")</f>
        <v/>
      </c>
      <c r="AA1868" s="59">
        <f>IF($Y1868="","",IF(INDEX($D$6:$D$40000,$Y1868)="","",INDEX($D$6:$D$40000,$Y1868)))</f>
        <v/>
      </c>
      <c r="AB1868">
        <f>IF($Y1868="","",INDEX($L$6:$L$40000,$Y1868)&amp;"")</f>
        <v/>
      </c>
    </row>
    <row r="1869">
      <c r="Y1869" s="47">
        <f>IFERROR(MATCH(Library!M1869,$M$6:$M$40000,0),"")</f>
        <v/>
      </c>
      <c r="Z1869">
        <f>IF($Y1869="","",INDEX($C$6:$C$40000,$Y1869)&amp;"")</f>
        <v/>
      </c>
      <c r="AA1869" s="59">
        <f>IF($Y1869="","",IF(INDEX($D$6:$D$40000,$Y1869)="","",INDEX($D$6:$D$40000,$Y1869)))</f>
        <v/>
      </c>
      <c r="AB1869">
        <f>IF($Y1869="","",INDEX($L$6:$L$40000,$Y1869)&amp;"")</f>
        <v/>
      </c>
    </row>
    <row r="1870">
      <c r="Y1870" s="47">
        <f>IFERROR(MATCH(Library!M1870,$M$6:$M$40000,0),"")</f>
        <v/>
      </c>
      <c r="Z1870">
        <f>IF($Y1870="","",INDEX($C$6:$C$40000,$Y1870)&amp;"")</f>
        <v/>
      </c>
      <c r="AA1870" s="59">
        <f>IF($Y1870="","",IF(INDEX($D$6:$D$40000,$Y1870)="","",INDEX($D$6:$D$40000,$Y1870)))</f>
        <v/>
      </c>
      <c r="AB1870">
        <f>IF($Y1870="","",INDEX($L$6:$L$40000,$Y1870)&amp;"")</f>
        <v/>
      </c>
    </row>
    <row r="1871">
      <c r="Y1871" s="47">
        <f>IFERROR(MATCH(Library!M1871,$M$6:$M$40000,0),"")</f>
        <v/>
      </c>
      <c r="Z1871">
        <f>IF($Y1871="","",INDEX($C$6:$C$40000,$Y1871)&amp;"")</f>
        <v/>
      </c>
      <c r="AA1871" s="59">
        <f>IF($Y1871="","",IF(INDEX($D$6:$D$40000,$Y1871)="","",INDEX($D$6:$D$40000,$Y1871)))</f>
        <v/>
      </c>
      <c r="AB1871">
        <f>IF($Y1871="","",INDEX($L$6:$L$40000,$Y1871)&amp;"")</f>
        <v/>
      </c>
    </row>
    <row r="1872">
      <c r="Y1872" s="47">
        <f>IFERROR(MATCH(Library!M1872,$M$6:$M$40000,0),"")</f>
        <v/>
      </c>
      <c r="Z1872">
        <f>IF($Y1872="","",INDEX($C$6:$C$40000,$Y1872)&amp;"")</f>
        <v/>
      </c>
      <c r="AA1872" s="59">
        <f>IF($Y1872="","",IF(INDEX($D$6:$D$40000,$Y1872)="","",INDEX($D$6:$D$40000,$Y1872)))</f>
        <v/>
      </c>
      <c r="AB1872">
        <f>IF($Y1872="","",INDEX($L$6:$L$40000,$Y1872)&amp;"")</f>
        <v/>
      </c>
    </row>
    <row r="1873">
      <c r="Y1873" s="47">
        <f>IFERROR(MATCH(Library!M1873,$M$6:$M$40000,0),"")</f>
        <v/>
      </c>
      <c r="Z1873">
        <f>IF($Y1873="","",INDEX($C$6:$C$40000,$Y1873)&amp;"")</f>
        <v/>
      </c>
      <c r="AA1873" s="59">
        <f>IF($Y1873="","",IF(INDEX($D$6:$D$40000,$Y1873)="","",INDEX($D$6:$D$40000,$Y1873)))</f>
        <v/>
      </c>
      <c r="AB1873">
        <f>IF($Y1873="","",INDEX($L$6:$L$40000,$Y1873)&amp;"")</f>
        <v/>
      </c>
    </row>
    <row r="1874">
      <c r="Y1874" s="47">
        <f>IFERROR(MATCH(Library!M1874,$M$6:$M$40000,0),"")</f>
        <v/>
      </c>
      <c r="Z1874">
        <f>IF($Y1874="","",INDEX($C$6:$C$40000,$Y1874)&amp;"")</f>
        <v/>
      </c>
      <c r="AA1874" s="59">
        <f>IF($Y1874="","",IF(INDEX($D$6:$D$40000,$Y1874)="","",INDEX($D$6:$D$40000,$Y1874)))</f>
        <v/>
      </c>
      <c r="AB1874">
        <f>IF($Y1874="","",INDEX($L$6:$L$40000,$Y1874)&amp;"")</f>
        <v/>
      </c>
    </row>
    <row r="1875">
      <c r="Y1875" s="47">
        <f>IFERROR(MATCH(Library!M1875,$M$6:$M$40000,0),"")</f>
        <v/>
      </c>
      <c r="Z1875">
        <f>IF($Y1875="","",INDEX($C$6:$C$40000,$Y1875)&amp;"")</f>
        <v/>
      </c>
      <c r="AA1875" s="59">
        <f>IF($Y1875="","",IF(INDEX($D$6:$D$40000,$Y1875)="","",INDEX($D$6:$D$40000,$Y1875)))</f>
        <v/>
      </c>
      <c r="AB1875">
        <f>IF($Y1875="","",INDEX($L$6:$L$40000,$Y1875)&amp;"")</f>
        <v/>
      </c>
    </row>
    <row r="1876">
      <c r="Y1876" s="47">
        <f>IFERROR(MATCH(Library!M1876,$M$6:$M$40000,0),"")</f>
        <v/>
      </c>
      <c r="Z1876">
        <f>IF($Y1876="","",INDEX($C$6:$C$40000,$Y1876)&amp;"")</f>
        <v/>
      </c>
      <c r="AA1876" s="59">
        <f>IF($Y1876="","",IF(INDEX($D$6:$D$40000,$Y1876)="","",INDEX($D$6:$D$40000,$Y1876)))</f>
        <v/>
      </c>
      <c r="AB1876">
        <f>IF($Y1876="","",INDEX($L$6:$L$40000,$Y1876)&amp;"")</f>
        <v/>
      </c>
    </row>
    <row r="1877">
      <c r="Y1877" s="47">
        <f>IFERROR(MATCH(Library!M1877,$M$6:$M$40000,0),"")</f>
        <v/>
      </c>
      <c r="Z1877">
        <f>IF($Y1877="","",INDEX($C$6:$C$40000,$Y1877)&amp;"")</f>
        <v/>
      </c>
      <c r="AA1877" s="59">
        <f>IF($Y1877="","",IF(INDEX($D$6:$D$40000,$Y1877)="","",INDEX($D$6:$D$40000,$Y1877)))</f>
        <v/>
      </c>
      <c r="AB1877">
        <f>IF($Y1877="","",INDEX($L$6:$L$40000,$Y1877)&amp;"")</f>
        <v/>
      </c>
    </row>
    <row r="1878">
      <c r="Y1878" s="47">
        <f>IFERROR(MATCH(Library!M1878,$M$6:$M$40000,0),"")</f>
        <v/>
      </c>
      <c r="Z1878">
        <f>IF($Y1878="","",INDEX($C$6:$C$40000,$Y1878)&amp;"")</f>
        <v/>
      </c>
      <c r="AA1878" s="59">
        <f>IF($Y1878="","",IF(INDEX($D$6:$D$40000,$Y1878)="","",INDEX($D$6:$D$40000,$Y1878)))</f>
        <v/>
      </c>
      <c r="AB1878">
        <f>IF($Y1878="","",INDEX($L$6:$L$40000,$Y1878)&amp;"")</f>
        <v/>
      </c>
    </row>
    <row r="1879">
      <c r="Y1879" s="47">
        <f>IFERROR(MATCH(Library!M1879,$M$6:$M$40000,0),"")</f>
        <v/>
      </c>
      <c r="Z1879">
        <f>IF($Y1879="","",INDEX($C$6:$C$40000,$Y1879)&amp;"")</f>
        <v/>
      </c>
      <c r="AA1879" s="59">
        <f>IF($Y1879="","",IF(INDEX($D$6:$D$40000,$Y1879)="","",INDEX($D$6:$D$40000,$Y1879)))</f>
        <v/>
      </c>
      <c r="AB1879">
        <f>IF($Y1879="","",INDEX($L$6:$L$40000,$Y1879)&amp;"")</f>
        <v/>
      </c>
    </row>
    <row r="1880">
      <c r="Y1880" s="47">
        <f>IFERROR(MATCH(Library!M1880,$M$6:$M$40000,0),"")</f>
        <v/>
      </c>
      <c r="Z1880">
        <f>IF($Y1880="","",INDEX($C$6:$C$40000,$Y1880)&amp;"")</f>
        <v/>
      </c>
      <c r="AA1880" s="59">
        <f>IF($Y1880="","",IF(INDEX($D$6:$D$40000,$Y1880)="","",INDEX($D$6:$D$40000,$Y1880)))</f>
        <v/>
      </c>
      <c r="AB1880">
        <f>IF($Y1880="","",INDEX($L$6:$L$40000,$Y1880)&amp;"")</f>
        <v/>
      </c>
    </row>
    <row r="1881">
      <c r="Y1881" s="47">
        <f>IFERROR(MATCH(Library!M1881,$M$6:$M$40000,0),"")</f>
        <v/>
      </c>
      <c r="Z1881">
        <f>IF($Y1881="","",INDEX($C$6:$C$40000,$Y1881)&amp;"")</f>
        <v/>
      </c>
      <c r="AA1881" s="59">
        <f>IF($Y1881="","",IF(INDEX($D$6:$D$40000,$Y1881)="","",INDEX($D$6:$D$40000,$Y1881)))</f>
        <v/>
      </c>
      <c r="AB1881">
        <f>IF($Y1881="","",INDEX($L$6:$L$40000,$Y1881)&amp;"")</f>
        <v/>
      </c>
    </row>
    <row r="1882">
      <c r="Y1882" s="47">
        <f>IFERROR(MATCH(Library!M1882,$M$6:$M$40000,0),"")</f>
        <v/>
      </c>
      <c r="Z1882">
        <f>IF($Y1882="","",INDEX($C$6:$C$40000,$Y1882)&amp;"")</f>
        <v/>
      </c>
      <c r="AA1882" s="59">
        <f>IF($Y1882="","",IF(INDEX($D$6:$D$40000,$Y1882)="","",INDEX($D$6:$D$40000,$Y1882)))</f>
        <v/>
      </c>
      <c r="AB1882">
        <f>IF($Y1882="","",INDEX($L$6:$L$40000,$Y1882)&amp;"")</f>
        <v/>
      </c>
    </row>
    <row r="1883">
      <c r="Y1883" s="47">
        <f>IFERROR(MATCH(Library!M1883,$M$6:$M$40000,0),"")</f>
        <v/>
      </c>
      <c r="Z1883">
        <f>IF($Y1883="","",INDEX($C$6:$C$40000,$Y1883)&amp;"")</f>
        <v/>
      </c>
      <c r="AA1883" s="59">
        <f>IF($Y1883="","",IF(INDEX($D$6:$D$40000,$Y1883)="","",INDEX($D$6:$D$40000,$Y1883)))</f>
        <v/>
      </c>
      <c r="AB1883">
        <f>IF($Y1883="","",INDEX($L$6:$L$40000,$Y1883)&amp;"")</f>
        <v/>
      </c>
    </row>
    <row r="1884">
      <c r="Y1884" s="47">
        <f>IFERROR(MATCH(Library!M1884,$M$6:$M$40000,0),"")</f>
        <v/>
      </c>
      <c r="Z1884">
        <f>IF($Y1884="","",INDEX($C$6:$C$40000,$Y1884)&amp;"")</f>
        <v/>
      </c>
      <c r="AA1884" s="59">
        <f>IF($Y1884="","",IF(INDEX($D$6:$D$40000,$Y1884)="","",INDEX($D$6:$D$40000,$Y1884)))</f>
        <v/>
      </c>
      <c r="AB1884">
        <f>IF($Y1884="","",INDEX($L$6:$L$40000,$Y1884)&amp;"")</f>
        <v/>
      </c>
    </row>
    <row r="1885">
      <c r="Y1885" s="47">
        <f>IFERROR(MATCH(Library!M1885,$M$6:$M$40000,0),"")</f>
        <v/>
      </c>
      <c r="Z1885">
        <f>IF($Y1885="","",INDEX($C$6:$C$40000,$Y1885)&amp;"")</f>
        <v/>
      </c>
      <c r="AA1885" s="59">
        <f>IF($Y1885="","",IF(INDEX($D$6:$D$40000,$Y1885)="","",INDEX($D$6:$D$40000,$Y1885)))</f>
        <v/>
      </c>
      <c r="AB1885">
        <f>IF($Y1885="","",INDEX($L$6:$L$40000,$Y1885)&amp;"")</f>
        <v/>
      </c>
    </row>
    <row r="1886">
      <c r="Y1886" s="47">
        <f>IFERROR(MATCH(Library!M1886,$M$6:$M$40000,0),"")</f>
        <v/>
      </c>
      <c r="Z1886">
        <f>IF($Y1886="","",INDEX($C$6:$C$40000,$Y1886)&amp;"")</f>
        <v/>
      </c>
      <c r="AA1886" s="59">
        <f>IF($Y1886="","",IF(INDEX($D$6:$D$40000,$Y1886)="","",INDEX($D$6:$D$40000,$Y1886)))</f>
        <v/>
      </c>
      <c r="AB1886">
        <f>IF($Y1886="","",INDEX($L$6:$L$40000,$Y1886)&amp;"")</f>
        <v/>
      </c>
    </row>
    <row r="1887">
      <c r="Y1887" s="47">
        <f>IFERROR(MATCH(Library!M1887,$M$6:$M$40000,0),"")</f>
        <v/>
      </c>
      <c r="Z1887">
        <f>IF($Y1887="","",INDEX($C$6:$C$40000,$Y1887)&amp;"")</f>
        <v/>
      </c>
      <c r="AA1887" s="59">
        <f>IF($Y1887="","",IF(INDEX($D$6:$D$40000,$Y1887)="","",INDEX($D$6:$D$40000,$Y1887)))</f>
        <v/>
      </c>
      <c r="AB1887">
        <f>IF($Y1887="","",INDEX($L$6:$L$40000,$Y1887)&amp;"")</f>
        <v/>
      </c>
    </row>
    <row r="1888">
      <c r="Y1888" s="47">
        <f>IFERROR(MATCH(Library!M1888,$M$6:$M$40000,0),"")</f>
        <v/>
      </c>
      <c r="Z1888">
        <f>IF($Y1888="","",INDEX($C$6:$C$40000,$Y1888)&amp;"")</f>
        <v/>
      </c>
      <c r="AA1888" s="59">
        <f>IF($Y1888="","",IF(INDEX($D$6:$D$40000,$Y1888)="","",INDEX($D$6:$D$40000,$Y1888)))</f>
        <v/>
      </c>
      <c r="AB1888">
        <f>IF($Y1888="","",INDEX($L$6:$L$40000,$Y1888)&amp;"")</f>
        <v/>
      </c>
    </row>
    <row r="1889">
      <c r="Y1889" s="47">
        <f>IFERROR(MATCH(Library!M1889,$M$6:$M$40000,0),"")</f>
        <v/>
      </c>
      <c r="Z1889">
        <f>IF($Y1889="","",INDEX($C$6:$C$40000,$Y1889)&amp;"")</f>
        <v/>
      </c>
      <c r="AA1889" s="59">
        <f>IF($Y1889="","",IF(INDEX($D$6:$D$40000,$Y1889)="","",INDEX($D$6:$D$40000,$Y1889)))</f>
        <v/>
      </c>
      <c r="AB1889">
        <f>IF($Y1889="","",INDEX($L$6:$L$40000,$Y1889)&amp;"")</f>
        <v/>
      </c>
    </row>
    <row r="1890">
      <c r="Y1890" s="47">
        <f>IFERROR(MATCH(Library!M1890,$M$6:$M$40000,0),"")</f>
        <v/>
      </c>
      <c r="Z1890">
        <f>IF($Y1890="","",INDEX($C$6:$C$40000,$Y1890)&amp;"")</f>
        <v/>
      </c>
      <c r="AA1890" s="59">
        <f>IF($Y1890="","",IF(INDEX($D$6:$D$40000,$Y1890)="","",INDEX($D$6:$D$40000,$Y1890)))</f>
        <v/>
      </c>
      <c r="AB1890">
        <f>IF($Y1890="","",INDEX($L$6:$L$40000,$Y1890)&amp;"")</f>
        <v/>
      </c>
    </row>
    <row r="1891">
      <c r="Y1891" s="47">
        <f>IFERROR(MATCH(Library!M1891,$M$6:$M$40000,0),"")</f>
        <v/>
      </c>
      <c r="Z1891">
        <f>IF($Y1891="","",INDEX($C$6:$C$40000,$Y1891)&amp;"")</f>
        <v/>
      </c>
      <c r="AA1891" s="59">
        <f>IF($Y1891="","",IF(INDEX($D$6:$D$40000,$Y1891)="","",INDEX($D$6:$D$40000,$Y1891)))</f>
        <v/>
      </c>
      <c r="AB1891">
        <f>IF($Y1891="","",INDEX($L$6:$L$40000,$Y1891)&amp;"")</f>
        <v/>
      </c>
    </row>
    <row r="1892">
      <c r="Y1892" s="47">
        <f>IFERROR(MATCH(Library!M1892,$M$6:$M$40000,0),"")</f>
        <v/>
      </c>
      <c r="Z1892">
        <f>IF($Y1892="","",INDEX($C$6:$C$40000,$Y1892)&amp;"")</f>
        <v/>
      </c>
      <c r="AA1892" s="59">
        <f>IF($Y1892="","",IF(INDEX($D$6:$D$40000,$Y1892)="","",INDEX($D$6:$D$40000,$Y1892)))</f>
        <v/>
      </c>
      <c r="AB1892">
        <f>IF($Y1892="","",INDEX($L$6:$L$40000,$Y1892)&amp;"")</f>
        <v/>
      </c>
    </row>
    <row r="1893">
      <c r="Y1893" s="47">
        <f>IFERROR(MATCH(Library!M1893,$M$6:$M$40000,0),"")</f>
        <v/>
      </c>
      <c r="Z1893">
        <f>IF($Y1893="","",INDEX($C$6:$C$40000,$Y1893)&amp;"")</f>
        <v/>
      </c>
      <c r="AA1893" s="59">
        <f>IF($Y1893="","",IF(INDEX($D$6:$D$40000,$Y1893)="","",INDEX($D$6:$D$40000,$Y1893)))</f>
        <v/>
      </c>
      <c r="AB1893">
        <f>IF($Y1893="","",INDEX($L$6:$L$40000,$Y1893)&amp;"")</f>
        <v/>
      </c>
    </row>
    <row r="1894">
      <c r="Y1894" s="47">
        <f>IFERROR(MATCH(Library!M1894,$M$6:$M$40000,0),"")</f>
        <v/>
      </c>
      <c r="Z1894">
        <f>IF($Y1894="","",INDEX($C$6:$C$40000,$Y1894)&amp;"")</f>
        <v/>
      </c>
      <c r="AA1894" s="59">
        <f>IF($Y1894="","",IF(INDEX($D$6:$D$40000,$Y1894)="","",INDEX($D$6:$D$40000,$Y1894)))</f>
        <v/>
      </c>
      <c r="AB1894">
        <f>IF($Y1894="","",INDEX($L$6:$L$40000,$Y1894)&amp;"")</f>
        <v/>
      </c>
    </row>
    <row r="1895">
      <c r="Y1895" s="47">
        <f>IFERROR(MATCH(Library!M1895,$M$6:$M$40000,0),"")</f>
        <v/>
      </c>
      <c r="Z1895">
        <f>IF($Y1895="","",INDEX($C$6:$C$40000,$Y1895)&amp;"")</f>
        <v/>
      </c>
      <c r="AA1895" s="59">
        <f>IF($Y1895="","",IF(INDEX($D$6:$D$40000,$Y1895)="","",INDEX($D$6:$D$40000,$Y1895)))</f>
        <v/>
      </c>
      <c r="AB1895">
        <f>IF($Y1895="","",INDEX($L$6:$L$40000,$Y1895)&amp;"")</f>
        <v/>
      </c>
    </row>
    <row r="1896">
      <c r="Y1896" s="47">
        <f>IFERROR(MATCH(Library!M1896,$M$6:$M$40000,0),"")</f>
        <v/>
      </c>
      <c r="Z1896">
        <f>IF($Y1896="","",INDEX($C$6:$C$40000,$Y1896)&amp;"")</f>
        <v/>
      </c>
      <c r="AA1896" s="59">
        <f>IF($Y1896="","",IF(INDEX($D$6:$D$40000,$Y1896)="","",INDEX($D$6:$D$40000,$Y1896)))</f>
        <v/>
      </c>
      <c r="AB1896">
        <f>IF($Y1896="","",INDEX($L$6:$L$40000,$Y1896)&amp;"")</f>
        <v/>
      </c>
    </row>
    <row r="1897">
      <c r="Y1897" s="47">
        <f>IFERROR(MATCH(Library!M1897,$M$6:$M$40000,0),"")</f>
        <v/>
      </c>
      <c r="Z1897">
        <f>IF($Y1897="","",INDEX($C$6:$C$40000,$Y1897)&amp;"")</f>
        <v/>
      </c>
      <c r="AA1897" s="59">
        <f>IF($Y1897="","",IF(INDEX($D$6:$D$40000,$Y1897)="","",INDEX($D$6:$D$40000,$Y1897)))</f>
        <v/>
      </c>
      <c r="AB1897">
        <f>IF($Y1897="","",INDEX($L$6:$L$40000,$Y1897)&amp;"")</f>
        <v/>
      </c>
    </row>
    <row r="1898">
      <c r="Y1898" s="47">
        <f>IFERROR(MATCH(Library!M1898,$M$6:$M$40000,0),"")</f>
        <v/>
      </c>
      <c r="Z1898">
        <f>IF($Y1898="","",INDEX($C$6:$C$40000,$Y1898)&amp;"")</f>
        <v/>
      </c>
      <c r="AA1898" s="59">
        <f>IF($Y1898="","",IF(INDEX($D$6:$D$40000,$Y1898)="","",INDEX($D$6:$D$40000,$Y1898)))</f>
        <v/>
      </c>
      <c r="AB1898">
        <f>IF($Y1898="","",INDEX($L$6:$L$40000,$Y1898)&amp;"")</f>
        <v/>
      </c>
    </row>
    <row r="1899">
      <c r="Y1899" s="47">
        <f>IFERROR(MATCH(Library!M1899,$M$6:$M$40000,0),"")</f>
        <v/>
      </c>
      <c r="Z1899">
        <f>IF($Y1899="","",INDEX($C$6:$C$40000,$Y1899)&amp;"")</f>
        <v/>
      </c>
      <c r="AA1899" s="59">
        <f>IF($Y1899="","",IF(INDEX($D$6:$D$40000,$Y1899)="","",INDEX($D$6:$D$40000,$Y1899)))</f>
        <v/>
      </c>
      <c r="AB1899">
        <f>IF($Y1899="","",INDEX($L$6:$L$40000,$Y1899)&amp;"")</f>
        <v/>
      </c>
    </row>
    <row r="1900">
      <c r="Y1900" s="47">
        <f>IFERROR(MATCH(Library!M1900,$M$6:$M$40000,0),"")</f>
        <v/>
      </c>
      <c r="Z1900">
        <f>IF($Y1900="","",INDEX($C$6:$C$40000,$Y1900)&amp;"")</f>
        <v/>
      </c>
      <c r="AA1900" s="59">
        <f>IF($Y1900="","",IF(INDEX($D$6:$D$40000,$Y1900)="","",INDEX($D$6:$D$40000,$Y1900)))</f>
        <v/>
      </c>
      <c r="AB1900">
        <f>IF($Y1900="","",INDEX($L$6:$L$40000,$Y1900)&amp;"")</f>
        <v/>
      </c>
    </row>
    <row r="1901">
      <c r="Y1901" s="47">
        <f>IFERROR(MATCH(Library!M1901,$M$6:$M$40000,0),"")</f>
        <v/>
      </c>
      <c r="Z1901">
        <f>IF($Y1901="","",INDEX($C$6:$C$40000,$Y1901)&amp;"")</f>
        <v/>
      </c>
      <c r="AA1901" s="59">
        <f>IF($Y1901="","",IF(INDEX($D$6:$D$40000,$Y1901)="","",INDEX($D$6:$D$40000,$Y1901)))</f>
        <v/>
      </c>
      <c r="AB1901">
        <f>IF($Y1901="","",INDEX($L$6:$L$40000,$Y1901)&amp;"")</f>
        <v/>
      </c>
    </row>
    <row r="1902">
      <c r="Y1902" s="47">
        <f>IFERROR(MATCH(Library!M1902,$M$6:$M$40000,0),"")</f>
        <v/>
      </c>
      <c r="Z1902">
        <f>IF($Y1902="","",INDEX($C$6:$C$40000,$Y1902)&amp;"")</f>
        <v/>
      </c>
      <c r="AA1902" s="59">
        <f>IF($Y1902="","",IF(INDEX($D$6:$D$40000,$Y1902)="","",INDEX($D$6:$D$40000,$Y1902)))</f>
        <v/>
      </c>
      <c r="AB1902">
        <f>IF($Y1902="","",INDEX($L$6:$L$40000,$Y1902)&amp;"")</f>
        <v/>
      </c>
    </row>
    <row r="1903">
      <c r="Y1903" s="47">
        <f>IFERROR(MATCH(Library!M1903,$M$6:$M$40000,0),"")</f>
        <v/>
      </c>
      <c r="Z1903">
        <f>IF($Y1903="","",INDEX($C$6:$C$40000,$Y1903)&amp;"")</f>
        <v/>
      </c>
      <c r="AA1903" s="59">
        <f>IF($Y1903="","",IF(INDEX($D$6:$D$40000,$Y1903)="","",INDEX($D$6:$D$40000,$Y1903)))</f>
        <v/>
      </c>
      <c r="AB1903">
        <f>IF($Y1903="","",INDEX($L$6:$L$40000,$Y1903)&amp;"")</f>
        <v/>
      </c>
    </row>
    <row r="1904">
      <c r="Y1904" s="47">
        <f>IFERROR(MATCH(Library!M1904,$M$6:$M$40000,0),"")</f>
        <v/>
      </c>
      <c r="Z1904">
        <f>IF($Y1904="","",INDEX($C$6:$C$40000,$Y1904)&amp;"")</f>
        <v/>
      </c>
      <c r="AA1904" s="59">
        <f>IF($Y1904="","",IF(INDEX($D$6:$D$40000,$Y1904)="","",INDEX($D$6:$D$40000,$Y1904)))</f>
        <v/>
      </c>
      <c r="AB1904">
        <f>IF($Y1904="","",INDEX($L$6:$L$40000,$Y1904)&amp;"")</f>
        <v/>
      </c>
    </row>
    <row r="1905">
      <c r="Y1905" s="47">
        <f>IFERROR(MATCH(Library!M1905,$M$6:$M$40000,0),"")</f>
        <v/>
      </c>
      <c r="Z1905">
        <f>IF($Y1905="","",INDEX($C$6:$C$40000,$Y1905)&amp;"")</f>
        <v/>
      </c>
      <c r="AA1905" s="59">
        <f>IF($Y1905="","",IF(INDEX($D$6:$D$40000,$Y1905)="","",INDEX($D$6:$D$40000,$Y1905)))</f>
        <v/>
      </c>
      <c r="AB1905">
        <f>IF($Y1905="","",INDEX($L$6:$L$40000,$Y1905)&amp;"")</f>
        <v/>
      </c>
    </row>
    <row r="1906">
      <c r="Y1906" s="47">
        <f>IFERROR(MATCH(Library!M1906,$M$6:$M$40000,0),"")</f>
        <v/>
      </c>
      <c r="Z1906">
        <f>IF($Y1906="","",INDEX($C$6:$C$40000,$Y1906)&amp;"")</f>
        <v/>
      </c>
      <c r="AA1906" s="59">
        <f>IF($Y1906="","",IF(INDEX($D$6:$D$40000,$Y1906)="","",INDEX($D$6:$D$40000,$Y1906)))</f>
        <v/>
      </c>
      <c r="AB1906">
        <f>IF($Y1906="","",INDEX($L$6:$L$40000,$Y1906)&amp;"")</f>
        <v/>
      </c>
    </row>
    <row r="1907">
      <c r="Y1907" s="47">
        <f>IFERROR(MATCH(Library!M1907,$M$6:$M$40000,0),"")</f>
        <v/>
      </c>
      <c r="Z1907">
        <f>IF($Y1907="","",INDEX($C$6:$C$40000,$Y1907)&amp;"")</f>
        <v/>
      </c>
      <c r="AA1907" s="59">
        <f>IF($Y1907="","",IF(INDEX($D$6:$D$40000,$Y1907)="","",INDEX($D$6:$D$40000,$Y1907)))</f>
        <v/>
      </c>
      <c r="AB1907">
        <f>IF($Y1907="","",INDEX($L$6:$L$40000,$Y1907)&amp;"")</f>
        <v/>
      </c>
    </row>
    <row r="1908">
      <c r="Y1908" s="47">
        <f>IFERROR(MATCH(Library!M1908,$M$6:$M$40000,0),"")</f>
        <v/>
      </c>
      <c r="Z1908">
        <f>IF($Y1908="","",INDEX($C$6:$C$40000,$Y1908)&amp;"")</f>
        <v/>
      </c>
      <c r="AA1908" s="59">
        <f>IF($Y1908="","",IF(INDEX($D$6:$D$40000,$Y1908)="","",INDEX($D$6:$D$40000,$Y1908)))</f>
        <v/>
      </c>
      <c r="AB1908">
        <f>IF($Y1908="","",INDEX($L$6:$L$40000,$Y1908)&amp;"")</f>
        <v/>
      </c>
    </row>
    <row r="1909">
      <c r="Y1909" s="47">
        <f>IFERROR(MATCH(Library!M1909,$M$6:$M$40000,0),"")</f>
        <v/>
      </c>
      <c r="Z1909">
        <f>IF($Y1909="","",INDEX($C$6:$C$40000,$Y1909)&amp;"")</f>
        <v/>
      </c>
      <c r="AA1909" s="59">
        <f>IF($Y1909="","",IF(INDEX($D$6:$D$40000,$Y1909)="","",INDEX($D$6:$D$40000,$Y1909)))</f>
        <v/>
      </c>
      <c r="AB1909">
        <f>IF($Y1909="","",INDEX($L$6:$L$40000,$Y1909)&amp;"")</f>
        <v/>
      </c>
    </row>
    <row r="1910">
      <c r="Y1910" s="47">
        <f>IFERROR(MATCH(Library!M1910,$M$6:$M$40000,0),"")</f>
        <v/>
      </c>
      <c r="Z1910">
        <f>IF($Y1910="","",INDEX($C$6:$C$40000,$Y1910)&amp;"")</f>
        <v/>
      </c>
      <c r="AA1910" s="59">
        <f>IF($Y1910="","",IF(INDEX($D$6:$D$40000,$Y1910)="","",INDEX($D$6:$D$40000,$Y1910)))</f>
        <v/>
      </c>
      <c r="AB1910">
        <f>IF($Y1910="","",INDEX($L$6:$L$40000,$Y1910)&amp;"")</f>
        <v/>
      </c>
    </row>
    <row r="1911">
      <c r="Y1911" s="47">
        <f>IFERROR(MATCH(Library!M1911,$M$6:$M$40000,0),"")</f>
        <v/>
      </c>
      <c r="Z1911">
        <f>IF($Y1911="","",INDEX($C$6:$C$40000,$Y1911)&amp;"")</f>
        <v/>
      </c>
      <c r="AA1911" s="59">
        <f>IF($Y1911="","",IF(INDEX($D$6:$D$40000,$Y1911)="","",INDEX($D$6:$D$40000,$Y1911)))</f>
        <v/>
      </c>
      <c r="AB1911">
        <f>IF($Y1911="","",INDEX($L$6:$L$40000,$Y1911)&amp;"")</f>
        <v/>
      </c>
    </row>
    <row r="1912">
      <c r="Y1912" s="47">
        <f>IFERROR(MATCH(Library!M1912,$M$6:$M$40000,0),"")</f>
        <v/>
      </c>
      <c r="Z1912">
        <f>IF($Y1912="","",INDEX($C$6:$C$40000,$Y1912)&amp;"")</f>
        <v/>
      </c>
      <c r="AA1912" s="59">
        <f>IF($Y1912="","",IF(INDEX($D$6:$D$40000,$Y1912)="","",INDEX($D$6:$D$40000,$Y1912)))</f>
        <v/>
      </c>
      <c r="AB1912">
        <f>IF($Y1912="","",INDEX($L$6:$L$40000,$Y1912)&amp;"")</f>
        <v/>
      </c>
    </row>
    <row r="1913">
      <c r="Y1913" s="47">
        <f>IFERROR(MATCH(Library!M1913,$M$6:$M$40000,0),"")</f>
        <v/>
      </c>
      <c r="Z1913">
        <f>IF($Y1913="","",INDEX($C$6:$C$40000,$Y1913)&amp;"")</f>
        <v/>
      </c>
      <c r="AA1913" s="59">
        <f>IF($Y1913="","",IF(INDEX($D$6:$D$40000,$Y1913)="","",INDEX($D$6:$D$40000,$Y1913)))</f>
        <v/>
      </c>
      <c r="AB1913">
        <f>IF($Y1913="","",INDEX($L$6:$L$40000,$Y1913)&amp;"")</f>
        <v/>
      </c>
    </row>
    <row r="1914">
      <c r="Y1914" s="47">
        <f>IFERROR(MATCH(Library!M1914,$M$6:$M$40000,0),"")</f>
        <v/>
      </c>
      <c r="Z1914">
        <f>IF($Y1914="","",INDEX($C$6:$C$40000,$Y1914)&amp;"")</f>
        <v/>
      </c>
      <c r="AA1914" s="59">
        <f>IF($Y1914="","",IF(INDEX($D$6:$D$40000,$Y1914)="","",INDEX($D$6:$D$40000,$Y1914)))</f>
        <v/>
      </c>
      <c r="AB1914">
        <f>IF($Y1914="","",INDEX($L$6:$L$40000,$Y1914)&amp;"")</f>
        <v/>
      </c>
    </row>
    <row r="1915">
      <c r="Y1915" s="47">
        <f>IFERROR(MATCH(Library!M1915,$M$6:$M$40000,0),"")</f>
        <v/>
      </c>
      <c r="Z1915">
        <f>IF($Y1915="","",INDEX($C$6:$C$40000,$Y1915)&amp;"")</f>
        <v/>
      </c>
      <c r="AA1915" s="59">
        <f>IF($Y1915="","",IF(INDEX($D$6:$D$40000,$Y1915)="","",INDEX($D$6:$D$40000,$Y1915)))</f>
        <v/>
      </c>
      <c r="AB1915">
        <f>IF($Y1915="","",INDEX($L$6:$L$40000,$Y1915)&amp;"")</f>
        <v/>
      </c>
    </row>
    <row r="1916">
      <c r="Y1916" s="47">
        <f>IFERROR(MATCH(Library!M1916,$M$6:$M$40000,0),"")</f>
        <v/>
      </c>
      <c r="Z1916">
        <f>IF($Y1916="","",INDEX($C$6:$C$40000,$Y1916)&amp;"")</f>
        <v/>
      </c>
      <c r="AA1916" s="59">
        <f>IF($Y1916="","",IF(INDEX($D$6:$D$40000,$Y1916)="","",INDEX($D$6:$D$40000,$Y1916)))</f>
        <v/>
      </c>
      <c r="AB1916">
        <f>IF($Y1916="","",INDEX($L$6:$L$40000,$Y1916)&amp;"")</f>
        <v/>
      </c>
    </row>
    <row r="1917">
      <c r="Y1917" s="47">
        <f>IFERROR(MATCH(Library!M1917,$M$6:$M$40000,0),"")</f>
        <v/>
      </c>
      <c r="Z1917">
        <f>IF($Y1917="","",INDEX($C$6:$C$40000,$Y1917)&amp;"")</f>
        <v/>
      </c>
      <c r="AA1917" s="59">
        <f>IF($Y1917="","",IF(INDEX($D$6:$D$40000,$Y1917)="","",INDEX($D$6:$D$40000,$Y1917)))</f>
        <v/>
      </c>
      <c r="AB1917">
        <f>IF($Y1917="","",INDEX($L$6:$L$40000,$Y1917)&amp;"")</f>
        <v/>
      </c>
    </row>
    <row r="1918">
      <c r="Y1918" s="47">
        <f>IFERROR(MATCH(Library!M1918,$M$6:$M$40000,0),"")</f>
        <v/>
      </c>
      <c r="Z1918">
        <f>IF($Y1918="","",INDEX($C$6:$C$40000,$Y1918)&amp;"")</f>
        <v/>
      </c>
      <c r="AA1918" s="59">
        <f>IF($Y1918="","",IF(INDEX($D$6:$D$40000,$Y1918)="","",INDEX($D$6:$D$40000,$Y1918)))</f>
        <v/>
      </c>
      <c r="AB1918">
        <f>IF($Y1918="","",INDEX($L$6:$L$40000,$Y1918)&amp;"")</f>
        <v/>
      </c>
    </row>
    <row r="1919">
      <c r="Y1919" s="47">
        <f>IFERROR(MATCH(Library!M1919,$M$6:$M$40000,0),"")</f>
        <v/>
      </c>
      <c r="Z1919">
        <f>IF($Y1919="","",INDEX($C$6:$C$40000,$Y1919)&amp;"")</f>
        <v/>
      </c>
      <c r="AA1919" s="59">
        <f>IF($Y1919="","",IF(INDEX($D$6:$D$40000,$Y1919)="","",INDEX($D$6:$D$40000,$Y1919)))</f>
        <v/>
      </c>
      <c r="AB1919">
        <f>IF($Y1919="","",INDEX($L$6:$L$40000,$Y1919)&amp;"")</f>
        <v/>
      </c>
    </row>
    <row r="1920">
      <c r="Y1920" s="47">
        <f>IFERROR(MATCH(Library!M1920,$M$6:$M$40000,0),"")</f>
        <v/>
      </c>
      <c r="Z1920">
        <f>IF($Y1920="","",INDEX($C$6:$C$40000,$Y1920)&amp;"")</f>
        <v/>
      </c>
      <c r="AA1920" s="59">
        <f>IF($Y1920="","",IF(INDEX($D$6:$D$40000,$Y1920)="","",INDEX($D$6:$D$40000,$Y1920)))</f>
        <v/>
      </c>
      <c r="AB1920">
        <f>IF($Y1920="","",INDEX($L$6:$L$40000,$Y1920)&amp;"")</f>
        <v/>
      </c>
    </row>
    <row r="1921">
      <c r="Y1921" s="47">
        <f>IFERROR(MATCH(Library!M1921,$M$6:$M$40000,0),"")</f>
        <v/>
      </c>
      <c r="Z1921">
        <f>IF($Y1921="","",INDEX($C$6:$C$40000,$Y1921)&amp;"")</f>
        <v/>
      </c>
      <c r="AA1921" s="59">
        <f>IF($Y1921="","",IF(INDEX($D$6:$D$40000,$Y1921)="","",INDEX($D$6:$D$40000,$Y1921)))</f>
        <v/>
      </c>
      <c r="AB1921">
        <f>IF($Y1921="","",INDEX($L$6:$L$40000,$Y1921)&amp;"")</f>
        <v/>
      </c>
    </row>
    <row r="1922">
      <c r="Y1922" s="47">
        <f>IFERROR(MATCH(Library!M1922,$M$6:$M$40000,0),"")</f>
        <v/>
      </c>
      <c r="Z1922">
        <f>IF($Y1922="","",INDEX($C$6:$C$40000,$Y1922)&amp;"")</f>
        <v/>
      </c>
      <c r="AA1922" s="59">
        <f>IF($Y1922="","",IF(INDEX($D$6:$D$40000,$Y1922)="","",INDEX($D$6:$D$40000,$Y1922)))</f>
        <v/>
      </c>
      <c r="AB1922">
        <f>IF($Y1922="","",INDEX($L$6:$L$40000,$Y1922)&amp;"")</f>
        <v/>
      </c>
    </row>
    <row r="1923">
      <c r="Y1923" s="47">
        <f>IFERROR(MATCH(Library!M1923,$M$6:$M$40000,0),"")</f>
        <v/>
      </c>
      <c r="Z1923">
        <f>IF($Y1923="","",INDEX($C$6:$C$40000,$Y1923)&amp;"")</f>
        <v/>
      </c>
      <c r="AA1923" s="59">
        <f>IF($Y1923="","",IF(INDEX($D$6:$D$40000,$Y1923)="","",INDEX($D$6:$D$40000,$Y1923)))</f>
        <v/>
      </c>
      <c r="AB1923">
        <f>IF($Y1923="","",INDEX($L$6:$L$40000,$Y1923)&amp;"")</f>
        <v/>
      </c>
    </row>
    <row r="1924">
      <c r="Y1924" s="47">
        <f>IFERROR(MATCH(Library!M1924,$M$6:$M$40000,0),"")</f>
        <v/>
      </c>
      <c r="Z1924">
        <f>IF($Y1924="","",INDEX($C$6:$C$40000,$Y1924)&amp;"")</f>
        <v/>
      </c>
      <c r="AA1924" s="59">
        <f>IF($Y1924="","",IF(INDEX($D$6:$D$40000,$Y1924)="","",INDEX($D$6:$D$40000,$Y1924)))</f>
        <v/>
      </c>
      <c r="AB1924">
        <f>IF($Y1924="","",INDEX($L$6:$L$40000,$Y1924)&amp;"")</f>
        <v/>
      </c>
    </row>
    <row r="1925">
      <c r="Y1925" s="47">
        <f>IFERROR(MATCH(Library!M1925,$M$6:$M$40000,0),"")</f>
        <v/>
      </c>
      <c r="Z1925">
        <f>IF($Y1925="","",INDEX($C$6:$C$40000,$Y1925)&amp;"")</f>
        <v/>
      </c>
      <c r="AA1925" s="59">
        <f>IF($Y1925="","",IF(INDEX($D$6:$D$40000,$Y1925)="","",INDEX($D$6:$D$40000,$Y1925)))</f>
        <v/>
      </c>
      <c r="AB1925">
        <f>IF($Y1925="","",INDEX($L$6:$L$40000,$Y1925)&amp;"")</f>
        <v/>
      </c>
    </row>
    <row r="1926">
      <c r="Y1926" s="47">
        <f>IFERROR(MATCH(Library!M1926,$M$6:$M$40000,0),"")</f>
        <v/>
      </c>
      <c r="Z1926">
        <f>IF($Y1926="","",INDEX($C$6:$C$40000,$Y1926)&amp;"")</f>
        <v/>
      </c>
      <c r="AA1926" s="59">
        <f>IF($Y1926="","",IF(INDEX($D$6:$D$40000,$Y1926)="","",INDEX($D$6:$D$40000,$Y1926)))</f>
        <v/>
      </c>
      <c r="AB1926">
        <f>IF($Y1926="","",INDEX($L$6:$L$40000,$Y1926)&amp;"")</f>
        <v/>
      </c>
    </row>
    <row r="1927">
      <c r="Y1927" s="47">
        <f>IFERROR(MATCH(Library!M1927,$M$6:$M$40000,0),"")</f>
        <v/>
      </c>
      <c r="Z1927">
        <f>IF($Y1927="","",INDEX($C$6:$C$40000,$Y1927)&amp;"")</f>
        <v/>
      </c>
      <c r="AA1927" s="59">
        <f>IF($Y1927="","",IF(INDEX($D$6:$D$40000,$Y1927)="","",INDEX($D$6:$D$40000,$Y1927)))</f>
        <v/>
      </c>
      <c r="AB1927">
        <f>IF($Y1927="","",INDEX($L$6:$L$40000,$Y1927)&amp;"")</f>
        <v/>
      </c>
    </row>
    <row r="1928">
      <c r="Y1928" s="47">
        <f>IFERROR(MATCH(Library!M1928,$M$6:$M$40000,0),"")</f>
        <v/>
      </c>
      <c r="Z1928">
        <f>IF($Y1928="","",INDEX($C$6:$C$40000,$Y1928)&amp;"")</f>
        <v/>
      </c>
      <c r="AA1928" s="59">
        <f>IF($Y1928="","",IF(INDEX($D$6:$D$40000,$Y1928)="","",INDEX($D$6:$D$40000,$Y1928)))</f>
        <v/>
      </c>
      <c r="AB1928">
        <f>IF($Y1928="","",INDEX($L$6:$L$40000,$Y1928)&amp;"")</f>
        <v/>
      </c>
    </row>
    <row r="1929">
      <c r="Y1929" s="47">
        <f>IFERROR(MATCH(Library!M1929,$M$6:$M$40000,0),"")</f>
        <v/>
      </c>
      <c r="Z1929">
        <f>IF($Y1929="","",INDEX($C$6:$C$40000,$Y1929)&amp;"")</f>
        <v/>
      </c>
      <c r="AA1929" s="59">
        <f>IF($Y1929="","",IF(INDEX($D$6:$D$40000,$Y1929)="","",INDEX($D$6:$D$40000,$Y1929)))</f>
        <v/>
      </c>
      <c r="AB1929">
        <f>IF($Y1929="","",INDEX($L$6:$L$40000,$Y1929)&amp;"")</f>
        <v/>
      </c>
    </row>
    <row r="1930">
      <c r="Y1930" s="47">
        <f>IFERROR(MATCH(Library!M1930,$M$6:$M$40000,0),"")</f>
        <v/>
      </c>
      <c r="Z1930">
        <f>IF($Y1930="","",INDEX($C$6:$C$40000,$Y1930)&amp;"")</f>
        <v/>
      </c>
      <c r="AA1930" s="59">
        <f>IF($Y1930="","",IF(INDEX($D$6:$D$40000,$Y1930)="","",INDEX($D$6:$D$40000,$Y1930)))</f>
        <v/>
      </c>
      <c r="AB1930">
        <f>IF($Y1930="","",INDEX($L$6:$L$40000,$Y1930)&amp;"")</f>
        <v/>
      </c>
    </row>
    <row r="1931">
      <c r="Y1931" s="47">
        <f>IFERROR(MATCH(Library!M1931,$M$6:$M$40000,0),"")</f>
        <v/>
      </c>
      <c r="Z1931">
        <f>IF($Y1931="","",INDEX($C$6:$C$40000,$Y1931)&amp;"")</f>
        <v/>
      </c>
      <c r="AA1931" s="59">
        <f>IF($Y1931="","",IF(INDEX($D$6:$D$40000,$Y1931)="","",INDEX($D$6:$D$40000,$Y1931)))</f>
        <v/>
      </c>
      <c r="AB1931">
        <f>IF($Y1931="","",INDEX($L$6:$L$40000,$Y1931)&amp;"")</f>
        <v/>
      </c>
    </row>
    <row r="1932">
      <c r="Y1932" s="47">
        <f>IFERROR(MATCH(Library!M1932,$M$6:$M$40000,0),"")</f>
        <v/>
      </c>
      <c r="Z1932">
        <f>IF($Y1932="","",INDEX($C$6:$C$40000,$Y1932)&amp;"")</f>
        <v/>
      </c>
      <c r="AA1932" s="59">
        <f>IF($Y1932="","",IF(INDEX($D$6:$D$40000,$Y1932)="","",INDEX($D$6:$D$40000,$Y1932)))</f>
        <v/>
      </c>
      <c r="AB1932">
        <f>IF($Y1932="","",INDEX($L$6:$L$40000,$Y1932)&amp;"")</f>
        <v/>
      </c>
    </row>
    <row r="1933">
      <c r="Y1933" s="47">
        <f>IFERROR(MATCH(Library!M1933,$M$6:$M$40000,0),"")</f>
        <v/>
      </c>
      <c r="Z1933">
        <f>IF($Y1933="","",INDEX($C$6:$C$40000,$Y1933)&amp;"")</f>
        <v/>
      </c>
      <c r="AA1933" s="59">
        <f>IF($Y1933="","",IF(INDEX($D$6:$D$40000,$Y1933)="","",INDEX($D$6:$D$40000,$Y1933)))</f>
        <v/>
      </c>
      <c r="AB1933">
        <f>IF($Y1933="","",INDEX($L$6:$L$40000,$Y1933)&amp;"")</f>
        <v/>
      </c>
    </row>
    <row r="1934">
      <c r="Y1934" s="47">
        <f>IFERROR(MATCH(Library!M1934,$M$6:$M$40000,0),"")</f>
        <v/>
      </c>
      <c r="Z1934">
        <f>IF($Y1934="","",INDEX($C$6:$C$40000,$Y1934)&amp;"")</f>
        <v/>
      </c>
      <c r="AA1934" s="59">
        <f>IF($Y1934="","",IF(INDEX($D$6:$D$40000,$Y1934)="","",INDEX($D$6:$D$40000,$Y1934)))</f>
        <v/>
      </c>
      <c r="AB1934">
        <f>IF($Y1934="","",INDEX($L$6:$L$40000,$Y1934)&amp;"")</f>
        <v/>
      </c>
    </row>
    <row r="1935">
      <c r="Y1935" s="47">
        <f>IFERROR(MATCH(Library!M1935,$M$6:$M$40000,0),"")</f>
        <v/>
      </c>
      <c r="Z1935">
        <f>IF($Y1935="","",INDEX($C$6:$C$40000,$Y1935)&amp;"")</f>
        <v/>
      </c>
      <c r="AA1935" s="59">
        <f>IF($Y1935="","",IF(INDEX($D$6:$D$40000,$Y1935)="","",INDEX($D$6:$D$40000,$Y1935)))</f>
        <v/>
      </c>
      <c r="AB1935">
        <f>IF($Y1935="","",INDEX($L$6:$L$40000,$Y1935)&amp;"")</f>
        <v/>
      </c>
    </row>
    <row r="1936">
      <c r="Y1936" s="47">
        <f>IFERROR(MATCH(Library!M1936,$M$6:$M$40000,0),"")</f>
        <v/>
      </c>
      <c r="Z1936">
        <f>IF($Y1936="","",INDEX($C$6:$C$40000,$Y1936)&amp;"")</f>
        <v/>
      </c>
      <c r="AA1936" s="59">
        <f>IF($Y1936="","",IF(INDEX($D$6:$D$40000,$Y1936)="","",INDEX($D$6:$D$40000,$Y1936)))</f>
        <v/>
      </c>
      <c r="AB1936">
        <f>IF($Y1936="","",INDEX($L$6:$L$40000,$Y1936)&amp;"")</f>
        <v/>
      </c>
    </row>
    <row r="1937">
      <c r="Y1937" s="47">
        <f>IFERROR(MATCH(Library!M1937,$M$6:$M$40000,0),"")</f>
        <v/>
      </c>
      <c r="Z1937">
        <f>IF($Y1937="","",INDEX($C$6:$C$40000,$Y1937)&amp;"")</f>
        <v/>
      </c>
      <c r="AA1937" s="59">
        <f>IF($Y1937="","",IF(INDEX($D$6:$D$40000,$Y1937)="","",INDEX($D$6:$D$40000,$Y1937)))</f>
        <v/>
      </c>
      <c r="AB1937">
        <f>IF($Y1937="","",INDEX($L$6:$L$40000,$Y1937)&amp;"")</f>
        <v/>
      </c>
    </row>
    <row r="1938">
      <c r="Y1938" s="47">
        <f>IFERROR(MATCH(Library!M1938,$M$6:$M$40000,0),"")</f>
        <v/>
      </c>
      <c r="Z1938">
        <f>IF($Y1938="","",INDEX($C$6:$C$40000,$Y1938)&amp;"")</f>
        <v/>
      </c>
      <c r="AA1938" s="59">
        <f>IF($Y1938="","",IF(INDEX($D$6:$D$40000,$Y1938)="","",INDEX($D$6:$D$40000,$Y1938)))</f>
        <v/>
      </c>
      <c r="AB1938">
        <f>IF($Y1938="","",INDEX($L$6:$L$40000,$Y1938)&amp;"")</f>
        <v/>
      </c>
    </row>
    <row r="1939">
      <c r="Y1939" s="47">
        <f>IFERROR(MATCH(Library!M1939,$M$6:$M$40000,0),"")</f>
        <v/>
      </c>
      <c r="Z1939">
        <f>IF($Y1939="","",INDEX($C$6:$C$40000,$Y1939)&amp;"")</f>
        <v/>
      </c>
      <c r="AA1939" s="59">
        <f>IF($Y1939="","",IF(INDEX($D$6:$D$40000,$Y1939)="","",INDEX($D$6:$D$40000,$Y1939)))</f>
        <v/>
      </c>
      <c r="AB1939">
        <f>IF($Y1939="","",INDEX($L$6:$L$40000,$Y1939)&amp;"")</f>
        <v/>
      </c>
    </row>
    <row r="1940">
      <c r="Y1940" s="47">
        <f>IFERROR(MATCH(Library!M1940,$M$6:$M$40000,0),"")</f>
        <v/>
      </c>
      <c r="Z1940">
        <f>IF($Y1940="","",INDEX($C$6:$C$40000,$Y1940)&amp;"")</f>
        <v/>
      </c>
      <c r="AA1940" s="59">
        <f>IF($Y1940="","",IF(INDEX($D$6:$D$40000,$Y1940)="","",INDEX($D$6:$D$40000,$Y1940)))</f>
        <v/>
      </c>
      <c r="AB1940">
        <f>IF($Y1940="","",INDEX($L$6:$L$40000,$Y1940)&amp;"")</f>
        <v/>
      </c>
    </row>
    <row r="1941">
      <c r="Y1941" s="47">
        <f>IFERROR(MATCH(Library!M1941,$M$6:$M$40000,0),"")</f>
        <v/>
      </c>
      <c r="Z1941">
        <f>IF($Y1941="","",INDEX($C$6:$C$40000,$Y1941)&amp;"")</f>
        <v/>
      </c>
      <c r="AA1941" s="59">
        <f>IF($Y1941="","",IF(INDEX($D$6:$D$40000,$Y1941)="","",INDEX($D$6:$D$40000,$Y1941)))</f>
        <v/>
      </c>
      <c r="AB1941">
        <f>IF($Y1941="","",INDEX($L$6:$L$40000,$Y1941)&amp;"")</f>
        <v/>
      </c>
    </row>
    <row r="1942">
      <c r="Y1942" s="47">
        <f>IFERROR(MATCH(Library!M1942,$M$6:$M$40000,0),"")</f>
        <v/>
      </c>
      <c r="Z1942">
        <f>IF($Y1942="","",INDEX($C$6:$C$40000,$Y1942)&amp;"")</f>
        <v/>
      </c>
      <c r="AA1942" s="59">
        <f>IF($Y1942="","",IF(INDEX($D$6:$D$40000,$Y1942)="","",INDEX($D$6:$D$40000,$Y1942)))</f>
        <v/>
      </c>
      <c r="AB1942">
        <f>IF($Y1942="","",INDEX($L$6:$L$40000,$Y1942)&amp;"")</f>
        <v/>
      </c>
    </row>
    <row r="1943">
      <c r="Y1943" s="47">
        <f>IFERROR(MATCH(Library!M1943,$M$6:$M$40000,0),"")</f>
        <v/>
      </c>
      <c r="Z1943">
        <f>IF($Y1943="","",INDEX($C$6:$C$40000,$Y1943)&amp;"")</f>
        <v/>
      </c>
      <c r="AA1943" s="59">
        <f>IF($Y1943="","",IF(INDEX($D$6:$D$40000,$Y1943)="","",INDEX($D$6:$D$40000,$Y1943)))</f>
        <v/>
      </c>
      <c r="AB1943">
        <f>IF($Y1943="","",INDEX($L$6:$L$40000,$Y1943)&amp;"")</f>
        <v/>
      </c>
    </row>
    <row r="1944">
      <c r="Y1944" s="47">
        <f>IFERROR(MATCH(Library!M1944,$M$6:$M$40000,0),"")</f>
        <v/>
      </c>
      <c r="Z1944">
        <f>IF($Y1944="","",INDEX($C$6:$C$40000,$Y1944)&amp;"")</f>
        <v/>
      </c>
      <c r="AA1944" s="59">
        <f>IF($Y1944="","",IF(INDEX($D$6:$D$40000,$Y1944)="","",INDEX($D$6:$D$40000,$Y1944)))</f>
        <v/>
      </c>
      <c r="AB1944">
        <f>IF($Y1944="","",INDEX($L$6:$L$40000,$Y1944)&amp;"")</f>
        <v/>
      </c>
    </row>
    <row r="1945">
      <c r="Y1945" s="47">
        <f>IFERROR(MATCH(Library!M1945,$M$6:$M$40000,0),"")</f>
        <v/>
      </c>
      <c r="Z1945">
        <f>IF($Y1945="","",INDEX($C$6:$C$40000,$Y1945)&amp;"")</f>
        <v/>
      </c>
      <c r="AA1945" s="59">
        <f>IF($Y1945="","",IF(INDEX($D$6:$D$40000,$Y1945)="","",INDEX($D$6:$D$40000,$Y1945)))</f>
        <v/>
      </c>
      <c r="AB1945">
        <f>IF($Y1945="","",INDEX($L$6:$L$40000,$Y1945)&amp;"")</f>
        <v/>
      </c>
    </row>
    <row r="1946">
      <c r="Y1946" s="47">
        <f>IFERROR(MATCH(Library!M1946,$M$6:$M$40000,0),"")</f>
        <v/>
      </c>
      <c r="Z1946">
        <f>IF($Y1946="","",INDEX($C$6:$C$40000,$Y1946)&amp;"")</f>
        <v/>
      </c>
      <c r="AA1946" s="59">
        <f>IF($Y1946="","",IF(INDEX($D$6:$D$40000,$Y1946)="","",INDEX($D$6:$D$40000,$Y1946)))</f>
        <v/>
      </c>
      <c r="AB1946">
        <f>IF($Y1946="","",INDEX($L$6:$L$40000,$Y1946)&amp;"")</f>
        <v/>
      </c>
    </row>
    <row r="1947">
      <c r="Y1947" s="47">
        <f>IFERROR(MATCH(Library!M1947,$M$6:$M$40000,0),"")</f>
        <v/>
      </c>
      <c r="Z1947">
        <f>IF($Y1947="","",INDEX($C$6:$C$40000,$Y1947)&amp;"")</f>
        <v/>
      </c>
      <c r="AA1947" s="59">
        <f>IF($Y1947="","",IF(INDEX($D$6:$D$40000,$Y1947)="","",INDEX($D$6:$D$40000,$Y1947)))</f>
        <v/>
      </c>
      <c r="AB1947">
        <f>IF($Y1947="","",INDEX($L$6:$L$40000,$Y1947)&amp;"")</f>
        <v/>
      </c>
    </row>
    <row r="1948">
      <c r="Y1948" s="47">
        <f>IFERROR(MATCH(Library!M1948,$M$6:$M$40000,0),"")</f>
        <v/>
      </c>
      <c r="Z1948">
        <f>IF($Y1948="","",INDEX($C$6:$C$40000,$Y1948)&amp;"")</f>
        <v/>
      </c>
      <c r="AA1948" s="59">
        <f>IF($Y1948="","",IF(INDEX($D$6:$D$40000,$Y1948)="","",INDEX($D$6:$D$40000,$Y1948)))</f>
        <v/>
      </c>
      <c r="AB1948">
        <f>IF($Y1948="","",INDEX($L$6:$L$40000,$Y1948)&amp;"")</f>
        <v/>
      </c>
    </row>
    <row r="1949">
      <c r="Y1949" s="47">
        <f>IFERROR(MATCH(Library!M1949,$M$6:$M$40000,0),"")</f>
        <v/>
      </c>
      <c r="Z1949">
        <f>IF($Y1949="","",INDEX($C$6:$C$40000,$Y1949)&amp;"")</f>
        <v/>
      </c>
      <c r="AA1949" s="59">
        <f>IF($Y1949="","",IF(INDEX($D$6:$D$40000,$Y1949)="","",INDEX($D$6:$D$40000,$Y1949)))</f>
        <v/>
      </c>
      <c r="AB1949">
        <f>IF($Y1949="","",INDEX($L$6:$L$40000,$Y1949)&amp;"")</f>
        <v/>
      </c>
    </row>
    <row r="1950">
      <c r="Y1950" s="47">
        <f>IFERROR(MATCH(Library!M1950,$M$6:$M$40000,0),"")</f>
        <v/>
      </c>
      <c r="Z1950">
        <f>IF($Y1950="","",INDEX($C$6:$C$40000,$Y1950)&amp;"")</f>
        <v/>
      </c>
      <c r="AA1950" s="59">
        <f>IF($Y1950="","",IF(INDEX($D$6:$D$40000,$Y1950)="","",INDEX($D$6:$D$40000,$Y1950)))</f>
        <v/>
      </c>
      <c r="AB1950">
        <f>IF($Y1950="","",INDEX($L$6:$L$40000,$Y1950)&amp;"")</f>
        <v/>
      </c>
    </row>
    <row r="1951">
      <c r="Y1951" s="47">
        <f>IFERROR(MATCH(Library!M1951,$M$6:$M$40000,0),"")</f>
        <v/>
      </c>
      <c r="Z1951">
        <f>IF($Y1951="","",INDEX($C$6:$C$40000,$Y1951)&amp;"")</f>
        <v/>
      </c>
      <c r="AA1951" s="59">
        <f>IF($Y1951="","",IF(INDEX($D$6:$D$40000,$Y1951)="","",INDEX($D$6:$D$40000,$Y1951)))</f>
        <v/>
      </c>
      <c r="AB1951">
        <f>IF($Y1951="","",INDEX($L$6:$L$40000,$Y1951)&amp;"")</f>
        <v/>
      </c>
    </row>
    <row r="1952">
      <c r="Y1952" s="47">
        <f>IFERROR(MATCH(Library!M1952,$M$6:$M$40000,0),"")</f>
        <v/>
      </c>
      <c r="Z1952">
        <f>IF($Y1952="","",INDEX($C$6:$C$40000,$Y1952)&amp;"")</f>
        <v/>
      </c>
      <c r="AA1952" s="59">
        <f>IF($Y1952="","",IF(INDEX($D$6:$D$40000,$Y1952)="","",INDEX($D$6:$D$40000,$Y1952)))</f>
        <v/>
      </c>
      <c r="AB1952">
        <f>IF($Y1952="","",INDEX($L$6:$L$40000,$Y1952)&amp;"")</f>
        <v/>
      </c>
    </row>
    <row r="1953">
      <c r="Y1953" s="47">
        <f>IFERROR(MATCH(Library!M1953,$M$6:$M$40000,0),"")</f>
        <v/>
      </c>
      <c r="Z1953">
        <f>IF($Y1953="","",INDEX($C$6:$C$40000,$Y1953)&amp;"")</f>
        <v/>
      </c>
      <c r="AA1953" s="59">
        <f>IF($Y1953="","",IF(INDEX($D$6:$D$40000,$Y1953)="","",INDEX($D$6:$D$40000,$Y1953)))</f>
        <v/>
      </c>
      <c r="AB1953">
        <f>IF($Y1953="","",INDEX($L$6:$L$40000,$Y1953)&amp;"")</f>
        <v/>
      </c>
    </row>
    <row r="1954">
      <c r="Y1954" s="47">
        <f>IFERROR(MATCH(Library!M1954,$M$6:$M$40000,0),"")</f>
        <v/>
      </c>
      <c r="Z1954">
        <f>IF($Y1954="","",INDEX($C$6:$C$40000,$Y1954)&amp;"")</f>
        <v/>
      </c>
      <c r="AA1954" s="59">
        <f>IF($Y1954="","",IF(INDEX($D$6:$D$40000,$Y1954)="","",INDEX($D$6:$D$40000,$Y1954)))</f>
        <v/>
      </c>
      <c r="AB1954">
        <f>IF($Y1954="","",INDEX($L$6:$L$40000,$Y1954)&amp;"")</f>
        <v/>
      </c>
    </row>
    <row r="1955">
      <c r="Y1955" s="47">
        <f>IFERROR(MATCH(Library!M1955,$M$6:$M$40000,0),"")</f>
        <v/>
      </c>
      <c r="Z1955">
        <f>IF($Y1955="","",INDEX($C$6:$C$40000,$Y1955)&amp;"")</f>
        <v/>
      </c>
      <c r="AA1955" s="59">
        <f>IF($Y1955="","",IF(INDEX($D$6:$D$40000,$Y1955)="","",INDEX($D$6:$D$40000,$Y1955)))</f>
        <v/>
      </c>
      <c r="AB1955">
        <f>IF($Y1955="","",INDEX($L$6:$L$40000,$Y1955)&amp;"")</f>
        <v/>
      </c>
    </row>
    <row r="1956">
      <c r="Y1956" s="47">
        <f>IFERROR(MATCH(Library!M1956,$M$6:$M$40000,0),"")</f>
        <v/>
      </c>
      <c r="Z1956">
        <f>IF($Y1956="","",INDEX($C$6:$C$40000,$Y1956)&amp;"")</f>
        <v/>
      </c>
      <c r="AA1956" s="59">
        <f>IF($Y1956="","",IF(INDEX($D$6:$D$40000,$Y1956)="","",INDEX($D$6:$D$40000,$Y1956)))</f>
        <v/>
      </c>
      <c r="AB1956">
        <f>IF($Y1956="","",INDEX($L$6:$L$40000,$Y1956)&amp;"")</f>
        <v/>
      </c>
    </row>
    <row r="1957">
      <c r="Y1957" s="47">
        <f>IFERROR(MATCH(Library!M1957,$M$6:$M$40000,0),"")</f>
        <v/>
      </c>
      <c r="Z1957">
        <f>IF($Y1957="","",INDEX($C$6:$C$40000,$Y1957)&amp;"")</f>
        <v/>
      </c>
      <c r="AA1957" s="59">
        <f>IF($Y1957="","",IF(INDEX($D$6:$D$40000,$Y1957)="","",INDEX($D$6:$D$40000,$Y1957)))</f>
        <v/>
      </c>
      <c r="AB1957">
        <f>IF($Y1957="","",INDEX($L$6:$L$40000,$Y1957)&amp;"")</f>
        <v/>
      </c>
    </row>
    <row r="1958">
      <c r="Y1958" s="47">
        <f>IFERROR(MATCH(Library!M1958,$M$6:$M$40000,0),"")</f>
        <v/>
      </c>
      <c r="Z1958">
        <f>IF($Y1958="","",INDEX($C$6:$C$40000,$Y1958)&amp;"")</f>
        <v/>
      </c>
      <c r="AA1958" s="59">
        <f>IF($Y1958="","",IF(INDEX($D$6:$D$40000,$Y1958)="","",INDEX($D$6:$D$40000,$Y1958)))</f>
        <v/>
      </c>
      <c r="AB1958">
        <f>IF($Y1958="","",INDEX($L$6:$L$40000,$Y1958)&amp;"")</f>
        <v/>
      </c>
    </row>
    <row r="1959">
      <c r="Y1959" s="47">
        <f>IFERROR(MATCH(Library!M1959,$M$6:$M$40000,0),"")</f>
        <v/>
      </c>
      <c r="Z1959">
        <f>IF($Y1959="","",INDEX($C$6:$C$40000,$Y1959)&amp;"")</f>
        <v/>
      </c>
      <c r="AA1959" s="59">
        <f>IF($Y1959="","",IF(INDEX($D$6:$D$40000,$Y1959)="","",INDEX($D$6:$D$40000,$Y1959)))</f>
        <v/>
      </c>
      <c r="AB1959">
        <f>IF($Y1959="","",INDEX($L$6:$L$40000,$Y1959)&amp;"")</f>
        <v/>
      </c>
    </row>
    <row r="1960">
      <c r="Y1960" s="47">
        <f>IFERROR(MATCH(Library!M1960,$M$6:$M$40000,0),"")</f>
        <v/>
      </c>
      <c r="Z1960">
        <f>IF($Y1960="","",INDEX($C$6:$C$40000,$Y1960)&amp;"")</f>
        <v/>
      </c>
      <c r="AA1960" s="59">
        <f>IF($Y1960="","",IF(INDEX($D$6:$D$40000,$Y1960)="","",INDEX($D$6:$D$40000,$Y1960)))</f>
        <v/>
      </c>
      <c r="AB1960">
        <f>IF($Y1960="","",INDEX($L$6:$L$40000,$Y1960)&amp;"")</f>
        <v/>
      </c>
    </row>
    <row r="1961">
      <c r="Y1961" s="47">
        <f>IFERROR(MATCH(Library!M1961,$M$6:$M$40000,0),"")</f>
        <v/>
      </c>
      <c r="Z1961">
        <f>IF($Y1961="","",INDEX($C$6:$C$40000,$Y1961)&amp;"")</f>
        <v/>
      </c>
      <c r="AA1961" s="59">
        <f>IF($Y1961="","",IF(INDEX($D$6:$D$40000,$Y1961)="","",INDEX($D$6:$D$40000,$Y1961)))</f>
        <v/>
      </c>
      <c r="AB1961">
        <f>IF($Y1961="","",INDEX($L$6:$L$40000,$Y1961)&amp;"")</f>
        <v/>
      </c>
    </row>
    <row r="1962">
      <c r="Y1962" s="47">
        <f>IFERROR(MATCH(Library!M1962,$M$6:$M$40000,0),"")</f>
        <v/>
      </c>
      <c r="Z1962">
        <f>IF($Y1962="","",INDEX($C$6:$C$40000,$Y1962)&amp;"")</f>
        <v/>
      </c>
      <c r="AA1962" s="59">
        <f>IF($Y1962="","",IF(INDEX($D$6:$D$40000,$Y1962)="","",INDEX($D$6:$D$40000,$Y1962)))</f>
        <v/>
      </c>
      <c r="AB1962">
        <f>IF($Y1962="","",INDEX($L$6:$L$40000,$Y1962)&amp;"")</f>
        <v/>
      </c>
    </row>
    <row r="1963">
      <c r="Y1963" s="47">
        <f>IFERROR(MATCH(Library!M1963,$M$6:$M$40000,0),"")</f>
        <v/>
      </c>
      <c r="Z1963">
        <f>IF($Y1963="","",INDEX($C$6:$C$40000,$Y1963)&amp;"")</f>
        <v/>
      </c>
      <c r="AA1963" s="59">
        <f>IF($Y1963="","",IF(INDEX($D$6:$D$40000,$Y1963)="","",INDEX($D$6:$D$40000,$Y1963)))</f>
        <v/>
      </c>
      <c r="AB1963">
        <f>IF($Y1963="","",INDEX($L$6:$L$40000,$Y1963)&amp;"")</f>
        <v/>
      </c>
    </row>
    <row r="1964">
      <c r="Y1964" s="47">
        <f>IFERROR(MATCH(Library!M1964,$M$6:$M$40000,0),"")</f>
        <v/>
      </c>
      <c r="Z1964">
        <f>IF($Y1964="","",INDEX($C$6:$C$40000,$Y1964)&amp;"")</f>
        <v/>
      </c>
      <c r="AA1964" s="59">
        <f>IF($Y1964="","",IF(INDEX($D$6:$D$40000,$Y1964)="","",INDEX($D$6:$D$40000,$Y1964)))</f>
        <v/>
      </c>
      <c r="AB1964">
        <f>IF($Y1964="","",INDEX($L$6:$L$40000,$Y1964)&amp;"")</f>
        <v/>
      </c>
    </row>
    <row r="1965">
      <c r="Y1965" s="47">
        <f>IFERROR(MATCH(Library!M1965,$M$6:$M$40000,0),"")</f>
        <v/>
      </c>
      <c r="Z1965">
        <f>IF($Y1965="","",INDEX($C$6:$C$40000,$Y1965)&amp;"")</f>
        <v/>
      </c>
      <c r="AA1965" s="59">
        <f>IF($Y1965="","",IF(INDEX($D$6:$D$40000,$Y1965)="","",INDEX($D$6:$D$40000,$Y1965)))</f>
        <v/>
      </c>
      <c r="AB1965">
        <f>IF($Y1965="","",INDEX($L$6:$L$40000,$Y1965)&amp;"")</f>
        <v/>
      </c>
    </row>
    <row r="1966">
      <c r="Y1966" s="47">
        <f>IFERROR(MATCH(Library!M1966,$M$6:$M$40000,0),"")</f>
        <v/>
      </c>
      <c r="Z1966">
        <f>IF($Y1966="","",INDEX($C$6:$C$40000,$Y1966)&amp;"")</f>
        <v/>
      </c>
      <c r="AA1966" s="59">
        <f>IF($Y1966="","",IF(INDEX($D$6:$D$40000,$Y1966)="","",INDEX($D$6:$D$40000,$Y1966)))</f>
        <v/>
      </c>
      <c r="AB1966">
        <f>IF($Y1966="","",INDEX($L$6:$L$40000,$Y1966)&amp;"")</f>
        <v/>
      </c>
    </row>
    <row r="1967">
      <c r="Y1967" s="47">
        <f>IFERROR(MATCH(Library!M1967,$M$6:$M$40000,0),"")</f>
        <v/>
      </c>
      <c r="Z1967">
        <f>IF($Y1967="","",INDEX($C$6:$C$40000,$Y1967)&amp;"")</f>
        <v/>
      </c>
      <c r="AA1967" s="59">
        <f>IF($Y1967="","",IF(INDEX($D$6:$D$40000,$Y1967)="","",INDEX($D$6:$D$40000,$Y1967)))</f>
        <v/>
      </c>
      <c r="AB1967">
        <f>IF($Y1967="","",INDEX($L$6:$L$40000,$Y1967)&amp;"")</f>
        <v/>
      </c>
    </row>
    <row r="1968">
      <c r="Y1968" s="47">
        <f>IFERROR(MATCH(Library!M1968,$M$6:$M$40000,0),"")</f>
        <v/>
      </c>
      <c r="Z1968">
        <f>IF($Y1968="","",INDEX($C$6:$C$40000,$Y1968)&amp;"")</f>
        <v/>
      </c>
      <c r="AA1968" s="59">
        <f>IF($Y1968="","",IF(INDEX($D$6:$D$40000,$Y1968)="","",INDEX($D$6:$D$40000,$Y1968)))</f>
        <v/>
      </c>
      <c r="AB1968">
        <f>IF($Y1968="","",INDEX($L$6:$L$40000,$Y1968)&amp;"")</f>
        <v/>
      </c>
    </row>
    <row r="1969">
      <c r="Y1969" s="47">
        <f>IFERROR(MATCH(Library!M1969,$M$6:$M$40000,0),"")</f>
        <v/>
      </c>
      <c r="Z1969">
        <f>IF($Y1969="","",INDEX($C$6:$C$40000,$Y1969)&amp;"")</f>
        <v/>
      </c>
      <c r="AA1969" s="59">
        <f>IF($Y1969="","",IF(INDEX($D$6:$D$40000,$Y1969)="","",INDEX($D$6:$D$40000,$Y1969)))</f>
        <v/>
      </c>
      <c r="AB1969">
        <f>IF($Y1969="","",INDEX($L$6:$L$40000,$Y1969)&amp;"")</f>
        <v/>
      </c>
    </row>
    <row r="1970">
      <c r="Y1970" s="47">
        <f>IFERROR(MATCH(Library!M1970,$M$6:$M$40000,0),"")</f>
        <v/>
      </c>
      <c r="Z1970">
        <f>IF($Y1970="","",INDEX($C$6:$C$40000,$Y1970)&amp;"")</f>
        <v/>
      </c>
      <c r="AA1970" s="59">
        <f>IF($Y1970="","",IF(INDEX($D$6:$D$40000,$Y1970)="","",INDEX($D$6:$D$40000,$Y1970)))</f>
        <v/>
      </c>
      <c r="AB1970">
        <f>IF($Y1970="","",INDEX($L$6:$L$40000,$Y1970)&amp;"")</f>
        <v/>
      </c>
    </row>
    <row r="1971">
      <c r="Y1971" s="47">
        <f>IFERROR(MATCH(Library!M1971,$M$6:$M$40000,0),"")</f>
        <v/>
      </c>
      <c r="Z1971">
        <f>IF($Y1971="","",INDEX($C$6:$C$40000,$Y1971)&amp;"")</f>
        <v/>
      </c>
      <c r="AA1971" s="59">
        <f>IF($Y1971="","",IF(INDEX($D$6:$D$40000,$Y1971)="","",INDEX($D$6:$D$40000,$Y1971)))</f>
        <v/>
      </c>
      <c r="AB1971">
        <f>IF($Y1971="","",INDEX($L$6:$L$40000,$Y1971)&amp;"")</f>
        <v/>
      </c>
    </row>
    <row r="1972">
      <c r="Y1972" s="47">
        <f>IFERROR(MATCH(Library!M1972,$M$6:$M$40000,0),"")</f>
        <v/>
      </c>
      <c r="Z1972">
        <f>IF($Y1972="","",INDEX($C$6:$C$40000,$Y1972)&amp;"")</f>
        <v/>
      </c>
      <c r="AA1972" s="59">
        <f>IF($Y1972="","",IF(INDEX($D$6:$D$40000,$Y1972)="","",INDEX($D$6:$D$40000,$Y1972)))</f>
        <v/>
      </c>
      <c r="AB1972">
        <f>IF($Y1972="","",INDEX($L$6:$L$40000,$Y1972)&amp;"")</f>
        <v/>
      </c>
    </row>
    <row r="1973">
      <c r="Y1973" s="47">
        <f>IFERROR(MATCH(Library!M1973,$M$6:$M$40000,0),"")</f>
        <v/>
      </c>
      <c r="Z1973">
        <f>IF($Y1973="","",INDEX($C$6:$C$40000,$Y1973)&amp;"")</f>
        <v/>
      </c>
      <c r="AA1973" s="59">
        <f>IF($Y1973="","",IF(INDEX($D$6:$D$40000,$Y1973)="","",INDEX($D$6:$D$40000,$Y1973)))</f>
        <v/>
      </c>
      <c r="AB1973">
        <f>IF($Y1973="","",INDEX($L$6:$L$40000,$Y1973)&amp;"")</f>
        <v/>
      </c>
    </row>
    <row r="1974">
      <c r="Y1974" s="47">
        <f>IFERROR(MATCH(Library!M1974,$M$6:$M$40000,0),"")</f>
        <v/>
      </c>
      <c r="Z1974">
        <f>IF($Y1974="","",INDEX($C$6:$C$40000,$Y1974)&amp;"")</f>
        <v/>
      </c>
      <c r="AA1974" s="59">
        <f>IF($Y1974="","",IF(INDEX($D$6:$D$40000,$Y1974)="","",INDEX($D$6:$D$40000,$Y1974)))</f>
        <v/>
      </c>
      <c r="AB1974">
        <f>IF($Y1974="","",INDEX($L$6:$L$40000,$Y1974)&amp;"")</f>
        <v/>
      </c>
    </row>
    <row r="1975">
      <c r="Y1975" s="47">
        <f>IFERROR(MATCH(Library!M1975,$M$6:$M$40000,0),"")</f>
        <v/>
      </c>
      <c r="Z1975">
        <f>IF($Y1975="","",INDEX($C$6:$C$40000,$Y1975)&amp;"")</f>
        <v/>
      </c>
      <c r="AA1975" s="59">
        <f>IF($Y1975="","",IF(INDEX($D$6:$D$40000,$Y1975)="","",INDEX($D$6:$D$40000,$Y1975)))</f>
        <v/>
      </c>
      <c r="AB1975">
        <f>IF($Y1975="","",INDEX($L$6:$L$40000,$Y1975)&amp;"")</f>
        <v/>
      </c>
    </row>
    <row r="1976">
      <c r="Y1976" s="47">
        <f>IFERROR(MATCH(Library!M1976,$M$6:$M$40000,0),"")</f>
        <v/>
      </c>
      <c r="Z1976">
        <f>IF($Y1976="","",INDEX($C$6:$C$40000,$Y1976)&amp;"")</f>
        <v/>
      </c>
      <c r="AA1976" s="59">
        <f>IF($Y1976="","",IF(INDEX($D$6:$D$40000,$Y1976)="","",INDEX($D$6:$D$40000,$Y1976)))</f>
        <v/>
      </c>
      <c r="AB1976">
        <f>IF($Y1976="","",INDEX($L$6:$L$40000,$Y1976)&amp;"")</f>
        <v/>
      </c>
    </row>
    <row r="1977">
      <c r="Y1977" s="47">
        <f>IFERROR(MATCH(Library!M1977,$M$6:$M$40000,0),"")</f>
        <v/>
      </c>
      <c r="Z1977">
        <f>IF($Y1977="","",INDEX($C$6:$C$40000,$Y1977)&amp;"")</f>
        <v/>
      </c>
      <c r="AA1977" s="59">
        <f>IF($Y1977="","",IF(INDEX($D$6:$D$40000,$Y1977)="","",INDEX($D$6:$D$40000,$Y1977)))</f>
        <v/>
      </c>
      <c r="AB1977">
        <f>IF($Y1977="","",INDEX($L$6:$L$40000,$Y1977)&amp;"")</f>
        <v/>
      </c>
    </row>
    <row r="1978">
      <c r="Y1978" s="47">
        <f>IFERROR(MATCH(Library!M1978,$M$6:$M$40000,0),"")</f>
        <v/>
      </c>
      <c r="Z1978">
        <f>IF($Y1978="","",INDEX($C$6:$C$40000,$Y1978)&amp;"")</f>
        <v/>
      </c>
      <c r="AA1978" s="59">
        <f>IF($Y1978="","",IF(INDEX($D$6:$D$40000,$Y1978)="","",INDEX($D$6:$D$40000,$Y1978)))</f>
        <v/>
      </c>
      <c r="AB1978">
        <f>IF($Y1978="","",INDEX($L$6:$L$40000,$Y1978)&amp;"")</f>
        <v/>
      </c>
    </row>
    <row r="1979">
      <c r="Y1979" s="47">
        <f>IFERROR(MATCH(Library!M1979,$M$6:$M$40000,0),"")</f>
        <v/>
      </c>
      <c r="Z1979">
        <f>IF($Y1979="","",INDEX($C$6:$C$40000,$Y1979)&amp;"")</f>
        <v/>
      </c>
      <c r="AA1979" s="59">
        <f>IF($Y1979="","",IF(INDEX($D$6:$D$40000,$Y1979)="","",INDEX($D$6:$D$40000,$Y1979)))</f>
        <v/>
      </c>
      <c r="AB1979">
        <f>IF($Y1979="","",INDEX($L$6:$L$40000,$Y1979)&amp;"")</f>
        <v/>
      </c>
    </row>
    <row r="1980">
      <c r="Y1980" s="47">
        <f>IFERROR(MATCH(Library!M1980,$M$6:$M$40000,0),"")</f>
        <v/>
      </c>
      <c r="Z1980">
        <f>IF($Y1980="","",INDEX($C$6:$C$40000,$Y1980)&amp;"")</f>
        <v/>
      </c>
      <c r="AA1980" s="59">
        <f>IF($Y1980="","",IF(INDEX($D$6:$D$40000,$Y1980)="","",INDEX($D$6:$D$40000,$Y1980)))</f>
        <v/>
      </c>
      <c r="AB1980">
        <f>IF($Y1980="","",INDEX($L$6:$L$40000,$Y1980)&amp;"")</f>
        <v/>
      </c>
    </row>
    <row r="1981">
      <c r="Y1981" s="47">
        <f>IFERROR(MATCH(Library!M1981,$M$6:$M$40000,0),"")</f>
        <v/>
      </c>
      <c r="Z1981">
        <f>IF($Y1981="","",INDEX($C$6:$C$40000,$Y1981)&amp;"")</f>
        <v/>
      </c>
      <c r="AA1981" s="59">
        <f>IF($Y1981="","",IF(INDEX($D$6:$D$40000,$Y1981)="","",INDEX($D$6:$D$40000,$Y1981)))</f>
        <v/>
      </c>
      <c r="AB1981">
        <f>IF($Y1981="","",INDEX($L$6:$L$40000,$Y1981)&amp;"")</f>
        <v/>
      </c>
    </row>
    <row r="1982">
      <c r="Y1982" s="47">
        <f>IFERROR(MATCH(Library!M1982,$M$6:$M$40000,0),"")</f>
        <v/>
      </c>
      <c r="Z1982">
        <f>IF($Y1982="","",INDEX($C$6:$C$40000,$Y1982)&amp;"")</f>
        <v/>
      </c>
      <c r="AA1982" s="59">
        <f>IF($Y1982="","",IF(INDEX($D$6:$D$40000,$Y1982)="","",INDEX($D$6:$D$40000,$Y1982)))</f>
        <v/>
      </c>
      <c r="AB1982">
        <f>IF($Y1982="","",INDEX($L$6:$L$40000,$Y1982)&amp;"")</f>
        <v/>
      </c>
    </row>
    <row r="1983">
      <c r="Y1983" s="47">
        <f>IFERROR(MATCH(Library!M1983,$M$6:$M$40000,0),"")</f>
        <v/>
      </c>
      <c r="Z1983">
        <f>IF($Y1983="","",INDEX($C$6:$C$40000,$Y1983)&amp;"")</f>
        <v/>
      </c>
      <c r="AA1983" s="59">
        <f>IF($Y1983="","",IF(INDEX($D$6:$D$40000,$Y1983)="","",INDEX($D$6:$D$40000,$Y1983)))</f>
        <v/>
      </c>
      <c r="AB1983">
        <f>IF($Y1983="","",INDEX($L$6:$L$40000,$Y1983)&amp;"")</f>
        <v/>
      </c>
    </row>
    <row r="1984">
      <c r="Y1984" s="47">
        <f>IFERROR(MATCH(Library!M1984,$M$6:$M$40000,0),"")</f>
        <v/>
      </c>
      <c r="Z1984">
        <f>IF($Y1984="","",INDEX($C$6:$C$40000,$Y1984)&amp;"")</f>
        <v/>
      </c>
      <c r="AA1984" s="59">
        <f>IF($Y1984="","",IF(INDEX($D$6:$D$40000,$Y1984)="","",INDEX($D$6:$D$40000,$Y1984)))</f>
        <v/>
      </c>
      <c r="AB1984">
        <f>IF($Y1984="","",INDEX($L$6:$L$40000,$Y1984)&amp;"")</f>
        <v/>
      </c>
    </row>
    <row r="1985">
      <c r="Y1985" s="47">
        <f>IFERROR(MATCH(Library!M1985,$M$6:$M$40000,0),"")</f>
        <v/>
      </c>
      <c r="Z1985">
        <f>IF($Y1985="","",INDEX($C$6:$C$40000,$Y1985)&amp;"")</f>
        <v/>
      </c>
      <c r="AA1985" s="59">
        <f>IF($Y1985="","",IF(INDEX($D$6:$D$40000,$Y1985)="","",INDEX($D$6:$D$40000,$Y1985)))</f>
        <v/>
      </c>
      <c r="AB1985">
        <f>IF($Y1985="","",INDEX($L$6:$L$40000,$Y1985)&amp;"")</f>
        <v/>
      </c>
    </row>
    <row r="1986">
      <c r="Y1986" s="47">
        <f>IFERROR(MATCH(Library!M1986,$M$6:$M$40000,0),"")</f>
        <v/>
      </c>
      <c r="Z1986">
        <f>IF($Y1986="","",INDEX($C$6:$C$40000,$Y1986)&amp;"")</f>
        <v/>
      </c>
      <c r="AA1986" s="59">
        <f>IF($Y1986="","",IF(INDEX($D$6:$D$40000,$Y1986)="","",INDEX($D$6:$D$40000,$Y1986)))</f>
        <v/>
      </c>
      <c r="AB1986">
        <f>IF($Y1986="","",INDEX($L$6:$L$40000,$Y1986)&amp;"")</f>
        <v/>
      </c>
    </row>
    <row r="1987">
      <c r="Y1987" s="47">
        <f>IFERROR(MATCH(Library!M1987,$M$6:$M$40000,0),"")</f>
        <v/>
      </c>
      <c r="Z1987">
        <f>IF($Y1987="","",INDEX($C$6:$C$40000,$Y1987)&amp;"")</f>
        <v/>
      </c>
      <c r="AA1987" s="59">
        <f>IF($Y1987="","",IF(INDEX($D$6:$D$40000,$Y1987)="","",INDEX($D$6:$D$40000,$Y1987)))</f>
        <v/>
      </c>
      <c r="AB1987">
        <f>IF($Y1987="","",INDEX($L$6:$L$40000,$Y1987)&amp;"")</f>
        <v/>
      </c>
    </row>
    <row r="1988">
      <c r="Y1988" s="47">
        <f>IFERROR(MATCH(Library!M1988,$M$6:$M$40000,0),"")</f>
        <v/>
      </c>
      <c r="Z1988">
        <f>IF($Y1988="","",INDEX($C$6:$C$40000,$Y1988)&amp;"")</f>
        <v/>
      </c>
      <c r="AA1988" s="59">
        <f>IF($Y1988="","",IF(INDEX($D$6:$D$40000,$Y1988)="","",INDEX($D$6:$D$40000,$Y1988)))</f>
        <v/>
      </c>
      <c r="AB1988">
        <f>IF($Y1988="","",INDEX($L$6:$L$40000,$Y1988)&amp;"")</f>
        <v/>
      </c>
    </row>
    <row r="1989">
      <c r="Y1989" s="47">
        <f>IFERROR(MATCH(Library!M1989,$M$6:$M$40000,0),"")</f>
        <v/>
      </c>
      <c r="Z1989">
        <f>IF($Y1989="","",INDEX($C$6:$C$40000,$Y1989)&amp;"")</f>
        <v/>
      </c>
      <c r="AA1989" s="59">
        <f>IF($Y1989="","",IF(INDEX($D$6:$D$40000,$Y1989)="","",INDEX($D$6:$D$40000,$Y1989)))</f>
        <v/>
      </c>
      <c r="AB1989">
        <f>IF($Y1989="","",INDEX($L$6:$L$40000,$Y1989)&amp;"")</f>
        <v/>
      </c>
    </row>
    <row r="1990">
      <c r="Y1990" s="47">
        <f>IFERROR(MATCH(Library!M1990,$M$6:$M$40000,0),"")</f>
        <v/>
      </c>
      <c r="Z1990">
        <f>IF($Y1990="","",INDEX($C$6:$C$40000,$Y1990)&amp;"")</f>
        <v/>
      </c>
      <c r="AA1990" s="59">
        <f>IF($Y1990="","",IF(INDEX($D$6:$D$40000,$Y1990)="","",INDEX($D$6:$D$40000,$Y1990)))</f>
        <v/>
      </c>
      <c r="AB1990">
        <f>IF($Y1990="","",INDEX($L$6:$L$40000,$Y1990)&amp;"")</f>
        <v/>
      </c>
    </row>
    <row r="1991">
      <c r="Y1991" s="47">
        <f>IFERROR(MATCH(Library!M1991,$M$6:$M$40000,0),"")</f>
        <v/>
      </c>
      <c r="Z1991">
        <f>IF($Y1991="","",INDEX($C$6:$C$40000,$Y1991)&amp;"")</f>
        <v/>
      </c>
      <c r="AA1991" s="59">
        <f>IF($Y1991="","",IF(INDEX($D$6:$D$40000,$Y1991)="","",INDEX($D$6:$D$40000,$Y1991)))</f>
        <v/>
      </c>
      <c r="AB1991">
        <f>IF($Y1991="","",INDEX($L$6:$L$40000,$Y1991)&amp;"")</f>
        <v/>
      </c>
    </row>
    <row r="1992">
      <c r="Y1992" s="47">
        <f>IFERROR(MATCH(Library!M1992,$M$6:$M$40000,0),"")</f>
        <v/>
      </c>
      <c r="Z1992">
        <f>IF($Y1992="","",INDEX($C$6:$C$40000,$Y1992)&amp;"")</f>
        <v/>
      </c>
      <c r="AA1992" s="59">
        <f>IF($Y1992="","",IF(INDEX($D$6:$D$40000,$Y1992)="","",INDEX($D$6:$D$40000,$Y1992)))</f>
        <v/>
      </c>
      <c r="AB1992">
        <f>IF($Y1992="","",INDEX($L$6:$L$40000,$Y1992)&amp;"")</f>
        <v/>
      </c>
    </row>
    <row r="1993">
      <c r="Y1993" s="47">
        <f>IFERROR(MATCH(Library!M1993,$M$6:$M$40000,0),"")</f>
        <v/>
      </c>
      <c r="Z1993">
        <f>IF($Y1993="","",INDEX($C$6:$C$40000,$Y1993)&amp;"")</f>
        <v/>
      </c>
      <c r="AA1993" s="59">
        <f>IF($Y1993="","",IF(INDEX($D$6:$D$40000,$Y1993)="","",INDEX($D$6:$D$40000,$Y1993)))</f>
        <v/>
      </c>
      <c r="AB1993">
        <f>IF($Y1993="","",INDEX($L$6:$L$40000,$Y1993)&amp;"")</f>
        <v/>
      </c>
    </row>
    <row r="1994">
      <c r="Y1994" s="47">
        <f>IFERROR(MATCH(Library!M1994,$M$6:$M$40000,0),"")</f>
        <v/>
      </c>
      <c r="Z1994">
        <f>IF($Y1994="","",INDEX($C$6:$C$40000,$Y1994)&amp;"")</f>
        <v/>
      </c>
      <c r="AA1994" s="59">
        <f>IF($Y1994="","",IF(INDEX($D$6:$D$40000,$Y1994)="","",INDEX($D$6:$D$40000,$Y1994)))</f>
        <v/>
      </c>
      <c r="AB1994">
        <f>IF($Y1994="","",INDEX($L$6:$L$40000,$Y1994)&amp;"")</f>
        <v/>
      </c>
    </row>
    <row r="1995">
      <c r="Y1995" s="47">
        <f>IFERROR(MATCH(Library!M1995,$M$6:$M$40000,0),"")</f>
        <v/>
      </c>
      <c r="Z1995">
        <f>IF($Y1995="","",INDEX($C$6:$C$40000,$Y1995)&amp;"")</f>
        <v/>
      </c>
      <c r="AA1995" s="59">
        <f>IF($Y1995="","",IF(INDEX($D$6:$D$40000,$Y1995)="","",INDEX($D$6:$D$40000,$Y1995)))</f>
        <v/>
      </c>
      <c r="AB1995">
        <f>IF($Y1995="","",INDEX($L$6:$L$40000,$Y1995)&amp;"")</f>
        <v/>
      </c>
    </row>
    <row r="1996">
      <c r="Y1996" s="47">
        <f>IFERROR(MATCH(Library!M1996,$M$6:$M$40000,0),"")</f>
        <v/>
      </c>
      <c r="Z1996">
        <f>IF($Y1996="","",INDEX($C$6:$C$40000,$Y1996)&amp;"")</f>
        <v/>
      </c>
      <c r="AA1996" s="59">
        <f>IF($Y1996="","",IF(INDEX($D$6:$D$40000,$Y1996)="","",INDEX($D$6:$D$40000,$Y1996)))</f>
        <v/>
      </c>
      <c r="AB1996">
        <f>IF($Y1996="","",INDEX($L$6:$L$40000,$Y1996)&amp;"")</f>
        <v/>
      </c>
    </row>
    <row r="1997">
      <c r="Y1997" s="47">
        <f>IFERROR(MATCH(Library!M1997,$M$6:$M$40000,0),"")</f>
        <v/>
      </c>
      <c r="Z1997">
        <f>IF($Y1997="","",INDEX($C$6:$C$40000,$Y1997)&amp;"")</f>
        <v/>
      </c>
      <c r="AA1997" s="59">
        <f>IF($Y1997="","",IF(INDEX($D$6:$D$40000,$Y1997)="","",INDEX($D$6:$D$40000,$Y1997)))</f>
        <v/>
      </c>
      <c r="AB1997">
        <f>IF($Y1997="","",INDEX($L$6:$L$40000,$Y1997)&amp;"")</f>
        <v/>
      </c>
    </row>
    <row r="1998">
      <c r="Y1998" s="47">
        <f>IFERROR(MATCH(Library!M1998,$M$6:$M$40000,0),"")</f>
        <v/>
      </c>
      <c r="Z1998">
        <f>IF($Y1998="","",INDEX($C$6:$C$40000,$Y1998)&amp;"")</f>
        <v/>
      </c>
      <c r="AA1998" s="59">
        <f>IF($Y1998="","",IF(INDEX($D$6:$D$40000,$Y1998)="","",INDEX($D$6:$D$40000,$Y1998)))</f>
        <v/>
      </c>
      <c r="AB1998">
        <f>IF($Y1998="","",INDEX($L$6:$L$40000,$Y1998)&amp;"")</f>
        <v/>
      </c>
    </row>
    <row r="1999">
      <c r="Y1999" s="47">
        <f>IFERROR(MATCH(Library!M1999,$M$6:$M$40000,0),"")</f>
        <v/>
      </c>
      <c r="Z1999">
        <f>IF($Y1999="","",INDEX($C$6:$C$40000,$Y1999)&amp;"")</f>
        <v/>
      </c>
      <c r="AA1999" s="59">
        <f>IF($Y1999="","",IF(INDEX($D$6:$D$40000,$Y1999)="","",INDEX($D$6:$D$40000,$Y1999)))</f>
        <v/>
      </c>
      <c r="AB1999">
        <f>IF($Y1999="","",INDEX($L$6:$L$40000,$Y1999)&amp;"")</f>
        <v/>
      </c>
    </row>
    <row r="2000">
      <c r="Y2000" s="47">
        <f>IFERROR(MATCH(Library!M2000,$M$6:$M$40000,0),"")</f>
        <v/>
      </c>
      <c r="Z2000">
        <f>IF($Y2000="","",INDEX($C$6:$C$40000,$Y2000)&amp;"")</f>
        <v/>
      </c>
      <c r="AA2000" s="59">
        <f>IF($Y2000="","",IF(INDEX($D$6:$D$40000,$Y2000)="","",INDEX($D$6:$D$40000,$Y2000)))</f>
        <v/>
      </c>
      <c r="AB2000">
        <f>IF($Y2000="","",INDEX($L$6:$L$40000,$Y2000)&amp;"")</f>
        <v/>
      </c>
    </row>
    <row r="2001">
      <c r="Y2001" s="47">
        <f>IFERROR(MATCH(Library!M2001,$M$6:$M$40000,0),"")</f>
        <v/>
      </c>
      <c r="Z2001">
        <f>IF($Y2001="","",INDEX($C$6:$C$40000,$Y2001)&amp;"")</f>
        <v/>
      </c>
      <c r="AA2001" s="59">
        <f>IF($Y2001="","",IF(INDEX($D$6:$D$40000,$Y2001)="","",INDEX($D$6:$D$40000,$Y2001)))</f>
        <v/>
      </c>
      <c r="AB2001">
        <f>IF($Y2001="","",INDEX($L$6:$L$40000,$Y2001)&amp;"")</f>
        <v/>
      </c>
    </row>
    <row r="2002">
      <c r="Y2002" s="47">
        <f>IFERROR(MATCH(Library!M2002,$M$6:$M$40000,0),"")</f>
        <v/>
      </c>
      <c r="Z2002">
        <f>IF($Y2002="","",INDEX($C$6:$C$40000,$Y2002)&amp;"")</f>
        <v/>
      </c>
      <c r="AA2002" s="59">
        <f>IF($Y2002="","",IF(INDEX($D$6:$D$40000,$Y2002)="","",INDEX($D$6:$D$40000,$Y2002)))</f>
        <v/>
      </c>
      <c r="AB2002">
        <f>IF($Y2002="","",INDEX($L$6:$L$40000,$Y2002)&amp;"")</f>
        <v/>
      </c>
    </row>
    <row r="2003">
      <c r="Y2003" s="47">
        <f>IFERROR(MATCH(Library!M2003,$M$6:$M$40000,0),"")</f>
        <v/>
      </c>
      <c r="Z2003">
        <f>IF($Y2003="","",INDEX($C$6:$C$40000,$Y2003)&amp;"")</f>
        <v/>
      </c>
      <c r="AA2003" s="59">
        <f>IF($Y2003="","",IF(INDEX($D$6:$D$40000,$Y2003)="","",INDEX($D$6:$D$40000,$Y2003)))</f>
        <v/>
      </c>
      <c r="AB2003">
        <f>IF($Y2003="","",INDEX($L$6:$L$40000,$Y2003)&amp;"")</f>
        <v/>
      </c>
    </row>
    <row r="2004">
      <c r="Y2004" s="47">
        <f>IFERROR(MATCH(Library!M2004,$M$6:$M$40000,0),"")</f>
        <v/>
      </c>
      <c r="Z2004">
        <f>IF($Y2004="","",INDEX($C$6:$C$40000,$Y2004)&amp;"")</f>
        <v/>
      </c>
      <c r="AA2004" s="59">
        <f>IF($Y2004="","",IF(INDEX($D$6:$D$40000,$Y2004)="","",INDEX($D$6:$D$40000,$Y2004)))</f>
        <v/>
      </c>
      <c r="AB2004">
        <f>IF($Y2004="","",INDEX($L$6:$L$40000,$Y2004)&amp;"")</f>
        <v/>
      </c>
    </row>
    <row r="2005">
      <c r="Y2005" s="47">
        <f>IFERROR(MATCH(Library!M2005,$M$6:$M$40000,0),"")</f>
        <v/>
      </c>
      <c r="Z2005">
        <f>IF($Y2005="","",INDEX($C$6:$C$40000,$Y2005)&amp;"")</f>
        <v/>
      </c>
      <c r="AA2005" s="59">
        <f>IF($Y2005="","",IF(INDEX($D$6:$D$40000,$Y2005)="","",INDEX($D$6:$D$40000,$Y2005)))</f>
        <v/>
      </c>
      <c r="AB2005">
        <f>IF($Y2005="","",INDEX($L$6:$L$40000,$Y2005)&amp;"")</f>
        <v/>
      </c>
    </row>
    <row r="2006">
      <c r="Y2006" s="47">
        <f>IFERROR(MATCH(Library!M2006,$M$6:$M$40000,0),"")</f>
        <v/>
      </c>
      <c r="Z2006">
        <f>IF($Y2006="","",INDEX($C$6:$C$40000,$Y2006)&amp;"")</f>
        <v/>
      </c>
      <c r="AA2006" s="59">
        <f>IF($Y2006="","",IF(INDEX($D$6:$D$40000,$Y2006)="","",INDEX($D$6:$D$40000,$Y2006)))</f>
        <v/>
      </c>
      <c r="AB2006">
        <f>IF($Y2006="","",INDEX($L$6:$L$40000,$Y2006)&amp;"")</f>
        <v/>
      </c>
    </row>
    <row r="2007">
      <c r="Y2007" s="47">
        <f>IFERROR(MATCH(Library!M2007,$M$6:$M$40000,0),"")</f>
        <v/>
      </c>
      <c r="Z2007">
        <f>IF($Y2007="","",INDEX($C$6:$C$40000,$Y2007)&amp;"")</f>
        <v/>
      </c>
      <c r="AA2007" s="59">
        <f>IF($Y2007="","",IF(INDEX($D$6:$D$40000,$Y2007)="","",INDEX($D$6:$D$40000,$Y2007)))</f>
        <v/>
      </c>
      <c r="AB2007">
        <f>IF($Y2007="","",INDEX($L$6:$L$40000,$Y2007)&amp;"")</f>
        <v/>
      </c>
    </row>
    <row r="2008">
      <c r="Y2008" s="47">
        <f>IFERROR(MATCH(Library!M2008,$M$6:$M$40000,0),"")</f>
        <v/>
      </c>
      <c r="Z2008">
        <f>IF($Y2008="","",INDEX($C$6:$C$40000,$Y2008)&amp;"")</f>
        <v/>
      </c>
      <c r="AA2008" s="59">
        <f>IF($Y2008="","",IF(INDEX($D$6:$D$40000,$Y2008)="","",INDEX($D$6:$D$40000,$Y2008)))</f>
        <v/>
      </c>
      <c r="AB2008">
        <f>IF($Y2008="","",INDEX($L$6:$L$40000,$Y2008)&amp;"")</f>
        <v/>
      </c>
    </row>
    <row r="2009">
      <c r="Y2009" s="47">
        <f>IFERROR(MATCH(Library!M2009,$M$6:$M$40000,0),"")</f>
        <v/>
      </c>
      <c r="Z2009">
        <f>IF($Y2009="","",INDEX($C$6:$C$40000,$Y2009)&amp;"")</f>
        <v/>
      </c>
      <c r="AA2009" s="59">
        <f>IF($Y2009="","",IF(INDEX($D$6:$D$40000,$Y2009)="","",INDEX($D$6:$D$40000,$Y2009)))</f>
        <v/>
      </c>
      <c r="AB2009">
        <f>IF($Y2009="","",INDEX($L$6:$L$40000,$Y2009)&amp;"")</f>
        <v/>
      </c>
    </row>
    <row r="2010">
      <c r="Y2010" s="47">
        <f>IFERROR(MATCH(Library!M2010,$M$6:$M$40000,0),"")</f>
        <v/>
      </c>
      <c r="Z2010">
        <f>IF($Y2010="","",INDEX($C$6:$C$40000,$Y2010)&amp;"")</f>
        <v/>
      </c>
      <c r="AA2010" s="59">
        <f>IF($Y2010="","",IF(INDEX($D$6:$D$40000,$Y2010)="","",INDEX($D$6:$D$40000,$Y2010)))</f>
        <v/>
      </c>
      <c r="AB2010">
        <f>IF($Y2010="","",INDEX($L$6:$L$40000,$Y2010)&amp;"")</f>
        <v/>
      </c>
    </row>
    <row r="2011">
      <c r="Y2011" s="47">
        <f>IFERROR(MATCH(Library!M2011,$M$6:$M$40000,0),"")</f>
        <v/>
      </c>
      <c r="Z2011">
        <f>IF($Y2011="","",INDEX($C$6:$C$40000,$Y2011)&amp;"")</f>
        <v/>
      </c>
      <c r="AA2011" s="59">
        <f>IF($Y2011="","",IF(INDEX($D$6:$D$40000,$Y2011)="","",INDEX($D$6:$D$40000,$Y2011)))</f>
        <v/>
      </c>
      <c r="AB2011">
        <f>IF($Y2011="","",INDEX($L$6:$L$40000,$Y2011)&amp;"")</f>
        <v/>
      </c>
    </row>
    <row r="2012">
      <c r="Y2012" s="47">
        <f>IFERROR(MATCH(Library!M2012,$M$6:$M$40000,0),"")</f>
        <v/>
      </c>
      <c r="Z2012">
        <f>IF($Y2012="","",INDEX($C$6:$C$40000,$Y2012)&amp;"")</f>
        <v/>
      </c>
      <c r="AA2012" s="59">
        <f>IF($Y2012="","",IF(INDEX($D$6:$D$40000,$Y2012)="","",INDEX($D$6:$D$40000,$Y2012)))</f>
        <v/>
      </c>
      <c r="AB2012">
        <f>IF($Y2012="","",INDEX($L$6:$L$40000,$Y2012)&amp;"")</f>
        <v/>
      </c>
    </row>
    <row r="2013">
      <c r="Y2013" s="47">
        <f>IFERROR(MATCH(Library!M2013,$M$6:$M$40000,0),"")</f>
        <v/>
      </c>
      <c r="Z2013">
        <f>IF($Y2013="","",INDEX($C$6:$C$40000,$Y2013)&amp;"")</f>
        <v/>
      </c>
      <c r="AA2013" s="59">
        <f>IF($Y2013="","",IF(INDEX($D$6:$D$40000,$Y2013)="","",INDEX($D$6:$D$40000,$Y2013)))</f>
        <v/>
      </c>
      <c r="AB2013">
        <f>IF($Y2013="","",INDEX($L$6:$L$40000,$Y2013)&amp;"")</f>
        <v/>
      </c>
    </row>
    <row r="2014">
      <c r="Y2014" s="47">
        <f>IFERROR(MATCH(Library!M2014,$M$6:$M$40000,0),"")</f>
        <v/>
      </c>
      <c r="Z2014">
        <f>IF($Y2014="","",INDEX($C$6:$C$40000,$Y2014)&amp;"")</f>
        <v/>
      </c>
      <c r="AA2014" s="59">
        <f>IF($Y2014="","",IF(INDEX($D$6:$D$40000,$Y2014)="","",INDEX($D$6:$D$40000,$Y2014)))</f>
        <v/>
      </c>
      <c r="AB2014">
        <f>IF($Y2014="","",INDEX($L$6:$L$40000,$Y2014)&amp;"")</f>
        <v/>
      </c>
    </row>
    <row r="2015">
      <c r="Y2015" s="47">
        <f>IFERROR(MATCH(Library!M2015,$M$6:$M$40000,0),"")</f>
        <v/>
      </c>
      <c r="Z2015">
        <f>IF($Y2015="","",INDEX($C$6:$C$40000,$Y2015)&amp;"")</f>
        <v/>
      </c>
      <c r="AA2015" s="59">
        <f>IF($Y2015="","",IF(INDEX($D$6:$D$40000,$Y2015)="","",INDEX($D$6:$D$40000,$Y2015)))</f>
        <v/>
      </c>
      <c r="AB2015">
        <f>IF($Y2015="","",INDEX($L$6:$L$40000,$Y2015)&amp;"")</f>
        <v/>
      </c>
    </row>
    <row r="2016">
      <c r="Y2016" s="47">
        <f>IFERROR(MATCH(Library!M2016,$M$6:$M$40000,0),"")</f>
        <v/>
      </c>
      <c r="Z2016">
        <f>IF($Y2016="","",INDEX($C$6:$C$40000,$Y2016)&amp;"")</f>
        <v/>
      </c>
      <c r="AA2016" s="59">
        <f>IF($Y2016="","",IF(INDEX($D$6:$D$40000,$Y2016)="","",INDEX($D$6:$D$40000,$Y2016)))</f>
        <v/>
      </c>
      <c r="AB2016">
        <f>IF($Y2016="","",INDEX($L$6:$L$40000,$Y2016)&amp;"")</f>
        <v/>
      </c>
    </row>
    <row r="2017">
      <c r="Y2017" s="47">
        <f>IFERROR(MATCH(Library!M2017,$M$6:$M$40000,0),"")</f>
        <v/>
      </c>
      <c r="Z2017">
        <f>IF($Y2017="","",INDEX($C$6:$C$40000,$Y2017)&amp;"")</f>
        <v/>
      </c>
      <c r="AA2017" s="59">
        <f>IF($Y2017="","",IF(INDEX($D$6:$D$40000,$Y2017)="","",INDEX($D$6:$D$40000,$Y2017)))</f>
        <v/>
      </c>
      <c r="AB2017">
        <f>IF($Y2017="","",INDEX($L$6:$L$40000,$Y2017)&amp;"")</f>
        <v/>
      </c>
    </row>
    <row r="2018">
      <c r="Y2018" s="47">
        <f>IFERROR(MATCH(Library!M2018,$M$6:$M$40000,0),"")</f>
        <v/>
      </c>
      <c r="Z2018">
        <f>IF($Y2018="","",INDEX($C$6:$C$40000,$Y2018)&amp;"")</f>
        <v/>
      </c>
      <c r="AA2018" s="59">
        <f>IF($Y2018="","",IF(INDEX($D$6:$D$40000,$Y2018)="","",INDEX($D$6:$D$40000,$Y2018)))</f>
        <v/>
      </c>
      <c r="AB2018">
        <f>IF($Y2018="","",INDEX($L$6:$L$40000,$Y2018)&amp;"")</f>
        <v/>
      </c>
    </row>
    <row r="2019">
      <c r="Y2019" s="47">
        <f>IFERROR(MATCH(Library!M2019,$M$6:$M$40000,0),"")</f>
        <v/>
      </c>
      <c r="Z2019">
        <f>IF($Y2019="","",INDEX($C$6:$C$40000,$Y2019)&amp;"")</f>
        <v/>
      </c>
      <c r="AA2019" s="59">
        <f>IF($Y2019="","",IF(INDEX($D$6:$D$40000,$Y2019)="","",INDEX($D$6:$D$40000,$Y2019)))</f>
        <v/>
      </c>
      <c r="AB2019">
        <f>IF($Y2019="","",INDEX($L$6:$L$40000,$Y2019)&amp;"")</f>
        <v/>
      </c>
    </row>
    <row r="2020">
      <c r="Y2020" s="47">
        <f>IFERROR(MATCH(Library!M2020,$M$6:$M$40000,0),"")</f>
        <v/>
      </c>
      <c r="Z2020">
        <f>IF($Y2020="","",INDEX($C$6:$C$40000,$Y2020)&amp;"")</f>
        <v/>
      </c>
      <c r="AA2020" s="59">
        <f>IF($Y2020="","",IF(INDEX($D$6:$D$40000,$Y2020)="","",INDEX($D$6:$D$40000,$Y2020)))</f>
        <v/>
      </c>
      <c r="AB2020">
        <f>IF($Y2020="","",INDEX($L$6:$L$40000,$Y2020)&amp;"")</f>
        <v/>
      </c>
    </row>
    <row r="2021">
      <c r="Y2021" s="47">
        <f>IFERROR(MATCH(Library!M2021,$M$6:$M$40000,0),"")</f>
        <v/>
      </c>
      <c r="Z2021">
        <f>IF($Y2021="","",INDEX($C$6:$C$40000,$Y2021)&amp;"")</f>
        <v/>
      </c>
      <c r="AA2021" s="59">
        <f>IF($Y2021="","",IF(INDEX($D$6:$D$40000,$Y2021)="","",INDEX($D$6:$D$40000,$Y2021)))</f>
        <v/>
      </c>
      <c r="AB2021">
        <f>IF($Y2021="","",INDEX($L$6:$L$40000,$Y2021)&amp;"")</f>
        <v/>
      </c>
    </row>
    <row r="2022">
      <c r="Y2022" s="47">
        <f>IFERROR(MATCH(Library!M2022,$M$6:$M$40000,0),"")</f>
        <v/>
      </c>
      <c r="Z2022">
        <f>IF($Y2022="","",INDEX($C$6:$C$40000,$Y2022)&amp;"")</f>
        <v/>
      </c>
      <c r="AA2022" s="59">
        <f>IF($Y2022="","",IF(INDEX($D$6:$D$40000,$Y2022)="","",INDEX($D$6:$D$40000,$Y2022)))</f>
        <v/>
      </c>
      <c r="AB2022">
        <f>IF($Y2022="","",INDEX($L$6:$L$40000,$Y2022)&amp;"")</f>
        <v/>
      </c>
    </row>
    <row r="2023">
      <c r="Y2023" s="47">
        <f>IFERROR(MATCH(Library!M2023,$M$6:$M$40000,0),"")</f>
        <v/>
      </c>
      <c r="Z2023">
        <f>IF($Y2023="","",INDEX($C$6:$C$40000,$Y2023)&amp;"")</f>
        <v/>
      </c>
      <c r="AA2023" s="59">
        <f>IF($Y2023="","",IF(INDEX($D$6:$D$40000,$Y2023)="","",INDEX($D$6:$D$40000,$Y2023)))</f>
        <v/>
      </c>
      <c r="AB2023">
        <f>IF($Y2023="","",INDEX($L$6:$L$40000,$Y2023)&amp;"")</f>
        <v/>
      </c>
    </row>
    <row r="2024">
      <c r="Y2024" s="47">
        <f>IFERROR(MATCH(Library!M2024,$M$6:$M$40000,0),"")</f>
        <v/>
      </c>
      <c r="Z2024">
        <f>IF($Y2024="","",INDEX($C$6:$C$40000,$Y2024)&amp;"")</f>
        <v/>
      </c>
      <c r="AA2024" s="59">
        <f>IF($Y2024="","",IF(INDEX($D$6:$D$40000,$Y2024)="","",INDEX($D$6:$D$40000,$Y2024)))</f>
        <v/>
      </c>
      <c r="AB2024">
        <f>IF($Y2024="","",INDEX($L$6:$L$40000,$Y2024)&amp;"")</f>
        <v/>
      </c>
    </row>
    <row r="2025">
      <c r="Y2025" s="47">
        <f>IFERROR(MATCH(Library!M2025,$M$6:$M$40000,0),"")</f>
        <v/>
      </c>
      <c r="Z2025">
        <f>IF($Y2025="","",INDEX($C$6:$C$40000,$Y2025)&amp;"")</f>
        <v/>
      </c>
      <c r="AA2025" s="59">
        <f>IF($Y2025="","",IF(INDEX($D$6:$D$40000,$Y2025)="","",INDEX($D$6:$D$40000,$Y2025)))</f>
        <v/>
      </c>
      <c r="AB2025">
        <f>IF($Y2025="","",INDEX($L$6:$L$40000,$Y2025)&amp;"")</f>
        <v/>
      </c>
    </row>
    <row r="2026">
      <c r="Y2026" s="47">
        <f>IFERROR(MATCH(Library!M2026,$M$6:$M$40000,0),"")</f>
        <v/>
      </c>
      <c r="Z2026">
        <f>IF($Y2026="","",INDEX($C$6:$C$40000,$Y2026)&amp;"")</f>
        <v/>
      </c>
      <c r="AA2026" s="59">
        <f>IF($Y2026="","",IF(INDEX($D$6:$D$40000,$Y2026)="","",INDEX($D$6:$D$40000,$Y2026)))</f>
        <v/>
      </c>
      <c r="AB2026">
        <f>IF($Y2026="","",INDEX($L$6:$L$40000,$Y2026)&amp;"")</f>
        <v/>
      </c>
    </row>
    <row r="2027">
      <c r="Y2027" s="47">
        <f>IFERROR(MATCH(Library!M2027,$M$6:$M$40000,0),"")</f>
        <v/>
      </c>
      <c r="Z2027">
        <f>IF($Y2027="","",INDEX($C$6:$C$40000,$Y2027)&amp;"")</f>
        <v/>
      </c>
      <c r="AA2027" s="59">
        <f>IF($Y2027="","",IF(INDEX($D$6:$D$40000,$Y2027)="","",INDEX($D$6:$D$40000,$Y2027)))</f>
        <v/>
      </c>
      <c r="AB2027">
        <f>IF($Y2027="","",INDEX($L$6:$L$40000,$Y2027)&amp;"")</f>
        <v/>
      </c>
    </row>
    <row r="2028">
      <c r="Y2028" s="47">
        <f>IFERROR(MATCH(Library!M2028,$M$6:$M$40000,0),"")</f>
        <v/>
      </c>
      <c r="Z2028">
        <f>IF($Y2028="","",INDEX($C$6:$C$40000,$Y2028)&amp;"")</f>
        <v/>
      </c>
      <c r="AA2028" s="59">
        <f>IF($Y2028="","",IF(INDEX($D$6:$D$40000,$Y2028)="","",INDEX($D$6:$D$40000,$Y2028)))</f>
        <v/>
      </c>
      <c r="AB2028">
        <f>IF($Y2028="","",INDEX($L$6:$L$40000,$Y2028)&amp;"")</f>
        <v/>
      </c>
    </row>
    <row r="2029">
      <c r="Y2029" s="47">
        <f>IFERROR(MATCH(Library!M2029,$M$6:$M$40000,0),"")</f>
        <v/>
      </c>
      <c r="Z2029">
        <f>IF($Y2029="","",INDEX($C$6:$C$40000,$Y2029)&amp;"")</f>
        <v/>
      </c>
      <c r="AA2029" s="59">
        <f>IF($Y2029="","",IF(INDEX($D$6:$D$40000,$Y2029)="","",INDEX($D$6:$D$40000,$Y2029)))</f>
        <v/>
      </c>
      <c r="AB2029">
        <f>IF($Y2029="","",INDEX($L$6:$L$40000,$Y2029)&amp;"")</f>
        <v/>
      </c>
    </row>
    <row r="2030">
      <c r="Y2030" s="47">
        <f>IFERROR(MATCH(Library!M2030,$M$6:$M$40000,0),"")</f>
        <v/>
      </c>
      <c r="Z2030">
        <f>IF($Y2030="","",INDEX($C$6:$C$40000,$Y2030)&amp;"")</f>
        <v/>
      </c>
      <c r="AA2030" s="59">
        <f>IF($Y2030="","",IF(INDEX($D$6:$D$40000,$Y2030)="","",INDEX($D$6:$D$40000,$Y2030)))</f>
        <v/>
      </c>
      <c r="AB2030">
        <f>IF($Y2030="","",INDEX($L$6:$L$40000,$Y2030)&amp;"")</f>
        <v/>
      </c>
    </row>
    <row r="2031">
      <c r="Y2031" s="47">
        <f>IFERROR(MATCH(Library!M2031,$M$6:$M$40000,0),"")</f>
        <v/>
      </c>
      <c r="Z2031">
        <f>IF($Y2031="","",INDEX($C$6:$C$40000,$Y2031)&amp;"")</f>
        <v/>
      </c>
      <c r="AA2031" s="59">
        <f>IF($Y2031="","",IF(INDEX($D$6:$D$40000,$Y2031)="","",INDEX($D$6:$D$40000,$Y2031)))</f>
        <v/>
      </c>
      <c r="AB2031">
        <f>IF($Y2031="","",INDEX($L$6:$L$40000,$Y2031)&amp;"")</f>
        <v/>
      </c>
    </row>
    <row r="2032">
      <c r="Y2032" s="47">
        <f>IFERROR(MATCH(Library!M2032,$M$6:$M$40000,0),"")</f>
        <v/>
      </c>
      <c r="Z2032">
        <f>IF($Y2032="","",INDEX($C$6:$C$40000,$Y2032)&amp;"")</f>
        <v/>
      </c>
      <c r="AA2032" s="59">
        <f>IF($Y2032="","",IF(INDEX($D$6:$D$40000,$Y2032)="","",INDEX($D$6:$D$40000,$Y2032)))</f>
        <v/>
      </c>
      <c r="AB2032">
        <f>IF($Y2032="","",INDEX($L$6:$L$40000,$Y2032)&amp;"")</f>
        <v/>
      </c>
    </row>
    <row r="2033">
      <c r="Y2033" s="47">
        <f>IFERROR(MATCH(Library!M2033,$M$6:$M$40000,0),"")</f>
        <v/>
      </c>
      <c r="Z2033">
        <f>IF($Y2033="","",INDEX($C$6:$C$40000,$Y2033)&amp;"")</f>
        <v/>
      </c>
      <c r="AA2033" s="59">
        <f>IF($Y2033="","",IF(INDEX($D$6:$D$40000,$Y2033)="","",INDEX($D$6:$D$40000,$Y2033)))</f>
        <v/>
      </c>
      <c r="AB2033">
        <f>IF($Y2033="","",INDEX($L$6:$L$40000,$Y2033)&amp;"")</f>
        <v/>
      </c>
    </row>
    <row r="2034">
      <c r="Y2034" s="47">
        <f>IFERROR(MATCH(Library!M2034,$M$6:$M$40000,0),"")</f>
        <v/>
      </c>
      <c r="Z2034">
        <f>IF($Y2034="","",INDEX($C$6:$C$40000,$Y2034)&amp;"")</f>
        <v/>
      </c>
      <c r="AA2034" s="59">
        <f>IF($Y2034="","",IF(INDEX($D$6:$D$40000,$Y2034)="","",INDEX($D$6:$D$40000,$Y2034)))</f>
        <v/>
      </c>
      <c r="AB2034">
        <f>IF($Y2034="","",INDEX($L$6:$L$40000,$Y2034)&amp;"")</f>
        <v/>
      </c>
    </row>
    <row r="2035">
      <c r="Y2035" s="47">
        <f>IFERROR(MATCH(Library!M2035,$M$6:$M$40000,0),"")</f>
        <v/>
      </c>
      <c r="Z2035">
        <f>IF($Y2035="","",INDEX($C$6:$C$40000,$Y2035)&amp;"")</f>
        <v/>
      </c>
      <c r="AA2035" s="59">
        <f>IF($Y2035="","",IF(INDEX($D$6:$D$40000,$Y2035)="","",INDEX($D$6:$D$40000,$Y2035)))</f>
        <v/>
      </c>
      <c r="AB2035">
        <f>IF($Y2035="","",INDEX($L$6:$L$40000,$Y2035)&amp;"")</f>
        <v/>
      </c>
    </row>
    <row r="2036">
      <c r="Y2036" s="47">
        <f>IFERROR(MATCH(Library!M2036,$M$6:$M$40000,0),"")</f>
        <v/>
      </c>
      <c r="Z2036">
        <f>IF($Y2036="","",INDEX($C$6:$C$40000,$Y2036)&amp;"")</f>
        <v/>
      </c>
      <c r="AA2036" s="59">
        <f>IF($Y2036="","",IF(INDEX($D$6:$D$40000,$Y2036)="","",INDEX($D$6:$D$40000,$Y2036)))</f>
        <v/>
      </c>
      <c r="AB2036">
        <f>IF($Y2036="","",INDEX($L$6:$L$40000,$Y2036)&amp;"")</f>
        <v/>
      </c>
    </row>
    <row r="2037">
      <c r="Y2037" s="47">
        <f>IFERROR(MATCH(Library!M2037,$M$6:$M$40000,0),"")</f>
        <v/>
      </c>
      <c r="Z2037">
        <f>IF($Y2037="","",INDEX($C$6:$C$40000,$Y2037)&amp;"")</f>
        <v/>
      </c>
      <c r="AA2037" s="59">
        <f>IF($Y2037="","",IF(INDEX($D$6:$D$40000,$Y2037)="","",INDEX($D$6:$D$40000,$Y2037)))</f>
        <v/>
      </c>
      <c r="AB2037">
        <f>IF($Y2037="","",INDEX($L$6:$L$40000,$Y2037)&amp;"")</f>
        <v/>
      </c>
    </row>
    <row r="2038">
      <c r="Y2038" s="47">
        <f>IFERROR(MATCH(Library!M2038,$M$6:$M$40000,0),"")</f>
        <v/>
      </c>
      <c r="Z2038">
        <f>IF($Y2038="","",INDEX($C$6:$C$40000,$Y2038)&amp;"")</f>
        <v/>
      </c>
      <c r="AA2038" s="59">
        <f>IF($Y2038="","",IF(INDEX($D$6:$D$40000,$Y2038)="","",INDEX($D$6:$D$40000,$Y2038)))</f>
        <v/>
      </c>
      <c r="AB2038">
        <f>IF($Y2038="","",INDEX($L$6:$L$40000,$Y2038)&amp;"")</f>
        <v/>
      </c>
    </row>
    <row r="2039">
      <c r="Y2039" s="47">
        <f>IFERROR(MATCH(Library!M2039,$M$6:$M$40000,0),"")</f>
        <v/>
      </c>
      <c r="Z2039">
        <f>IF($Y2039="","",INDEX($C$6:$C$40000,$Y2039)&amp;"")</f>
        <v/>
      </c>
      <c r="AA2039" s="59">
        <f>IF($Y2039="","",IF(INDEX($D$6:$D$40000,$Y2039)="","",INDEX($D$6:$D$40000,$Y2039)))</f>
        <v/>
      </c>
      <c r="AB2039">
        <f>IF($Y2039="","",INDEX($L$6:$L$40000,$Y2039)&amp;"")</f>
        <v/>
      </c>
    </row>
    <row r="2040">
      <c r="Y2040" s="47">
        <f>IFERROR(MATCH(Library!M2040,$M$6:$M$40000,0),"")</f>
        <v/>
      </c>
      <c r="Z2040">
        <f>IF($Y2040="","",INDEX($C$6:$C$40000,$Y2040)&amp;"")</f>
        <v/>
      </c>
      <c r="AA2040" s="59">
        <f>IF($Y2040="","",IF(INDEX($D$6:$D$40000,$Y2040)="","",INDEX($D$6:$D$40000,$Y2040)))</f>
        <v/>
      </c>
      <c r="AB2040">
        <f>IF($Y2040="","",INDEX($L$6:$L$40000,$Y2040)&amp;"")</f>
        <v/>
      </c>
    </row>
    <row r="2041">
      <c r="Y2041" s="47">
        <f>IFERROR(MATCH(Library!M2041,$M$6:$M$40000,0),"")</f>
        <v/>
      </c>
      <c r="Z2041">
        <f>IF($Y2041="","",INDEX($C$6:$C$40000,$Y2041)&amp;"")</f>
        <v/>
      </c>
      <c r="AA2041" s="59">
        <f>IF($Y2041="","",IF(INDEX($D$6:$D$40000,$Y2041)="","",INDEX($D$6:$D$40000,$Y2041)))</f>
        <v/>
      </c>
      <c r="AB2041">
        <f>IF($Y2041="","",INDEX($L$6:$L$40000,$Y2041)&amp;"")</f>
        <v/>
      </c>
    </row>
    <row r="2042">
      <c r="Y2042" s="47">
        <f>IFERROR(MATCH(Library!M2042,$M$6:$M$40000,0),"")</f>
        <v/>
      </c>
      <c r="Z2042">
        <f>IF($Y2042="","",INDEX($C$6:$C$40000,$Y2042)&amp;"")</f>
        <v/>
      </c>
      <c r="AA2042" s="59">
        <f>IF($Y2042="","",IF(INDEX($D$6:$D$40000,$Y2042)="","",INDEX($D$6:$D$40000,$Y2042)))</f>
        <v/>
      </c>
      <c r="AB2042">
        <f>IF($Y2042="","",INDEX($L$6:$L$40000,$Y2042)&amp;"")</f>
        <v/>
      </c>
    </row>
    <row r="2043">
      <c r="Y2043" s="47">
        <f>IFERROR(MATCH(Library!M2043,$M$6:$M$40000,0),"")</f>
        <v/>
      </c>
      <c r="Z2043">
        <f>IF($Y2043="","",INDEX($C$6:$C$40000,$Y2043)&amp;"")</f>
        <v/>
      </c>
      <c r="AA2043" s="59">
        <f>IF($Y2043="","",IF(INDEX($D$6:$D$40000,$Y2043)="","",INDEX($D$6:$D$40000,$Y2043)))</f>
        <v/>
      </c>
      <c r="AB2043">
        <f>IF($Y2043="","",INDEX($L$6:$L$40000,$Y2043)&amp;"")</f>
        <v/>
      </c>
    </row>
    <row r="2044">
      <c r="Y2044" s="47">
        <f>IFERROR(MATCH(Library!M2044,$M$6:$M$40000,0),"")</f>
        <v/>
      </c>
      <c r="Z2044">
        <f>IF($Y2044="","",INDEX($C$6:$C$40000,$Y2044)&amp;"")</f>
        <v/>
      </c>
      <c r="AA2044" s="59">
        <f>IF($Y2044="","",IF(INDEX($D$6:$D$40000,$Y2044)="","",INDEX($D$6:$D$40000,$Y2044)))</f>
        <v/>
      </c>
      <c r="AB2044">
        <f>IF($Y2044="","",INDEX($L$6:$L$40000,$Y2044)&amp;"")</f>
        <v/>
      </c>
    </row>
    <row r="2045">
      <c r="Y2045" s="47">
        <f>IFERROR(MATCH(Library!M2045,$M$6:$M$40000,0),"")</f>
        <v/>
      </c>
      <c r="Z2045">
        <f>IF($Y2045="","",INDEX($C$6:$C$40000,$Y2045)&amp;"")</f>
        <v/>
      </c>
      <c r="AA2045" s="59">
        <f>IF($Y2045="","",IF(INDEX($D$6:$D$40000,$Y2045)="","",INDEX($D$6:$D$40000,$Y2045)))</f>
        <v/>
      </c>
      <c r="AB2045">
        <f>IF($Y2045="","",INDEX($L$6:$L$40000,$Y2045)&amp;"")</f>
        <v/>
      </c>
    </row>
    <row r="2046">
      <c r="Y2046" s="47">
        <f>IFERROR(MATCH(Library!M2046,$M$6:$M$40000,0),"")</f>
        <v/>
      </c>
      <c r="Z2046">
        <f>IF($Y2046="","",INDEX($C$6:$C$40000,$Y2046)&amp;"")</f>
        <v/>
      </c>
      <c r="AA2046" s="59">
        <f>IF($Y2046="","",IF(INDEX($D$6:$D$40000,$Y2046)="","",INDEX($D$6:$D$40000,$Y2046)))</f>
        <v/>
      </c>
      <c r="AB2046">
        <f>IF($Y2046="","",INDEX($L$6:$L$40000,$Y2046)&amp;"")</f>
        <v/>
      </c>
    </row>
    <row r="2047">
      <c r="Y2047" s="47">
        <f>IFERROR(MATCH(Library!M2047,$M$6:$M$40000,0),"")</f>
        <v/>
      </c>
      <c r="Z2047">
        <f>IF($Y2047="","",INDEX($C$6:$C$40000,$Y2047)&amp;"")</f>
        <v/>
      </c>
      <c r="AA2047" s="59">
        <f>IF($Y2047="","",IF(INDEX($D$6:$D$40000,$Y2047)="","",INDEX($D$6:$D$40000,$Y2047)))</f>
        <v/>
      </c>
      <c r="AB2047">
        <f>IF($Y2047="","",INDEX($L$6:$L$40000,$Y2047)&amp;"")</f>
        <v/>
      </c>
    </row>
    <row r="2048">
      <c r="Y2048" s="47">
        <f>IFERROR(MATCH(Library!M2048,$M$6:$M$40000,0),"")</f>
        <v/>
      </c>
      <c r="Z2048">
        <f>IF($Y2048="","",INDEX($C$6:$C$40000,$Y2048)&amp;"")</f>
        <v/>
      </c>
      <c r="AA2048" s="59">
        <f>IF($Y2048="","",IF(INDEX($D$6:$D$40000,$Y2048)="","",INDEX($D$6:$D$40000,$Y2048)))</f>
        <v/>
      </c>
      <c r="AB2048">
        <f>IF($Y2048="","",INDEX($L$6:$L$40000,$Y2048)&amp;"")</f>
        <v/>
      </c>
    </row>
    <row r="2049">
      <c r="Y2049" s="47">
        <f>IFERROR(MATCH(Library!M2049,$M$6:$M$40000,0),"")</f>
        <v/>
      </c>
      <c r="Z2049">
        <f>IF($Y2049="","",INDEX($C$6:$C$40000,$Y2049)&amp;"")</f>
        <v/>
      </c>
      <c r="AA2049" s="59">
        <f>IF($Y2049="","",IF(INDEX($D$6:$D$40000,$Y2049)="","",INDEX($D$6:$D$40000,$Y2049)))</f>
        <v/>
      </c>
      <c r="AB2049">
        <f>IF($Y2049="","",INDEX($L$6:$L$40000,$Y2049)&amp;"")</f>
        <v/>
      </c>
    </row>
    <row r="2050">
      <c r="Y2050" s="47">
        <f>IFERROR(MATCH(Library!M2050,$M$6:$M$40000,0),"")</f>
        <v/>
      </c>
      <c r="Z2050">
        <f>IF($Y2050="","",INDEX($C$6:$C$40000,$Y2050)&amp;"")</f>
        <v/>
      </c>
      <c r="AA2050" s="59">
        <f>IF($Y2050="","",IF(INDEX($D$6:$D$40000,$Y2050)="","",INDEX($D$6:$D$40000,$Y2050)))</f>
        <v/>
      </c>
      <c r="AB2050">
        <f>IF($Y2050="","",INDEX($L$6:$L$40000,$Y2050)&amp;"")</f>
        <v/>
      </c>
    </row>
    <row r="2051">
      <c r="Y2051" s="47">
        <f>IFERROR(MATCH(Library!M2051,$M$6:$M$40000,0),"")</f>
        <v/>
      </c>
      <c r="Z2051">
        <f>IF($Y2051="","",INDEX($C$6:$C$40000,$Y2051)&amp;"")</f>
        <v/>
      </c>
      <c r="AA2051" s="59">
        <f>IF($Y2051="","",IF(INDEX($D$6:$D$40000,$Y2051)="","",INDEX($D$6:$D$40000,$Y2051)))</f>
        <v/>
      </c>
      <c r="AB2051">
        <f>IF($Y2051="","",INDEX($L$6:$L$40000,$Y2051)&amp;"")</f>
        <v/>
      </c>
    </row>
    <row r="2052">
      <c r="Y2052" s="47">
        <f>IFERROR(MATCH(Library!M2052,$M$6:$M$40000,0),"")</f>
        <v/>
      </c>
      <c r="Z2052">
        <f>IF($Y2052="","",INDEX($C$6:$C$40000,$Y2052)&amp;"")</f>
        <v/>
      </c>
      <c r="AA2052" s="59">
        <f>IF($Y2052="","",IF(INDEX($D$6:$D$40000,$Y2052)="","",INDEX($D$6:$D$40000,$Y2052)))</f>
        <v/>
      </c>
      <c r="AB2052">
        <f>IF($Y2052="","",INDEX($L$6:$L$40000,$Y2052)&amp;"")</f>
        <v/>
      </c>
    </row>
    <row r="2053">
      <c r="Y2053" s="47">
        <f>IFERROR(MATCH(Library!M2053,$M$6:$M$40000,0),"")</f>
        <v/>
      </c>
      <c r="Z2053">
        <f>IF($Y2053="","",INDEX($C$6:$C$40000,$Y2053)&amp;"")</f>
        <v/>
      </c>
      <c r="AA2053" s="59">
        <f>IF($Y2053="","",IF(INDEX($D$6:$D$40000,$Y2053)="","",INDEX($D$6:$D$40000,$Y2053)))</f>
        <v/>
      </c>
      <c r="AB2053">
        <f>IF($Y2053="","",INDEX($L$6:$L$40000,$Y2053)&amp;"")</f>
        <v/>
      </c>
    </row>
    <row r="2054">
      <c r="Y2054" s="47">
        <f>IFERROR(MATCH(Library!M2054,$M$6:$M$40000,0),"")</f>
        <v/>
      </c>
      <c r="Z2054">
        <f>IF($Y2054="","",INDEX($C$6:$C$40000,$Y2054)&amp;"")</f>
        <v/>
      </c>
      <c r="AA2054" s="59">
        <f>IF($Y2054="","",IF(INDEX($D$6:$D$40000,$Y2054)="","",INDEX($D$6:$D$40000,$Y2054)))</f>
        <v/>
      </c>
      <c r="AB2054">
        <f>IF($Y2054="","",INDEX($L$6:$L$40000,$Y2054)&amp;"")</f>
        <v/>
      </c>
    </row>
    <row r="2055">
      <c r="Y2055" s="47">
        <f>IFERROR(MATCH(Library!M2055,$M$6:$M$40000,0),"")</f>
        <v/>
      </c>
      <c r="Z2055">
        <f>IF($Y2055="","",INDEX($C$6:$C$40000,$Y2055)&amp;"")</f>
        <v/>
      </c>
      <c r="AA2055" s="59">
        <f>IF($Y2055="","",IF(INDEX($D$6:$D$40000,$Y2055)="","",INDEX($D$6:$D$40000,$Y2055)))</f>
        <v/>
      </c>
      <c r="AB2055">
        <f>IF($Y2055="","",INDEX($L$6:$L$40000,$Y2055)&amp;"")</f>
        <v/>
      </c>
    </row>
    <row r="2056">
      <c r="Y2056" s="47">
        <f>IFERROR(MATCH(Library!M2056,$M$6:$M$40000,0),"")</f>
        <v/>
      </c>
      <c r="Z2056">
        <f>IF($Y2056="","",INDEX($C$6:$C$40000,$Y2056)&amp;"")</f>
        <v/>
      </c>
      <c r="AA2056" s="59">
        <f>IF($Y2056="","",IF(INDEX($D$6:$D$40000,$Y2056)="","",INDEX($D$6:$D$40000,$Y2056)))</f>
        <v/>
      </c>
      <c r="AB2056">
        <f>IF($Y2056="","",INDEX($L$6:$L$40000,$Y2056)&amp;"")</f>
        <v/>
      </c>
    </row>
    <row r="2057">
      <c r="Y2057" s="47">
        <f>IFERROR(MATCH(Library!M2057,$M$6:$M$40000,0),"")</f>
        <v/>
      </c>
      <c r="Z2057">
        <f>IF($Y2057="","",INDEX($C$6:$C$40000,$Y2057)&amp;"")</f>
        <v/>
      </c>
      <c r="AA2057" s="59">
        <f>IF($Y2057="","",IF(INDEX($D$6:$D$40000,$Y2057)="","",INDEX($D$6:$D$40000,$Y2057)))</f>
        <v/>
      </c>
      <c r="AB2057">
        <f>IF($Y2057="","",INDEX($L$6:$L$40000,$Y2057)&amp;"")</f>
        <v/>
      </c>
    </row>
    <row r="2058">
      <c r="Y2058" s="47">
        <f>IFERROR(MATCH(Library!M2058,$M$6:$M$40000,0),"")</f>
        <v/>
      </c>
      <c r="Z2058">
        <f>IF($Y2058="","",INDEX($C$6:$C$40000,$Y2058)&amp;"")</f>
        <v/>
      </c>
      <c r="AA2058" s="59">
        <f>IF($Y2058="","",IF(INDEX($D$6:$D$40000,$Y2058)="","",INDEX($D$6:$D$40000,$Y2058)))</f>
        <v/>
      </c>
      <c r="AB2058">
        <f>IF($Y2058="","",INDEX($L$6:$L$40000,$Y2058)&amp;"")</f>
        <v/>
      </c>
    </row>
    <row r="2059">
      <c r="Y2059" s="47">
        <f>IFERROR(MATCH(Library!M2059,$M$6:$M$40000,0),"")</f>
        <v/>
      </c>
      <c r="Z2059">
        <f>IF($Y2059="","",INDEX($C$6:$C$40000,$Y2059)&amp;"")</f>
        <v/>
      </c>
      <c r="AA2059" s="59">
        <f>IF($Y2059="","",IF(INDEX($D$6:$D$40000,$Y2059)="","",INDEX($D$6:$D$40000,$Y2059)))</f>
        <v/>
      </c>
      <c r="AB2059">
        <f>IF($Y2059="","",INDEX($L$6:$L$40000,$Y2059)&amp;"")</f>
        <v/>
      </c>
    </row>
    <row r="2060">
      <c r="Y2060" s="47">
        <f>IFERROR(MATCH(Library!M2060,$M$6:$M$40000,0),"")</f>
        <v/>
      </c>
      <c r="Z2060">
        <f>IF($Y2060="","",INDEX($C$6:$C$40000,$Y2060)&amp;"")</f>
        <v/>
      </c>
      <c r="AA2060" s="59">
        <f>IF($Y2060="","",IF(INDEX($D$6:$D$40000,$Y2060)="","",INDEX($D$6:$D$40000,$Y2060)))</f>
        <v/>
      </c>
      <c r="AB2060">
        <f>IF($Y2060="","",INDEX($L$6:$L$40000,$Y2060)&amp;"")</f>
        <v/>
      </c>
    </row>
    <row r="2061">
      <c r="Y2061" s="47">
        <f>IFERROR(MATCH(Library!M2061,$M$6:$M$40000,0),"")</f>
        <v/>
      </c>
      <c r="Z2061">
        <f>IF($Y2061="","",INDEX($C$6:$C$40000,$Y2061)&amp;"")</f>
        <v/>
      </c>
      <c r="AA2061" s="59">
        <f>IF($Y2061="","",IF(INDEX($D$6:$D$40000,$Y2061)="","",INDEX($D$6:$D$40000,$Y2061)))</f>
        <v/>
      </c>
      <c r="AB2061">
        <f>IF($Y2061="","",INDEX($L$6:$L$40000,$Y2061)&amp;"")</f>
        <v/>
      </c>
    </row>
    <row r="2062">
      <c r="Y2062" s="47">
        <f>IFERROR(MATCH(Library!M2062,$M$6:$M$40000,0),"")</f>
        <v/>
      </c>
      <c r="Z2062">
        <f>IF($Y2062="","",INDEX($C$6:$C$40000,$Y2062)&amp;"")</f>
        <v/>
      </c>
      <c r="AA2062" s="59">
        <f>IF($Y2062="","",IF(INDEX($D$6:$D$40000,$Y2062)="","",INDEX($D$6:$D$40000,$Y2062)))</f>
        <v/>
      </c>
      <c r="AB2062">
        <f>IF($Y2062="","",INDEX($L$6:$L$40000,$Y2062)&amp;"")</f>
        <v/>
      </c>
    </row>
    <row r="2063">
      <c r="Y2063" s="47">
        <f>IFERROR(MATCH(Library!M2063,$M$6:$M$40000,0),"")</f>
        <v/>
      </c>
      <c r="Z2063">
        <f>IF($Y2063="","",INDEX($C$6:$C$40000,$Y2063)&amp;"")</f>
        <v/>
      </c>
      <c r="AA2063" s="59">
        <f>IF($Y2063="","",IF(INDEX($D$6:$D$40000,$Y2063)="","",INDEX($D$6:$D$40000,$Y2063)))</f>
        <v/>
      </c>
      <c r="AB2063">
        <f>IF($Y2063="","",INDEX($L$6:$L$40000,$Y2063)&amp;"")</f>
        <v/>
      </c>
    </row>
    <row r="2064">
      <c r="Y2064" s="47">
        <f>IFERROR(MATCH(Library!M2064,$M$6:$M$40000,0),"")</f>
        <v/>
      </c>
      <c r="Z2064">
        <f>IF($Y2064="","",INDEX($C$6:$C$40000,$Y2064)&amp;"")</f>
        <v/>
      </c>
      <c r="AA2064" s="59">
        <f>IF($Y2064="","",IF(INDEX($D$6:$D$40000,$Y2064)="","",INDEX($D$6:$D$40000,$Y2064)))</f>
        <v/>
      </c>
      <c r="AB2064">
        <f>IF($Y2064="","",INDEX($L$6:$L$40000,$Y2064)&amp;"")</f>
        <v/>
      </c>
    </row>
    <row r="2065">
      <c r="Y2065" s="47">
        <f>IFERROR(MATCH(Library!M2065,$M$6:$M$40000,0),"")</f>
        <v/>
      </c>
      <c r="Z2065">
        <f>IF($Y2065="","",INDEX($C$6:$C$40000,$Y2065)&amp;"")</f>
        <v/>
      </c>
      <c r="AA2065" s="59">
        <f>IF($Y2065="","",IF(INDEX($D$6:$D$40000,$Y2065)="","",INDEX($D$6:$D$40000,$Y2065)))</f>
        <v/>
      </c>
      <c r="AB2065">
        <f>IF($Y2065="","",INDEX($L$6:$L$40000,$Y2065)&amp;"")</f>
        <v/>
      </c>
    </row>
    <row r="2066">
      <c r="Y2066" s="47">
        <f>IFERROR(MATCH(Library!M2066,$M$6:$M$40000,0),"")</f>
        <v/>
      </c>
      <c r="Z2066">
        <f>IF($Y2066="","",INDEX($C$6:$C$40000,$Y2066)&amp;"")</f>
        <v/>
      </c>
      <c r="AA2066" s="59">
        <f>IF($Y2066="","",IF(INDEX($D$6:$D$40000,$Y2066)="","",INDEX($D$6:$D$40000,$Y2066)))</f>
        <v/>
      </c>
      <c r="AB2066">
        <f>IF($Y2066="","",INDEX($L$6:$L$40000,$Y2066)&amp;"")</f>
        <v/>
      </c>
    </row>
    <row r="2067">
      <c r="Y2067" s="47">
        <f>IFERROR(MATCH(Library!M2067,$M$6:$M$40000,0),"")</f>
        <v/>
      </c>
      <c r="Z2067">
        <f>IF($Y2067="","",INDEX($C$6:$C$40000,$Y2067)&amp;"")</f>
        <v/>
      </c>
      <c r="AA2067" s="59">
        <f>IF($Y2067="","",IF(INDEX($D$6:$D$40000,$Y2067)="","",INDEX($D$6:$D$40000,$Y2067)))</f>
        <v/>
      </c>
      <c r="AB2067">
        <f>IF($Y2067="","",INDEX($L$6:$L$40000,$Y2067)&amp;"")</f>
        <v/>
      </c>
    </row>
    <row r="2068">
      <c r="Y2068" s="47">
        <f>IFERROR(MATCH(Library!M2068,$M$6:$M$40000,0),"")</f>
        <v/>
      </c>
      <c r="Z2068">
        <f>IF($Y2068="","",INDEX($C$6:$C$40000,$Y2068)&amp;"")</f>
        <v/>
      </c>
      <c r="AA2068" s="59">
        <f>IF($Y2068="","",IF(INDEX($D$6:$D$40000,$Y2068)="","",INDEX($D$6:$D$40000,$Y2068)))</f>
        <v/>
      </c>
      <c r="AB2068">
        <f>IF($Y2068="","",INDEX($L$6:$L$40000,$Y2068)&amp;"")</f>
        <v/>
      </c>
    </row>
    <row r="2069">
      <c r="Y2069" s="47">
        <f>IFERROR(MATCH(Library!M2069,$M$6:$M$40000,0),"")</f>
        <v/>
      </c>
      <c r="Z2069">
        <f>IF($Y2069="","",INDEX($C$6:$C$40000,$Y2069)&amp;"")</f>
        <v/>
      </c>
      <c r="AA2069" s="59">
        <f>IF($Y2069="","",IF(INDEX($D$6:$D$40000,$Y2069)="","",INDEX($D$6:$D$40000,$Y2069)))</f>
        <v/>
      </c>
      <c r="AB2069">
        <f>IF($Y2069="","",INDEX($L$6:$L$40000,$Y2069)&amp;"")</f>
        <v/>
      </c>
    </row>
    <row r="2070">
      <c r="Y2070" s="47">
        <f>IFERROR(MATCH(Library!M2070,$M$6:$M$40000,0),"")</f>
        <v/>
      </c>
      <c r="Z2070">
        <f>IF($Y2070="","",INDEX($C$6:$C$40000,$Y2070)&amp;"")</f>
        <v/>
      </c>
      <c r="AA2070" s="59">
        <f>IF($Y2070="","",IF(INDEX($D$6:$D$40000,$Y2070)="","",INDEX($D$6:$D$40000,$Y2070)))</f>
        <v/>
      </c>
      <c r="AB2070">
        <f>IF($Y2070="","",INDEX($L$6:$L$40000,$Y2070)&amp;"")</f>
        <v/>
      </c>
    </row>
    <row r="2071">
      <c r="Y2071" s="47">
        <f>IFERROR(MATCH(Library!M2071,$M$6:$M$40000,0),"")</f>
        <v/>
      </c>
      <c r="Z2071">
        <f>IF($Y2071="","",INDEX($C$6:$C$40000,$Y2071)&amp;"")</f>
        <v/>
      </c>
      <c r="AA2071" s="59">
        <f>IF($Y2071="","",IF(INDEX($D$6:$D$40000,$Y2071)="","",INDEX($D$6:$D$40000,$Y2071)))</f>
        <v/>
      </c>
      <c r="AB2071">
        <f>IF($Y2071="","",INDEX($L$6:$L$40000,$Y2071)&amp;"")</f>
        <v/>
      </c>
    </row>
    <row r="2072">
      <c r="Y2072" s="47">
        <f>IFERROR(MATCH(Library!M2072,$M$6:$M$40000,0),"")</f>
        <v/>
      </c>
      <c r="Z2072">
        <f>IF($Y2072="","",INDEX($C$6:$C$40000,$Y2072)&amp;"")</f>
        <v/>
      </c>
      <c r="AA2072" s="59">
        <f>IF($Y2072="","",IF(INDEX($D$6:$D$40000,$Y2072)="","",INDEX($D$6:$D$40000,$Y2072)))</f>
        <v/>
      </c>
      <c r="AB2072">
        <f>IF($Y2072="","",INDEX($L$6:$L$40000,$Y2072)&amp;"")</f>
        <v/>
      </c>
    </row>
    <row r="2073">
      <c r="Y2073" s="47">
        <f>IFERROR(MATCH(Library!M2073,$M$6:$M$40000,0),"")</f>
        <v/>
      </c>
      <c r="Z2073">
        <f>IF($Y2073="","",INDEX($C$6:$C$40000,$Y2073)&amp;"")</f>
        <v/>
      </c>
      <c r="AA2073" s="59">
        <f>IF($Y2073="","",IF(INDEX($D$6:$D$40000,$Y2073)="","",INDEX($D$6:$D$40000,$Y2073)))</f>
        <v/>
      </c>
      <c r="AB2073">
        <f>IF($Y2073="","",INDEX($L$6:$L$40000,$Y2073)&amp;"")</f>
        <v/>
      </c>
    </row>
    <row r="2074">
      <c r="Y2074" s="47">
        <f>IFERROR(MATCH(Library!M2074,$M$6:$M$40000,0),"")</f>
        <v/>
      </c>
      <c r="Z2074">
        <f>IF($Y2074="","",INDEX($C$6:$C$40000,$Y2074)&amp;"")</f>
        <v/>
      </c>
      <c r="AA2074" s="59">
        <f>IF($Y2074="","",IF(INDEX($D$6:$D$40000,$Y2074)="","",INDEX($D$6:$D$40000,$Y2074)))</f>
        <v/>
      </c>
      <c r="AB2074">
        <f>IF($Y2074="","",INDEX($L$6:$L$40000,$Y2074)&amp;"")</f>
        <v/>
      </c>
    </row>
    <row r="2075">
      <c r="Y2075" s="47">
        <f>IFERROR(MATCH(Library!M2075,$M$6:$M$40000,0),"")</f>
        <v/>
      </c>
      <c r="Z2075">
        <f>IF($Y2075="","",INDEX($C$6:$C$40000,$Y2075)&amp;"")</f>
        <v/>
      </c>
      <c r="AA2075" s="59">
        <f>IF($Y2075="","",IF(INDEX($D$6:$D$40000,$Y2075)="","",INDEX($D$6:$D$40000,$Y2075)))</f>
        <v/>
      </c>
      <c r="AB2075">
        <f>IF($Y2075="","",INDEX($L$6:$L$40000,$Y2075)&amp;"")</f>
        <v/>
      </c>
    </row>
    <row r="2076">
      <c r="Y2076" s="47">
        <f>IFERROR(MATCH(Library!M2076,$M$6:$M$40000,0),"")</f>
        <v/>
      </c>
      <c r="Z2076">
        <f>IF($Y2076="","",INDEX($C$6:$C$40000,$Y2076)&amp;"")</f>
        <v/>
      </c>
      <c r="AA2076" s="59">
        <f>IF($Y2076="","",IF(INDEX($D$6:$D$40000,$Y2076)="","",INDEX($D$6:$D$40000,$Y2076)))</f>
        <v/>
      </c>
      <c r="AB2076">
        <f>IF($Y2076="","",INDEX($L$6:$L$40000,$Y2076)&amp;"")</f>
        <v/>
      </c>
    </row>
    <row r="2077">
      <c r="Y2077" s="47">
        <f>IFERROR(MATCH(Library!M2077,$M$6:$M$40000,0),"")</f>
        <v/>
      </c>
      <c r="Z2077">
        <f>IF($Y2077="","",INDEX($C$6:$C$40000,$Y2077)&amp;"")</f>
        <v/>
      </c>
      <c r="AA2077" s="59">
        <f>IF($Y2077="","",IF(INDEX($D$6:$D$40000,$Y2077)="","",INDEX($D$6:$D$40000,$Y2077)))</f>
        <v/>
      </c>
      <c r="AB2077">
        <f>IF($Y2077="","",INDEX($L$6:$L$40000,$Y2077)&amp;"")</f>
        <v/>
      </c>
    </row>
    <row r="2078">
      <c r="Y2078" s="47">
        <f>IFERROR(MATCH(Library!M2078,$M$6:$M$40000,0),"")</f>
        <v/>
      </c>
      <c r="Z2078">
        <f>IF($Y2078="","",INDEX($C$6:$C$40000,$Y2078)&amp;"")</f>
        <v/>
      </c>
      <c r="AA2078" s="59">
        <f>IF($Y2078="","",IF(INDEX($D$6:$D$40000,$Y2078)="","",INDEX($D$6:$D$40000,$Y2078)))</f>
        <v/>
      </c>
      <c r="AB2078">
        <f>IF($Y2078="","",INDEX($L$6:$L$40000,$Y2078)&amp;"")</f>
        <v/>
      </c>
    </row>
    <row r="2079">
      <c r="Y2079" s="47">
        <f>IFERROR(MATCH(Library!M2079,$M$6:$M$40000,0),"")</f>
        <v/>
      </c>
      <c r="Z2079">
        <f>IF($Y2079="","",INDEX($C$6:$C$40000,$Y2079)&amp;"")</f>
        <v/>
      </c>
      <c r="AA2079" s="59">
        <f>IF($Y2079="","",IF(INDEX($D$6:$D$40000,$Y2079)="","",INDEX($D$6:$D$40000,$Y2079)))</f>
        <v/>
      </c>
      <c r="AB2079">
        <f>IF($Y2079="","",INDEX($L$6:$L$40000,$Y2079)&amp;"")</f>
        <v/>
      </c>
    </row>
    <row r="2080">
      <c r="Y2080" s="47">
        <f>IFERROR(MATCH(Library!M2080,$M$6:$M$40000,0),"")</f>
        <v/>
      </c>
      <c r="Z2080">
        <f>IF($Y2080="","",INDEX($C$6:$C$40000,$Y2080)&amp;"")</f>
        <v/>
      </c>
      <c r="AA2080" s="59">
        <f>IF($Y2080="","",IF(INDEX($D$6:$D$40000,$Y2080)="","",INDEX($D$6:$D$40000,$Y2080)))</f>
        <v/>
      </c>
      <c r="AB2080">
        <f>IF($Y2080="","",INDEX($L$6:$L$40000,$Y2080)&amp;"")</f>
        <v/>
      </c>
    </row>
    <row r="2081">
      <c r="Y2081" s="47">
        <f>IFERROR(MATCH(Library!M2081,$M$6:$M$40000,0),"")</f>
        <v/>
      </c>
      <c r="Z2081">
        <f>IF($Y2081="","",INDEX($C$6:$C$40000,$Y2081)&amp;"")</f>
        <v/>
      </c>
      <c r="AA2081" s="59">
        <f>IF($Y2081="","",IF(INDEX($D$6:$D$40000,$Y2081)="","",INDEX($D$6:$D$40000,$Y2081)))</f>
        <v/>
      </c>
      <c r="AB2081">
        <f>IF($Y2081="","",INDEX($L$6:$L$40000,$Y2081)&amp;"")</f>
        <v/>
      </c>
    </row>
    <row r="2082">
      <c r="Y2082" s="47">
        <f>IFERROR(MATCH(Library!M2082,$M$6:$M$40000,0),"")</f>
        <v/>
      </c>
      <c r="Z2082">
        <f>IF($Y2082="","",INDEX($C$6:$C$40000,$Y2082)&amp;"")</f>
        <v/>
      </c>
      <c r="AA2082" s="59">
        <f>IF($Y2082="","",IF(INDEX($D$6:$D$40000,$Y2082)="","",INDEX($D$6:$D$40000,$Y2082)))</f>
        <v/>
      </c>
      <c r="AB2082">
        <f>IF($Y2082="","",INDEX($L$6:$L$40000,$Y2082)&amp;"")</f>
        <v/>
      </c>
    </row>
    <row r="2083">
      <c r="Y2083" s="47">
        <f>IFERROR(MATCH(Library!M2083,$M$6:$M$40000,0),"")</f>
        <v/>
      </c>
      <c r="Z2083">
        <f>IF($Y2083="","",INDEX($C$6:$C$40000,$Y2083)&amp;"")</f>
        <v/>
      </c>
      <c r="AA2083" s="59">
        <f>IF($Y2083="","",IF(INDEX($D$6:$D$40000,$Y2083)="","",INDEX($D$6:$D$40000,$Y2083)))</f>
        <v/>
      </c>
      <c r="AB2083">
        <f>IF($Y2083="","",INDEX($L$6:$L$40000,$Y2083)&amp;"")</f>
        <v/>
      </c>
    </row>
    <row r="2084">
      <c r="Y2084" s="47">
        <f>IFERROR(MATCH(Library!M2084,$M$6:$M$40000,0),"")</f>
        <v/>
      </c>
      <c r="Z2084">
        <f>IF($Y2084="","",INDEX($C$6:$C$40000,$Y2084)&amp;"")</f>
        <v/>
      </c>
      <c r="AA2084" s="59">
        <f>IF($Y2084="","",IF(INDEX($D$6:$D$40000,$Y2084)="","",INDEX($D$6:$D$40000,$Y2084)))</f>
        <v/>
      </c>
      <c r="AB2084">
        <f>IF($Y2084="","",INDEX($L$6:$L$40000,$Y2084)&amp;"")</f>
        <v/>
      </c>
    </row>
    <row r="2085">
      <c r="Y2085" s="47">
        <f>IFERROR(MATCH(Library!M2085,$M$6:$M$40000,0),"")</f>
        <v/>
      </c>
      <c r="Z2085">
        <f>IF($Y2085="","",INDEX($C$6:$C$40000,$Y2085)&amp;"")</f>
        <v/>
      </c>
      <c r="AA2085" s="59">
        <f>IF($Y2085="","",IF(INDEX($D$6:$D$40000,$Y2085)="","",INDEX($D$6:$D$40000,$Y2085)))</f>
        <v/>
      </c>
      <c r="AB2085">
        <f>IF($Y2085="","",INDEX($L$6:$L$40000,$Y2085)&amp;"")</f>
        <v/>
      </c>
    </row>
    <row r="2086">
      <c r="Y2086" s="47">
        <f>IFERROR(MATCH(Library!M2086,$M$6:$M$40000,0),"")</f>
        <v/>
      </c>
      <c r="Z2086">
        <f>IF($Y2086="","",INDEX($C$6:$C$40000,$Y2086)&amp;"")</f>
        <v/>
      </c>
      <c r="AA2086" s="59">
        <f>IF($Y2086="","",IF(INDEX($D$6:$D$40000,$Y2086)="","",INDEX($D$6:$D$40000,$Y2086)))</f>
        <v/>
      </c>
      <c r="AB2086">
        <f>IF($Y2086="","",INDEX($L$6:$L$40000,$Y2086)&amp;"")</f>
        <v/>
      </c>
    </row>
    <row r="2087">
      <c r="Y2087" s="47">
        <f>IFERROR(MATCH(Library!M2087,$M$6:$M$40000,0),"")</f>
        <v/>
      </c>
      <c r="Z2087">
        <f>IF($Y2087="","",INDEX($C$6:$C$40000,$Y2087)&amp;"")</f>
        <v/>
      </c>
      <c r="AA2087" s="59">
        <f>IF($Y2087="","",IF(INDEX($D$6:$D$40000,$Y2087)="","",INDEX($D$6:$D$40000,$Y2087)))</f>
        <v/>
      </c>
      <c r="AB2087">
        <f>IF($Y2087="","",INDEX($L$6:$L$40000,$Y2087)&amp;"")</f>
        <v/>
      </c>
    </row>
    <row r="2088">
      <c r="Y2088" s="47">
        <f>IFERROR(MATCH(Library!M2088,$M$6:$M$40000,0),"")</f>
        <v/>
      </c>
      <c r="Z2088">
        <f>IF($Y2088="","",INDEX($C$6:$C$40000,$Y2088)&amp;"")</f>
        <v/>
      </c>
      <c r="AA2088" s="59">
        <f>IF($Y2088="","",IF(INDEX($D$6:$D$40000,$Y2088)="","",INDEX($D$6:$D$40000,$Y2088)))</f>
        <v/>
      </c>
      <c r="AB2088">
        <f>IF($Y2088="","",INDEX($L$6:$L$40000,$Y2088)&amp;"")</f>
        <v/>
      </c>
    </row>
    <row r="2089">
      <c r="Y2089" s="47">
        <f>IFERROR(MATCH(Library!M2089,$M$6:$M$40000,0),"")</f>
        <v/>
      </c>
      <c r="Z2089">
        <f>IF($Y2089="","",INDEX($C$6:$C$40000,$Y2089)&amp;"")</f>
        <v/>
      </c>
      <c r="AA2089" s="59">
        <f>IF($Y2089="","",IF(INDEX($D$6:$D$40000,$Y2089)="","",INDEX($D$6:$D$40000,$Y2089)))</f>
        <v/>
      </c>
      <c r="AB2089">
        <f>IF($Y2089="","",INDEX($L$6:$L$40000,$Y2089)&amp;"")</f>
        <v/>
      </c>
    </row>
    <row r="2090">
      <c r="Y2090" s="47">
        <f>IFERROR(MATCH(Library!M2090,$M$6:$M$40000,0),"")</f>
        <v/>
      </c>
      <c r="Z2090">
        <f>IF($Y2090="","",INDEX($C$6:$C$40000,$Y2090)&amp;"")</f>
        <v/>
      </c>
      <c r="AA2090" s="59">
        <f>IF($Y2090="","",IF(INDEX($D$6:$D$40000,$Y2090)="","",INDEX($D$6:$D$40000,$Y2090)))</f>
        <v/>
      </c>
      <c r="AB2090">
        <f>IF($Y2090="","",INDEX($L$6:$L$40000,$Y2090)&amp;"")</f>
        <v/>
      </c>
    </row>
    <row r="2091">
      <c r="Y2091" s="47">
        <f>IFERROR(MATCH(Library!M2091,$M$6:$M$40000,0),"")</f>
        <v/>
      </c>
      <c r="Z2091">
        <f>IF($Y2091="","",INDEX($C$6:$C$40000,$Y2091)&amp;"")</f>
        <v/>
      </c>
      <c r="AA2091" s="59">
        <f>IF($Y2091="","",IF(INDEX($D$6:$D$40000,$Y2091)="","",INDEX($D$6:$D$40000,$Y2091)))</f>
        <v/>
      </c>
      <c r="AB2091">
        <f>IF($Y2091="","",INDEX($L$6:$L$40000,$Y2091)&amp;"")</f>
        <v/>
      </c>
    </row>
    <row r="2092">
      <c r="Y2092" s="47">
        <f>IFERROR(MATCH(Library!M2092,$M$6:$M$40000,0),"")</f>
        <v/>
      </c>
      <c r="Z2092">
        <f>IF($Y2092="","",INDEX($C$6:$C$40000,$Y2092)&amp;"")</f>
        <v/>
      </c>
      <c r="AA2092" s="59">
        <f>IF($Y2092="","",IF(INDEX($D$6:$D$40000,$Y2092)="","",INDEX($D$6:$D$40000,$Y2092)))</f>
        <v/>
      </c>
      <c r="AB2092">
        <f>IF($Y2092="","",INDEX($L$6:$L$40000,$Y2092)&amp;"")</f>
        <v/>
      </c>
    </row>
    <row r="2093">
      <c r="Y2093" s="47">
        <f>IFERROR(MATCH(Library!M2093,$M$6:$M$40000,0),"")</f>
        <v/>
      </c>
      <c r="Z2093">
        <f>IF($Y2093="","",INDEX($C$6:$C$40000,$Y2093)&amp;"")</f>
        <v/>
      </c>
      <c r="AA2093" s="59">
        <f>IF($Y2093="","",IF(INDEX($D$6:$D$40000,$Y2093)="","",INDEX($D$6:$D$40000,$Y2093)))</f>
        <v/>
      </c>
      <c r="AB2093">
        <f>IF($Y2093="","",INDEX($L$6:$L$40000,$Y2093)&amp;"")</f>
        <v/>
      </c>
    </row>
    <row r="2094">
      <c r="Y2094" s="47">
        <f>IFERROR(MATCH(Library!M2094,$M$6:$M$40000,0),"")</f>
        <v/>
      </c>
      <c r="Z2094">
        <f>IF($Y2094="","",INDEX($C$6:$C$40000,$Y2094)&amp;"")</f>
        <v/>
      </c>
      <c r="AA2094" s="59">
        <f>IF($Y2094="","",IF(INDEX($D$6:$D$40000,$Y2094)="","",INDEX($D$6:$D$40000,$Y2094)))</f>
        <v/>
      </c>
      <c r="AB2094">
        <f>IF($Y2094="","",INDEX($L$6:$L$40000,$Y2094)&amp;"")</f>
        <v/>
      </c>
    </row>
    <row r="2095">
      <c r="Y2095" s="47">
        <f>IFERROR(MATCH(Library!M2095,$M$6:$M$40000,0),"")</f>
        <v/>
      </c>
      <c r="Z2095">
        <f>IF($Y2095="","",INDEX($C$6:$C$40000,$Y2095)&amp;"")</f>
        <v/>
      </c>
      <c r="AA2095" s="59">
        <f>IF($Y2095="","",IF(INDEX($D$6:$D$40000,$Y2095)="","",INDEX($D$6:$D$40000,$Y2095)))</f>
        <v/>
      </c>
      <c r="AB2095">
        <f>IF($Y2095="","",INDEX($L$6:$L$40000,$Y2095)&amp;"")</f>
        <v/>
      </c>
    </row>
    <row r="2096">
      <c r="Y2096" s="47">
        <f>IFERROR(MATCH(Library!M2096,$M$6:$M$40000,0),"")</f>
        <v/>
      </c>
      <c r="Z2096">
        <f>IF($Y2096="","",INDEX($C$6:$C$40000,$Y2096)&amp;"")</f>
        <v/>
      </c>
      <c r="AA2096" s="59">
        <f>IF($Y2096="","",IF(INDEX($D$6:$D$40000,$Y2096)="","",INDEX($D$6:$D$40000,$Y2096)))</f>
        <v/>
      </c>
      <c r="AB2096">
        <f>IF($Y2096="","",INDEX($L$6:$L$40000,$Y2096)&amp;"")</f>
        <v/>
      </c>
    </row>
    <row r="2097">
      <c r="Y2097" s="47">
        <f>IFERROR(MATCH(Library!M2097,$M$6:$M$40000,0),"")</f>
        <v/>
      </c>
      <c r="Z2097">
        <f>IF($Y2097="","",INDEX($C$6:$C$40000,$Y2097)&amp;"")</f>
        <v/>
      </c>
      <c r="AA2097" s="59">
        <f>IF($Y2097="","",IF(INDEX($D$6:$D$40000,$Y2097)="","",INDEX($D$6:$D$40000,$Y2097)))</f>
        <v/>
      </c>
      <c r="AB2097">
        <f>IF($Y2097="","",INDEX($L$6:$L$40000,$Y2097)&amp;"")</f>
        <v/>
      </c>
    </row>
    <row r="2098">
      <c r="Y2098" s="47">
        <f>IFERROR(MATCH(Library!M2098,$M$6:$M$40000,0),"")</f>
        <v/>
      </c>
      <c r="Z2098">
        <f>IF($Y2098="","",INDEX($C$6:$C$40000,$Y2098)&amp;"")</f>
        <v/>
      </c>
      <c r="AA2098" s="59">
        <f>IF($Y2098="","",IF(INDEX($D$6:$D$40000,$Y2098)="","",INDEX($D$6:$D$40000,$Y2098)))</f>
        <v/>
      </c>
      <c r="AB2098">
        <f>IF($Y2098="","",INDEX($L$6:$L$40000,$Y2098)&amp;"")</f>
        <v/>
      </c>
    </row>
    <row r="2099">
      <c r="Y2099" s="47">
        <f>IFERROR(MATCH(Library!M2099,$M$6:$M$40000,0),"")</f>
        <v/>
      </c>
      <c r="Z2099">
        <f>IF($Y2099="","",INDEX($C$6:$C$40000,$Y2099)&amp;"")</f>
        <v/>
      </c>
      <c r="AA2099" s="59">
        <f>IF($Y2099="","",IF(INDEX($D$6:$D$40000,$Y2099)="","",INDEX($D$6:$D$40000,$Y2099)))</f>
        <v/>
      </c>
      <c r="AB2099">
        <f>IF($Y2099="","",INDEX($L$6:$L$40000,$Y2099)&amp;"")</f>
        <v/>
      </c>
    </row>
    <row r="2100">
      <c r="Y2100" s="47">
        <f>IFERROR(MATCH(Library!M2100,$M$6:$M$40000,0),"")</f>
        <v/>
      </c>
      <c r="Z2100">
        <f>IF($Y2100="","",INDEX($C$6:$C$40000,$Y2100)&amp;"")</f>
        <v/>
      </c>
      <c r="AA2100" s="59">
        <f>IF($Y2100="","",IF(INDEX($D$6:$D$40000,$Y2100)="","",INDEX($D$6:$D$40000,$Y2100)))</f>
        <v/>
      </c>
      <c r="AB2100">
        <f>IF($Y2100="","",INDEX($L$6:$L$40000,$Y2100)&amp;"")</f>
        <v/>
      </c>
    </row>
    <row r="2101">
      <c r="Y2101" s="47">
        <f>IFERROR(MATCH(Library!M2101,$M$6:$M$40000,0),"")</f>
        <v/>
      </c>
      <c r="Z2101">
        <f>IF($Y2101="","",INDEX($C$6:$C$40000,$Y2101)&amp;"")</f>
        <v/>
      </c>
      <c r="AA2101" s="59">
        <f>IF($Y2101="","",IF(INDEX($D$6:$D$40000,$Y2101)="","",INDEX($D$6:$D$40000,$Y2101)))</f>
        <v/>
      </c>
      <c r="AB2101">
        <f>IF($Y2101="","",INDEX($L$6:$L$40000,$Y2101)&amp;"")</f>
        <v/>
      </c>
    </row>
    <row r="2102">
      <c r="Y2102" s="47">
        <f>IFERROR(MATCH(Library!M2102,$M$6:$M$40000,0),"")</f>
        <v/>
      </c>
      <c r="Z2102">
        <f>IF($Y2102="","",INDEX($C$6:$C$40000,$Y2102)&amp;"")</f>
        <v/>
      </c>
      <c r="AA2102" s="59">
        <f>IF($Y2102="","",IF(INDEX($D$6:$D$40000,$Y2102)="","",INDEX($D$6:$D$40000,$Y2102)))</f>
        <v/>
      </c>
      <c r="AB2102">
        <f>IF($Y2102="","",INDEX($L$6:$L$40000,$Y2102)&amp;"")</f>
        <v/>
      </c>
    </row>
    <row r="2103">
      <c r="Y2103" s="47">
        <f>IFERROR(MATCH(Library!M2103,$M$6:$M$40000,0),"")</f>
        <v/>
      </c>
      <c r="Z2103">
        <f>IF($Y2103="","",INDEX($C$6:$C$40000,$Y2103)&amp;"")</f>
        <v/>
      </c>
      <c r="AA2103" s="59">
        <f>IF($Y2103="","",IF(INDEX($D$6:$D$40000,$Y2103)="","",INDEX($D$6:$D$40000,$Y2103)))</f>
        <v/>
      </c>
      <c r="AB2103">
        <f>IF($Y2103="","",INDEX($L$6:$L$40000,$Y2103)&amp;"")</f>
        <v/>
      </c>
    </row>
    <row r="2104">
      <c r="Y2104" s="47">
        <f>IFERROR(MATCH(Library!M2104,$M$6:$M$40000,0),"")</f>
        <v/>
      </c>
      <c r="Z2104">
        <f>IF($Y2104="","",INDEX($C$6:$C$40000,$Y2104)&amp;"")</f>
        <v/>
      </c>
      <c r="AA2104" s="59">
        <f>IF($Y2104="","",IF(INDEX($D$6:$D$40000,$Y2104)="","",INDEX($D$6:$D$40000,$Y2104)))</f>
        <v/>
      </c>
      <c r="AB2104">
        <f>IF($Y2104="","",INDEX($L$6:$L$40000,$Y2104)&amp;"")</f>
        <v/>
      </c>
    </row>
    <row r="2105">
      <c r="Y2105" s="47">
        <f>IFERROR(MATCH(Library!M2105,$M$6:$M$40000,0),"")</f>
        <v/>
      </c>
      <c r="Z2105">
        <f>IF($Y2105="","",INDEX($C$6:$C$40000,$Y2105)&amp;"")</f>
        <v/>
      </c>
      <c r="AA2105" s="59">
        <f>IF($Y2105="","",IF(INDEX($D$6:$D$40000,$Y2105)="","",INDEX($D$6:$D$40000,$Y2105)))</f>
        <v/>
      </c>
      <c r="AB2105">
        <f>IF($Y2105="","",INDEX($L$6:$L$40000,$Y2105)&amp;"")</f>
        <v/>
      </c>
    </row>
    <row r="2106">
      <c r="Y2106" s="47">
        <f>IFERROR(MATCH(Library!M2106,$M$6:$M$40000,0),"")</f>
        <v/>
      </c>
      <c r="Z2106">
        <f>IF($Y2106="","",INDEX($C$6:$C$40000,$Y2106)&amp;"")</f>
        <v/>
      </c>
      <c r="AA2106" s="59">
        <f>IF($Y2106="","",IF(INDEX($D$6:$D$40000,$Y2106)="","",INDEX($D$6:$D$40000,$Y2106)))</f>
        <v/>
      </c>
      <c r="AB2106">
        <f>IF($Y2106="","",INDEX($L$6:$L$40000,$Y2106)&amp;"")</f>
        <v/>
      </c>
    </row>
    <row r="2107">
      <c r="Y2107" s="47">
        <f>IFERROR(MATCH(Library!M2107,$M$6:$M$40000,0),"")</f>
        <v/>
      </c>
      <c r="Z2107">
        <f>IF($Y2107="","",INDEX($C$6:$C$40000,$Y2107)&amp;"")</f>
        <v/>
      </c>
      <c r="AA2107" s="59">
        <f>IF($Y2107="","",IF(INDEX($D$6:$D$40000,$Y2107)="","",INDEX($D$6:$D$40000,$Y2107)))</f>
        <v/>
      </c>
      <c r="AB2107">
        <f>IF($Y2107="","",INDEX($L$6:$L$40000,$Y2107)&amp;"")</f>
        <v/>
      </c>
    </row>
    <row r="2108">
      <c r="Y2108" s="47">
        <f>IFERROR(MATCH(Library!M2108,$M$6:$M$40000,0),"")</f>
        <v/>
      </c>
      <c r="Z2108">
        <f>IF($Y2108="","",INDEX($C$6:$C$40000,$Y2108)&amp;"")</f>
        <v/>
      </c>
      <c r="AA2108" s="59">
        <f>IF($Y2108="","",IF(INDEX($D$6:$D$40000,$Y2108)="","",INDEX($D$6:$D$40000,$Y2108)))</f>
        <v/>
      </c>
      <c r="AB2108">
        <f>IF($Y2108="","",INDEX($L$6:$L$40000,$Y2108)&amp;"")</f>
        <v/>
      </c>
    </row>
    <row r="2109">
      <c r="Y2109" s="47">
        <f>IFERROR(MATCH(Library!M2109,$M$6:$M$40000,0),"")</f>
        <v/>
      </c>
      <c r="Z2109">
        <f>IF($Y2109="","",INDEX($C$6:$C$40000,$Y2109)&amp;"")</f>
        <v/>
      </c>
      <c r="AA2109" s="59">
        <f>IF($Y2109="","",IF(INDEX($D$6:$D$40000,$Y2109)="","",INDEX($D$6:$D$40000,$Y2109)))</f>
        <v/>
      </c>
      <c r="AB2109">
        <f>IF($Y2109="","",INDEX($L$6:$L$40000,$Y2109)&amp;"")</f>
        <v/>
      </c>
    </row>
    <row r="2110">
      <c r="Y2110" s="47">
        <f>IFERROR(MATCH(Library!M2110,$M$6:$M$40000,0),"")</f>
        <v/>
      </c>
      <c r="Z2110">
        <f>IF($Y2110="","",INDEX($C$6:$C$40000,$Y2110)&amp;"")</f>
        <v/>
      </c>
      <c r="AA2110" s="59">
        <f>IF($Y2110="","",IF(INDEX($D$6:$D$40000,$Y2110)="","",INDEX($D$6:$D$40000,$Y2110)))</f>
        <v/>
      </c>
      <c r="AB2110">
        <f>IF($Y2110="","",INDEX($L$6:$L$40000,$Y2110)&amp;"")</f>
        <v/>
      </c>
    </row>
    <row r="2111">
      <c r="Y2111" s="47">
        <f>IFERROR(MATCH(Library!M2111,$M$6:$M$40000,0),"")</f>
        <v/>
      </c>
      <c r="Z2111">
        <f>IF($Y2111="","",INDEX($C$6:$C$40000,$Y2111)&amp;"")</f>
        <v/>
      </c>
      <c r="AA2111" s="59">
        <f>IF($Y2111="","",IF(INDEX($D$6:$D$40000,$Y2111)="","",INDEX($D$6:$D$40000,$Y2111)))</f>
        <v/>
      </c>
      <c r="AB2111">
        <f>IF($Y2111="","",INDEX($L$6:$L$40000,$Y2111)&amp;"")</f>
        <v/>
      </c>
    </row>
    <row r="2112">
      <c r="Y2112" s="47">
        <f>IFERROR(MATCH(Library!M2112,$M$6:$M$40000,0),"")</f>
        <v/>
      </c>
      <c r="Z2112">
        <f>IF($Y2112="","",INDEX($C$6:$C$40000,$Y2112)&amp;"")</f>
        <v/>
      </c>
      <c r="AA2112" s="59">
        <f>IF($Y2112="","",IF(INDEX($D$6:$D$40000,$Y2112)="","",INDEX($D$6:$D$40000,$Y2112)))</f>
        <v/>
      </c>
      <c r="AB2112">
        <f>IF($Y2112="","",INDEX($L$6:$L$40000,$Y2112)&amp;"")</f>
        <v/>
      </c>
    </row>
    <row r="2113">
      <c r="Y2113" s="47">
        <f>IFERROR(MATCH(Library!M2113,$M$6:$M$40000,0),"")</f>
        <v/>
      </c>
      <c r="Z2113">
        <f>IF($Y2113="","",INDEX($C$6:$C$40000,$Y2113)&amp;"")</f>
        <v/>
      </c>
      <c r="AA2113" s="59">
        <f>IF($Y2113="","",IF(INDEX($D$6:$D$40000,$Y2113)="","",INDEX($D$6:$D$40000,$Y2113)))</f>
        <v/>
      </c>
      <c r="AB2113">
        <f>IF($Y2113="","",INDEX($L$6:$L$40000,$Y2113)&amp;"")</f>
        <v/>
      </c>
    </row>
    <row r="2114">
      <c r="Y2114" s="47">
        <f>IFERROR(MATCH(Library!M2114,$M$6:$M$40000,0),"")</f>
        <v/>
      </c>
      <c r="Z2114">
        <f>IF($Y2114="","",INDEX($C$6:$C$40000,$Y2114)&amp;"")</f>
        <v/>
      </c>
      <c r="AA2114" s="59">
        <f>IF($Y2114="","",IF(INDEX($D$6:$D$40000,$Y2114)="","",INDEX($D$6:$D$40000,$Y2114)))</f>
        <v/>
      </c>
      <c r="AB2114">
        <f>IF($Y2114="","",INDEX($L$6:$L$40000,$Y2114)&amp;"")</f>
        <v/>
      </c>
    </row>
    <row r="2115">
      <c r="Y2115" s="47">
        <f>IFERROR(MATCH(Library!M2115,$M$6:$M$40000,0),"")</f>
        <v/>
      </c>
      <c r="Z2115">
        <f>IF($Y2115="","",INDEX($C$6:$C$40000,$Y2115)&amp;"")</f>
        <v/>
      </c>
      <c r="AA2115" s="59">
        <f>IF($Y2115="","",IF(INDEX($D$6:$D$40000,$Y2115)="","",INDEX($D$6:$D$40000,$Y2115)))</f>
        <v/>
      </c>
      <c r="AB2115">
        <f>IF($Y2115="","",INDEX($L$6:$L$40000,$Y2115)&amp;"")</f>
        <v/>
      </c>
    </row>
    <row r="2116">
      <c r="Y2116" s="47">
        <f>IFERROR(MATCH(Library!M2116,$M$6:$M$40000,0),"")</f>
        <v/>
      </c>
      <c r="Z2116">
        <f>IF($Y2116="","",INDEX($C$6:$C$40000,$Y2116)&amp;"")</f>
        <v/>
      </c>
      <c r="AA2116" s="59">
        <f>IF($Y2116="","",IF(INDEX($D$6:$D$40000,$Y2116)="","",INDEX($D$6:$D$40000,$Y2116)))</f>
        <v/>
      </c>
      <c r="AB2116">
        <f>IF($Y2116="","",INDEX($L$6:$L$40000,$Y2116)&amp;"")</f>
        <v/>
      </c>
    </row>
    <row r="2117">
      <c r="Y2117" s="47">
        <f>IFERROR(MATCH(Library!M2117,$M$6:$M$40000,0),"")</f>
        <v/>
      </c>
      <c r="Z2117">
        <f>IF($Y2117="","",INDEX($C$6:$C$40000,$Y2117)&amp;"")</f>
        <v/>
      </c>
      <c r="AA2117" s="59">
        <f>IF($Y2117="","",IF(INDEX($D$6:$D$40000,$Y2117)="","",INDEX($D$6:$D$40000,$Y2117)))</f>
        <v/>
      </c>
      <c r="AB2117">
        <f>IF($Y2117="","",INDEX($L$6:$L$40000,$Y2117)&amp;"")</f>
        <v/>
      </c>
    </row>
    <row r="2118">
      <c r="Y2118" s="47">
        <f>IFERROR(MATCH(Library!M2118,$M$6:$M$40000,0),"")</f>
        <v/>
      </c>
      <c r="Z2118">
        <f>IF($Y2118="","",INDEX($C$6:$C$40000,$Y2118)&amp;"")</f>
        <v/>
      </c>
      <c r="AA2118" s="59">
        <f>IF($Y2118="","",IF(INDEX($D$6:$D$40000,$Y2118)="","",INDEX($D$6:$D$40000,$Y2118)))</f>
        <v/>
      </c>
      <c r="AB2118">
        <f>IF($Y2118="","",INDEX($L$6:$L$40000,$Y2118)&amp;"")</f>
        <v/>
      </c>
    </row>
    <row r="2119">
      <c r="Y2119" s="47">
        <f>IFERROR(MATCH(Library!M2119,$M$6:$M$40000,0),"")</f>
        <v/>
      </c>
      <c r="Z2119">
        <f>IF($Y2119="","",INDEX($C$6:$C$40000,$Y2119)&amp;"")</f>
        <v/>
      </c>
      <c r="AA2119" s="59">
        <f>IF($Y2119="","",IF(INDEX($D$6:$D$40000,$Y2119)="","",INDEX($D$6:$D$40000,$Y2119)))</f>
        <v/>
      </c>
      <c r="AB2119">
        <f>IF($Y2119="","",INDEX($L$6:$L$40000,$Y2119)&amp;"")</f>
        <v/>
      </c>
    </row>
    <row r="2120">
      <c r="Y2120" s="47">
        <f>IFERROR(MATCH(Library!M2120,$M$6:$M$40000,0),"")</f>
        <v/>
      </c>
      <c r="Z2120">
        <f>IF($Y2120="","",INDEX($C$6:$C$40000,$Y2120)&amp;"")</f>
        <v/>
      </c>
      <c r="AA2120" s="59">
        <f>IF($Y2120="","",IF(INDEX($D$6:$D$40000,$Y2120)="","",INDEX($D$6:$D$40000,$Y2120)))</f>
        <v/>
      </c>
      <c r="AB2120">
        <f>IF($Y2120="","",INDEX($L$6:$L$40000,$Y2120)&amp;"")</f>
        <v/>
      </c>
    </row>
    <row r="2121">
      <c r="Y2121" s="47">
        <f>IFERROR(MATCH(Library!M2121,$M$6:$M$40000,0),"")</f>
        <v/>
      </c>
      <c r="Z2121">
        <f>IF($Y2121="","",INDEX($C$6:$C$40000,$Y2121)&amp;"")</f>
        <v/>
      </c>
      <c r="AA2121" s="59">
        <f>IF($Y2121="","",IF(INDEX($D$6:$D$40000,$Y2121)="","",INDEX($D$6:$D$40000,$Y2121)))</f>
        <v/>
      </c>
      <c r="AB2121">
        <f>IF($Y2121="","",INDEX($L$6:$L$40000,$Y2121)&amp;"")</f>
        <v/>
      </c>
    </row>
    <row r="2122">
      <c r="Y2122" s="47">
        <f>IFERROR(MATCH(Library!M2122,$M$6:$M$40000,0),"")</f>
        <v/>
      </c>
      <c r="Z2122">
        <f>IF($Y2122="","",INDEX($C$6:$C$40000,$Y2122)&amp;"")</f>
        <v/>
      </c>
      <c r="AA2122" s="59">
        <f>IF($Y2122="","",IF(INDEX($D$6:$D$40000,$Y2122)="","",INDEX($D$6:$D$40000,$Y2122)))</f>
        <v/>
      </c>
      <c r="AB2122">
        <f>IF($Y2122="","",INDEX($L$6:$L$40000,$Y2122)&amp;"")</f>
        <v/>
      </c>
    </row>
    <row r="2123">
      <c r="Y2123" s="47">
        <f>IFERROR(MATCH(Library!M2123,$M$6:$M$40000,0),"")</f>
        <v/>
      </c>
      <c r="Z2123">
        <f>IF($Y2123="","",INDEX($C$6:$C$40000,$Y2123)&amp;"")</f>
        <v/>
      </c>
      <c r="AA2123" s="59">
        <f>IF($Y2123="","",IF(INDEX($D$6:$D$40000,$Y2123)="","",INDEX($D$6:$D$40000,$Y2123)))</f>
        <v/>
      </c>
      <c r="AB2123">
        <f>IF($Y2123="","",INDEX($L$6:$L$40000,$Y2123)&amp;"")</f>
        <v/>
      </c>
    </row>
    <row r="2124">
      <c r="Y2124" s="47">
        <f>IFERROR(MATCH(Library!M2124,$M$6:$M$40000,0),"")</f>
        <v/>
      </c>
      <c r="Z2124">
        <f>IF($Y2124="","",INDEX($C$6:$C$40000,$Y2124)&amp;"")</f>
        <v/>
      </c>
      <c r="AA2124" s="59">
        <f>IF($Y2124="","",IF(INDEX($D$6:$D$40000,$Y2124)="","",INDEX($D$6:$D$40000,$Y2124)))</f>
        <v/>
      </c>
      <c r="AB2124">
        <f>IF($Y2124="","",INDEX($L$6:$L$40000,$Y2124)&amp;"")</f>
        <v/>
      </c>
    </row>
    <row r="2125">
      <c r="Y2125" s="47">
        <f>IFERROR(MATCH(Library!M2125,$M$6:$M$40000,0),"")</f>
        <v/>
      </c>
      <c r="Z2125">
        <f>IF($Y2125="","",INDEX($C$6:$C$40000,$Y2125)&amp;"")</f>
        <v/>
      </c>
      <c r="AA2125" s="59">
        <f>IF($Y2125="","",IF(INDEX($D$6:$D$40000,$Y2125)="","",INDEX($D$6:$D$40000,$Y2125)))</f>
        <v/>
      </c>
      <c r="AB2125">
        <f>IF($Y2125="","",INDEX($L$6:$L$40000,$Y2125)&amp;"")</f>
        <v/>
      </c>
    </row>
    <row r="2126">
      <c r="Y2126" s="47">
        <f>IFERROR(MATCH(Library!M2126,$M$6:$M$40000,0),"")</f>
        <v/>
      </c>
      <c r="Z2126">
        <f>IF($Y2126="","",INDEX($C$6:$C$40000,$Y2126)&amp;"")</f>
        <v/>
      </c>
      <c r="AA2126" s="59">
        <f>IF($Y2126="","",IF(INDEX($D$6:$D$40000,$Y2126)="","",INDEX($D$6:$D$40000,$Y2126)))</f>
        <v/>
      </c>
      <c r="AB2126">
        <f>IF($Y2126="","",INDEX($L$6:$L$40000,$Y2126)&amp;"")</f>
        <v/>
      </c>
    </row>
    <row r="2127">
      <c r="Y2127" s="47">
        <f>IFERROR(MATCH(Library!M2127,$M$6:$M$40000,0),"")</f>
        <v/>
      </c>
      <c r="Z2127">
        <f>IF($Y2127="","",INDEX($C$6:$C$40000,$Y2127)&amp;"")</f>
        <v/>
      </c>
      <c r="AA2127" s="59">
        <f>IF($Y2127="","",IF(INDEX($D$6:$D$40000,$Y2127)="","",INDEX($D$6:$D$40000,$Y2127)))</f>
        <v/>
      </c>
      <c r="AB2127">
        <f>IF($Y2127="","",INDEX($L$6:$L$40000,$Y2127)&amp;"")</f>
        <v/>
      </c>
    </row>
    <row r="2128">
      <c r="Y2128" s="47">
        <f>IFERROR(MATCH(Library!M2128,$M$6:$M$40000,0),"")</f>
        <v/>
      </c>
      <c r="Z2128">
        <f>IF($Y2128="","",INDEX($C$6:$C$40000,$Y2128)&amp;"")</f>
        <v/>
      </c>
      <c r="AA2128" s="59">
        <f>IF($Y2128="","",IF(INDEX($D$6:$D$40000,$Y2128)="","",INDEX($D$6:$D$40000,$Y2128)))</f>
        <v/>
      </c>
      <c r="AB2128">
        <f>IF($Y2128="","",INDEX($L$6:$L$40000,$Y2128)&amp;"")</f>
        <v/>
      </c>
    </row>
    <row r="2129">
      <c r="Y2129" s="47">
        <f>IFERROR(MATCH(Library!M2129,$M$6:$M$40000,0),"")</f>
        <v/>
      </c>
      <c r="Z2129">
        <f>IF($Y2129="","",INDEX($C$6:$C$40000,$Y2129)&amp;"")</f>
        <v/>
      </c>
      <c r="AA2129" s="59">
        <f>IF($Y2129="","",IF(INDEX($D$6:$D$40000,$Y2129)="","",INDEX($D$6:$D$40000,$Y2129)))</f>
        <v/>
      </c>
      <c r="AB2129">
        <f>IF($Y2129="","",INDEX($L$6:$L$40000,$Y2129)&amp;"")</f>
        <v/>
      </c>
    </row>
    <row r="2130">
      <c r="Y2130" s="47">
        <f>IFERROR(MATCH(Library!M2130,$M$6:$M$40000,0),"")</f>
        <v/>
      </c>
      <c r="Z2130">
        <f>IF($Y2130="","",INDEX($C$6:$C$40000,$Y2130)&amp;"")</f>
        <v/>
      </c>
      <c r="AA2130" s="59">
        <f>IF($Y2130="","",IF(INDEX($D$6:$D$40000,$Y2130)="","",INDEX($D$6:$D$40000,$Y2130)))</f>
        <v/>
      </c>
      <c r="AB2130">
        <f>IF($Y2130="","",INDEX($L$6:$L$40000,$Y2130)&amp;"")</f>
        <v/>
      </c>
    </row>
    <row r="2131">
      <c r="Y2131" s="47">
        <f>IFERROR(MATCH(Library!M2131,$M$6:$M$40000,0),"")</f>
        <v/>
      </c>
      <c r="Z2131">
        <f>IF($Y2131="","",INDEX($C$6:$C$40000,$Y2131)&amp;"")</f>
        <v/>
      </c>
      <c r="AA2131" s="59">
        <f>IF($Y2131="","",IF(INDEX($D$6:$D$40000,$Y2131)="","",INDEX($D$6:$D$40000,$Y2131)))</f>
        <v/>
      </c>
      <c r="AB2131">
        <f>IF($Y2131="","",INDEX($L$6:$L$40000,$Y2131)&amp;"")</f>
        <v/>
      </c>
    </row>
    <row r="2132">
      <c r="Y2132" s="47">
        <f>IFERROR(MATCH(Library!M2132,$M$6:$M$40000,0),"")</f>
        <v/>
      </c>
      <c r="Z2132">
        <f>IF($Y2132="","",INDEX($C$6:$C$40000,$Y2132)&amp;"")</f>
        <v/>
      </c>
      <c r="AA2132" s="59">
        <f>IF($Y2132="","",IF(INDEX($D$6:$D$40000,$Y2132)="","",INDEX($D$6:$D$40000,$Y2132)))</f>
        <v/>
      </c>
      <c r="AB2132">
        <f>IF($Y2132="","",INDEX($L$6:$L$40000,$Y2132)&amp;"")</f>
        <v/>
      </c>
    </row>
    <row r="2133">
      <c r="Y2133" s="47">
        <f>IFERROR(MATCH(Library!M2133,$M$6:$M$40000,0),"")</f>
        <v/>
      </c>
      <c r="Z2133">
        <f>IF($Y2133="","",INDEX($C$6:$C$40000,$Y2133)&amp;"")</f>
        <v/>
      </c>
      <c r="AA2133" s="59">
        <f>IF($Y2133="","",IF(INDEX($D$6:$D$40000,$Y2133)="","",INDEX($D$6:$D$40000,$Y2133)))</f>
        <v/>
      </c>
      <c r="AB2133">
        <f>IF($Y2133="","",INDEX($L$6:$L$40000,$Y2133)&amp;"")</f>
        <v/>
      </c>
    </row>
    <row r="2134">
      <c r="Y2134" s="47">
        <f>IFERROR(MATCH(Library!M2134,$M$6:$M$40000,0),"")</f>
        <v/>
      </c>
      <c r="Z2134">
        <f>IF($Y2134="","",INDEX($C$6:$C$40000,$Y2134)&amp;"")</f>
        <v/>
      </c>
      <c r="AA2134" s="59">
        <f>IF($Y2134="","",IF(INDEX($D$6:$D$40000,$Y2134)="","",INDEX($D$6:$D$40000,$Y2134)))</f>
        <v/>
      </c>
      <c r="AB2134">
        <f>IF($Y2134="","",INDEX($L$6:$L$40000,$Y2134)&amp;"")</f>
        <v/>
      </c>
    </row>
    <row r="2135">
      <c r="Y2135" s="47">
        <f>IFERROR(MATCH(Library!M2135,$M$6:$M$40000,0),"")</f>
        <v/>
      </c>
      <c r="Z2135">
        <f>IF($Y2135="","",INDEX($C$6:$C$40000,$Y2135)&amp;"")</f>
        <v/>
      </c>
      <c r="AA2135" s="59">
        <f>IF($Y2135="","",IF(INDEX($D$6:$D$40000,$Y2135)="","",INDEX($D$6:$D$40000,$Y2135)))</f>
        <v/>
      </c>
      <c r="AB2135">
        <f>IF($Y2135="","",INDEX($L$6:$L$40000,$Y2135)&amp;"")</f>
        <v/>
      </c>
    </row>
    <row r="2136">
      <c r="Y2136" s="47">
        <f>IFERROR(MATCH(Library!M2136,$M$6:$M$40000,0),"")</f>
        <v/>
      </c>
      <c r="Z2136">
        <f>IF($Y2136="","",INDEX($C$6:$C$40000,$Y2136)&amp;"")</f>
        <v/>
      </c>
      <c r="AA2136" s="59">
        <f>IF($Y2136="","",IF(INDEX($D$6:$D$40000,$Y2136)="","",INDEX($D$6:$D$40000,$Y2136)))</f>
        <v/>
      </c>
      <c r="AB2136">
        <f>IF($Y2136="","",INDEX($L$6:$L$40000,$Y2136)&amp;"")</f>
        <v/>
      </c>
    </row>
    <row r="2137">
      <c r="Y2137" s="47">
        <f>IFERROR(MATCH(Library!M2137,$M$6:$M$40000,0),"")</f>
        <v/>
      </c>
      <c r="Z2137">
        <f>IF($Y2137="","",INDEX($C$6:$C$40000,$Y2137)&amp;"")</f>
        <v/>
      </c>
      <c r="AA2137" s="59">
        <f>IF($Y2137="","",IF(INDEX($D$6:$D$40000,$Y2137)="","",INDEX($D$6:$D$40000,$Y2137)))</f>
        <v/>
      </c>
      <c r="AB2137">
        <f>IF($Y2137="","",INDEX($L$6:$L$40000,$Y2137)&amp;"")</f>
        <v/>
      </c>
    </row>
    <row r="2138">
      <c r="Y2138" s="47">
        <f>IFERROR(MATCH(Library!M2138,$M$6:$M$40000,0),"")</f>
        <v/>
      </c>
      <c r="Z2138">
        <f>IF($Y2138="","",INDEX($C$6:$C$40000,$Y2138)&amp;"")</f>
        <v/>
      </c>
      <c r="AA2138" s="59">
        <f>IF($Y2138="","",IF(INDEX($D$6:$D$40000,$Y2138)="","",INDEX($D$6:$D$40000,$Y2138)))</f>
        <v/>
      </c>
      <c r="AB2138">
        <f>IF($Y2138="","",INDEX($L$6:$L$40000,$Y2138)&amp;"")</f>
        <v/>
      </c>
    </row>
    <row r="2139">
      <c r="Y2139" s="47">
        <f>IFERROR(MATCH(Library!M2139,$M$6:$M$40000,0),"")</f>
        <v/>
      </c>
      <c r="Z2139">
        <f>IF($Y2139="","",INDEX($C$6:$C$40000,$Y2139)&amp;"")</f>
        <v/>
      </c>
      <c r="AA2139" s="59">
        <f>IF($Y2139="","",IF(INDEX($D$6:$D$40000,$Y2139)="","",INDEX($D$6:$D$40000,$Y2139)))</f>
        <v/>
      </c>
      <c r="AB2139">
        <f>IF($Y2139="","",INDEX($L$6:$L$40000,$Y2139)&amp;"")</f>
        <v/>
      </c>
    </row>
    <row r="2140">
      <c r="Y2140" s="47">
        <f>IFERROR(MATCH(Library!M2140,$M$6:$M$40000,0),"")</f>
        <v/>
      </c>
      <c r="Z2140">
        <f>IF($Y2140="","",INDEX($C$6:$C$40000,$Y2140)&amp;"")</f>
        <v/>
      </c>
      <c r="AA2140" s="59">
        <f>IF($Y2140="","",IF(INDEX($D$6:$D$40000,$Y2140)="","",INDEX($D$6:$D$40000,$Y2140)))</f>
        <v/>
      </c>
      <c r="AB2140">
        <f>IF($Y2140="","",INDEX($L$6:$L$40000,$Y2140)&amp;"")</f>
        <v/>
      </c>
    </row>
    <row r="2141">
      <c r="Y2141" s="47">
        <f>IFERROR(MATCH(Library!M2141,$M$6:$M$40000,0),"")</f>
        <v/>
      </c>
      <c r="Z2141">
        <f>IF($Y2141="","",INDEX($C$6:$C$40000,$Y2141)&amp;"")</f>
        <v/>
      </c>
      <c r="AA2141" s="59">
        <f>IF($Y2141="","",IF(INDEX($D$6:$D$40000,$Y2141)="","",INDEX($D$6:$D$40000,$Y2141)))</f>
        <v/>
      </c>
      <c r="AB2141">
        <f>IF($Y2141="","",INDEX($L$6:$L$40000,$Y2141)&amp;"")</f>
        <v/>
      </c>
    </row>
    <row r="2142">
      <c r="Y2142" s="47">
        <f>IFERROR(MATCH(Library!M2142,$M$6:$M$40000,0),"")</f>
        <v/>
      </c>
      <c r="Z2142">
        <f>IF($Y2142="","",INDEX($C$6:$C$40000,$Y2142)&amp;"")</f>
        <v/>
      </c>
      <c r="AA2142" s="59">
        <f>IF($Y2142="","",IF(INDEX($D$6:$D$40000,$Y2142)="","",INDEX($D$6:$D$40000,$Y2142)))</f>
        <v/>
      </c>
      <c r="AB2142">
        <f>IF($Y2142="","",INDEX($L$6:$L$40000,$Y2142)&amp;"")</f>
        <v/>
      </c>
    </row>
    <row r="2143">
      <c r="Y2143" s="47">
        <f>IFERROR(MATCH(Library!M2143,$M$6:$M$40000,0),"")</f>
        <v/>
      </c>
      <c r="Z2143">
        <f>IF($Y2143="","",INDEX($C$6:$C$40000,$Y2143)&amp;"")</f>
        <v/>
      </c>
      <c r="AA2143" s="59">
        <f>IF($Y2143="","",IF(INDEX($D$6:$D$40000,$Y2143)="","",INDEX($D$6:$D$40000,$Y2143)))</f>
        <v/>
      </c>
      <c r="AB2143">
        <f>IF($Y2143="","",INDEX($L$6:$L$40000,$Y2143)&amp;"")</f>
        <v/>
      </c>
    </row>
    <row r="2144">
      <c r="Y2144" s="47">
        <f>IFERROR(MATCH(Library!M2144,$M$6:$M$40000,0),"")</f>
        <v/>
      </c>
      <c r="Z2144">
        <f>IF($Y2144="","",INDEX($C$6:$C$40000,$Y2144)&amp;"")</f>
        <v/>
      </c>
      <c r="AA2144" s="59">
        <f>IF($Y2144="","",IF(INDEX($D$6:$D$40000,$Y2144)="","",INDEX($D$6:$D$40000,$Y2144)))</f>
        <v/>
      </c>
      <c r="AB2144">
        <f>IF($Y2144="","",INDEX($L$6:$L$40000,$Y2144)&amp;"")</f>
        <v/>
      </c>
    </row>
    <row r="2145">
      <c r="Y2145" s="47">
        <f>IFERROR(MATCH(Library!M2145,$M$6:$M$40000,0),"")</f>
        <v/>
      </c>
      <c r="Z2145">
        <f>IF($Y2145="","",INDEX($C$6:$C$40000,$Y2145)&amp;"")</f>
        <v/>
      </c>
      <c r="AA2145" s="59">
        <f>IF($Y2145="","",IF(INDEX($D$6:$D$40000,$Y2145)="","",INDEX($D$6:$D$40000,$Y2145)))</f>
        <v/>
      </c>
      <c r="AB2145">
        <f>IF($Y2145="","",INDEX($L$6:$L$40000,$Y2145)&amp;"")</f>
        <v/>
      </c>
    </row>
    <row r="2146">
      <c r="Y2146" s="47">
        <f>IFERROR(MATCH(Library!M2146,$M$6:$M$40000,0),"")</f>
        <v/>
      </c>
      <c r="Z2146">
        <f>IF($Y2146="","",INDEX($C$6:$C$40000,$Y2146)&amp;"")</f>
        <v/>
      </c>
      <c r="AA2146" s="59">
        <f>IF($Y2146="","",IF(INDEX($D$6:$D$40000,$Y2146)="","",INDEX($D$6:$D$40000,$Y2146)))</f>
        <v/>
      </c>
      <c r="AB2146">
        <f>IF($Y2146="","",INDEX($L$6:$L$40000,$Y2146)&amp;"")</f>
        <v/>
      </c>
    </row>
    <row r="2147">
      <c r="Y2147" s="47">
        <f>IFERROR(MATCH(Library!M2147,$M$6:$M$40000,0),"")</f>
        <v/>
      </c>
      <c r="Z2147">
        <f>IF($Y2147="","",INDEX($C$6:$C$40000,$Y2147)&amp;"")</f>
        <v/>
      </c>
      <c r="AA2147" s="59">
        <f>IF($Y2147="","",IF(INDEX($D$6:$D$40000,$Y2147)="","",INDEX($D$6:$D$40000,$Y2147)))</f>
        <v/>
      </c>
      <c r="AB2147">
        <f>IF($Y2147="","",INDEX($L$6:$L$40000,$Y2147)&amp;"")</f>
        <v/>
      </c>
    </row>
    <row r="2148">
      <c r="Y2148" s="47">
        <f>IFERROR(MATCH(Library!M2148,$M$6:$M$40000,0),"")</f>
        <v/>
      </c>
      <c r="Z2148">
        <f>IF($Y2148="","",INDEX($C$6:$C$40000,$Y2148)&amp;"")</f>
        <v/>
      </c>
      <c r="AA2148" s="59">
        <f>IF($Y2148="","",IF(INDEX($D$6:$D$40000,$Y2148)="","",INDEX($D$6:$D$40000,$Y2148)))</f>
        <v/>
      </c>
      <c r="AB2148">
        <f>IF($Y2148="","",INDEX($L$6:$L$40000,$Y2148)&amp;"")</f>
        <v/>
      </c>
    </row>
    <row r="2149">
      <c r="Y2149" s="47">
        <f>IFERROR(MATCH(Library!M2149,$M$6:$M$40000,0),"")</f>
        <v/>
      </c>
      <c r="Z2149">
        <f>IF($Y2149="","",INDEX($C$6:$C$40000,$Y2149)&amp;"")</f>
        <v/>
      </c>
      <c r="AA2149" s="59">
        <f>IF($Y2149="","",IF(INDEX($D$6:$D$40000,$Y2149)="","",INDEX($D$6:$D$40000,$Y2149)))</f>
        <v/>
      </c>
      <c r="AB2149">
        <f>IF($Y2149="","",INDEX($L$6:$L$40000,$Y2149)&amp;"")</f>
        <v/>
      </c>
    </row>
    <row r="2150">
      <c r="Y2150" s="47">
        <f>IFERROR(MATCH(Library!M2150,$M$6:$M$40000,0),"")</f>
        <v/>
      </c>
      <c r="Z2150">
        <f>IF($Y2150="","",INDEX($C$6:$C$40000,$Y2150)&amp;"")</f>
        <v/>
      </c>
      <c r="AA2150" s="59">
        <f>IF($Y2150="","",IF(INDEX($D$6:$D$40000,$Y2150)="","",INDEX($D$6:$D$40000,$Y2150)))</f>
        <v/>
      </c>
      <c r="AB2150">
        <f>IF($Y2150="","",INDEX($L$6:$L$40000,$Y2150)&amp;"")</f>
        <v/>
      </c>
    </row>
    <row r="2151">
      <c r="Y2151" s="47">
        <f>IFERROR(MATCH(Library!M2151,$M$6:$M$40000,0),"")</f>
        <v/>
      </c>
      <c r="Z2151">
        <f>IF($Y2151="","",INDEX($C$6:$C$40000,$Y2151)&amp;"")</f>
        <v/>
      </c>
      <c r="AA2151" s="59">
        <f>IF($Y2151="","",IF(INDEX($D$6:$D$40000,$Y2151)="","",INDEX($D$6:$D$40000,$Y2151)))</f>
        <v/>
      </c>
      <c r="AB2151">
        <f>IF($Y2151="","",INDEX($L$6:$L$40000,$Y2151)&amp;"")</f>
        <v/>
      </c>
    </row>
    <row r="2152">
      <c r="Y2152" s="47">
        <f>IFERROR(MATCH(Library!M2152,$M$6:$M$40000,0),"")</f>
        <v/>
      </c>
      <c r="Z2152">
        <f>IF($Y2152="","",INDEX($C$6:$C$40000,$Y2152)&amp;"")</f>
        <v/>
      </c>
      <c r="AA2152" s="59">
        <f>IF($Y2152="","",IF(INDEX($D$6:$D$40000,$Y2152)="","",INDEX($D$6:$D$40000,$Y2152)))</f>
        <v/>
      </c>
      <c r="AB2152">
        <f>IF($Y2152="","",INDEX($L$6:$L$40000,$Y2152)&amp;"")</f>
        <v/>
      </c>
    </row>
    <row r="2153">
      <c r="Y2153" s="47">
        <f>IFERROR(MATCH(Library!M2153,$M$6:$M$40000,0),"")</f>
        <v/>
      </c>
      <c r="Z2153">
        <f>IF($Y2153="","",INDEX($C$6:$C$40000,$Y2153)&amp;"")</f>
        <v/>
      </c>
      <c r="AA2153" s="59">
        <f>IF($Y2153="","",IF(INDEX($D$6:$D$40000,$Y2153)="","",INDEX($D$6:$D$40000,$Y2153)))</f>
        <v/>
      </c>
      <c r="AB2153">
        <f>IF($Y2153="","",INDEX($L$6:$L$40000,$Y2153)&amp;"")</f>
        <v/>
      </c>
    </row>
    <row r="2154">
      <c r="Y2154" s="47">
        <f>IFERROR(MATCH(Library!M2154,$M$6:$M$40000,0),"")</f>
        <v/>
      </c>
      <c r="Z2154">
        <f>IF($Y2154="","",INDEX($C$6:$C$40000,$Y2154)&amp;"")</f>
        <v/>
      </c>
      <c r="AA2154" s="59">
        <f>IF($Y2154="","",IF(INDEX($D$6:$D$40000,$Y2154)="","",INDEX($D$6:$D$40000,$Y2154)))</f>
        <v/>
      </c>
      <c r="AB2154">
        <f>IF($Y2154="","",INDEX($L$6:$L$40000,$Y2154)&amp;"")</f>
        <v/>
      </c>
    </row>
    <row r="2155">
      <c r="Y2155" s="47">
        <f>IFERROR(MATCH(Library!M2155,$M$6:$M$40000,0),"")</f>
        <v/>
      </c>
      <c r="Z2155">
        <f>IF($Y2155="","",INDEX($C$6:$C$40000,$Y2155)&amp;"")</f>
        <v/>
      </c>
      <c r="AA2155" s="59">
        <f>IF($Y2155="","",IF(INDEX($D$6:$D$40000,$Y2155)="","",INDEX($D$6:$D$40000,$Y2155)))</f>
        <v/>
      </c>
      <c r="AB2155">
        <f>IF($Y2155="","",INDEX($L$6:$L$40000,$Y2155)&amp;"")</f>
        <v/>
      </c>
    </row>
    <row r="2156">
      <c r="Y2156" s="47">
        <f>IFERROR(MATCH(Library!M2156,$M$6:$M$40000,0),"")</f>
        <v/>
      </c>
      <c r="Z2156">
        <f>IF($Y2156="","",INDEX($C$6:$C$40000,$Y2156)&amp;"")</f>
        <v/>
      </c>
      <c r="AA2156" s="59">
        <f>IF($Y2156="","",IF(INDEX($D$6:$D$40000,$Y2156)="","",INDEX($D$6:$D$40000,$Y2156)))</f>
        <v/>
      </c>
      <c r="AB2156">
        <f>IF($Y2156="","",INDEX($L$6:$L$40000,$Y2156)&amp;"")</f>
        <v/>
      </c>
    </row>
    <row r="2157">
      <c r="Y2157" s="47">
        <f>IFERROR(MATCH(Library!M2157,$M$6:$M$40000,0),"")</f>
        <v/>
      </c>
      <c r="Z2157">
        <f>IF($Y2157="","",INDEX($C$6:$C$40000,$Y2157)&amp;"")</f>
        <v/>
      </c>
      <c r="AA2157" s="59">
        <f>IF($Y2157="","",IF(INDEX($D$6:$D$40000,$Y2157)="","",INDEX($D$6:$D$40000,$Y2157)))</f>
        <v/>
      </c>
      <c r="AB2157">
        <f>IF($Y2157="","",INDEX($L$6:$L$40000,$Y2157)&amp;"")</f>
        <v/>
      </c>
    </row>
    <row r="2158">
      <c r="Y2158" s="47">
        <f>IFERROR(MATCH(Library!M2158,$M$6:$M$40000,0),"")</f>
        <v/>
      </c>
      <c r="Z2158">
        <f>IF($Y2158="","",INDEX($C$6:$C$40000,$Y2158)&amp;"")</f>
        <v/>
      </c>
      <c r="AA2158" s="59">
        <f>IF($Y2158="","",IF(INDEX($D$6:$D$40000,$Y2158)="","",INDEX($D$6:$D$40000,$Y2158)))</f>
        <v/>
      </c>
      <c r="AB2158">
        <f>IF($Y2158="","",INDEX($L$6:$L$40000,$Y2158)&amp;"")</f>
        <v/>
      </c>
    </row>
    <row r="2159">
      <c r="Y2159" s="47">
        <f>IFERROR(MATCH(Library!M2159,$M$6:$M$40000,0),"")</f>
        <v/>
      </c>
      <c r="Z2159">
        <f>IF($Y2159="","",INDEX($C$6:$C$40000,$Y2159)&amp;"")</f>
        <v/>
      </c>
      <c r="AA2159" s="59">
        <f>IF($Y2159="","",IF(INDEX($D$6:$D$40000,$Y2159)="","",INDEX($D$6:$D$40000,$Y2159)))</f>
        <v/>
      </c>
      <c r="AB2159">
        <f>IF($Y2159="","",INDEX($L$6:$L$40000,$Y2159)&amp;"")</f>
        <v/>
      </c>
    </row>
    <row r="2160">
      <c r="Y2160" s="47">
        <f>IFERROR(MATCH(Library!M2160,$M$6:$M$40000,0),"")</f>
        <v/>
      </c>
      <c r="Z2160">
        <f>IF($Y2160="","",INDEX($C$6:$C$40000,$Y2160)&amp;"")</f>
        <v/>
      </c>
      <c r="AA2160" s="59">
        <f>IF($Y2160="","",IF(INDEX($D$6:$D$40000,$Y2160)="","",INDEX($D$6:$D$40000,$Y2160)))</f>
        <v/>
      </c>
      <c r="AB2160">
        <f>IF($Y2160="","",INDEX($L$6:$L$40000,$Y2160)&amp;"")</f>
        <v/>
      </c>
    </row>
    <row r="2161">
      <c r="Y2161" s="47">
        <f>IFERROR(MATCH(Library!M2161,$M$6:$M$40000,0),"")</f>
        <v/>
      </c>
      <c r="Z2161">
        <f>IF($Y2161="","",INDEX($C$6:$C$40000,$Y2161)&amp;"")</f>
        <v/>
      </c>
      <c r="AA2161" s="59">
        <f>IF($Y2161="","",IF(INDEX($D$6:$D$40000,$Y2161)="","",INDEX($D$6:$D$40000,$Y2161)))</f>
        <v/>
      </c>
      <c r="AB2161">
        <f>IF($Y2161="","",INDEX($L$6:$L$40000,$Y2161)&amp;"")</f>
        <v/>
      </c>
    </row>
    <row r="2162">
      <c r="Y2162" s="47">
        <f>IFERROR(MATCH(Library!M2162,$M$6:$M$40000,0),"")</f>
        <v/>
      </c>
      <c r="Z2162">
        <f>IF($Y2162="","",INDEX($C$6:$C$40000,$Y2162)&amp;"")</f>
        <v/>
      </c>
      <c r="AA2162" s="59">
        <f>IF($Y2162="","",IF(INDEX($D$6:$D$40000,$Y2162)="","",INDEX($D$6:$D$40000,$Y2162)))</f>
        <v/>
      </c>
      <c r="AB2162">
        <f>IF($Y2162="","",INDEX($L$6:$L$40000,$Y2162)&amp;"")</f>
        <v/>
      </c>
    </row>
    <row r="2163">
      <c r="Y2163" s="47">
        <f>IFERROR(MATCH(Library!M2163,$M$6:$M$40000,0),"")</f>
        <v/>
      </c>
      <c r="Z2163">
        <f>IF($Y2163="","",INDEX($C$6:$C$40000,$Y2163)&amp;"")</f>
        <v/>
      </c>
      <c r="AA2163" s="59">
        <f>IF($Y2163="","",IF(INDEX($D$6:$D$40000,$Y2163)="","",INDEX($D$6:$D$40000,$Y2163)))</f>
        <v/>
      </c>
      <c r="AB2163">
        <f>IF($Y2163="","",INDEX($L$6:$L$40000,$Y2163)&amp;"")</f>
        <v/>
      </c>
    </row>
    <row r="2164">
      <c r="Y2164" s="47">
        <f>IFERROR(MATCH(Library!M2164,$M$6:$M$40000,0),"")</f>
        <v/>
      </c>
      <c r="Z2164">
        <f>IF($Y2164="","",INDEX($C$6:$C$40000,$Y2164)&amp;"")</f>
        <v/>
      </c>
      <c r="AA2164" s="59">
        <f>IF($Y2164="","",IF(INDEX($D$6:$D$40000,$Y2164)="","",INDEX($D$6:$D$40000,$Y2164)))</f>
        <v/>
      </c>
      <c r="AB2164">
        <f>IF($Y2164="","",INDEX($L$6:$L$40000,$Y2164)&amp;"")</f>
        <v/>
      </c>
    </row>
    <row r="2165">
      <c r="Y2165" s="47">
        <f>IFERROR(MATCH(Library!M2165,$M$6:$M$40000,0),"")</f>
        <v/>
      </c>
      <c r="Z2165">
        <f>IF($Y2165="","",INDEX($C$6:$C$40000,$Y2165)&amp;"")</f>
        <v/>
      </c>
      <c r="AA2165" s="59">
        <f>IF($Y2165="","",IF(INDEX($D$6:$D$40000,$Y2165)="","",INDEX($D$6:$D$40000,$Y2165)))</f>
        <v/>
      </c>
      <c r="AB2165">
        <f>IF($Y2165="","",INDEX($L$6:$L$40000,$Y2165)&amp;"")</f>
        <v/>
      </c>
    </row>
    <row r="2166">
      <c r="Y2166" s="47">
        <f>IFERROR(MATCH(Library!M2166,$M$6:$M$40000,0),"")</f>
        <v/>
      </c>
      <c r="Z2166">
        <f>IF($Y2166="","",INDEX($C$6:$C$40000,$Y2166)&amp;"")</f>
        <v/>
      </c>
      <c r="AA2166" s="59">
        <f>IF($Y2166="","",IF(INDEX($D$6:$D$40000,$Y2166)="","",INDEX($D$6:$D$40000,$Y2166)))</f>
        <v/>
      </c>
      <c r="AB2166">
        <f>IF($Y2166="","",INDEX($L$6:$L$40000,$Y2166)&amp;"")</f>
        <v/>
      </c>
    </row>
    <row r="2167">
      <c r="Y2167" s="47">
        <f>IFERROR(MATCH(Library!M2167,$M$6:$M$40000,0),"")</f>
        <v/>
      </c>
      <c r="Z2167">
        <f>IF($Y2167="","",INDEX($C$6:$C$40000,$Y2167)&amp;"")</f>
        <v/>
      </c>
      <c r="AA2167" s="59">
        <f>IF($Y2167="","",IF(INDEX($D$6:$D$40000,$Y2167)="","",INDEX($D$6:$D$40000,$Y2167)))</f>
        <v/>
      </c>
      <c r="AB2167">
        <f>IF($Y2167="","",INDEX($L$6:$L$40000,$Y2167)&amp;"")</f>
        <v/>
      </c>
    </row>
    <row r="2168">
      <c r="Y2168" s="47">
        <f>IFERROR(MATCH(Library!M2168,$M$6:$M$40000,0),"")</f>
        <v/>
      </c>
      <c r="Z2168">
        <f>IF($Y2168="","",INDEX($C$6:$C$40000,$Y2168)&amp;"")</f>
        <v/>
      </c>
      <c r="AA2168" s="59">
        <f>IF($Y2168="","",IF(INDEX($D$6:$D$40000,$Y2168)="","",INDEX($D$6:$D$40000,$Y2168)))</f>
        <v/>
      </c>
      <c r="AB2168">
        <f>IF($Y2168="","",INDEX($L$6:$L$40000,$Y2168)&amp;"")</f>
        <v/>
      </c>
    </row>
    <row r="2169">
      <c r="Y2169" s="47">
        <f>IFERROR(MATCH(Library!M2169,$M$6:$M$40000,0),"")</f>
        <v/>
      </c>
      <c r="Z2169">
        <f>IF($Y2169="","",INDEX($C$6:$C$40000,$Y2169)&amp;"")</f>
        <v/>
      </c>
      <c r="AA2169" s="59">
        <f>IF($Y2169="","",IF(INDEX($D$6:$D$40000,$Y2169)="","",INDEX($D$6:$D$40000,$Y2169)))</f>
        <v/>
      </c>
      <c r="AB2169">
        <f>IF($Y2169="","",INDEX($L$6:$L$40000,$Y2169)&amp;"")</f>
        <v/>
      </c>
    </row>
    <row r="2170">
      <c r="Y2170" s="47">
        <f>IFERROR(MATCH(Library!M2170,$M$6:$M$40000,0),"")</f>
        <v/>
      </c>
      <c r="Z2170">
        <f>IF($Y2170="","",INDEX($C$6:$C$40000,$Y2170)&amp;"")</f>
        <v/>
      </c>
      <c r="AA2170" s="59">
        <f>IF($Y2170="","",IF(INDEX($D$6:$D$40000,$Y2170)="","",INDEX($D$6:$D$40000,$Y2170)))</f>
        <v/>
      </c>
      <c r="AB2170">
        <f>IF($Y2170="","",INDEX($L$6:$L$40000,$Y2170)&amp;"")</f>
        <v/>
      </c>
    </row>
    <row r="2171">
      <c r="Y2171" s="47">
        <f>IFERROR(MATCH(Library!M2171,$M$6:$M$40000,0),"")</f>
        <v/>
      </c>
      <c r="Z2171">
        <f>IF($Y2171="","",INDEX($C$6:$C$40000,$Y2171)&amp;"")</f>
        <v/>
      </c>
      <c r="AA2171" s="59">
        <f>IF($Y2171="","",IF(INDEX($D$6:$D$40000,$Y2171)="","",INDEX($D$6:$D$40000,$Y2171)))</f>
        <v/>
      </c>
      <c r="AB2171">
        <f>IF($Y2171="","",INDEX($L$6:$L$40000,$Y2171)&amp;"")</f>
        <v/>
      </c>
    </row>
    <row r="2172">
      <c r="Y2172" s="47">
        <f>IFERROR(MATCH(Library!M2172,$M$6:$M$40000,0),"")</f>
        <v/>
      </c>
      <c r="Z2172">
        <f>IF($Y2172="","",INDEX($C$6:$C$40000,$Y2172)&amp;"")</f>
        <v/>
      </c>
      <c r="AA2172" s="59">
        <f>IF($Y2172="","",IF(INDEX($D$6:$D$40000,$Y2172)="","",INDEX($D$6:$D$40000,$Y2172)))</f>
        <v/>
      </c>
      <c r="AB2172">
        <f>IF($Y2172="","",INDEX($L$6:$L$40000,$Y2172)&amp;"")</f>
        <v/>
      </c>
    </row>
    <row r="2173">
      <c r="Y2173" s="47">
        <f>IFERROR(MATCH(Library!M2173,$M$6:$M$40000,0),"")</f>
        <v/>
      </c>
      <c r="Z2173">
        <f>IF($Y2173="","",INDEX($C$6:$C$40000,$Y2173)&amp;"")</f>
        <v/>
      </c>
      <c r="AA2173" s="59">
        <f>IF($Y2173="","",IF(INDEX($D$6:$D$40000,$Y2173)="","",INDEX($D$6:$D$40000,$Y2173)))</f>
        <v/>
      </c>
      <c r="AB2173">
        <f>IF($Y2173="","",INDEX($L$6:$L$40000,$Y2173)&amp;"")</f>
        <v/>
      </c>
    </row>
    <row r="2174">
      <c r="Y2174" s="47">
        <f>IFERROR(MATCH(Library!M2174,$M$6:$M$40000,0),"")</f>
        <v/>
      </c>
      <c r="Z2174">
        <f>IF($Y2174="","",INDEX($C$6:$C$40000,$Y2174)&amp;"")</f>
        <v/>
      </c>
      <c r="AA2174" s="59">
        <f>IF($Y2174="","",IF(INDEX($D$6:$D$40000,$Y2174)="","",INDEX($D$6:$D$40000,$Y2174)))</f>
        <v/>
      </c>
      <c r="AB2174">
        <f>IF($Y2174="","",INDEX($L$6:$L$40000,$Y2174)&amp;"")</f>
        <v/>
      </c>
    </row>
    <row r="2175">
      <c r="Y2175" s="47">
        <f>IFERROR(MATCH(Library!M2175,$M$6:$M$40000,0),"")</f>
        <v/>
      </c>
      <c r="Z2175">
        <f>IF($Y2175="","",INDEX($C$6:$C$40000,$Y2175)&amp;"")</f>
        <v/>
      </c>
      <c r="AA2175" s="59">
        <f>IF($Y2175="","",IF(INDEX($D$6:$D$40000,$Y2175)="","",INDEX($D$6:$D$40000,$Y2175)))</f>
        <v/>
      </c>
      <c r="AB2175">
        <f>IF($Y2175="","",INDEX($L$6:$L$40000,$Y2175)&amp;"")</f>
        <v/>
      </c>
    </row>
    <row r="2176">
      <c r="Y2176" s="47">
        <f>IFERROR(MATCH(Library!M2176,$M$6:$M$40000,0),"")</f>
        <v/>
      </c>
      <c r="Z2176">
        <f>IF($Y2176="","",INDEX($C$6:$C$40000,$Y2176)&amp;"")</f>
        <v/>
      </c>
      <c r="AA2176" s="59">
        <f>IF($Y2176="","",IF(INDEX($D$6:$D$40000,$Y2176)="","",INDEX($D$6:$D$40000,$Y2176)))</f>
        <v/>
      </c>
      <c r="AB2176">
        <f>IF($Y2176="","",INDEX($L$6:$L$40000,$Y2176)&amp;"")</f>
        <v/>
      </c>
    </row>
    <row r="2177">
      <c r="Y2177" s="47">
        <f>IFERROR(MATCH(Library!M2177,$M$6:$M$40000,0),"")</f>
        <v/>
      </c>
      <c r="Z2177">
        <f>IF($Y2177="","",INDEX($C$6:$C$40000,$Y2177)&amp;"")</f>
        <v/>
      </c>
      <c r="AA2177" s="59">
        <f>IF($Y2177="","",IF(INDEX($D$6:$D$40000,$Y2177)="","",INDEX($D$6:$D$40000,$Y2177)))</f>
        <v/>
      </c>
      <c r="AB2177">
        <f>IF($Y2177="","",INDEX($L$6:$L$40000,$Y2177)&amp;"")</f>
        <v/>
      </c>
    </row>
    <row r="2178">
      <c r="Y2178" s="47">
        <f>IFERROR(MATCH(Library!M2178,$M$6:$M$40000,0),"")</f>
        <v/>
      </c>
      <c r="Z2178">
        <f>IF($Y2178="","",INDEX($C$6:$C$40000,$Y2178)&amp;"")</f>
        <v/>
      </c>
      <c r="AA2178" s="59">
        <f>IF($Y2178="","",IF(INDEX($D$6:$D$40000,$Y2178)="","",INDEX($D$6:$D$40000,$Y2178)))</f>
        <v/>
      </c>
      <c r="AB2178">
        <f>IF($Y2178="","",INDEX($L$6:$L$40000,$Y2178)&amp;"")</f>
        <v/>
      </c>
    </row>
    <row r="2179">
      <c r="Y2179" s="47">
        <f>IFERROR(MATCH(Library!M2179,$M$6:$M$40000,0),"")</f>
        <v/>
      </c>
      <c r="Z2179">
        <f>IF($Y2179="","",INDEX($C$6:$C$40000,$Y2179)&amp;"")</f>
        <v/>
      </c>
      <c r="AA2179" s="59">
        <f>IF($Y2179="","",IF(INDEX($D$6:$D$40000,$Y2179)="","",INDEX($D$6:$D$40000,$Y2179)))</f>
        <v/>
      </c>
      <c r="AB2179">
        <f>IF($Y2179="","",INDEX($L$6:$L$40000,$Y2179)&amp;"")</f>
        <v/>
      </c>
    </row>
    <row r="2180">
      <c r="Y2180" s="47">
        <f>IFERROR(MATCH(Library!M2180,$M$6:$M$40000,0),"")</f>
        <v/>
      </c>
      <c r="Z2180">
        <f>IF($Y2180="","",INDEX($C$6:$C$40000,$Y2180)&amp;"")</f>
        <v/>
      </c>
      <c r="AA2180" s="59">
        <f>IF($Y2180="","",IF(INDEX($D$6:$D$40000,$Y2180)="","",INDEX($D$6:$D$40000,$Y2180)))</f>
        <v/>
      </c>
      <c r="AB2180">
        <f>IF($Y2180="","",INDEX($L$6:$L$40000,$Y2180)&amp;"")</f>
        <v/>
      </c>
    </row>
    <row r="2181">
      <c r="Y2181" s="47">
        <f>IFERROR(MATCH(Library!M2181,$M$6:$M$40000,0),"")</f>
        <v/>
      </c>
      <c r="Z2181">
        <f>IF($Y2181="","",INDEX($C$6:$C$40000,$Y2181)&amp;"")</f>
        <v/>
      </c>
      <c r="AA2181" s="59">
        <f>IF($Y2181="","",IF(INDEX($D$6:$D$40000,$Y2181)="","",INDEX($D$6:$D$40000,$Y2181)))</f>
        <v/>
      </c>
      <c r="AB2181">
        <f>IF($Y2181="","",INDEX($L$6:$L$40000,$Y2181)&amp;"")</f>
        <v/>
      </c>
    </row>
    <row r="2182">
      <c r="Y2182" s="47">
        <f>IFERROR(MATCH(Library!M2182,$M$6:$M$40000,0),"")</f>
        <v/>
      </c>
      <c r="Z2182">
        <f>IF($Y2182="","",INDEX($C$6:$C$40000,$Y2182)&amp;"")</f>
        <v/>
      </c>
      <c r="AA2182" s="59">
        <f>IF($Y2182="","",IF(INDEX($D$6:$D$40000,$Y2182)="","",INDEX($D$6:$D$40000,$Y2182)))</f>
        <v/>
      </c>
      <c r="AB2182">
        <f>IF($Y2182="","",INDEX($L$6:$L$40000,$Y2182)&amp;"")</f>
        <v/>
      </c>
    </row>
    <row r="2183">
      <c r="Y2183" s="47">
        <f>IFERROR(MATCH(Library!M2183,$M$6:$M$40000,0),"")</f>
        <v/>
      </c>
      <c r="Z2183">
        <f>IF($Y2183="","",INDEX($C$6:$C$40000,$Y2183)&amp;"")</f>
        <v/>
      </c>
      <c r="AA2183" s="59">
        <f>IF($Y2183="","",IF(INDEX($D$6:$D$40000,$Y2183)="","",INDEX($D$6:$D$40000,$Y2183)))</f>
        <v/>
      </c>
      <c r="AB2183">
        <f>IF($Y2183="","",INDEX($L$6:$L$40000,$Y2183)&amp;"")</f>
        <v/>
      </c>
    </row>
    <row r="2184">
      <c r="Y2184" s="47">
        <f>IFERROR(MATCH(Library!M2184,$M$6:$M$40000,0),"")</f>
        <v/>
      </c>
      <c r="Z2184">
        <f>IF($Y2184="","",INDEX($C$6:$C$40000,$Y2184)&amp;"")</f>
        <v/>
      </c>
      <c r="AA2184" s="59">
        <f>IF($Y2184="","",IF(INDEX($D$6:$D$40000,$Y2184)="","",INDEX($D$6:$D$40000,$Y2184)))</f>
        <v/>
      </c>
      <c r="AB2184">
        <f>IF($Y2184="","",INDEX($L$6:$L$40000,$Y2184)&amp;"")</f>
        <v/>
      </c>
    </row>
    <row r="2185">
      <c r="Y2185" s="47">
        <f>IFERROR(MATCH(Library!M2185,$M$6:$M$40000,0),"")</f>
        <v/>
      </c>
      <c r="Z2185">
        <f>IF($Y2185="","",INDEX($C$6:$C$40000,$Y2185)&amp;"")</f>
        <v/>
      </c>
      <c r="AA2185" s="59">
        <f>IF($Y2185="","",IF(INDEX($D$6:$D$40000,$Y2185)="","",INDEX($D$6:$D$40000,$Y2185)))</f>
        <v/>
      </c>
      <c r="AB2185">
        <f>IF($Y2185="","",INDEX($L$6:$L$40000,$Y2185)&amp;"")</f>
        <v/>
      </c>
    </row>
    <row r="2186">
      <c r="Y2186" s="47">
        <f>IFERROR(MATCH(Library!M2186,$M$6:$M$40000,0),"")</f>
        <v/>
      </c>
      <c r="Z2186">
        <f>IF($Y2186="","",INDEX($C$6:$C$40000,$Y2186)&amp;"")</f>
        <v/>
      </c>
      <c r="AA2186" s="59">
        <f>IF($Y2186="","",IF(INDEX($D$6:$D$40000,$Y2186)="","",INDEX($D$6:$D$40000,$Y2186)))</f>
        <v/>
      </c>
      <c r="AB2186">
        <f>IF($Y2186="","",INDEX($L$6:$L$40000,$Y2186)&amp;"")</f>
        <v/>
      </c>
    </row>
    <row r="2187">
      <c r="Y2187" s="47">
        <f>IFERROR(MATCH(Library!M2187,$M$6:$M$40000,0),"")</f>
        <v/>
      </c>
      <c r="Z2187">
        <f>IF($Y2187="","",INDEX($C$6:$C$40000,$Y2187)&amp;"")</f>
        <v/>
      </c>
      <c r="AA2187" s="59">
        <f>IF($Y2187="","",IF(INDEX($D$6:$D$40000,$Y2187)="","",INDEX($D$6:$D$40000,$Y2187)))</f>
        <v/>
      </c>
      <c r="AB2187">
        <f>IF($Y2187="","",INDEX($L$6:$L$40000,$Y2187)&amp;"")</f>
        <v/>
      </c>
    </row>
    <row r="2188">
      <c r="Y2188" s="47">
        <f>IFERROR(MATCH(Library!M2188,$M$6:$M$40000,0),"")</f>
        <v/>
      </c>
      <c r="Z2188">
        <f>IF($Y2188="","",INDEX($C$6:$C$40000,$Y2188)&amp;"")</f>
        <v/>
      </c>
      <c r="AA2188" s="59">
        <f>IF($Y2188="","",IF(INDEX($D$6:$D$40000,$Y2188)="","",INDEX($D$6:$D$40000,$Y2188)))</f>
        <v/>
      </c>
      <c r="AB2188">
        <f>IF($Y2188="","",INDEX($L$6:$L$40000,$Y2188)&amp;"")</f>
        <v/>
      </c>
    </row>
    <row r="2189">
      <c r="Y2189" s="47">
        <f>IFERROR(MATCH(Library!M2189,$M$6:$M$40000,0),"")</f>
        <v/>
      </c>
      <c r="Z2189">
        <f>IF($Y2189="","",INDEX($C$6:$C$40000,$Y2189)&amp;"")</f>
        <v/>
      </c>
      <c r="AA2189" s="59">
        <f>IF($Y2189="","",IF(INDEX($D$6:$D$40000,$Y2189)="","",INDEX($D$6:$D$40000,$Y2189)))</f>
        <v/>
      </c>
      <c r="AB2189">
        <f>IF($Y2189="","",INDEX($L$6:$L$40000,$Y2189)&amp;"")</f>
        <v/>
      </c>
    </row>
    <row r="2190">
      <c r="Y2190" s="47">
        <f>IFERROR(MATCH(Library!M2190,$M$6:$M$40000,0),"")</f>
        <v/>
      </c>
      <c r="Z2190">
        <f>IF($Y2190="","",INDEX($C$6:$C$40000,$Y2190)&amp;"")</f>
        <v/>
      </c>
      <c r="AA2190" s="59">
        <f>IF($Y2190="","",IF(INDEX($D$6:$D$40000,$Y2190)="","",INDEX($D$6:$D$40000,$Y2190)))</f>
        <v/>
      </c>
      <c r="AB2190">
        <f>IF($Y2190="","",INDEX($L$6:$L$40000,$Y2190)&amp;"")</f>
        <v/>
      </c>
    </row>
    <row r="2191">
      <c r="Y2191" s="47">
        <f>IFERROR(MATCH(Library!M2191,$M$6:$M$40000,0),"")</f>
        <v/>
      </c>
      <c r="Z2191">
        <f>IF($Y2191="","",INDEX($C$6:$C$40000,$Y2191)&amp;"")</f>
        <v/>
      </c>
      <c r="AA2191" s="59">
        <f>IF($Y2191="","",IF(INDEX($D$6:$D$40000,$Y2191)="","",INDEX($D$6:$D$40000,$Y2191)))</f>
        <v/>
      </c>
      <c r="AB2191">
        <f>IF($Y2191="","",INDEX($L$6:$L$40000,$Y2191)&amp;"")</f>
        <v/>
      </c>
    </row>
    <row r="2192">
      <c r="Y2192" s="47">
        <f>IFERROR(MATCH(Library!M2192,$M$6:$M$40000,0),"")</f>
        <v/>
      </c>
      <c r="Z2192">
        <f>IF($Y2192="","",INDEX($C$6:$C$40000,$Y2192)&amp;"")</f>
        <v/>
      </c>
      <c r="AA2192" s="59">
        <f>IF($Y2192="","",IF(INDEX($D$6:$D$40000,$Y2192)="","",INDEX($D$6:$D$40000,$Y2192)))</f>
        <v/>
      </c>
      <c r="AB2192">
        <f>IF($Y2192="","",INDEX($L$6:$L$40000,$Y2192)&amp;"")</f>
        <v/>
      </c>
    </row>
    <row r="2193">
      <c r="Y2193" s="47">
        <f>IFERROR(MATCH(Library!M2193,$M$6:$M$40000,0),"")</f>
        <v/>
      </c>
      <c r="Z2193">
        <f>IF($Y2193="","",INDEX($C$6:$C$40000,$Y2193)&amp;"")</f>
        <v/>
      </c>
      <c r="AA2193" s="59">
        <f>IF($Y2193="","",IF(INDEX($D$6:$D$40000,$Y2193)="","",INDEX($D$6:$D$40000,$Y2193)))</f>
        <v/>
      </c>
      <c r="AB2193">
        <f>IF($Y2193="","",INDEX($L$6:$L$40000,$Y2193)&amp;"")</f>
        <v/>
      </c>
    </row>
    <row r="2194">
      <c r="Y2194" s="47">
        <f>IFERROR(MATCH(Library!M2194,$M$6:$M$40000,0),"")</f>
        <v/>
      </c>
      <c r="Z2194">
        <f>IF($Y2194="","",INDEX($C$6:$C$40000,$Y2194)&amp;"")</f>
        <v/>
      </c>
      <c r="AA2194" s="59">
        <f>IF($Y2194="","",IF(INDEX($D$6:$D$40000,$Y2194)="","",INDEX($D$6:$D$40000,$Y2194)))</f>
        <v/>
      </c>
      <c r="AB2194">
        <f>IF($Y2194="","",INDEX($L$6:$L$40000,$Y2194)&amp;"")</f>
        <v/>
      </c>
    </row>
    <row r="2195">
      <c r="Y2195" s="47">
        <f>IFERROR(MATCH(Library!M2195,$M$6:$M$40000,0),"")</f>
        <v/>
      </c>
      <c r="Z2195">
        <f>IF($Y2195="","",INDEX($C$6:$C$40000,$Y2195)&amp;"")</f>
        <v/>
      </c>
      <c r="AA2195" s="59">
        <f>IF($Y2195="","",IF(INDEX($D$6:$D$40000,$Y2195)="","",INDEX($D$6:$D$40000,$Y2195)))</f>
        <v/>
      </c>
      <c r="AB2195">
        <f>IF($Y2195="","",INDEX($L$6:$L$40000,$Y2195)&amp;"")</f>
        <v/>
      </c>
    </row>
    <row r="2196">
      <c r="Y2196" s="47">
        <f>IFERROR(MATCH(Library!M2196,$M$6:$M$40000,0),"")</f>
        <v/>
      </c>
      <c r="Z2196">
        <f>IF($Y2196="","",INDEX($C$6:$C$40000,$Y2196)&amp;"")</f>
        <v/>
      </c>
      <c r="AA2196" s="59">
        <f>IF($Y2196="","",IF(INDEX($D$6:$D$40000,$Y2196)="","",INDEX($D$6:$D$40000,$Y2196)))</f>
        <v/>
      </c>
      <c r="AB2196">
        <f>IF($Y2196="","",INDEX($L$6:$L$40000,$Y2196)&amp;"")</f>
        <v/>
      </c>
    </row>
    <row r="2197">
      <c r="Y2197" s="47">
        <f>IFERROR(MATCH(Library!M2197,$M$6:$M$40000,0),"")</f>
        <v/>
      </c>
      <c r="Z2197">
        <f>IF($Y2197="","",INDEX($C$6:$C$40000,$Y2197)&amp;"")</f>
        <v/>
      </c>
      <c r="AA2197" s="59">
        <f>IF($Y2197="","",IF(INDEX($D$6:$D$40000,$Y2197)="","",INDEX($D$6:$D$40000,$Y2197)))</f>
        <v/>
      </c>
      <c r="AB2197">
        <f>IF($Y2197="","",INDEX($L$6:$L$40000,$Y2197)&amp;"")</f>
        <v/>
      </c>
    </row>
    <row r="2198">
      <c r="Y2198" s="47">
        <f>IFERROR(MATCH(Library!M2198,$M$6:$M$40000,0),"")</f>
        <v/>
      </c>
      <c r="Z2198">
        <f>IF($Y2198="","",INDEX($C$6:$C$40000,$Y2198)&amp;"")</f>
        <v/>
      </c>
      <c r="AA2198" s="59">
        <f>IF($Y2198="","",IF(INDEX($D$6:$D$40000,$Y2198)="","",INDEX($D$6:$D$40000,$Y2198)))</f>
        <v/>
      </c>
      <c r="AB2198">
        <f>IF($Y2198="","",INDEX($L$6:$L$40000,$Y2198)&amp;"")</f>
        <v/>
      </c>
    </row>
    <row r="2199">
      <c r="Y2199" s="47">
        <f>IFERROR(MATCH(Library!M2199,$M$6:$M$40000,0),"")</f>
        <v/>
      </c>
      <c r="Z2199">
        <f>IF($Y2199="","",INDEX($C$6:$C$40000,$Y2199)&amp;"")</f>
        <v/>
      </c>
      <c r="AA2199" s="59">
        <f>IF($Y2199="","",IF(INDEX($D$6:$D$40000,$Y2199)="","",INDEX($D$6:$D$40000,$Y2199)))</f>
        <v/>
      </c>
      <c r="AB2199">
        <f>IF($Y2199="","",INDEX($L$6:$L$40000,$Y2199)&amp;"")</f>
        <v/>
      </c>
    </row>
    <row r="2200">
      <c r="Y2200" s="47">
        <f>IFERROR(MATCH(Library!M2200,$M$6:$M$40000,0),"")</f>
        <v/>
      </c>
      <c r="Z2200">
        <f>IF($Y2200="","",INDEX($C$6:$C$40000,$Y2200)&amp;"")</f>
        <v/>
      </c>
      <c r="AA2200" s="59">
        <f>IF($Y2200="","",IF(INDEX($D$6:$D$40000,$Y2200)="","",INDEX($D$6:$D$40000,$Y2200)))</f>
        <v/>
      </c>
      <c r="AB2200">
        <f>IF($Y2200="","",INDEX($L$6:$L$40000,$Y2200)&amp;"")</f>
        <v/>
      </c>
    </row>
    <row r="2201">
      <c r="Y2201" s="47">
        <f>IFERROR(MATCH(Library!M2201,$M$6:$M$40000,0),"")</f>
        <v/>
      </c>
      <c r="Z2201">
        <f>IF($Y2201="","",INDEX($C$6:$C$40000,$Y2201)&amp;"")</f>
        <v/>
      </c>
      <c r="AA2201" s="59">
        <f>IF($Y2201="","",IF(INDEX($D$6:$D$40000,$Y2201)="","",INDEX($D$6:$D$40000,$Y2201)))</f>
        <v/>
      </c>
      <c r="AB2201">
        <f>IF($Y2201="","",INDEX($L$6:$L$40000,$Y2201)&amp;"")</f>
        <v/>
      </c>
    </row>
    <row r="2202">
      <c r="Y2202" s="47">
        <f>IFERROR(MATCH(Library!M2202,$M$6:$M$40000,0),"")</f>
        <v/>
      </c>
      <c r="Z2202">
        <f>IF($Y2202="","",INDEX($C$6:$C$40000,$Y2202)&amp;"")</f>
        <v/>
      </c>
      <c r="AA2202" s="59">
        <f>IF($Y2202="","",IF(INDEX($D$6:$D$40000,$Y2202)="","",INDEX($D$6:$D$40000,$Y2202)))</f>
        <v/>
      </c>
      <c r="AB2202">
        <f>IF($Y2202="","",INDEX($L$6:$L$40000,$Y2202)&amp;"")</f>
        <v/>
      </c>
    </row>
    <row r="2203">
      <c r="Y2203" s="47">
        <f>IFERROR(MATCH(Library!M2203,$M$6:$M$40000,0),"")</f>
        <v/>
      </c>
      <c r="Z2203">
        <f>IF($Y2203="","",INDEX($C$6:$C$40000,$Y2203)&amp;"")</f>
        <v/>
      </c>
      <c r="AA2203" s="59">
        <f>IF($Y2203="","",IF(INDEX($D$6:$D$40000,$Y2203)="","",INDEX($D$6:$D$40000,$Y2203)))</f>
        <v/>
      </c>
      <c r="AB2203">
        <f>IF($Y2203="","",INDEX($L$6:$L$40000,$Y2203)&amp;"")</f>
        <v/>
      </c>
    </row>
    <row r="2204">
      <c r="Y2204" s="47">
        <f>IFERROR(MATCH(Library!M2204,$M$6:$M$40000,0),"")</f>
        <v/>
      </c>
      <c r="Z2204">
        <f>IF($Y2204="","",INDEX($C$6:$C$40000,$Y2204)&amp;"")</f>
        <v/>
      </c>
      <c r="AA2204" s="59">
        <f>IF($Y2204="","",IF(INDEX($D$6:$D$40000,$Y2204)="","",INDEX($D$6:$D$40000,$Y2204)))</f>
        <v/>
      </c>
      <c r="AB2204">
        <f>IF($Y2204="","",INDEX($L$6:$L$40000,$Y2204)&amp;"")</f>
        <v/>
      </c>
    </row>
    <row r="2205">
      <c r="Y2205" s="47">
        <f>IFERROR(MATCH(Library!M2205,$M$6:$M$40000,0),"")</f>
        <v/>
      </c>
      <c r="Z2205">
        <f>IF($Y2205="","",INDEX($C$6:$C$40000,$Y2205)&amp;"")</f>
        <v/>
      </c>
      <c r="AA2205" s="59">
        <f>IF($Y2205="","",IF(INDEX($D$6:$D$40000,$Y2205)="","",INDEX($D$6:$D$40000,$Y2205)))</f>
        <v/>
      </c>
      <c r="AB2205">
        <f>IF($Y2205="","",INDEX($L$6:$L$40000,$Y2205)&amp;"")</f>
        <v/>
      </c>
    </row>
    <row r="2206">
      <c r="Y2206" s="47">
        <f>IFERROR(MATCH(Library!M2206,$M$6:$M$40000,0),"")</f>
        <v/>
      </c>
      <c r="Z2206">
        <f>IF($Y2206="","",INDEX($C$6:$C$40000,$Y2206)&amp;"")</f>
        <v/>
      </c>
      <c r="AA2206" s="59">
        <f>IF($Y2206="","",IF(INDEX($D$6:$D$40000,$Y2206)="","",INDEX($D$6:$D$40000,$Y2206)))</f>
        <v/>
      </c>
      <c r="AB2206">
        <f>IF($Y2206="","",INDEX($L$6:$L$40000,$Y2206)&amp;"")</f>
        <v/>
      </c>
    </row>
    <row r="2207">
      <c r="Y2207" s="47">
        <f>IFERROR(MATCH(Library!M2207,$M$6:$M$40000,0),"")</f>
        <v/>
      </c>
      <c r="Z2207">
        <f>IF($Y2207="","",INDEX($C$6:$C$40000,$Y2207)&amp;"")</f>
        <v/>
      </c>
      <c r="AA2207" s="59">
        <f>IF($Y2207="","",IF(INDEX($D$6:$D$40000,$Y2207)="","",INDEX($D$6:$D$40000,$Y2207)))</f>
        <v/>
      </c>
      <c r="AB2207">
        <f>IF($Y2207="","",INDEX($L$6:$L$40000,$Y2207)&amp;"")</f>
        <v/>
      </c>
    </row>
    <row r="2208">
      <c r="Y2208" s="47">
        <f>IFERROR(MATCH(Library!M2208,$M$6:$M$40000,0),"")</f>
        <v/>
      </c>
      <c r="Z2208">
        <f>IF($Y2208="","",INDEX($C$6:$C$40000,$Y2208)&amp;"")</f>
        <v/>
      </c>
      <c r="AA2208" s="59">
        <f>IF($Y2208="","",IF(INDEX($D$6:$D$40000,$Y2208)="","",INDEX($D$6:$D$40000,$Y2208)))</f>
        <v/>
      </c>
      <c r="AB2208">
        <f>IF($Y2208="","",INDEX($L$6:$L$40000,$Y2208)&amp;"")</f>
        <v/>
      </c>
    </row>
    <row r="2209">
      <c r="Y2209" s="47">
        <f>IFERROR(MATCH(Library!M2209,$M$6:$M$40000,0),"")</f>
        <v/>
      </c>
      <c r="Z2209">
        <f>IF($Y2209="","",INDEX($C$6:$C$40000,$Y2209)&amp;"")</f>
        <v/>
      </c>
      <c r="AA2209" s="59">
        <f>IF($Y2209="","",IF(INDEX($D$6:$D$40000,$Y2209)="","",INDEX($D$6:$D$40000,$Y2209)))</f>
        <v/>
      </c>
      <c r="AB2209">
        <f>IF($Y2209="","",INDEX($L$6:$L$40000,$Y2209)&amp;"")</f>
        <v/>
      </c>
    </row>
    <row r="2210">
      <c r="Y2210" s="47">
        <f>IFERROR(MATCH(Library!M2210,$M$6:$M$40000,0),"")</f>
        <v/>
      </c>
      <c r="Z2210">
        <f>IF($Y2210="","",INDEX($C$6:$C$40000,$Y2210)&amp;"")</f>
        <v/>
      </c>
      <c r="AA2210" s="59">
        <f>IF($Y2210="","",IF(INDEX($D$6:$D$40000,$Y2210)="","",INDEX($D$6:$D$40000,$Y2210)))</f>
        <v/>
      </c>
      <c r="AB2210">
        <f>IF($Y2210="","",INDEX($L$6:$L$40000,$Y2210)&amp;"")</f>
        <v/>
      </c>
    </row>
    <row r="2211">
      <c r="Y2211" s="47">
        <f>IFERROR(MATCH(Library!M2211,$M$6:$M$40000,0),"")</f>
        <v/>
      </c>
      <c r="Z2211">
        <f>IF($Y2211="","",INDEX($C$6:$C$40000,$Y2211)&amp;"")</f>
        <v/>
      </c>
      <c r="AA2211" s="59">
        <f>IF($Y2211="","",IF(INDEX($D$6:$D$40000,$Y2211)="","",INDEX($D$6:$D$40000,$Y2211)))</f>
        <v/>
      </c>
      <c r="AB2211">
        <f>IF($Y2211="","",INDEX($L$6:$L$40000,$Y2211)&amp;"")</f>
        <v/>
      </c>
    </row>
    <row r="2212">
      <c r="Y2212" s="47">
        <f>IFERROR(MATCH(Library!M2212,$M$6:$M$40000,0),"")</f>
        <v/>
      </c>
      <c r="Z2212">
        <f>IF($Y2212="","",INDEX($C$6:$C$40000,$Y2212)&amp;"")</f>
        <v/>
      </c>
      <c r="AA2212" s="59">
        <f>IF($Y2212="","",IF(INDEX($D$6:$D$40000,$Y2212)="","",INDEX($D$6:$D$40000,$Y2212)))</f>
        <v/>
      </c>
      <c r="AB2212">
        <f>IF($Y2212="","",INDEX($L$6:$L$40000,$Y2212)&amp;"")</f>
        <v/>
      </c>
    </row>
    <row r="2213">
      <c r="Y2213" s="47">
        <f>IFERROR(MATCH(Library!M2213,$M$6:$M$40000,0),"")</f>
        <v/>
      </c>
      <c r="Z2213">
        <f>IF($Y2213="","",INDEX($C$6:$C$40000,$Y2213)&amp;"")</f>
        <v/>
      </c>
      <c r="AA2213" s="59">
        <f>IF($Y2213="","",IF(INDEX($D$6:$D$40000,$Y2213)="","",INDEX($D$6:$D$40000,$Y2213)))</f>
        <v/>
      </c>
      <c r="AB2213">
        <f>IF($Y2213="","",INDEX($L$6:$L$40000,$Y2213)&amp;"")</f>
        <v/>
      </c>
    </row>
    <row r="2214">
      <c r="Y2214" s="47">
        <f>IFERROR(MATCH(Library!M2214,$M$6:$M$40000,0),"")</f>
        <v/>
      </c>
      <c r="Z2214">
        <f>IF($Y2214="","",INDEX($C$6:$C$40000,$Y2214)&amp;"")</f>
        <v/>
      </c>
      <c r="AA2214" s="59">
        <f>IF($Y2214="","",IF(INDEX($D$6:$D$40000,$Y2214)="","",INDEX($D$6:$D$40000,$Y2214)))</f>
        <v/>
      </c>
      <c r="AB2214">
        <f>IF($Y2214="","",INDEX($L$6:$L$40000,$Y2214)&amp;"")</f>
        <v/>
      </c>
    </row>
    <row r="2215">
      <c r="Y2215" s="47">
        <f>IFERROR(MATCH(Library!M2215,$M$6:$M$40000,0),"")</f>
        <v/>
      </c>
      <c r="Z2215">
        <f>IF($Y2215="","",INDEX($C$6:$C$40000,$Y2215)&amp;"")</f>
        <v/>
      </c>
      <c r="AA2215" s="59">
        <f>IF($Y2215="","",IF(INDEX($D$6:$D$40000,$Y2215)="","",INDEX($D$6:$D$40000,$Y2215)))</f>
        <v/>
      </c>
      <c r="AB2215">
        <f>IF($Y2215="","",INDEX($L$6:$L$40000,$Y2215)&amp;"")</f>
        <v/>
      </c>
    </row>
    <row r="2216">
      <c r="Y2216" s="47">
        <f>IFERROR(MATCH(Library!M2216,$M$6:$M$40000,0),"")</f>
        <v/>
      </c>
      <c r="Z2216">
        <f>IF($Y2216="","",INDEX($C$6:$C$40000,$Y2216)&amp;"")</f>
        <v/>
      </c>
      <c r="AA2216" s="59">
        <f>IF($Y2216="","",IF(INDEX($D$6:$D$40000,$Y2216)="","",INDEX($D$6:$D$40000,$Y2216)))</f>
        <v/>
      </c>
      <c r="AB2216">
        <f>IF($Y2216="","",INDEX($L$6:$L$40000,$Y2216)&amp;"")</f>
        <v/>
      </c>
    </row>
    <row r="2217">
      <c r="Y2217" s="47">
        <f>IFERROR(MATCH(Library!M2217,$M$6:$M$40000,0),"")</f>
        <v/>
      </c>
      <c r="Z2217">
        <f>IF($Y2217="","",INDEX($C$6:$C$40000,$Y2217)&amp;"")</f>
        <v/>
      </c>
      <c r="AA2217" s="59">
        <f>IF($Y2217="","",IF(INDEX($D$6:$D$40000,$Y2217)="","",INDEX($D$6:$D$40000,$Y2217)))</f>
        <v/>
      </c>
      <c r="AB2217">
        <f>IF($Y2217="","",INDEX($L$6:$L$40000,$Y2217)&amp;"")</f>
        <v/>
      </c>
    </row>
    <row r="2218">
      <c r="Y2218" s="47">
        <f>IFERROR(MATCH(Library!M2218,$M$6:$M$40000,0),"")</f>
        <v/>
      </c>
      <c r="Z2218">
        <f>IF($Y2218="","",INDEX($C$6:$C$40000,$Y2218)&amp;"")</f>
        <v/>
      </c>
      <c r="AA2218" s="59">
        <f>IF($Y2218="","",IF(INDEX($D$6:$D$40000,$Y2218)="","",INDEX($D$6:$D$40000,$Y2218)))</f>
        <v/>
      </c>
      <c r="AB2218">
        <f>IF($Y2218="","",INDEX($L$6:$L$40000,$Y2218)&amp;"")</f>
        <v/>
      </c>
    </row>
    <row r="2219">
      <c r="Y2219" s="47">
        <f>IFERROR(MATCH(Library!M2219,$M$6:$M$40000,0),"")</f>
        <v/>
      </c>
      <c r="Z2219">
        <f>IF($Y2219="","",INDEX($C$6:$C$40000,$Y2219)&amp;"")</f>
        <v/>
      </c>
      <c r="AA2219" s="59">
        <f>IF($Y2219="","",IF(INDEX($D$6:$D$40000,$Y2219)="","",INDEX($D$6:$D$40000,$Y2219)))</f>
        <v/>
      </c>
      <c r="AB2219">
        <f>IF($Y2219="","",INDEX($L$6:$L$40000,$Y2219)&amp;"")</f>
        <v/>
      </c>
    </row>
    <row r="2220">
      <c r="Y2220" s="47">
        <f>IFERROR(MATCH(Library!M2220,$M$6:$M$40000,0),"")</f>
        <v/>
      </c>
      <c r="Z2220">
        <f>IF($Y2220="","",INDEX($C$6:$C$40000,$Y2220)&amp;"")</f>
        <v/>
      </c>
      <c r="AA2220" s="59">
        <f>IF($Y2220="","",IF(INDEX($D$6:$D$40000,$Y2220)="","",INDEX($D$6:$D$40000,$Y2220)))</f>
        <v/>
      </c>
      <c r="AB2220">
        <f>IF($Y2220="","",INDEX($L$6:$L$40000,$Y2220)&amp;"")</f>
        <v/>
      </c>
    </row>
    <row r="2221">
      <c r="Y2221" s="47">
        <f>IFERROR(MATCH(Library!M2221,$M$6:$M$40000,0),"")</f>
        <v/>
      </c>
      <c r="Z2221">
        <f>IF($Y2221="","",INDEX($C$6:$C$40000,$Y2221)&amp;"")</f>
        <v/>
      </c>
      <c r="AA2221" s="59">
        <f>IF($Y2221="","",IF(INDEX($D$6:$D$40000,$Y2221)="","",INDEX($D$6:$D$40000,$Y2221)))</f>
        <v/>
      </c>
      <c r="AB2221">
        <f>IF($Y2221="","",INDEX($L$6:$L$40000,$Y2221)&amp;"")</f>
        <v/>
      </c>
    </row>
    <row r="2222">
      <c r="Y2222" s="47">
        <f>IFERROR(MATCH(Library!M2222,$M$6:$M$40000,0),"")</f>
        <v/>
      </c>
      <c r="Z2222">
        <f>IF($Y2222="","",INDEX($C$6:$C$40000,$Y2222)&amp;"")</f>
        <v/>
      </c>
      <c r="AA2222" s="59">
        <f>IF($Y2222="","",IF(INDEX($D$6:$D$40000,$Y2222)="","",INDEX($D$6:$D$40000,$Y2222)))</f>
        <v/>
      </c>
      <c r="AB2222">
        <f>IF($Y2222="","",INDEX($L$6:$L$40000,$Y2222)&amp;"")</f>
        <v/>
      </c>
    </row>
    <row r="2223">
      <c r="Y2223" s="47">
        <f>IFERROR(MATCH(Library!M2223,$M$6:$M$40000,0),"")</f>
        <v/>
      </c>
      <c r="Z2223">
        <f>IF($Y2223="","",INDEX($C$6:$C$40000,$Y2223)&amp;"")</f>
        <v/>
      </c>
      <c r="AA2223" s="59">
        <f>IF($Y2223="","",IF(INDEX($D$6:$D$40000,$Y2223)="","",INDEX($D$6:$D$40000,$Y2223)))</f>
        <v/>
      </c>
      <c r="AB2223">
        <f>IF($Y2223="","",INDEX($L$6:$L$40000,$Y2223)&amp;"")</f>
        <v/>
      </c>
    </row>
    <row r="2224">
      <c r="Y2224" s="47">
        <f>IFERROR(MATCH(Library!M2224,$M$6:$M$40000,0),"")</f>
        <v/>
      </c>
      <c r="Z2224">
        <f>IF($Y2224="","",INDEX($C$6:$C$40000,$Y2224)&amp;"")</f>
        <v/>
      </c>
      <c r="AA2224" s="59">
        <f>IF($Y2224="","",IF(INDEX($D$6:$D$40000,$Y2224)="","",INDEX($D$6:$D$40000,$Y2224)))</f>
        <v/>
      </c>
      <c r="AB2224">
        <f>IF($Y2224="","",INDEX($L$6:$L$40000,$Y2224)&amp;"")</f>
        <v/>
      </c>
    </row>
    <row r="2225">
      <c r="Y2225" s="47">
        <f>IFERROR(MATCH(Library!M2225,$M$6:$M$40000,0),"")</f>
        <v/>
      </c>
      <c r="Z2225">
        <f>IF($Y2225="","",INDEX($C$6:$C$40000,$Y2225)&amp;"")</f>
        <v/>
      </c>
      <c r="AA2225" s="59">
        <f>IF($Y2225="","",IF(INDEX($D$6:$D$40000,$Y2225)="","",INDEX($D$6:$D$40000,$Y2225)))</f>
        <v/>
      </c>
      <c r="AB2225">
        <f>IF($Y2225="","",INDEX($L$6:$L$40000,$Y2225)&amp;"")</f>
        <v/>
      </c>
    </row>
    <row r="2226">
      <c r="Y2226" s="47">
        <f>IFERROR(MATCH(Library!M2226,$M$6:$M$40000,0),"")</f>
        <v/>
      </c>
      <c r="Z2226">
        <f>IF($Y2226="","",INDEX($C$6:$C$40000,$Y2226)&amp;"")</f>
        <v/>
      </c>
      <c r="AA2226" s="59">
        <f>IF($Y2226="","",IF(INDEX($D$6:$D$40000,$Y2226)="","",INDEX($D$6:$D$40000,$Y2226)))</f>
        <v/>
      </c>
      <c r="AB2226">
        <f>IF($Y2226="","",INDEX($L$6:$L$40000,$Y2226)&amp;"")</f>
        <v/>
      </c>
    </row>
    <row r="2227">
      <c r="Y2227" s="47">
        <f>IFERROR(MATCH(Library!M2227,$M$6:$M$40000,0),"")</f>
        <v/>
      </c>
      <c r="Z2227">
        <f>IF($Y2227="","",INDEX($C$6:$C$40000,$Y2227)&amp;"")</f>
        <v/>
      </c>
      <c r="AA2227" s="59">
        <f>IF($Y2227="","",IF(INDEX($D$6:$D$40000,$Y2227)="","",INDEX($D$6:$D$40000,$Y2227)))</f>
        <v/>
      </c>
      <c r="AB2227">
        <f>IF($Y2227="","",INDEX($L$6:$L$40000,$Y2227)&amp;"")</f>
        <v/>
      </c>
    </row>
    <row r="2228">
      <c r="Y2228" s="47">
        <f>IFERROR(MATCH(Library!M2228,$M$6:$M$40000,0),"")</f>
        <v/>
      </c>
      <c r="Z2228">
        <f>IF($Y2228="","",INDEX($C$6:$C$40000,$Y2228)&amp;"")</f>
        <v/>
      </c>
      <c r="AA2228" s="59">
        <f>IF($Y2228="","",IF(INDEX($D$6:$D$40000,$Y2228)="","",INDEX($D$6:$D$40000,$Y2228)))</f>
        <v/>
      </c>
      <c r="AB2228">
        <f>IF($Y2228="","",INDEX($L$6:$L$40000,$Y2228)&amp;"")</f>
        <v/>
      </c>
    </row>
    <row r="2229">
      <c r="Y2229" s="47">
        <f>IFERROR(MATCH(Library!M2229,$M$6:$M$40000,0),"")</f>
        <v/>
      </c>
      <c r="Z2229">
        <f>IF($Y2229="","",INDEX($C$6:$C$40000,$Y2229)&amp;"")</f>
        <v/>
      </c>
      <c r="AA2229" s="59">
        <f>IF($Y2229="","",IF(INDEX($D$6:$D$40000,$Y2229)="","",INDEX($D$6:$D$40000,$Y2229)))</f>
        <v/>
      </c>
      <c r="AB2229">
        <f>IF($Y2229="","",INDEX($L$6:$L$40000,$Y2229)&amp;"")</f>
        <v/>
      </c>
    </row>
    <row r="2230">
      <c r="Y2230" s="47">
        <f>IFERROR(MATCH(Library!M2230,$M$6:$M$40000,0),"")</f>
        <v/>
      </c>
      <c r="Z2230">
        <f>IF($Y2230="","",INDEX($C$6:$C$40000,$Y2230)&amp;"")</f>
        <v/>
      </c>
      <c r="AA2230" s="59">
        <f>IF($Y2230="","",IF(INDEX($D$6:$D$40000,$Y2230)="","",INDEX($D$6:$D$40000,$Y2230)))</f>
        <v/>
      </c>
      <c r="AB2230">
        <f>IF($Y2230="","",INDEX($L$6:$L$40000,$Y2230)&amp;"")</f>
        <v/>
      </c>
    </row>
    <row r="2231">
      <c r="Y2231" s="47">
        <f>IFERROR(MATCH(Library!M2231,$M$6:$M$40000,0),"")</f>
        <v/>
      </c>
      <c r="Z2231">
        <f>IF($Y2231="","",INDEX($C$6:$C$40000,$Y2231)&amp;"")</f>
        <v/>
      </c>
      <c r="AA2231" s="59">
        <f>IF($Y2231="","",IF(INDEX($D$6:$D$40000,$Y2231)="","",INDEX($D$6:$D$40000,$Y2231)))</f>
        <v/>
      </c>
      <c r="AB2231">
        <f>IF($Y2231="","",INDEX($L$6:$L$40000,$Y2231)&amp;"")</f>
        <v/>
      </c>
    </row>
    <row r="2232">
      <c r="Y2232" s="47">
        <f>IFERROR(MATCH(Library!M2232,$M$6:$M$40000,0),"")</f>
        <v/>
      </c>
      <c r="Z2232">
        <f>IF($Y2232="","",INDEX($C$6:$C$40000,$Y2232)&amp;"")</f>
        <v/>
      </c>
      <c r="AA2232" s="59">
        <f>IF($Y2232="","",IF(INDEX($D$6:$D$40000,$Y2232)="","",INDEX($D$6:$D$40000,$Y2232)))</f>
        <v/>
      </c>
      <c r="AB2232">
        <f>IF($Y2232="","",INDEX($L$6:$L$40000,$Y2232)&amp;"")</f>
        <v/>
      </c>
    </row>
    <row r="2233">
      <c r="Y2233" s="47">
        <f>IFERROR(MATCH(Library!M2233,$M$6:$M$40000,0),"")</f>
        <v/>
      </c>
      <c r="Z2233">
        <f>IF($Y2233="","",INDEX($C$6:$C$40000,$Y2233)&amp;"")</f>
        <v/>
      </c>
      <c r="AA2233" s="59">
        <f>IF($Y2233="","",IF(INDEX($D$6:$D$40000,$Y2233)="","",INDEX($D$6:$D$40000,$Y2233)))</f>
        <v/>
      </c>
      <c r="AB2233">
        <f>IF($Y2233="","",INDEX($L$6:$L$40000,$Y2233)&amp;"")</f>
        <v/>
      </c>
    </row>
    <row r="2234">
      <c r="Y2234" s="47">
        <f>IFERROR(MATCH(Library!M2234,$M$6:$M$40000,0),"")</f>
        <v/>
      </c>
      <c r="Z2234">
        <f>IF($Y2234="","",INDEX($C$6:$C$40000,$Y2234)&amp;"")</f>
        <v/>
      </c>
      <c r="AA2234" s="59">
        <f>IF($Y2234="","",IF(INDEX($D$6:$D$40000,$Y2234)="","",INDEX($D$6:$D$40000,$Y2234)))</f>
        <v/>
      </c>
      <c r="AB2234">
        <f>IF($Y2234="","",INDEX($L$6:$L$40000,$Y2234)&amp;"")</f>
        <v/>
      </c>
    </row>
    <row r="2235">
      <c r="Y2235" s="47">
        <f>IFERROR(MATCH(Library!M2235,$M$6:$M$40000,0),"")</f>
        <v/>
      </c>
      <c r="Z2235">
        <f>IF($Y2235="","",INDEX($C$6:$C$40000,$Y2235)&amp;"")</f>
        <v/>
      </c>
      <c r="AA2235" s="59">
        <f>IF($Y2235="","",IF(INDEX($D$6:$D$40000,$Y2235)="","",INDEX($D$6:$D$40000,$Y2235)))</f>
        <v/>
      </c>
      <c r="AB2235">
        <f>IF($Y2235="","",INDEX($L$6:$L$40000,$Y2235)&amp;"")</f>
        <v/>
      </c>
    </row>
    <row r="2236">
      <c r="Y2236" s="47">
        <f>IFERROR(MATCH(Library!M2236,$M$6:$M$40000,0),"")</f>
        <v/>
      </c>
      <c r="Z2236">
        <f>IF($Y2236="","",INDEX($C$6:$C$40000,$Y2236)&amp;"")</f>
        <v/>
      </c>
      <c r="AA2236" s="59">
        <f>IF($Y2236="","",IF(INDEX($D$6:$D$40000,$Y2236)="","",INDEX($D$6:$D$40000,$Y2236)))</f>
        <v/>
      </c>
      <c r="AB2236">
        <f>IF($Y2236="","",INDEX($L$6:$L$40000,$Y2236)&amp;"")</f>
        <v/>
      </c>
    </row>
    <row r="2237">
      <c r="Y2237" s="47">
        <f>IFERROR(MATCH(Library!M2237,$M$6:$M$40000,0),"")</f>
        <v/>
      </c>
      <c r="Z2237">
        <f>IF($Y2237="","",INDEX($C$6:$C$40000,$Y2237)&amp;"")</f>
        <v/>
      </c>
      <c r="AA2237" s="59">
        <f>IF($Y2237="","",IF(INDEX($D$6:$D$40000,$Y2237)="","",INDEX($D$6:$D$40000,$Y2237)))</f>
        <v/>
      </c>
      <c r="AB2237">
        <f>IF($Y2237="","",INDEX($L$6:$L$40000,$Y2237)&amp;"")</f>
        <v/>
      </c>
    </row>
    <row r="2238">
      <c r="Y2238" s="47">
        <f>IFERROR(MATCH(Library!M2238,$M$6:$M$40000,0),"")</f>
        <v/>
      </c>
      <c r="Z2238">
        <f>IF($Y2238="","",INDEX($C$6:$C$40000,$Y2238)&amp;"")</f>
        <v/>
      </c>
      <c r="AA2238" s="59">
        <f>IF($Y2238="","",IF(INDEX($D$6:$D$40000,$Y2238)="","",INDEX($D$6:$D$40000,$Y2238)))</f>
        <v/>
      </c>
      <c r="AB2238">
        <f>IF($Y2238="","",INDEX($L$6:$L$40000,$Y2238)&amp;"")</f>
        <v/>
      </c>
    </row>
    <row r="2239">
      <c r="Y2239" s="47">
        <f>IFERROR(MATCH(Library!M2239,$M$6:$M$40000,0),"")</f>
        <v/>
      </c>
      <c r="Z2239">
        <f>IF($Y2239="","",INDEX($C$6:$C$40000,$Y2239)&amp;"")</f>
        <v/>
      </c>
      <c r="AA2239" s="59">
        <f>IF($Y2239="","",IF(INDEX($D$6:$D$40000,$Y2239)="","",INDEX($D$6:$D$40000,$Y2239)))</f>
        <v/>
      </c>
      <c r="AB2239">
        <f>IF($Y2239="","",INDEX($L$6:$L$40000,$Y2239)&amp;"")</f>
        <v/>
      </c>
    </row>
    <row r="2240">
      <c r="Y2240" s="47">
        <f>IFERROR(MATCH(Library!M2240,$M$6:$M$40000,0),"")</f>
        <v/>
      </c>
      <c r="Z2240">
        <f>IF($Y2240="","",INDEX($C$6:$C$40000,$Y2240)&amp;"")</f>
        <v/>
      </c>
      <c r="AA2240" s="59">
        <f>IF($Y2240="","",IF(INDEX($D$6:$D$40000,$Y2240)="","",INDEX($D$6:$D$40000,$Y2240)))</f>
        <v/>
      </c>
      <c r="AB2240">
        <f>IF($Y2240="","",INDEX($L$6:$L$40000,$Y2240)&amp;"")</f>
        <v/>
      </c>
    </row>
    <row r="2241">
      <c r="Y2241" s="47">
        <f>IFERROR(MATCH(Library!M2241,$M$6:$M$40000,0),"")</f>
        <v/>
      </c>
      <c r="Z2241">
        <f>IF($Y2241="","",INDEX($C$6:$C$40000,$Y2241)&amp;"")</f>
        <v/>
      </c>
      <c r="AA2241" s="59">
        <f>IF($Y2241="","",IF(INDEX($D$6:$D$40000,$Y2241)="","",INDEX($D$6:$D$40000,$Y2241)))</f>
        <v/>
      </c>
      <c r="AB2241">
        <f>IF($Y2241="","",INDEX($L$6:$L$40000,$Y2241)&amp;"")</f>
        <v/>
      </c>
    </row>
    <row r="2242">
      <c r="Y2242" s="47">
        <f>IFERROR(MATCH(Library!M2242,$M$6:$M$40000,0),"")</f>
        <v/>
      </c>
      <c r="Z2242">
        <f>IF($Y2242="","",INDEX($C$6:$C$40000,$Y2242)&amp;"")</f>
        <v/>
      </c>
      <c r="AA2242" s="59">
        <f>IF($Y2242="","",IF(INDEX($D$6:$D$40000,$Y2242)="","",INDEX($D$6:$D$40000,$Y2242)))</f>
        <v/>
      </c>
      <c r="AB2242">
        <f>IF($Y2242="","",INDEX($L$6:$L$40000,$Y2242)&amp;"")</f>
        <v/>
      </c>
    </row>
    <row r="2243">
      <c r="Y2243" s="47">
        <f>IFERROR(MATCH(Library!M2243,$M$6:$M$40000,0),"")</f>
        <v/>
      </c>
      <c r="Z2243">
        <f>IF($Y2243="","",INDEX($C$6:$C$40000,$Y2243)&amp;"")</f>
        <v/>
      </c>
      <c r="AA2243" s="59">
        <f>IF($Y2243="","",IF(INDEX($D$6:$D$40000,$Y2243)="","",INDEX($D$6:$D$40000,$Y2243)))</f>
        <v/>
      </c>
      <c r="AB2243">
        <f>IF($Y2243="","",INDEX($L$6:$L$40000,$Y2243)&amp;"")</f>
        <v/>
      </c>
    </row>
    <row r="2244">
      <c r="Y2244" s="47">
        <f>IFERROR(MATCH(Library!M2244,$M$6:$M$40000,0),"")</f>
        <v/>
      </c>
      <c r="Z2244">
        <f>IF($Y2244="","",INDEX($C$6:$C$40000,$Y2244)&amp;"")</f>
        <v/>
      </c>
      <c r="AA2244" s="59">
        <f>IF($Y2244="","",IF(INDEX($D$6:$D$40000,$Y2244)="","",INDEX($D$6:$D$40000,$Y2244)))</f>
        <v/>
      </c>
      <c r="AB2244">
        <f>IF($Y2244="","",INDEX($L$6:$L$40000,$Y2244)&amp;"")</f>
        <v/>
      </c>
    </row>
    <row r="2245">
      <c r="Y2245" s="47">
        <f>IFERROR(MATCH(Library!M2245,$M$6:$M$40000,0),"")</f>
        <v/>
      </c>
      <c r="Z2245">
        <f>IF($Y2245="","",INDEX($C$6:$C$40000,$Y2245)&amp;"")</f>
        <v/>
      </c>
      <c r="AA2245" s="59">
        <f>IF($Y2245="","",IF(INDEX($D$6:$D$40000,$Y2245)="","",INDEX($D$6:$D$40000,$Y2245)))</f>
        <v/>
      </c>
      <c r="AB2245">
        <f>IF($Y2245="","",INDEX($L$6:$L$40000,$Y2245)&amp;"")</f>
        <v/>
      </c>
    </row>
    <row r="2246">
      <c r="Y2246" s="47">
        <f>IFERROR(MATCH(Library!M2246,$M$6:$M$40000,0),"")</f>
        <v/>
      </c>
      <c r="Z2246">
        <f>IF($Y2246="","",INDEX($C$6:$C$40000,$Y2246)&amp;"")</f>
        <v/>
      </c>
      <c r="AA2246" s="59">
        <f>IF($Y2246="","",IF(INDEX($D$6:$D$40000,$Y2246)="","",INDEX($D$6:$D$40000,$Y2246)))</f>
        <v/>
      </c>
      <c r="AB2246">
        <f>IF($Y2246="","",INDEX($L$6:$L$40000,$Y2246)&amp;"")</f>
        <v/>
      </c>
    </row>
    <row r="2247">
      <c r="Y2247" s="47">
        <f>IFERROR(MATCH(Library!M2247,$M$6:$M$40000,0),"")</f>
        <v/>
      </c>
      <c r="Z2247">
        <f>IF($Y2247="","",INDEX($C$6:$C$40000,$Y2247)&amp;"")</f>
        <v/>
      </c>
      <c r="AA2247" s="59">
        <f>IF($Y2247="","",IF(INDEX($D$6:$D$40000,$Y2247)="","",INDEX($D$6:$D$40000,$Y2247)))</f>
        <v/>
      </c>
      <c r="AB2247">
        <f>IF($Y2247="","",INDEX($L$6:$L$40000,$Y2247)&amp;"")</f>
        <v/>
      </c>
    </row>
    <row r="2248">
      <c r="Y2248" s="47">
        <f>IFERROR(MATCH(Library!M2248,$M$6:$M$40000,0),"")</f>
        <v/>
      </c>
      <c r="Z2248">
        <f>IF($Y2248="","",INDEX($C$6:$C$40000,$Y2248)&amp;"")</f>
        <v/>
      </c>
      <c r="AA2248" s="59">
        <f>IF($Y2248="","",IF(INDEX($D$6:$D$40000,$Y2248)="","",INDEX($D$6:$D$40000,$Y2248)))</f>
        <v/>
      </c>
      <c r="AB2248">
        <f>IF($Y2248="","",INDEX($L$6:$L$40000,$Y2248)&amp;"")</f>
        <v/>
      </c>
    </row>
    <row r="2249">
      <c r="Y2249" s="47">
        <f>IFERROR(MATCH(Library!M2249,$M$6:$M$40000,0),"")</f>
        <v/>
      </c>
      <c r="Z2249">
        <f>IF($Y2249="","",INDEX($C$6:$C$40000,$Y2249)&amp;"")</f>
        <v/>
      </c>
      <c r="AA2249" s="59">
        <f>IF($Y2249="","",IF(INDEX($D$6:$D$40000,$Y2249)="","",INDEX($D$6:$D$40000,$Y2249)))</f>
        <v/>
      </c>
      <c r="AB2249">
        <f>IF($Y2249="","",INDEX($L$6:$L$40000,$Y2249)&amp;"")</f>
        <v/>
      </c>
    </row>
    <row r="2250">
      <c r="Y2250" s="47">
        <f>IFERROR(MATCH(Library!M2250,$M$6:$M$40000,0),"")</f>
        <v/>
      </c>
      <c r="Z2250">
        <f>IF($Y2250="","",INDEX($C$6:$C$40000,$Y2250)&amp;"")</f>
        <v/>
      </c>
      <c r="AA2250" s="59">
        <f>IF($Y2250="","",IF(INDEX($D$6:$D$40000,$Y2250)="","",INDEX($D$6:$D$40000,$Y2250)))</f>
        <v/>
      </c>
      <c r="AB2250">
        <f>IF($Y2250="","",INDEX($L$6:$L$40000,$Y2250)&amp;"")</f>
        <v/>
      </c>
    </row>
    <row r="2251">
      <c r="Y2251" s="47">
        <f>IFERROR(MATCH(Library!M2251,$M$6:$M$40000,0),"")</f>
        <v/>
      </c>
      <c r="Z2251">
        <f>IF($Y2251="","",INDEX($C$6:$C$40000,$Y2251)&amp;"")</f>
        <v/>
      </c>
      <c r="AA2251" s="59">
        <f>IF($Y2251="","",IF(INDEX($D$6:$D$40000,$Y2251)="","",INDEX($D$6:$D$40000,$Y2251)))</f>
        <v/>
      </c>
      <c r="AB2251">
        <f>IF($Y2251="","",INDEX($L$6:$L$40000,$Y2251)&amp;"")</f>
        <v/>
      </c>
    </row>
    <row r="2252">
      <c r="Y2252" s="47">
        <f>IFERROR(MATCH(Library!M2252,$M$6:$M$40000,0),"")</f>
        <v/>
      </c>
      <c r="Z2252">
        <f>IF($Y2252="","",INDEX($C$6:$C$40000,$Y2252)&amp;"")</f>
        <v/>
      </c>
      <c r="AA2252" s="59">
        <f>IF($Y2252="","",IF(INDEX($D$6:$D$40000,$Y2252)="","",INDEX($D$6:$D$40000,$Y2252)))</f>
        <v/>
      </c>
      <c r="AB2252">
        <f>IF($Y2252="","",INDEX($L$6:$L$40000,$Y2252)&amp;"")</f>
        <v/>
      </c>
    </row>
    <row r="2253">
      <c r="Y2253" s="47">
        <f>IFERROR(MATCH(Library!M2253,$M$6:$M$40000,0),"")</f>
        <v/>
      </c>
      <c r="Z2253">
        <f>IF($Y2253="","",INDEX($C$6:$C$40000,$Y2253)&amp;"")</f>
        <v/>
      </c>
      <c r="AA2253" s="59">
        <f>IF($Y2253="","",IF(INDEX($D$6:$D$40000,$Y2253)="","",INDEX($D$6:$D$40000,$Y2253)))</f>
        <v/>
      </c>
      <c r="AB2253">
        <f>IF($Y2253="","",INDEX($L$6:$L$40000,$Y2253)&amp;"")</f>
        <v/>
      </c>
    </row>
    <row r="2254">
      <c r="Y2254" s="47">
        <f>IFERROR(MATCH(Library!M2254,$M$6:$M$40000,0),"")</f>
        <v/>
      </c>
      <c r="Z2254">
        <f>IF($Y2254="","",INDEX($C$6:$C$40000,$Y2254)&amp;"")</f>
        <v/>
      </c>
      <c r="AA2254" s="59">
        <f>IF($Y2254="","",IF(INDEX($D$6:$D$40000,$Y2254)="","",INDEX($D$6:$D$40000,$Y2254)))</f>
        <v/>
      </c>
      <c r="AB2254">
        <f>IF($Y2254="","",INDEX($L$6:$L$40000,$Y2254)&amp;"")</f>
        <v/>
      </c>
    </row>
    <row r="2255">
      <c r="Y2255" s="47">
        <f>IFERROR(MATCH(Library!M2255,$M$6:$M$40000,0),"")</f>
        <v/>
      </c>
      <c r="Z2255">
        <f>IF($Y2255="","",INDEX($C$6:$C$40000,$Y2255)&amp;"")</f>
        <v/>
      </c>
      <c r="AA2255" s="59">
        <f>IF($Y2255="","",IF(INDEX($D$6:$D$40000,$Y2255)="","",INDEX($D$6:$D$40000,$Y2255)))</f>
        <v/>
      </c>
      <c r="AB2255">
        <f>IF($Y2255="","",INDEX($L$6:$L$40000,$Y2255)&amp;"")</f>
        <v/>
      </c>
    </row>
    <row r="2256">
      <c r="Y2256" s="47">
        <f>IFERROR(MATCH(Library!M2256,$M$6:$M$40000,0),"")</f>
        <v/>
      </c>
      <c r="Z2256">
        <f>IF($Y2256="","",INDEX($C$6:$C$40000,$Y2256)&amp;"")</f>
        <v/>
      </c>
      <c r="AA2256" s="59">
        <f>IF($Y2256="","",IF(INDEX($D$6:$D$40000,$Y2256)="","",INDEX($D$6:$D$40000,$Y2256)))</f>
        <v/>
      </c>
      <c r="AB2256">
        <f>IF($Y2256="","",INDEX($L$6:$L$40000,$Y2256)&amp;"")</f>
        <v/>
      </c>
    </row>
    <row r="2257">
      <c r="Y2257" s="47">
        <f>IFERROR(MATCH(Library!M2257,$M$6:$M$40000,0),"")</f>
        <v/>
      </c>
      <c r="Z2257">
        <f>IF($Y2257="","",INDEX($C$6:$C$40000,$Y2257)&amp;"")</f>
        <v/>
      </c>
      <c r="AA2257" s="59">
        <f>IF($Y2257="","",IF(INDEX($D$6:$D$40000,$Y2257)="","",INDEX($D$6:$D$40000,$Y2257)))</f>
        <v/>
      </c>
      <c r="AB2257">
        <f>IF($Y2257="","",INDEX($L$6:$L$40000,$Y2257)&amp;"")</f>
        <v/>
      </c>
    </row>
    <row r="2258">
      <c r="Y2258" s="47">
        <f>IFERROR(MATCH(Library!M2258,$M$6:$M$40000,0),"")</f>
        <v/>
      </c>
      <c r="Z2258">
        <f>IF($Y2258="","",INDEX($C$6:$C$40000,$Y2258)&amp;"")</f>
        <v/>
      </c>
      <c r="AA2258" s="59">
        <f>IF($Y2258="","",IF(INDEX($D$6:$D$40000,$Y2258)="","",INDEX($D$6:$D$40000,$Y2258)))</f>
        <v/>
      </c>
      <c r="AB2258">
        <f>IF($Y2258="","",INDEX($L$6:$L$40000,$Y2258)&amp;"")</f>
        <v/>
      </c>
    </row>
    <row r="2259">
      <c r="Y2259" s="47">
        <f>IFERROR(MATCH(Library!M2259,$M$6:$M$40000,0),"")</f>
        <v/>
      </c>
      <c r="Z2259">
        <f>IF($Y2259="","",INDEX($C$6:$C$40000,$Y2259)&amp;"")</f>
        <v/>
      </c>
      <c r="AA2259" s="59">
        <f>IF($Y2259="","",IF(INDEX($D$6:$D$40000,$Y2259)="","",INDEX($D$6:$D$40000,$Y2259)))</f>
        <v/>
      </c>
      <c r="AB2259">
        <f>IF($Y2259="","",INDEX($L$6:$L$40000,$Y2259)&amp;"")</f>
        <v/>
      </c>
    </row>
    <row r="2260">
      <c r="Y2260" s="47">
        <f>IFERROR(MATCH(Library!M2260,$M$6:$M$40000,0),"")</f>
        <v/>
      </c>
      <c r="Z2260">
        <f>IF($Y2260="","",INDEX($C$6:$C$40000,$Y2260)&amp;"")</f>
        <v/>
      </c>
      <c r="AA2260" s="59">
        <f>IF($Y2260="","",IF(INDEX($D$6:$D$40000,$Y2260)="","",INDEX($D$6:$D$40000,$Y2260)))</f>
        <v/>
      </c>
      <c r="AB2260">
        <f>IF($Y2260="","",INDEX($L$6:$L$40000,$Y2260)&amp;"")</f>
        <v/>
      </c>
    </row>
    <row r="2261">
      <c r="Y2261" s="47">
        <f>IFERROR(MATCH(Library!M2261,$M$6:$M$40000,0),"")</f>
        <v/>
      </c>
      <c r="Z2261">
        <f>IF($Y2261="","",INDEX($C$6:$C$40000,$Y2261)&amp;"")</f>
        <v/>
      </c>
      <c r="AA2261" s="59">
        <f>IF($Y2261="","",IF(INDEX($D$6:$D$40000,$Y2261)="","",INDEX($D$6:$D$40000,$Y2261)))</f>
        <v/>
      </c>
      <c r="AB2261">
        <f>IF($Y2261="","",INDEX($L$6:$L$40000,$Y2261)&amp;"")</f>
        <v/>
      </c>
    </row>
    <row r="2262">
      <c r="Y2262" s="47">
        <f>IFERROR(MATCH(Library!M2262,$M$6:$M$40000,0),"")</f>
        <v/>
      </c>
      <c r="Z2262">
        <f>IF($Y2262="","",INDEX($C$6:$C$40000,$Y2262)&amp;"")</f>
        <v/>
      </c>
      <c r="AA2262" s="59">
        <f>IF($Y2262="","",IF(INDEX($D$6:$D$40000,$Y2262)="","",INDEX($D$6:$D$40000,$Y2262)))</f>
        <v/>
      </c>
      <c r="AB2262">
        <f>IF($Y2262="","",INDEX($L$6:$L$40000,$Y2262)&amp;"")</f>
        <v/>
      </c>
    </row>
    <row r="2263">
      <c r="Y2263" s="47">
        <f>IFERROR(MATCH(Library!M2263,$M$6:$M$40000,0),"")</f>
        <v/>
      </c>
      <c r="Z2263">
        <f>IF($Y2263="","",INDEX($C$6:$C$40000,$Y2263)&amp;"")</f>
        <v/>
      </c>
      <c r="AA2263" s="59">
        <f>IF($Y2263="","",IF(INDEX($D$6:$D$40000,$Y2263)="","",INDEX($D$6:$D$40000,$Y2263)))</f>
        <v/>
      </c>
      <c r="AB2263">
        <f>IF($Y2263="","",INDEX($L$6:$L$40000,$Y2263)&amp;"")</f>
        <v/>
      </c>
    </row>
    <row r="2264">
      <c r="Y2264" s="47">
        <f>IFERROR(MATCH(Library!M2264,$M$6:$M$40000,0),"")</f>
        <v/>
      </c>
      <c r="Z2264">
        <f>IF($Y2264="","",INDEX($C$6:$C$40000,$Y2264)&amp;"")</f>
        <v/>
      </c>
      <c r="AA2264" s="59">
        <f>IF($Y2264="","",IF(INDEX($D$6:$D$40000,$Y2264)="","",INDEX($D$6:$D$40000,$Y2264)))</f>
        <v/>
      </c>
      <c r="AB2264">
        <f>IF($Y2264="","",INDEX($L$6:$L$40000,$Y2264)&amp;"")</f>
        <v/>
      </c>
    </row>
    <row r="2265">
      <c r="Y2265" s="47">
        <f>IFERROR(MATCH(Library!M2265,$M$6:$M$40000,0),"")</f>
        <v/>
      </c>
      <c r="Z2265">
        <f>IF($Y2265="","",INDEX($C$6:$C$40000,$Y2265)&amp;"")</f>
        <v/>
      </c>
      <c r="AA2265" s="59">
        <f>IF($Y2265="","",IF(INDEX($D$6:$D$40000,$Y2265)="","",INDEX($D$6:$D$40000,$Y2265)))</f>
        <v/>
      </c>
      <c r="AB2265">
        <f>IF($Y2265="","",INDEX($L$6:$L$40000,$Y2265)&amp;"")</f>
        <v/>
      </c>
    </row>
    <row r="2266">
      <c r="Y2266" s="47">
        <f>IFERROR(MATCH(Library!M2266,$M$6:$M$40000,0),"")</f>
        <v/>
      </c>
      <c r="Z2266">
        <f>IF($Y2266="","",INDEX($C$6:$C$40000,$Y2266)&amp;"")</f>
        <v/>
      </c>
      <c r="AA2266" s="59">
        <f>IF($Y2266="","",IF(INDEX($D$6:$D$40000,$Y2266)="","",INDEX($D$6:$D$40000,$Y2266)))</f>
        <v/>
      </c>
      <c r="AB2266">
        <f>IF($Y2266="","",INDEX($L$6:$L$40000,$Y2266)&amp;"")</f>
        <v/>
      </c>
    </row>
    <row r="2267">
      <c r="Y2267" s="47">
        <f>IFERROR(MATCH(Library!M2267,$M$6:$M$40000,0),"")</f>
        <v/>
      </c>
      <c r="Z2267">
        <f>IF($Y2267="","",INDEX($C$6:$C$40000,$Y2267)&amp;"")</f>
        <v/>
      </c>
      <c r="AA2267" s="59">
        <f>IF($Y2267="","",IF(INDEX($D$6:$D$40000,$Y2267)="","",INDEX($D$6:$D$40000,$Y2267)))</f>
        <v/>
      </c>
      <c r="AB2267">
        <f>IF($Y2267="","",INDEX($L$6:$L$40000,$Y2267)&amp;"")</f>
        <v/>
      </c>
    </row>
    <row r="2268">
      <c r="Y2268" s="47">
        <f>IFERROR(MATCH(Library!M2268,$M$6:$M$40000,0),"")</f>
        <v/>
      </c>
      <c r="Z2268">
        <f>IF($Y2268="","",INDEX($C$6:$C$40000,$Y2268)&amp;"")</f>
        <v/>
      </c>
      <c r="AA2268" s="59">
        <f>IF($Y2268="","",IF(INDEX($D$6:$D$40000,$Y2268)="","",INDEX($D$6:$D$40000,$Y2268)))</f>
        <v/>
      </c>
      <c r="AB2268">
        <f>IF($Y2268="","",INDEX($L$6:$L$40000,$Y2268)&amp;"")</f>
        <v/>
      </c>
    </row>
    <row r="2269">
      <c r="Y2269" s="47">
        <f>IFERROR(MATCH(Library!M2269,$M$6:$M$40000,0),"")</f>
        <v/>
      </c>
      <c r="Z2269">
        <f>IF($Y2269="","",INDEX($C$6:$C$40000,$Y2269)&amp;"")</f>
        <v/>
      </c>
      <c r="AA2269" s="59">
        <f>IF($Y2269="","",IF(INDEX($D$6:$D$40000,$Y2269)="","",INDEX($D$6:$D$40000,$Y2269)))</f>
        <v/>
      </c>
      <c r="AB2269">
        <f>IF($Y2269="","",INDEX($L$6:$L$40000,$Y2269)&amp;"")</f>
        <v/>
      </c>
    </row>
    <row r="2270">
      <c r="Y2270" s="47">
        <f>IFERROR(MATCH(Library!M2270,$M$6:$M$40000,0),"")</f>
        <v/>
      </c>
      <c r="Z2270">
        <f>IF($Y2270="","",INDEX($C$6:$C$40000,$Y2270)&amp;"")</f>
        <v/>
      </c>
      <c r="AA2270" s="59">
        <f>IF($Y2270="","",IF(INDEX($D$6:$D$40000,$Y2270)="","",INDEX($D$6:$D$40000,$Y2270)))</f>
        <v/>
      </c>
      <c r="AB2270">
        <f>IF($Y2270="","",INDEX($L$6:$L$40000,$Y2270)&amp;"")</f>
        <v/>
      </c>
    </row>
    <row r="2271">
      <c r="Y2271" s="47">
        <f>IFERROR(MATCH(Library!M2271,$M$6:$M$40000,0),"")</f>
        <v/>
      </c>
      <c r="Z2271">
        <f>IF($Y2271="","",INDEX($C$6:$C$40000,$Y2271)&amp;"")</f>
        <v/>
      </c>
      <c r="AA2271" s="59">
        <f>IF($Y2271="","",IF(INDEX($D$6:$D$40000,$Y2271)="","",INDEX($D$6:$D$40000,$Y2271)))</f>
        <v/>
      </c>
      <c r="AB2271">
        <f>IF($Y2271="","",INDEX($L$6:$L$40000,$Y2271)&amp;"")</f>
        <v/>
      </c>
    </row>
    <row r="2272">
      <c r="Y2272" s="47">
        <f>IFERROR(MATCH(Library!M2272,$M$6:$M$40000,0),"")</f>
        <v/>
      </c>
      <c r="Z2272">
        <f>IF($Y2272="","",INDEX($C$6:$C$40000,$Y2272)&amp;"")</f>
        <v/>
      </c>
      <c r="AA2272" s="59">
        <f>IF($Y2272="","",IF(INDEX($D$6:$D$40000,$Y2272)="","",INDEX($D$6:$D$40000,$Y2272)))</f>
        <v/>
      </c>
      <c r="AB2272">
        <f>IF($Y2272="","",INDEX($L$6:$L$40000,$Y2272)&amp;"")</f>
        <v/>
      </c>
    </row>
    <row r="2273">
      <c r="Y2273" s="47">
        <f>IFERROR(MATCH(Library!M2273,$M$6:$M$40000,0),"")</f>
        <v/>
      </c>
      <c r="Z2273">
        <f>IF($Y2273="","",INDEX($C$6:$C$40000,$Y2273)&amp;"")</f>
        <v/>
      </c>
      <c r="AA2273" s="59">
        <f>IF($Y2273="","",IF(INDEX($D$6:$D$40000,$Y2273)="","",INDEX($D$6:$D$40000,$Y2273)))</f>
        <v/>
      </c>
      <c r="AB2273">
        <f>IF($Y2273="","",INDEX($L$6:$L$40000,$Y2273)&amp;"")</f>
        <v/>
      </c>
    </row>
    <row r="2274">
      <c r="Y2274" s="47">
        <f>IFERROR(MATCH(Library!M2274,$M$6:$M$40000,0),"")</f>
        <v/>
      </c>
      <c r="Z2274">
        <f>IF($Y2274="","",INDEX($C$6:$C$40000,$Y2274)&amp;"")</f>
        <v/>
      </c>
      <c r="AA2274" s="59">
        <f>IF($Y2274="","",IF(INDEX($D$6:$D$40000,$Y2274)="","",INDEX($D$6:$D$40000,$Y2274)))</f>
        <v/>
      </c>
      <c r="AB2274">
        <f>IF($Y2274="","",INDEX($L$6:$L$40000,$Y2274)&amp;"")</f>
        <v/>
      </c>
    </row>
    <row r="2275">
      <c r="Y2275" s="47">
        <f>IFERROR(MATCH(Library!M2275,$M$6:$M$40000,0),"")</f>
        <v/>
      </c>
      <c r="Z2275">
        <f>IF($Y2275="","",INDEX($C$6:$C$40000,$Y2275)&amp;"")</f>
        <v/>
      </c>
      <c r="AA2275" s="59">
        <f>IF($Y2275="","",IF(INDEX($D$6:$D$40000,$Y2275)="","",INDEX($D$6:$D$40000,$Y2275)))</f>
        <v/>
      </c>
      <c r="AB2275">
        <f>IF($Y2275="","",INDEX($L$6:$L$40000,$Y2275)&amp;"")</f>
        <v/>
      </c>
    </row>
    <row r="2276">
      <c r="Y2276" s="47">
        <f>IFERROR(MATCH(Library!M2276,$M$6:$M$40000,0),"")</f>
        <v/>
      </c>
      <c r="Z2276">
        <f>IF($Y2276="","",INDEX($C$6:$C$40000,$Y2276)&amp;"")</f>
        <v/>
      </c>
      <c r="AA2276" s="59">
        <f>IF($Y2276="","",IF(INDEX($D$6:$D$40000,$Y2276)="","",INDEX($D$6:$D$40000,$Y2276)))</f>
        <v/>
      </c>
      <c r="AB2276">
        <f>IF($Y2276="","",INDEX($L$6:$L$40000,$Y2276)&amp;"")</f>
        <v/>
      </c>
    </row>
    <row r="2277">
      <c r="Y2277" s="47">
        <f>IFERROR(MATCH(Library!M2277,$M$6:$M$40000,0),"")</f>
        <v/>
      </c>
      <c r="Z2277">
        <f>IF($Y2277="","",INDEX($C$6:$C$40000,$Y2277)&amp;"")</f>
        <v/>
      </c>
      <c r="AA2277" s="59">
        <f>IF($Y2277="","",IF(INDEX($D$6:$D$40000,$Y2277)="","",INDEX($D$6:$D$40000,$Y2277)))</f>
        <v/>
      </c>
      <c r="AB2277">
        <f>IF($Y2277="","",INDEX($L$6:$L$40000,$Y2277)&amp;"")</f>
        <v/>
      </c>
    </row>
    <row r="2278">
      <c r="Y2278" s="47">
        <f>IFERROR(MATCH(Library!M2278,$M$6:$M$40000,0),"")</f>
        <v/>
      </c>
      <c r="Z2278">
        <f>IF($Y2278="","",INDEX($C$6:$C$40000,$Y2278)&amp;"")</f>
        <v/>
      </c>
      <c r="AA2278" s="59">
        <f>IF($Y2278="","",IF(INDEX($D$6:$D$40000,$Y2278)="","",INDEX($D$6:$D$40000,$Y2278)))</f>
        <v/>
      </c>
      <c r="AB2278">
        <f>IF($Y2278="","",INDEX($L$6:$L$40000,$Y2278)&amp;"")</f>
        <v/>
      </c>
    </row>
    <row r="2279">
      <c r="Y2279" s="47">
        <f>IFERROR(MATCH(Library!M2279,$M$6:$M$40000,0),"")</f>
        <v/>
      </c>
      <c r="Z2279">
        <f>IF($Y2279="","",INDEX($C$6:$C$40000,$Y2279)&amp;"")</f>
        <v/>
      </c>
      <c r="AA2279" s="59">
        <f>IF($Y2279="","",IF(INDEX($D$6:$D$40000,$Y2279)="","",INDEX($D$6:$D$40000,$Y2279)))</f>
        <v/>
      </c>
      <c r="AB2279">
        <f>IF($Y2279="","",INDEX($L$6:$L$40000,$Y2279)&amp;"")</f>
        <v/>
      </c>
    </row>
    <row r="2280">
      <c r="Y2280" s="47">
        <f>IFERROR(MATCH(Library!M2280,$M$6:$M$40000,0),"")</f>
        <v/>
      </c>
      <c r="Z2280">
        <f>IF($Y2280="","",INDEX($C$6:$C$40000,$Y2280)&amp;"")</f>
        <v/>
      </c>
      <c r="AA2280" s="59">
        <f>IF($Y2280="","",IF(INDEX($D$6:$D$40000,$Y2280)="","",INDEX($D$6:$D$40000,$Y2280)))</f>
        <v/>
      </c>
      <c r="AB2280">
        <f>IF($Y2280="","",INDEX($L$6:$L$40000,$Y2280)&amp;"")</f>
        <v/>
      </c>
    </row>
    <row r="2281">
      <c r="Y2281" s="47">
        <f>IFERROR(MATCH(Library!M2281,$M$6:$M$40000,0),"")</f>
        <v/>
      </c>
      <c r="Z2281">
        <f>IF($Y2281="","",INDEX($C$6:$C$40000,$Y2281)&amp;"")</f>
        <v/>
      </c>
      <c r="AA2281" s="59">
        <f>IF($Y2281="","",IF(INDEX($D$6:$D$40000,$Y2281)="","",INDEX($D$6:$D$40000,$Y2281)))</f>
        <v/>
      </c>
      <c r="AB2281">
        <f>IF($Y2281="","",INDEX($L$6:$L$40000,$Y2281)&amp;"")</f>
        <v/>
      </c>
    </row>
    <row r="2282">
      <c r="Y2282" s="47">
        <f>IFERROR(MATCH(Library!M2282,$M$6:$M$40000,0),"")</f>
        <v/>
      </c>
      <c r="Z2282">
        <f>IF($Y2282="","",INDEX($C$6:$C$40000,$Y2282)&amp;"")</f>
        <v/>
      </c>
      <c r="AA2282" s="59">
        <f>IF($Y2282="","",IF(INDEX($D$6:$D$40000,$Y2282)="","",INDEX($D$6:$D$40000,$Y2282)))</f>
        <v/>
      </c>
      <c r="AB2282">
        <f>IF($Y2282="","",INDEX($L$6:$L$40000,$Y2282)&amp;"")</f>
        <v/>
      </c>
    </row>
    <row r="2283">
      <c r="Y2283" s="47">
        <f>IFERROR(MATCH(Library!M2283,$M$6:$M$40000,0),"")</f>
        <v/>
      </c>
      <c r="Z2283">
        <f>IF($Y2283="","",INDEX($C$6:$C$40000,$Y2283)&amp;"")</f>
        <v/>
      </c>
      <c r="AA2283" s="59">
        <f>IF($Y2283="","",IF(INDEX($D$6:$D$40000,$Y2283)="","",INDEX($D$6:$D$40000,$Y2283)))</f>
        <v/>
      </c>
      <c r="AB2283">
        <f>IF($Y2283="","",INDEX($L$6:$L$40000,$Y2283)&amp;"")</f>
        <v/>
      </c>
    </row>
    <row r="2284">
      <c r="Y2284" s="47">
        <f>IFERROR(MATCH(Library!M2284,$M$6:$M$40000,0),"")</f>
        <v/>
      </c>
      <c r="Z2284">
        <f>IF($Y2284="","",INDEX($C$6:$C$40000,$Y2284)&amp;"")</f>
        <v/>
      </c>
      <c r="AA2284" s="59">
        <f>IF($Y2284="","",IF(INDEX($D$6:$D$40000,$Y2284)="","",INDEX($D$6:$D$40000,$Y2284)))</f>
        <v/>
      </c>
      <c r="AB2284">
        <f>IF($Y2284="","",INDEX($L$6:$L$40000,$Y2284)&amp;"")</f>
        <v/>
      </c>
    </row>
    <row r="2285">
      <c r="Y2285" s="47">
        <f>IFERROR(MATCH(Library!M2285,$M$6:$M$40000,0),"")</f>
        <v/>
      </c>
      <c r="Z2285">
        <f>IF($Y2285="","",INDEX($C$6:$C$40000,$Y2285)&amp;"")</f>
        <v/>
      </c>
      <c r="AA2285" s="59">
        <f>IF($Y2285="","",IF(INDEX($D$6:$D$40000,$Y2285)="","",INDEX($D$6:$D$40000,$Y2285)))</f>
        <v/>
      </c>
      <c r="AB2285">
        <f>IF($Y2285="","",INDEX($L$6:$L$40000,$Y2285)&amp;"")</f>
        <v/>
      </c>
    </row>
    <row r="2286">
      <c r="Y2286" s="47">
        <f>IFERROR(MATCH(Library!M2286,$M$6:$M$40000,0),"")</f>
        <v/>
      </c>
      <c r="Z2286">
        <f>IF($Y2286="","",INDEX($C$6:$C$40000,$Y2286)&amp;"")</f>
        <v/>
      </c>
      <c r="AA2286" s="59">
        <f>IF($Y2286="","",IF(INDEX($D$6:$D$40000,$Y2286)="","",INDEX($D$6:$D$40000,$Y2286)))</f>
        <v/>
      </c>
      <c r="AB2286">
        <f>IF($Y2286="","",INDEX($L$6:$L$40000,$Y2286)&amp;"")</f>
        <v/>
      </c>
    </row>
    <row r="2287">
      <c r="Y2287" s="47">
        <f>IFERROR(MATCH(Library!M2287,$M$6:$M$40000,0),"")</f>
        <v/>
      </c>
      <c r="Z2287">
        <f>IF($Y2287="","",INDEX($C$6:$C$40000,$Y2287)&amp;"")</f>
        <v/>
      </c>
      <c r="AA2287" s="59">
        <f>IF($Y2287="","",IF(INDEX($D$6:$D$40000,$Y2287)="","",INDEX($D$6:$D$40000,$Y2287)))</f>
        <v/>
      </c>
      <c r="AB2287">
        <f>IF($Y2287="","",INDEX($L$6:$L$40000,$Y2287)&amp;"")</f>
        <v/>
      </c>
    </row>
    <row r="2288">
      <c r="Y2288" s="47">
        <f>IFERROR(MATCH(Library!M2288,$M$6:$M$40000,0),"")</f>
        <v/>
      </c>
      <c r="Z2288">
        <f>IF($Y2288="","",INDEX($C$6:$C$40000,$Y2288)&amp;"")</f>
        <v/>
      </c>
      <c r="AA2288" s="59">
        <f>IF($Y2288="","",IF(INDEX($D$6:$D$40000,$Y2288)="","",INDEX($D$6:$D$40000,$Y2288)))</f>
        <v/>
      </c>
      <c r="AB2288">
        <f>IF($Y2288="","",INDEX($L$6:$L$40000,$Y2288)&amp;"")</f>
        <v/>
      </c>
    </row>
    <row r="2289">
      <c r="Y2289" s="47">
        <f>IFERROR(MATCH(Library!M2289,$M$6:$M$40000,0),"")</f>
        <v/>
      </c>
      <c r="Z2289">
        <f>IF($Y2289="","",INDEX($C$6:$C$40000,$Y2289)&amp;"")</f>
        <v/>
      </c>
      <c r="AA2289" s="59">
        <f>IF($Y2289="","",IF(INDEX($D$6:$D$40000,$Y2289)="","",INDEX($D$6:$D$40000,$Y2289)))</f>
        <v/>
      </c>
      <c r="AB2289">
        <f>IF($Y2289="","",INDEX($L$6:$L$40000,$Y2289)&amp;"")</f>
        <v/>
      </c>
    </row>
    <row r="2290">
      <c r="Y2290" s="47">
        <f>IFERROR(MATCH(Library!M2290,$M$6:$M$40000,0),"")</f>
        <v/>
      </c>
      <c r="Z2290">
        <f>IF($Y2290="","",INDEX($C$6:$C$40000,$Y2290)&amp;"")</f>
        <v/>
      </c>
      <c r="AA2290" s="59">
        <f>IF($Y2290="","",IF(INDEX($D$6:$D$40000,$Y2290)="","",INDEX($D$6:$D$40000,$Y2290)))</f>
        <v/>
      </c>
      <c r="AB2290">
        <f>IF($Y2290="","",INDEX($L$6:$L$40000,$Y2290)&amp;"")</f>
        <v/>
      </c>
    </row>
    <row r="2291">
      <c r="Y2291" s="47">
        <f>IFERROR(MATCH(Library!M2291,$M$6:$M$40000,0),"")</f>
        <v/>
      </c>
      <c r="Z2291">
        <f>IF($Y2291="","",INDEX($C$6:$C$40000,$Y2291)&amp;"")</f>
        <v/>
      </c>
      <c r="AA2291" s="59">
        <f>IF($Y2291="","",IF(INDEX($D$6:$D$40000,$Y2291)="","",INDEX($D$6:$D$40000,$Y2291)))</f>
        <v/>
      </c>
      <c r="AB2291">
        <f>IF($Y2291="","",INDEX($L$6:$L$40000,$Y2291)&amp;"")</f>
        <v/>
      </c>
    </row>
    <row r="2292">
      <c r="Y2292" s="47">
        <f>IFERROR(MATCH(Library!M2292,$M$6:$M$40000,0),"")</f>
        <v/>
      </c>
      <c r="Z2292">
        <f>IF($Y2292="","",INDEX($C$6:$C$40000,$Y2292)&amp;"")</f>
        <v/>
      </c>
      <c r="AA2292" s="59">
        <f>IF($Y2292="","",IF(INDEX($D$6:$D$40000,$Y2292)="","",INDEX($D$6:$D$40000,$Y2292)))</f>
        <v/>
      </c>
      <c r="AB2292">
        <f>IF($Y2292="","",INDEX($L$6:$L$40000,$Y2292)&amp;"")</f>
        <v/>
      </c>
    </row>
    <row r="2293">
      <c r="Y2293" s="47">
        <f>IFERROR(MATCH(Library!M2293,$M$6:$M$40000,0),"")</f>
        <v/>
      </c>
      <c r="Z2293">
        <f>IF($Y2293="","",INDEX($C$6:$C$40000,$Y2293)&amp;"")</f>
        <v/>
      </c>
      <c r="AA2293" s="59">
        <f>IF($Y2293="","",IF(INDEX($D$6:$D$40000,$Y2293)="","",INDEX($D$6:$D$40000,$Y2293)))</f>
        <v/>
      </c>
      <c r="AB2293">
        <f>IF($Y2293="","",INDEX($L$6:$L$40000,$Y2293)&amp;"")</f>
        <v/>
      </c>
    </row>
    <row r="2294">
      <c r="Y2294" s="47">
        <f>IFERROR(MATCH(Library!M2294,$M$6:$M$40000,0),"")</f>
        <v/>
      </c>
      <c r="Z2294">
        <f>IF($Y2294="","",INDEX($C$6:$C$40000,$Y2294)&amp;"")</f>
        <v/>
      </c>
      <c r="AA2294" s="59">
        <f>IF($Y2294="","",IF(INDEX($D$6:$D$40000,$Y2294)="","",INDEX($D$6:$D$40000,$Y2294)))</f>
        <v/>
      </c>
      <c r="AB2294">
        <f>IF($Y2294="","",INDEX($L$6:$L$40000,$Y2294)&amp;"")</f>
        <v/>
      </c>
    </row>
    <row r="2295">
      <c r="Y2295" s="47">
        <f>IFERROR(MATCH(Library!M2295,$M$6:$M$40000,0),"")</f>
        <v/>
      </c>
      <c r="Z2295">
        <f>IF($Y2295="","",INDEX($C$6:$C$40000,$Y2295)&amp;"")</f>
        <v/>
      </c>
      <c r="AA2295" s="59">
        <f>IF($Y2295="","",IF(INDEX($D$6:$D$40000,$Y2295)="","",INDEX($D$6:$D$40000,$Y2295)))</f>
        <v/>
      </c>
      <c r="AB2295">
        <f>IF($Y2295="","",INDEX($L$6:$L$40000,$Y2295)&amp;"")</f>
        <v/>
      </c>
    </row>
    <row r="2296">
      <c r="Y2296" s="47">
        <f>IFERROR(MATCH(Library!M2296,$M$6:$M$40000,0),"")</f>
        <v/>
      </c>
      <c r="Z2296">
        <f>IF($Y2296="","",INDEX($C$6:$C$40000,$Y2296)&amp;"")</f>
        <v/>
      </c>
      <c r="AA2296" s="59">
        <f>IF($Y2296="","",IF(INDEX($D$6:$D$40000,$Y2296)="","",INDEX($D$6:$D$40000,$Y2296)))</f>
        <v/>
      </c>
      <c r="AB2296">
        <f>IF($Y2296="","",INDEX($L$6:$L$40000,$Y2296)&amp;"")</f>
        <v/>
      </c>
    </row>
    <row r="2297">
      <c r="Y2297" s="47">
        <f>IFERROR(MATCH(Library!M2297,$M$6:$M$40000,0),"")</f>
        <v/>
      </c>
      <c r="Z2297">
        <f>IF($Y2297="","",INDEX($C$6:$C$40000,$Y2297)&amp;"")</f>
        <v/>
      </c>
      <c r="AA2297" s="59">
        <f>IF($Y2297="","",IF(INDEX($D$6:$D$40000,$Y2297)="","",INDEX($D$6:$D$40000,$Y2297)))</f>
        <v/>
      </c>
      <c r="AB2297">
        <f>IF($Y2297="","",INDEX($L$6:$L$40000,$Y2297)&amp;"")</f>
        <v/>
      </c>
    </row>
    <row r="2298">
      <c r="Y2298" s="47">
        <f>IFERROR(MATCH(Library!M2298,$M$6:$M$40000,0),"")</f>
        <v/>
      </c>
      <c r="Z2298">
        <f>IF($Y2298="","",INDEX($C$6:$C$40000,$Y2298)&amp;"")</f>
        <v/>
      </c>
      <c r="AA2298" s="59">
        <f>IF($Y2298="","",IF(INDEX($D$6:$D$40000,$Y2298)="","",INDEX($D$6:$D$40000,$Y2298)))</f>
        <v/>
      </c>
      <c r="AB2298">
        <f>IF($Y2298="","",INDEX($L$6:$L$40000,$Y2298)&amp;"")</f>
        <v/>
      </c>
    </row>
    <row r="2299">
      <c r="Y2299" s="47">
        <f>IFERROR(MATCH(Library!M2299,$M$6:$M$40000,0),"")</f>
        <v/>
      </c>
      <c r="Z2299">
        <f>IF($Y2299="","",INDEX($C$6:$C$40000,$Y2299)&amp;"")</f>
        <v/>
      </c>
      <c r="AA2299" s="59">
        <f>IF($Y2299="","",IF(INDEX($D$6:$D$40000,$Y2299)="","",INDEX($D$6:$D$40000,$Y2299)))</f>
        <v/>
      </c>
      <c r="AB2299">
        <f>IF($Y2299="","",INDEX($L$6:$L$40000,$Y2299)&amp;"")</f>
        <v/>
      </c>
    </row>
    <row r="2300">
      <c r="Y2300" s="47">
        <f>IFERROR(MATCH(Library!M2300,$M$6:$M$40000,0),"")</f>
        <v/>
      </c>
      <c r="Z2300">
        <f>IF($Y2300="","",INDEX($C$6:$C$40000,$Y2300)&amp;"")</f>
        <v/>
      </c>
      <c r="AA2300" s="59">
        <f>IF($Y2300="","",IF(INDEX($D$6:$D$40000,$Y2300)="","",INDEX($D$6:$D$40000,$Y2300)))</f>
        <v/>
      </c>
      <c r="AB2300">
        <f>IF($Y2300="","",INDEX($L$6:$L$40000,$Y2300)&amp;"")</f>
        <v/>
      </c>
    </row>
    <row r="2301">
      <c r="Y2301" s="47">
        <f>IFERROR(MATCH(Library!M2301,$M$6:$M$40000,0),"")</f>
        <v/>
      </c>
      <c r="Z2301">
        <f>IF($Y2301="","",INDEX($C$6:$C$40000,$Y2301)&amp;"")</f>
        <v/>
      </c>
      <c r="AA2301" s="59">
        <f>IF($Y2301="","",IF(INDEX($D$6:$D$40000,$Y2301)="","",INDEX($D$6:$D$40000,$Y2301)))</f>
        <v/>
      </c>
      <c r="AB2301">
        <f>IF($Y2301="","",INDEX($L$6:$L$40000,$Y2301)&amp;"")</f>
        <v/>
      </c>
    </row>
    <row r="2302">
      <c r="Y2302" s="47">
        <f>IFERROR(MATCH(Library!M2302,$M$6:$M$40000,0),"")</f>
        <v/>
      </c>
      <c r="Z2302">
        <f>IF($Y2302="","",INDEX($C$6:$C$40000,$Y2302)&amp;"")</f>
        <v/>
      </c>
      <c r="AA2302" s="59">
        <f>IF($Y2302="","",IF(INDEX($D$6:$D$40000,$Y2302)="","",INDEX($D$6:$D$40000,$Y2302)))</f>
        <v/>
      </c>
      <c r="AB2302">
        <f>IF($Y2302="","",INDEX($L$6:$L$40000,$Y2302)&amp;"")</f>
        <v/>
      </c>
    </row>
    <row r="2303">
      <c r="Y2303" s="47">
        <f>IFERROR(MATCH(Library!M2303,$M$6:$M$40000,0),"")</f>
        <v/>
      </c>
      <c r="Z2303">
        <f>IF($Y2303="","",INDEX($C$6:$C$40000,$Y2303)&amp;"")</f>
        <v/>
      </c>
      <c r="AA2303" s="59">
        <f>IF($Y2303="","",IF(INDEX($D$6:$D$40000,$Y2303)="","",INDEX($D$6:$D$40000,$Y2303)))</f>
        <v/>
      </c>
      <c r="AB2303">
        <f>IF($Y2303="","",INDEX($L$6:$L$40000,$Y2303)&amp;"")</f>
        <v/>
      </c>
    </row>
    <row r="2304">
      <c r="Y2304" s="47">
        <f>IFERROR(MATCH(Library!M2304,$M$6:$M$40000,0),"")</f>
        <v/>
      </c>
      <c r="Z2304">
        <f>IF($Y2304="","",INDEX($C$6:$C$40000,$Y2304)&amp;"")</f>
        <v/>
      </c>
      <c r="AA2304" s="59">
        <f>IF($Y2304="","",IF(INDEX($D$6:$D$40000,$Y2304)="","",INDEX($D$6:$D$40000,$Y2304)))</f>
        <v/>
      </c>
      <c r="AB2304">
        <f>IF($Y2304="","",INDEX($L$6:$L$40000,$Y2304)&amp;"")</f>
        <v/>
      </c>
    </row>
    <row r="2305">
      <c r="Y2305" s="47">
        <f>IFERROR(MATCH(Library!M2305,$M$6:$M$40000,0),"")</f>
        <v/>
      </c>
      <c r="Z2305">
        <f>IF($Y2305="","",INDEX($C$6:$C$40000,$Y2305)&amp;"")</f>
        <v/>
      </c>
      <c r="AA2305" s="59">
        <f>IF($Y2305="","",IF(INDEX($D$6:$D$40000,$Y2305)="","",INDEX($D$6:$D$40000,$Y2305)))</f>
        <v/>
      </c>
      <c r="AB2305">
        <f>IF($Y2305="","",INDEX($L$6:$L$40000,$Y2305)&amp;"")</f>
        <v/>
      </c>
    </row>
    <row r="2306">
      <c r="Y2306" s="47">
        <f>IFERROR(MATCH(Library!M2306,$M$6:$M$40000,0),"")</f>
        <v/>
      </c>
      <c r="Z2306">
        <f>IF($Y2306="","",INDEX($C$6:$C$40000,$Y2306)&amp;"")</f>
        <v/>
      </c>
      <c r="AA2306" s="59">
        <f>IF($Y2306="","",IF(INDEX($D$6:$D$40000,$Y2306)="","",INDEX($D$6:$D$40000,$Y2306)))</f>
        <v/>
      </c>
      <c r="AB2306">
        <f>IF($Y2306="","",INDEX($L$6:$L$40000,$Y2306)&amp;"")</f>
        <v/>
      </c>
    </row>
    <row r="2307">
      <c r="Y2307" s="47">
        <f>IFERROR(MATCH(Library!M2307,$M$6:$M$40000,0),"")</f>
        <v/>
      </c>
      <c r="Z2307">
        <f>IF($Y2307="","",INDEX($C$6:$C$40000,$Y2307)&amp;"")</f>
        <v/>
      </c>
      <c r="AA2307" s="59">
        <f>IF($Y2307="","",IF(INDEX($D$6:$D$40000,$Y2307)="","",INDEX($D$6:$D$40000,$Y2307)))</f>
        <v/>
      </c>
      <c r="AB2307">
        <f>IF($Y2307="","",INDEX($L$6:$L$40000,$Y2307)&amp;"")</f>
        <v/>
      </c>
    </row>
    <row r="2308">
      <c r="Y2308" s="47">
        <f>IFERROR(MATCH(Library!M2308,$M$6:$M$40000,0),"")</f>
        <v/>
      </c>
      <c r="Z2308">
        <f>IF($Y2308="","",INDEX($C$6:$C$40000,$Y2308)&amp;"")</f>
        <v/>
      </c>
      <c r="AA2308" s="59">
        <f>IF($Y2308="","",IF(INDEX($D$6:$D$40000,$Y2308)="","",INDEX($D$6:$D$40000,$Y2308)))</f>
        <v/>
      </c>
      <c r="AB2308">
        <f>IF($Y2308="","",INDEX($L$6:$L$40000,$Y2308)&amp;"")</f>
        <v/>
      </c>
    </row>
    <row r="2309">
      <c r="Y2309" s="47">
        <f>IFERROR(MATCH(Library!M2309,$M$6:$M$40000,0),"")</f>
        <v/>
      </c>
      <c r="Z2309">
        <f>IF($Y2309="","",INDEX($C$6:$C$40000,$Y2309)&amp;"")</f>
        <v/>
      </c>
      <c r="AA2309" s="59">
        <f>IF($Y2309="","",IF(INDEX($D$6:$D$40000,$Y2309)="","",INDEX($D$6:$D$40000,$Y2309)))</f>
        <v/>
      </c>
      <c r="AB2309">
        <f>IF($Y2309="","",INDEX($L$6:$L$40000,$Y2309)&amp;"")</f>
        <v/>
      </c>
    </row>
    <row r="2310">
      <c r="Y2310" s="47">
        <f>IFERROR(MATCH(Library!M2310,$M$6:$M$40000,0),"")</f>
        <v/>
      </c>
      <c r="Z2310">
        <f>IF($Y2310="","",INDEX($C$6:$C$40000,$Y2310)&amp;"")</f>
        <v/>
      </c>
      <c r="AA2310" s="59">
        <f>IF($Y2310="","",IF(INDEX($D$6:$D$40000,$Y2310)="","",INDEX($D$6:$D$40000,$Y2310)))</f>
        <v/>
      </c>
      <c r="AB2310">
        <f>IF($Y2310="","",INDEX($L$6:$L$40000,$Y2310)&amp;"")</f>
        <v/>
      </c>
    </row>
    <row r="2311">
      <c r="Y2311" s="47">
        <f>IFERROR(MATCH(Library!M2311,$M$6:$M$40000,0),"")</f>
        <v/>
      </c>
      <c r="Z2311">
        <f>IF($Y2311="","",INDEX($C$6:$C$40000,$Y2311)&amp;"")</f>
        <v/>
      </c>
      <c r="AA2311" s="59">
        <f>IF($Y2311="","",IF(INDEX($D$6:$D$40000,$Y2311)="","",INDEX($D$6:$D$40000,$Y2311)))</f>
        <v/>
      </c>
      <c r="AB2311">
        <f>IF($Y2311="","",INDEX($L$6:$L$40000,$Y2311)&amp;"")</f>
        <v/>
      </c>
    </row>
    <row r="2312">
      <c r="Y2312" s="47">
        <f>IFERROR(MATCH(Library!M2312,$M$6:$M$40000,0),"")</f>
        <v/>
      </c>
      <c r="Z2312">
        <f>IF($Y2312="","",INDEX($C$6:$C$40000,$Y2312)&amp;"")</f>
        <v/>
      </c>
      <c r="AA2312" s="59">
        <f>IF($Y2312="","",IF(INDEX($D$6:$D$40000,$Y2312)="","",INDEX($D$6:$D$40000,$Y2312)))</f>
        <v/>
      </c>
      <c r="AB2312">
        <f>IF($Y2312="","",INDEX($L$6:$L$40000,$Y2312)&amp;"")</f>
        <v/>
      </c>
    </row>
    <row r="2313">
      <c r="Y2313" s="47">
        <f>IFERROR(MATCH(Library!M2313,$M$6:$M$40000,0),"")</f>
        <v/>
      </c>
      <c r="Z2313">
        <f>IF($Y2313="","",INDEX($C$6:$C$40000,$Y2313)&amp;"")</f>
        <v/>
      </c>
      <c r="AA2313" s="59">
        <f>IF($Y2313="","",IF(INDEX($D$6:$D$40000,$Y2313)="","",INDEX($D$6:$D$40000,$Y2313)))</f>
        <v/>
      </c>
      <c r="AB2313">
        <f>IF($Y2313="","",INDEX($L$6:$L$40000,$Y2313)&amp;"")</f>
        <v/>
      </c>
    </row>
    <row r="2314">
      <c r="Y2314" s="47">
        <f>IFERROR(MATCH(Library!M2314,$M$6:$M$40000,0),"")</f>
        <v/>
      </c>
      <c r="Z2314">
        <f>IF($Y2314="","",INDEX($C$6:$C$40000,$Y2314)&amp;"")</f>
        <v/>
      </c>
      <c r="AA2314" s="59">
        <f>IF($Y2314="","",IF(INDEX($D$6:$D$40000,$Y2314)="","",INDEX($D$6:$D$40000,$Y2314)))</f>
        <v/>
      </c>
      <c r="AB2314">
        <f>IF($Y2314="","",INDEX($L$6:$L$40000,$Y2314)&amp;"")</f>
        <v/>
      </c>
    </row>
    <row r="2315">
      <c r="Y2315" s="47">
        <f>IFERROR(MATCH(Library!M2315,$M$6:$M$40000,0),"")</f>
        <v/>
      </c>
      <c r="Z2315">
        <f>IF($Y2315="","",INDEX($C$6:$C$40000,$Y2315)&amp;"")</f>
        <v/>
      </c>
      <c r="AA2315" s="59">
        <f>IF($Y2315="","",IF(INDEX($D$6:$D$40000,$Y2315)="","",INDEX($D$6:$D$40000,$Y2315)))</f>
        <v/>
      </c>
      <c r="AB2315">
        <f>IF($Y2315="","",INDEX($L$6:$L$40000,$Y2315)&amp;"")</f>
        <v/>
      </c>
    </row>
    <row r="2316">
      <c r="Y2316" s="47">
        <f>IFERROR(MATCH(Library!M2316,$M$6:$M$40000,0),"")</f>
        <v/>
      </c>
      <c r="Z2316">
        <f>IF($Y2316="","",INDEX($C$6:$C$40000,$Y2316)&amp;"")</f>
        <v/>
      </c>
      <c r="AA2316" s="59">
        <f>IF($Y2316="","",IF(INDEX($D$6:$D$40000,$Y2316)="","",INDEX($D$6:$D$40000,$Y2316)))</f>
        <v/>
      </c>
      <c r="AB2316">
        <f>IF($Y2316="","",INDEX($L$6:$L$40000,$Y2316)&amp;"")</f>
        <v/>
      </c>
    </row>
    <row r="2317">
      <c r="Y2317" s="47">
        <f>IFERROR(MATCH(Library!M2317,$M$6:$M$40000,0),"")</f>
        <v/>
      </c>
      <c r="Z2317">
        <f>IF($Y2317="","",INDEX($C$6:$C$40000,$Y2317)&amp;"")</f>
        <v/>
      </c>
      <c r="AA2317" s="59">
        <f>IF($Y2317="","",IF(INDEX($D$6:$D$40000,$Y2317)="","",INDEX($D$6:$D$40000,$Y2317)))</f>
        <v/>
      </c>
      <c r="AB2317">
        <f>IF($Y2317="","",INDEX($L$6:$L$40000,$Y2317)&amp;"")</f>
        <v/>
      </c>
    </row>
    <row r="2318">
      <c r="Y2318" s="47">
        <f>IFERROR(MATCH(Library!M2318,$M$6:$M$40000,0),"")</f>
        <v/>
      </c>
      <c r="Z2318">
        <f>IF($Y2318="","",INDEX($C$6:$C$40000,$Y2318)&amp;"")</f>
        <v/>
      </c>
      <c r="AA2318" s="59">
        <f>IF($Y2318="","",IF(INDEX($D$6:$D$40000,$Y2318)="","",INDEX($D$6:$D$40000,$Y2318)))</f>
        <v/>
      </c>
      <c r="AB2318">
        <f>IF($Y2318="","",INDEX($L$6:$L$40000,$Y2318)&amp;"")</f>
        <v/>
      </c>
    </row>
    <row r="2319">
      <c r="Y2319" s="47">
        <f>IFERROR(MATCH(Library!M2319,$M$6:$M$40000,0),"")</f>
        <v/>
      </c>
      <c r="Z2319">
        <f>IF($Y2319="","",INDEX($C$6:$C$40000,$Y2319)&amp;"")</f>
        <v/>
      </c>
      <c r="AA2319" s="59">
        <f>IF($Y2319="","",IF(INDEX($D$6:$D$40000,$Y2319)="","",INDEX($D$6:$D$40000,$Y2319)))</f>
        <v/>
      </c>
      <c r="AB2319">
        <f>IF($Y2319="","",INDEX($L$6:$L$40000,$Y2319)&amp;"")</f>
        <v/>
      </c>
    </row>
    <row r="2320">
      <c r="Y2320" s="47">
        <f>IFERROR(MATCH(Library!M2320,$M$6:$M$40000,0),"")</f>
        <v/>
      </c>
      <c r="Z2320">
        <f>IF($Y2320="","",INDEX($C$6:$C$40000,$Y2320)&amp;"")</f>
        <v/>
      </c>
      <c r="AA2320" s="59">
        <f>IF($Y2320="","",IF(INDEX($D$6:$D$40000,$Y2320)="","",INDEX($D$6:$D$40000,$Y2320)))</f>
        <v/>
      </c>
      <c r="AB2320">
        <f>IF($Y2320="","",INDEX($L$6:$L$40000,$Y2320)&amp;"")</f>
        <v/>
      </c>
    </row>
    <row r="2321">
      <c r="Y2321" s="47">
        <f>IFERROR(MATCH(Library!M2321,$M$6:$M$40000,0),"")</f>
        <v/>
      </c>
      <c r="Z2321">
        <f>IF($Y2321="","",INDEX($C$6:$C$40000,$Y2321)&amp;"")</f>
        <v/>
      </c>
      <c r="AA2321" s="59">
        <f>IF($Y2321="","",IF(INDEX($D$6:$D$40000,$Y2321)="","",INDEX($D$6:$D$40000,$Y2321)))</f>
        <v/>
      </c>
      <c r="AB2321">
        <f>IF($Y2321="","",INDEX($L$6:$L$40000,$Y2321)&amp;"")</f>
        <v/>
      </c>
    </row>
    <row r="2322">
      <c r="Y2322" s="47">
        <f>IFERROR(MATCH(Library!M2322,$M$6:$M$40000,0),"")</f>
        <v/>
      </c>
      <c r="Z2322">
        <f>IF($Y2322="","",INDEX($C$6:$C$40000,$Y2322)&amp;"")</f>
        <v/>
      </c>
      <c r="AA2322" s="59">
        <f>IF($Y2322="","",IF(INDEX($D$6:$D$40000,$Y2322)="","",INDEX($D$6:$D$40000,$Y2322)))</f>
        <v/>
      </c>
      <c r="AB2322">
        <f>IF($Y2322="","",INDEX($L$6:$L$40000,$Y2322)&amp;"")</f>
        <v/>
      </c>
    </row>
    <row r="2323">
      <c r="Y2323" s="47">
        <f>IFERROR(MATCH(Library!M2323,$M$6:$M$40000,0),"")</f>
        <v/>
      </c>
      <c r="Z2323">
        <f>IF($Y2323="","",INDEX($C$6:$C$40000,$Y2323)&amp;"")</f>
        <v/>
      </c>
      <c r="AA2323" s="59">
        <f>IF($Y2323="","",IF(INDEX($D$6:$D$40000,$Y2323)="","",INDEX($D$6:$D$40000,$Y2323)))</f>
        <v/>
      </c>
      <c r="AB2323">
        <f>IF($Y2323="","",INDEX($L$6:$L$40000,$Y2323)&amp;"")</f>
        <v/>
      </c>
    </row>
    <row r="2324">
      <c r="Y2324" s="47">
        <f>IFERROR(MATCH(Library!M2324,$M$6:$M$40000,0),"")</f>
        <v/>
      </c>
      <c r="Z2324">
        <f>IF($Y2324="","",INDEX($C$6:$C$40000,$Y2324)&amp;"")</f>
        <v/>
      </c>
      <c r="AA2324" s="59">
        <f>IF($Y2324="","",IF(INDEX($D$6:$D$40000,$Y2324)="","",INDEX($D$6:$D$40000,$Y2324)))</f>
        <v/>
      </c>
      <c r="AB2324">
        <f>IF($Y2324="","",INDEX($L$6:$L$40000,$Y2324)&amp;"")</f>
        <v/>
      </c>
    </row>
    <row r="2325">
      <c r="Y2325" s="47">
        <f>IFERROR(MATCH(Library!M2325,$M$6:$M$40000,0),"")</f>
        <v/>
      </c>
      <c r="Z2325">
        <f>IF($Y2325="","",INDEX($C$6:$C$40000,$Y2325)&amp;"")</f>
        <v/>
      </c>
      <c r="AA2325" s="59">
        <f>IF($Y2325="","",IF(INDEX($D$6:$D$40000,$Y2325)="","",INDEX($D$6:$D$40000,$Y2325)))</f>
        <v/>
      </c>
      <c r="AB2325">
        <f>IF($Y2325="","",INDEX($L$6:$L$40000,$Y2325)&amp;"")</f>
        <v/>
      </c>
    </row>
    <row r="2326">
      <c r="Y2326" s="47">
        <f>IFERROR(MATCH(Library!M2326,$M$6:$M$40000,0),"")</f>
        <v/>
      </c>
      <c r="Z2326">
        <f>IF($Y2326="","",INDEX($C$6:$C$40000,$Y2326)&amp;"")</f>
        <v/>
      </c>
      <c r="AA2326" s="59">
        <f>IF($Y2326="","",IF(INDEX($D$6:$D$40000,$Y2326)="","",INDEX($D$6:$D$40000,$Y2326)))</f>
        <v/>
      </c>
      <c r="AB2326">
        <f>IF($Y2326="","",INDEX($L$6:$L$40000,$Y2326)&amp;"")</f>
        <v/>
      </c>
    </row>
    <row r="2327">
      <c r="Y2327" s="47">
        <f>IFERROR(MATCH(Library!M2327,$M$6:$M$40000,0),"")</f>
        <v/>
      </c>
      <c r="Z2327">
        <f>IF($Y2327="","",INDEX($C$6:$C$40000,$Y2327)&amp;"")</f>
        <v/>
      </c>
      <c r="AA2327" s="59">
        <f>IF($Y2327="","",IF(INDEX($D$6:$D$40000,$Y2327)="","",INDEX($D$6:$D$40000,$Y2327)))</f>
        <v/>
      </c>
      <c r="AB2327">
        <f>IF($Y2327="","",INDEX($L$6:$L$40000,$Y2327)&amp;"")</f>
        <v/>
      </c>
    </row>
    <row r="2328">
      <c r="Y2328" s="47">
        <f>IFERROR(MATCH(Library!M2328,$M$6:$M$40000,0),"")</f>
        <v/>
      </c>
      <c r="Z2328">
        <f>IF($Y2328="","",INDEX($C$6:$C$40000,$Y2328)&amp;"")</f>
        <v/>
      </c>
      <c r="AA2328" s="59">
        <f>IF($Y2328="","",IF(INDEX($D$6:$D$40000,$Y2328)="","",INDEX($D$6:$D$40000,$Y2328)))</f>
        <v/>
      </c>
      <c r="AB2328">
        <f>IF($Y2328="","",INDEX($L$6:$L$40000,$Y2328)&amp;"")</f>
        <v/>
      </c>
    </row>
    <row r="2329">
      <c r="Y2329" s="47">
        <f>IFERROR(MATCH(Library!M2329,$M$6:$M$40000,0),"")</f>
        <v/>
      </c>
      <c r="Z2329">
        <f>IF($Y2329="","",INDEX($C$6:$C$40000,$Y2329)&amp;"")</f>
        <v/>
      </c>
      <c r="AA2329" s="59">
        <f>IF($Y2329="","",IF(INDEX($D$6:$D$40000,$Y2329)="","",INDEX($D$6:$D$40000,$Y2329)))</f>
        <v/>
      </c>
      <c r="AB2329">
        <f>IF($Y2329="","",INDEX($L$6:$L$40000,$Y2329)&amp;"")</f>
        <v/>
      </c>
    </row>
    <row r="2330">
      <c r="Y2330" s="47">
        <f>IFERROR(MATCH(Library!M2330,$M$6:$M$40000,0),"")</f>
        <v/>
      </c>
      <c r="Z2330">
        <f>IF($Y2330="","",INDEX($C$6:$C$40000,$Y2330)&amp;"")</f>
        <v/>
      </c>
      <c r="AA2330" s="59">
        <f>IF($Y2330="","",IF(INDEX($D$6:$D$40000,$Y2330)="","",INDEX($D$6:$D$40000,$Y2330)))</f>
        <v/>
      </c>
      <c r="AB2330">
        <f>IF($Y2330="","",INDEX($L$6:$L$40000,$Y2330)&amp;"")</f>
        <v/>
      </c>
    </row>
    <row r="2331">
      <c r="Y2331" s="47">
        <f>IFERROR(MATCH(Library!M2331,$M$6:$M$40000,0),"")</f>
        <v/>
      </c>
      <c r="Z2331">
        <f>IF($Y2331="","",INDEX($C$6:$C$40000,$Y2331)&amp;"")</f>
        <v/>
      </c>
      <c r="AA2331" s="59">
        <f>IF($Y2331="","",IF(INDEX($D$6:$D$40000,$Y2331)="","",INDEX($D$6:$D$40000,$Y2331)))</f>
        <v/>
      </c>
      <c r="AB2331">
        <f>IF($Y2331="","",INDEX($L$6:$L$40000,$Y2331)&amp;"")</f>
        <v/>
      </c>
    </row>
    <row r="2332">
      <c r="Y2332" s="47">
        <f>IFERROR(MATCH(Library!M2332,$M$6:$M$40000,0),"")</f>
        <v/>
      </c>
      <c r="Z2332">
        <f>IF($Y2332="","",INDEX($C$6:$C$40000,$Y2332)&amp;"")</f>
        <v/>
      </c>
      <c r="AA2332" s="59">
        <f>IF($Y2332="","",IF(INDEX($D$6:$D$40000,$Y2332)="","",INDEX($D$6:$D$40000,$Y2332)))</f>
        <v/>
      </c>
      <c r="AB2332">
        <f>IF($Y2332="","",INDEX($L$6:$L$40000,$Y2332)&amp;"")</f>
        <v/>
      </c>
    </row>
    <row r="2333">
      <c r="Y2333" s="47">
        <f>IFERROR(MATCH(Library!M2333,$M$6:$M$40000,0),"")</f>
        <v/>
      </c>
      <c r="Z2333">
        <f>IF($Y2333="","",INDEX($C$6:$C$40000,$Y2333)&amp;"")</f>
        <v/>
      </c>
      <c r="AA2333" s="59">
        <f>IF($Y2333="","",IF(INDEX($D$6:$D$40000,$Y2333)="","",INDEX($D$6:$D$40000,$Y2333)))</f>
        <v/>
      </c>
      <c r="AB2333">
        <f>IF($Y2333="","",INDEX($L$6:$L$40000,$Y2333)&amp;"")</f>
        <v/>
      </c>
    </row>
    <row r="2334">
      <c r="Y2334" s="47">
        <f>IFERROR(MATCH(Library!M2334,$M$6:$M$40000,0),"")</f>
        <v/>
      </c>
      <c r="Z2334">
        <f>IF($Y2334="","",INDEX($C$6:$C$40000,$Y2334)&amp;"")</f>
        <v/>
      </c>
      <c r="AA2334" s="59">
        <f>IF($Y2334="","",IF(INDEX($D$6:$D$40000,$Y2334)="","",INDEX($D$6:$D$40000,$Y2334)))</f>
        <v/>
      </c>
      <c r="AB2334">
        <f>IF($Y2334="","",INDEX($L$6:$L$40000,$Y2334)&amp;"")</f>
        <v/>
      </c>
    </row>
    <row r="2335">
      <c r="Y2335" s="47">
        <f>IFERROR(MATCH(Library!M2335,$M$6:$M$40000,0),"")</f>
        <v/>
      </c>
      <c r="Z2335">
        <f>IF($Y2335="","",INDEX($C$6:$C$40000,$Y2335)&amp;"")</f>
        <v/>
      </c>
      <c r="AA2335" s="59">
        <f>IF($Y2335="","",IF(INDEX($D$6:$D$40000,$Y2335)="","",INDEX($D$6:$D$40000,$Y2335)))</f>
        <v/>
      </c>
      <c r="AB2335">
        <f>IF($Y2335="","",INDEX($L$6:$L$40000,$Y2335)&amp;"")</f>
        <v/>
      </c>
    </row>
    <row r="2336">
      <c r="Y2336" s="47">
        <f>IFERROR(MATCH(Library!M2336,$M$6:$M$40000,0),"")</f>
        <v/>
      </c>
      <c r="Z2336">
        <f>IF($Y2336="","",INDEX($C$6:$C$40000,$Y2336)&amp;"")</f>
        <v/>
      </c>
      <c r="AA2336" s="59">
        <f>IF($Y2336="","",IF(INDEX($D$6:$D$40000,$Y2336)="","",INDEX($D$6:$D$40000,$Y2336)))</f>
        <v/>
      </c>
      <c r="AB2336">
        <f>IF($Y2336="","",INDEX($L$6:$L$40000,$Y2336)&amp;"")</f>
        <v/>
      </c>
    </row>
    <row r="2337">
      <c r="Y2337" s="47">
        <f>IFERROR(MATCH(Library!M2337,$M$6:$M$40000,0),"")</f>
        <v/>
      </c>
      <c r="Z2337">
        <f>IF($Y2337="","",INDEX($C$6:$C$40000,$Y2337)&amp;"")</f>
        <v/>
      </c>
      <c r="AA2337" s="59">
        <f>IF($Y2337="","",IF(INDEX($D$6:$D$40000,$Y2337)="","",INDEX($D$6:$D$40000,$Y2337)))</f>
        <v/>
      </c>
      <c r="AB2337">
        <f>IF($Y2337="","",INDEX($L$6:$L$40000,$Y2337)&amp;"")</f>
        <v/>
      </c>
    </row>
    <row r="2338">
      <c r="Y2338" s="47">
        <f>IFERROR(MATCH(Library!M2338,$M$6:$M$40000,0),"")</f>
        <v/>
      </c>
      <c r="Z2338">
        <f>IF($Y2338="","",INDEX($C$6:$C$40000,$Y2338)&amp;"")</f>
        <v/>
      </c>
      <c r="AA2338" s="59">
        <f>IF($Y2338="","",IF(INDEX($D$6:$D$40000,$Y2338)="","",INDEX($D$6:$D$40000,$Y2338)))</f>
        <v/>
      </c>
      <c r="AB2338">
        <f>IF($Y2338="","",INDEX($L$6:$L$40000,$Y2338)&amp;"")</f>
        <v/>
      </c>
    </row>
    <row r="2339">
      <c r="Y2339" s="47">
        <f>IFERROR(MATCH(Library!M2339,$M$6:$M$40000,0),"")</f>
        <v/>
      </c>
      <c r="Z2339">
        <f>IF($Y2339="","",INDEX($C$6:$C$40000,$Y2339)&amp;"")</f>
        <v/>
      </c>
      <c r="AA2339" s="59">
        <f>IF($Y2339="","",IF(INDEX($D$6:$D$40000,$Y2339)="","",INDEX($D$6:$D$40000,$Y2339)))</f>
        <v/>
      </c>
      <c r="AB2339">
        <f>IF($Y2339="","",INDEX($L$6:$L$40000,$Y2339)&amp;"")</f>
        <v/>
      </c>
    </row>
    <row r="2340">
      <c r="Y2340" s="47">
        <f>IFERROR(MATCH(Library!M2340,$M$6:$M$40000,0),"")</f>
        <v/>
      </c>
      <c r="Z2340">
        <f>IF($Y2340="","",INDEX($C$6:$C$40000,$Y2340)&amp;"")</f>
        <v/>
      </c>
      <c r="AA2340" s="59">
        <f>IF($Y2340="","",IF(INDEX($D$6:$D$40000,$Y2340)="","",INDEX($D$6:$D$40000,$Y2340)))</f>
        <v/>
      </c>
      <c r="AB2340">
        <f>IF($Y2340="","",INDEX($L$6:$L$40000,$Y2340)&amp;"")</f>
        <v/>
      </c>
    </row>
    <row r="2341">
      <c r="Y2341" s="47">
        <f>IFERROR(MATCH(Library!M2341,$M$6:$M$40000,0),"")</f>
        <v/>
      </c>
      <c r="Z2341">
        <f>IF($Y2341="","",INDEX($C$6:$C$40000,$Y2341)&amp;"")</f>
        <v/>
      </c>
      <c r="AA2341" s="59">
        <f>IF($Y2341="","",IF(INDEX($D$6:$D$40000,$Y2341)="","",INDEX($D$6:$D$40000,$Y2341)))</f>
        <v/>
      </c>
      <c r="AB2341">
        <f>IF($Y2341="","",INDEX($L$6:$L$40000,$Y2341)&amp;"")</f>
        <v/>
      </c>
    </row>
    <row r="2342">
      <c r="Y2342" s="47">
        <f>IFERROR(MATCH(Library!M2342,$M$6:$M$40000,0),"")</f>
        <v/>
      </c>
      <c r="Z2342">
        <f>IF($Y2342="","",INDEX($C$6:$C$40000,$Y2342)&amp;"")</f>
        <v/>
      </c>
      <c r="AA2342" s="59">
        <f>IF($Y2342="","",IF(INDEX($D$6:$D$40000,$Y2342)="","",INDEX($D$6:$D$40000,$Y2342)))</f>
        <v/>
      </c>
      <c r="AB2342">
        <f>IF($Y2342="","",INDEX($L$6:$L$40000,$Y2342)&amp;"")</f>
        <v/>
      </c>
    </row>
    <row r="2343">
      <c r="Y2343" s="47">
        <f>IFERROR(MATCH(Library!M2343,$M$6:$M$40000,0),"")</f>
        <v/>
      </c>
      <c r="Z2343">
        <f>IF($Y2343="","",INDEX($C$6:$C$40000,$Y2343)&amp;"")</f>
        <v/>
      </c>
      <c r="AA2343" s="59">
        <f>IF($Y2343="","",IF(INDEX($D$6:$D$40000,$Y2343)="","",INDEX($D$6:$D$40000,$Y2343)))</f>
        <v/>
      </c>
      <c r="AB2343">
        <f>IF($Y2343="","",INDEX($L$6:$L$40000,$Y2343)&amp;"")</f>
        <v/>
      </c>
    </row>
    <row r="2344">
      <c r="Y2344" s="47">
        <f>IFERROR(MATCH(Library!M2344,$M$6:$M$40000,0),"")</f>
        <v/>
      </c>
      <c r="Z2344">
        <f>IF($Y2344="","",INDEX($C$6:$C$40000,$Y2344)&amp;"")</f>
        <v/>
      </c>
      <c r="AA2344" s="59">
        <f>IF($Y2344="","",IF(INDEX($D$6:$D$40000,$Y2344)="","",INDEX($D$6:$D$40000,$Y2344)))</f>
        <v/>
      </c>
      <c r="AB2344">
        <f>IF($Y2344="","",INDEX($L$6:$L$40000,$Y2344)&amp;"")</f>
        <v/>
      </c>
    </row>
    <row r="2345">
      <c r="Y2345" s="47">
        <f>IFERROR(MATCH(Library!M2345,$M$6:$M$40000,0),"")</f>
        <v/>
      </c>
      <c r="Z2345">
        <f>IF($Y2345="","",INDEX($C$6:$C$40000,$Y2345)&amp;"")</f>
        <v/>
      </c>
      <c r="AA2345" s="59">
        <f>IF($Y2345="","",IF(INDEX($D$6:$D$40000,$Y2345)="","",INDEX($D$6:$D$40000,$Y2345)))</f>
        <v/>
      </c>
      <c r="AB2345">
        <f>IF($Y2345="","",INDEX($L$6:$L$40000,$Y2345)&amp;"")</f>
        <v/>
      </c>
    </row>
    <row r="2346">
      <c r="Y2346" s="47">
        <f>IFERROR(MATCH(Library!M2346,$M$6:$M$40000,0),"")</f>
        <v/>
      </c>
      <c r="Z2346">
        <f>IF($Y2346="","",INDEX($C$6:$C$40000,$Y2346)&amp;"")</f>
        <v/>
      </c>
      <c r="AA2346" s="59">
        <f>IF($Y2346="","",IF(INDEX($D$6:$D$40000,$Y2346)="","",INDEX($D$6:$D$40000,$Y2346)))</f>
        <v/>
      </c>
      <c r="AB2346">
        <f>IF($Y2346="","",INDEX($L$6:$L$40000,$Y2346)&amp;"")</f>
        <v/>
      </c>
    </row>
    <row r="2347">
      <c r="Y2347" s="47">
        <f>IFERROR(MATCH(Library!M2347,$M$6:$M$40000,0),"")</f>
        <v/>
      </c>
      <c r="Z2347">
        <f>IF($Y2347="","",INDEX($C$6:$C$40000,$Y2347)&amp;"")</f>
        <v/>
      </c>
      <c r="AA2347" s="59">
        <f>IF($Y2347="","",IF(INDEX($D$6:$D$40000,$Y2347)="","",INDEX($D$6:$D$40000,$Y2347)))</f>
        <v/>
      </c>
      <c r="AB2347">
        <f>IF($Y2347="","",INDEX($L$6:$L$40000,$Y2347)&amp;"")</f>
        <v/>
      </c>
    </row>
    <row r="2348">
      <c r="Y2348" s="47">
        <f>IFERROR(MATCH(Library!M2348,$M$6:$M$40000,0),"")</f>
        <v/>
      </c>
      <c r="Z2348">
        <f>IF($Y2348="","",INDEX($C$6:$C$40000,$Y2348)&amp;"")</f>
        <v/>
      </c>
      <c r="AA2348" s="59">
        <f>IF($Y2348="","",IF(INDEX($D$6:$D$40000,$Y2348)="","",INDEX($D$6:$D$40000,$Y2348)))</f>
        <v/>
      </c>
      <c r="AB2348">
        <f>IF($Y2348="","",INDEX($L$6:$L$40000,$Y2348)&amp;"")</f>
        <v/>
      </c>
    </row>
    <row r="2349">
      <c r="Y2349" s="47">
        <f>IFERROR(MATCH(Library!M2349,$M$6:$M$40000,0),"")</f>
        <v/>
      </c>
      <c r="Z2349">
        <f>IF($Y2349="","",INDEX($C$6:$C$40000,$Y2349)&amp;"")</f>
        <v/>
      </c>
      <c r="AA2349" s="59">
        <f>IF($Y2349="","",IF(INDEX($D$6:$D$40000,$Y2349)="","",INDEX($D$6:$D$40000,$Y2349)))</f>
        <v/>
      </c>
      <c r="AB2349">
        <f>IF($Y2349="","",INDEX($L$6:$L$40000,$Y2349)&amp;"")</f>
        <v/>
      </c>
    </row>
    <row r="2350">
      <c r="Y2350" s="47">
        <f>IFERROR(MATCH(Library!M2350,$M$6:$M$40000,0),"")</f>
        <v/>
      </c>
      <c r="Z2350">
        <f>IF($Y2350="","",INDEX($C$6:$C$40000,$Y2350)&amp;"")</f>
        <v/>
      </c>
      <c r="AA2350" s="59">
        <f>IF($Y2350="","",IF(INDEX($D$6:$D$40000,$Y2350)="","",INDEX($D$6:$D$40000,$Y2350)))</f>
        <v/>
      </c>
      <c r="AB2350">
        <f>IF($Y2350="","",INDEX($L$6:$L$40000,$Y2350)&amp;"")</f>
        <v/>
      </c>
    </row>
    <row r="2351">
      <c r="Y2351" s="47">
        <f>IFERROR(MATCH(Library!M2351,$M$6:$M$40000,0),"")</f>
        <v/>
      </c>
      <c r="Z2351">
        <f>IF($Y2351="","",INDEX($C$6:$C$40000,$Y2351)&amp;"")</f>
        <v/>
      </c>
      <c r="AA2351" s="59">
        <f>IF($Y2351="","",IF(INDEX($D$6:$D$40000,$Y2351)="","",INDEX($D$6:$D$40000,$Y2351)))</f>
        <v/>
      </c>
      <c r="AB2351">
        <f>IF($Y2351="","",INDEX($L$6:$L$40000,$Y2351)&amp;"")</f>
        <v/>
      </c>
    </row>
    <row r="2352">
      <c r="Y2352" s="47">
        <f>IFERROR(MATCH(Library!M2352,$M$6:$M$40000,0),"")</f>
        <v/>
      </c>
      <c r="Z2352">
        <f>IF($Y2352="","",INDEX($C$6:$C$40000,$Y2352)&amp;"")</f>
        <v/>
      </c>
      <c r="AA2352" s="59">
        <f>IF($Y2352="","",IF(INDEX($D$6:$D$40000,$Y2352)="","",INDEX($D$6:$D$40000,$Y2352)))</f>
        <v/>
      </c>
      <c r="AB2352">
        <f>IF($Y2352="","",INDEX($L$6:$L$40000,$Y2352)&amp;"")</f>
        <v/>
      </c>
    </row>
    <row r="2353">
      <c r="Y2353" s="47">
        <f>IFERROR(MATCH(Library!M2353,$M$6:$M$40000,0),"")</f>
        <v/>
      </c>
      <c r="Z2353">
        <f>IF($Y2353="","",INDEX($C$6:$C$40000,$Y2353)&amp;"")</f>
        <v/>
      </c>
      <c r="AA2353" s="59">
        <f>IF($Y2353="","",IF(INDEX($D$6:$D$40000,$Y2353)="","",INDEX($D$6:$D$40000,$Y2353)))</f>
        <v/>
      </c>
      <c r="AB2353">
        <f>IF($Y2353="","",INDEX($L$6:$L$40000,$Y2353)&amp;"")</f>
        <v/>
      </c>
    </row>
    <row r="2354">
      <c r="Y2354" s="47">
        <f>IFERROR(MATCH(Library!M2354,$M$6:$M$40000,0),"")</f>
        <v/>
      </c>
      <c r="Z2354">
        <f>IF($Y2354="","",INDEX($C$6:$C$40000,$Y2354)&amp;"")</f>
        <v/>
      </c>
      <c r="AA2354" s="59">
        <f>IF($Y2354="","",IF(INDEX($D$6:$D$40000,$Y2354)="","",INDEX($D$6:$D$40000,$Y2354)))</f>
        <v/>
      </c>
      <c r="AB2354">
        <f>IF($Y2354="","",INDEX($L$6:$L$40000,$Y2354)&amp;"")</f>
        <v/>
      </c>
    </row>
    <row r="2355">
      <c r="Y2355" s="47">
        <f>IFERROR(MATCH(Library!M2355,$M$6:$M$40000,0),"")</f>
        <v/>
      </c>
      <c r="Z2355">
        <f>IF($Y2355="","",INDEX($C$6:$C$40000,$Y2355)&amp;"")</f>
        <v/>
      </c>
      <c r="AA2355" s="59">
        <f>IF($Y2355="","",IF(INDEX($D$6:$D$40000,$Y2355)="","",INDEX($D$6:$D$40000,$Y2355)))</f>
        <v/>
      </c>
      <c r="AB2355">
        <f>IF($Y2355="","",INDEX($L$6:$L$40000,$Y2355)&amp;"")</f>
        <v/>
      </c>
    </row>
    <row r="2356">
      <c r="Y2356" s="47">
        <f>IFERROR(MATCH(Library!M2356,$M$6:$M$40000,0),"")</f>
        <v/>
      </c>
      <c r="Z2356">
        <f>IF($Y2356="","",INDEX($C$6:$C$40000,$Y2356)&amp;"")</f>
        <v/>
      </c>
      <c r="AA2356" s="59">
        <f>IF($Y2356="","",IF(INDEX($D$6:$D$40000,$Y2356)="","",INDEX($D$6:$D$40000,$Y2356)))</f>
        <v/>
      </c>
      <c r="AB2356">
        <f>IF($Y2356="","",INDEX($L$6:$L$40000,$Y2356)&amp;"")</f>
        <v/>
      </c>
    </row>
    <row r="2357">
      <c r="Y2357" s="47">
        <f>IFERROR(MATCH(Library!M2357,$M$6:$M$40000,0),"")</f>
        <v/>
      </c>
      <c r="Z2357">
        <f>IF($Y2357="","",INDEX($C$6:$C$40000,$Y2357)&amp;"")</f>
        <v/>
      </c>
      <c r="AA2357" s="59">
        <f>IF($Y2357="","",IF(INDEX($D$6:$D$40000,$Y2357)="","",INDEX($D$6:$D$40000,$Y2357)))</f>
        <v/>
      </c>
      <c r="AB2357">
        <f>IF($Y2357="","",INDEX($L$6:$L$40000,$Y2357)&amp;"")</f>
        <v/>
      </c>
    </row>
    <row r="2358">
      <c r="Y2358" s="47">
        <f>IFERROR(MATCH(Library!M2358,$M$6:$M$40000,0),"")</f>
        <v/>
      </c>
      <c r="Z2358">
        <f>IF($Y2358="","",INDEX($C$6:$C$40000,$Y2358)&amp;"")</f>
        <v/>
      </c>
      <c r="AA2358" s="59">
        <f>IF($Y2358="","",IF(INDEX($D$6:$D$40000,$Y2358)="","",INDEX($D$6:$D$40000,$Y2358)))</f>
        <v/>
      </c>
      <c r="AB2358">
        <f>IF($Y2358="","",INDEX($L$6:$L$40000,$Y2358)&amp;"")</f>
        <v/>
      </c>
    </row>
    <row r="2359">
      <c r="Y2359" s="47">
        <f>IFERROR(MATCH(Library!M2359,$M$6:$M$40000,0),"")</f>
        <v/>
      </c>
      <c r="Z2359">
        <f>IF($Y2359="","",INDEX($C$6:$C$40000,$Y2359)&amp;"")</f>
        <v/>
      </c>
      <c r="AA2359" s="59">
        <f>IF($Y2359="","",IF(INDEX($D$6:$D$40000,$Y2359)="","",INDEX($D$6:$D$40000,$Y2359)))</f>
        <v/>
      </c>
      <c r="AB2359">
        <f>IF($Y2359="","",INDEX($L$6:$L$40000,$Y2359)&amp;"")</f>
        <v/>
      </c>
    </row>
    <row r="2360">
      <c r="Y2360" s="47">
        <f>IFERROR(MATCH(Library!M2360,$M$6:$M$40000,0),"")</f>
        <v/>
      </c>
      <c r="Z2360">
        <f>IF($Y2360="","",INDEX($C$6:$C$40000,$Y2360)&amp;"")</f>
        <v/>
      </c>
      <c r="AA2360" s="59">
        <f>IF($Y2360="","",IF(INDEX($D$6:$D$40000,$Y2360)="","",INDEX($D$6:$D$40000,$Y2360)))</f>
        <v/>
      </c>
      <c r="AB2360">
        <f>IF($Y2360="","",INDEX($L$6:$L$40000,$Y2360)&amp;"")</f>
        <v/>
      </c>
    </row>
    <row r="2361">
      <c r="Y2361" s="47">
        <f>IFERROR(MATCH(Library!M2361,$M$6:$M$40000,0),"")</f>
        <v/>
      </c>
      <c r="Z2361">
        <f>IF($Y2361="","",INDEX($C$6:$C$40000,$Y2361)&amp;"")</f>
        <v/>
      </c>
      <c r="AA2361" s="59">
        <f>IF($Y2361="","",IF(INDEX($D$6:$D$40000,$Y2361)="","",INDEX($D$6:$D$40000,$Y2361)))</f>
        <v/>
      </c>
      <c r="AB2361">
        <f>IF($Y2361="","",INDEX($L$6:$L$40000,$Y2361)&amp;"")</f>
        <v/>
      </c>
    </row>
    <row r="2362">
      <c r="Y2362" s="47">
        <f>IFERROR(MATCH(Library!M2362,$M$6:$M$40000,0),"")</f>
        <v/>
      </c>
      <c r="Z2362">
        <f>IF($Y2362="","",INDEX($C$6:$C$40000,$Y2362)&amp;"")</f>
        <v/>
      </c>
      <c r="AA2362" s="59">
        <f>IF($Y2362="","",IF(INDEX($D$6:$D$40000,$Y2362)="","",INDEX($D$6:$D$40000,$Y2362)))</f>
        <v/>
      </c>
      <c r="AB2362">
        <f>IF($Y2362="","",INDEX($L$6:$L$40000,$Y2362)&amp;"")</f>
        <v/>
      </c>
    </row>
    <row r="2363">
      <c r="Y2363" s="47">
        <f>IFERROR(MATCH(Library!M2363,$M$6:$M$40000,0),"")</f>
        <v/>
      </c>
      <c r="Z2363">
        <f>IF($Y2363="","",INDEX($C$6:$C$40000,$Y2363)&amp;"")</f>
        <v/>
      </c>
      <c r="AA2363" s="59">
        <f>IF($Y2363="","",IF(INDEX($D$6:$D$40000,$Y2363)="","",INDEX($D$6:$D$40000,$Y2363)))</f>
        <v/>
      </c>
      <c r="AB2363">
        <f>IF($Y2363="","",INDEX($L$6:$L$40000,$Y2363)&amp;"")</f>
        <v/>
      </c>
    </row>
    <row r="2364">
      <c r="Y2364" s="47">
        <f>IFERROR(MATCH(Library!M2364,$M$6:$M$40000,0),"")</f>
        <v/>
      </c>
      <c r="Z2364">
        <f>IF($Y2364="","",INDEX($C$6:$C$40000,$Y2364)&amp;"")</f>
        <v/>
      </c>
      <c r="AA2364" s="59">
        <f>IF($Y2364="","",IF(INDEX($D$6:$D$40000,$Y2364)="","",INDEX($D$6:$D$40000,$Y2364)))</f>
        <v/>
      </c>
      <c r="AB2364">
        <f>IF($Y2364="","",INDEX($L$6:$L$40000,$Y2364)&amp;"")</f>
        <v/>
      </c>
    </row>
    <row r="2365">
      <c r="Y2365" s="47">
        <f>IFERROR(MATCH(Library!M2365,$M$6:$M$40000,0),"")</f>
        <v/>
      </c>
      <c r="Z2365">
        <f>IF($Y2365="","",INDEX($C$6:$C$40000,$Y2365)&amp;"")</f>
        <v/>
      </c>
      <c r="AA2365" s="59">
        <f>IF($Y2365="","",IF(INDEX($D$6:$D$40000,$Y2365)="","",INDEX($D$6:$D$40000,$Y2365)))</f>
        <v/>
      </c>
      <c r="AB2365">
        <f>IF($Y2365="","",INDEX($L$6:$L$40000,$Y2365)&amp;"")</f>
        <v/>
      </c>
    </row>
    <row r="2366">
      <c r="Y2366" s="47">
        <f>IFERROR(MATCH(Library!M2366,$M$6:$M$40000,0),"")</f>
        <v/>
      </c>
      <c r="Z2366">
        <f>IF($Y2366="","",INDEX($C$6:$C$40000,$Y2366)&amp;"")</f>
        <v/>
      </c>
      <c r="AA2366" s="59">
        <f>IF($Y2366="","",IF(INDEX($D$6:$D$40000,$Y2366)="","",INDEX($D$6:$D$40000,$Y2366)))</f>
        <v/>
      </c>
      <c r="AB2366">
        <f>IF($Y2366="","",INDEX($L$6:$L$40000,$Y2366)&amp;"")</f>
        <v/>
      </c>
    </row>
    <row r="2367">
      <c r="Y2367" s="47">
        <f>IFERROR(MATCH(Library!M2367,$M$6:$M$40000,0),"")</f>
        <v/>
      </c>
      <c r="Z2367">
        <f>IF($Y2367="","",INDEX($C$6:$C$40000,$Y2367)&amp;"")</f>
        <v/>
      </c>
      <c r="AA2367" s="59">
        <f>IF($Y2367="","",IF(INDEX($D$6:$D$40000,$Y2367)="","",INDEX($D$6:$D$40000,$Y2367)))</f>
        <v/>
      </c>
      <c r="AB2367">
        <f>IF($Y2367="","",INDEX($L$6:$L$40000,$Y2367)&amp;"")</f>
        <v/>
      </c>
    </row>
    <row r="2368">
      <c r="Y2368" s="47">
        <f>IFERROR(MATCH(Library!M2368,$M$6:$M$40000,0),"")</f>
        <v/>
      </c>
      <c r="Z2368">
        <f>IF($Y2368="","",INDEX($C$6:$C$40000,$Y2368)&amp;"")</f>
        <v/>
      </c>
      <c r="AA2368" s="59">
        <f>IF($Y2368="","",IF(INDEX($D$6:$D$40000,$Y2368)="","",INDEX($D$6:$D$40000,$Y2368)))</f>
        <v/>
      </c>
      <c r="AB2368">
        <f>IF($Y2368="","",INDEX($L$6:$L$40000,$Y2368)&amp;"")</f>
        <v/>
      </c>
    </row>
    <row r="2369">
      <c r="Y2369" s="47">
        <f>IFERROR(MATCH(Library!M2369,$M$6:$M$40000,0),"")</f>
        <v/>
      </c>
      <c r="Z2369">
        <f>IF($Y2369="","",INDEX($C$6:$C$40000,$Y2369)&amp;"")</f>
        <v/>
      </c>
      <c r="AA2369" s="59">
        <f>IF($Y2369="","",IF(INDEX($D$6:$D$40000,$Y2369)="","",INDEX($D$6:$D$40000,$Y2369)))</f>
        <v/>
      </c>
      <c r="AB2369">
        <f>IF($Y2369="","",INDEX($L$6:$L$40000,$Y2369)&amp;"")</f>
        <v/>
      </c>
    </row>
    <row r="2370">
      <c r="Y2370" s="47">
        <f>IFERROR(MATCH(Library!M2370,$M$6:$M$40000,0),"")</f>
        <v/>
      </c>
      <c r="Z2370">
        <f>IF($Y2370="","",INDEX($C$6:$C$40000,$Y2370)&amp;"")</f>
        <v/>
      </c>
      <c r="AA2370" s="59">
        <f>IF($Y2370="","",IF(INDEX($D$6:$D$40000,$Y2370)="","",INDEX($D$6:$D$40000,$Y2370)))</f>
        <v/>
      </c>
      <c r="AB2370">
        <f>IF($Y2370="","",INDEX($L$6:$L$40000,$Y2370)&amp;"")</f>
        <v/>
      </c>
    </row>
    <row r="2371">
      <c r="Y2371" s="47">
        <f>IFERROR(MATCH(Library!M2371,$M$6:$M$40000,0),"")</f>
        <v/>
      </c>
      <c r="Z2371">
        <f>IF($Y2371="","",INDEX($C$6:$C$40000,$Y2371)&amp;"")</f>
        <v/>
      </c>
      <c r="AA2371" s="59">
        <f>IF($Y2371="","",IF(INDEX($D$6:$D$40000,$Y2371)="","",INDEX($D$6:$D$40000,$Y2371)))</f>
        <v/>
      </c>
      <c r="AB2371">
        <f>IF($Y2371="","",INDEX($L$6:$L$40000,$Y2371)&amp;"")</f>
        <v/>
      </c>
    </row>
    <row r="2372">
      <c r="Y2372" s="47">
        <f>IFERROR(MATCH(Library!M2372,$M$6:$M$40000,0),"")</f>
        <v/>
      </c>
      <c r="Z2372">
        <f>IF($Y2372="","",INDEX($C$6:$C$40000,$Y2372)&amp;"")</f>
        <v/>
      </c>
      <c r="AA2372" s="59">
        <f>IF($Y2372="","",IF(INDEX($D$6:$D$40000,$Y2372)="","",INDEX($D$6:$D$40000,$Y2372)))</f>
        <v/>
      </c>
      <c r="AB2372">
        <f>IF($Y2372="","",INDEX($L$6:$L$40000,$Y2372)&amp;"")</f>
        <v/>
      </c>
    </row>
    <row r="2373">
      <c r="Y2373" s="47">
        <f>IFERROR(MATCH(Library!M2373,$M$6:$M$40000,0),"")</f>
        <v/>
      </c>
      <c r="Z2373">
        <f>IF($Y2373="","",INDEX($C$6:$C$40000,$Y2373)&amp;"")</f>
        <v/>
      </c>
      <c r="AA2373" s="59">
        <f>IF($Y2373="","",IF(INDEX($D$6:$D$40000,$Y2373)="","",INDEX($D$6:$D$40000,$Y2373)))</f>
        <v/>
      </c>
      <c r="AB2373">
        <f>IF($Y2373="","",INDEX($L$6:$L$40000,$Y2373)&amp;"")</f>
        <v/>
      </c>
    </row>
    <row r="2374">
      <c r="Y2374" s="47">
        <f>IFERROR(MATCH(Library!M2374,$M$6:$M$40000,0),"")</f>
        <v/>
      </c>
      <c r="Z2374">
        <f>IF($Y2374="","",INDEX($C$6:$C$40000,$Y2374)&amp;"")</f>
        <v/>
      </c>
      <c r="AA2374" s="59">
        <f>IF($Y2374="","",IF(INDEX($D$6:$D$40000,$Y2374)="","",INDEX($D$6:$D$40000,$Y2374)))</f>
        <v/>
      </c>
      <c r="AB2374">
        <f>IF($Y2374="","",INDEX($L$6:$L$40000,$Y2374)&amp;"")</f>
        <v/>
      </c>
    </row>
    <row r="2375">
      <c r="Y2375" s="47">
        <f>IFERROR(MATCH(Library!M2375,$M$6:$M$40000,0),"")</f>
        <v/>
      </c>
      <c r="Z2375">
        <f>IF($Y2375="","",INDEX($C$6:$C$40000,$Y2375)&amp;"")</f>
        <v/>
      </c>
      <c r="AA2375" s="59">
        <f>IF($Y2375="","",IF(INDEX($D$6:$D$40000,$Y2375)="","",INDEX($D$6:$D$40000,$Y2375)))</f>
        <v/>
      </c>
      <c r="AB2375">
        <f>IF($Y2375="","",INDEX($L$6:$L$40000,$Y2375)&amp;"")</f>
        <v/>
      </c>
    </row>
    <row r="2376">
      <c r="Y2376" s="47">
        <f>IFERROR(MATCH(Library!M2376,$M$6:$M$40000,0),"")</f>
        <v/>
      </c>
      <c r="Z2376">
        <f>IF($Y2376="","",INDEX($C$6:$C$40000,$Y2376)&amp;"")</f>
        <v/>
      </c>
      <c r="AA2376" s="59">
        <f>IF($Y2376="","",IF(INDEX($D$6:$D$40000,$Y2376)="","",INDEX($D$6:$D$40000,$Y2376)))</f>
        <v/>
      </c>
      <c r="AB2376">
        <f>IF($Y2376="","",INDEX($L$6:$L$40000,$Y2376)&amp;"")</f>
        <v/>
      </c>
    </row>
    <row r="2377">
      <c r="Y2377" s="47">
        <f>IFERROR(MATCH(Library!M2377,$M$6:$M$40000,0),"")</f>
        <v/>
      </c>
      <c r="Z2377">
        <f>IF($Y2377="","",INDEX($C$6:$C$40000,$Y2377)&amp;"")</f>
        <v/>
      </c>
      <c r="AA2377" s="59">
        <f>IF($Y2377="","",IF(INDEX($D$6:$D$40000,$Y2377)="","",INDEX($D$6:$D$40000,$Y2377)))</f>
        <v/>
      </c>
      <c r="AB2377">
        <f>IF($Y2377="","",INDEX($L$6:$L$40000,$Y2377)&amp;"")</f>
        <v/>
      </c>
    </row>
    <row r="2378">
      <c r="Y2378" s="47">
        <f>IFERROR(MATCH(Library!M2378,$M$6:$M$40000,0),"")</f>
        <v/>
      </c>
      <c r="Z2378">
        <f>IF($Y2378="","",INDEX($C$6:$C$40000,$Y2378)&amp;"")</f>
        <v/>
      </c>
      <c r="AA2378" s="59">
        <f>IF($Y2378="","",IF(INDEX($D$6:$D$40000,$Y2378)="","",INDEX($D$6:$D$40000,$Y2378)))</f>
        <v/>
      </c>
      <c r="AB2378">
        <f>IF($Y2378="","",INDEX($L$6:$L$40000,$Y2378)&amp;"")</f>
        <v/>
      </c>
    </row>
    <row r="2379">
      <c r="Y2379" s="47">
        <f>IFERROR(MATCH(Library!M2379,$M$6:$M$40000,0),"")</f>
        <v/>
      </c>
      <c r="Z2379">
        <f>IF($Y2379="","",INDEX($C$6:$C$40000,$Y2379)&amp;"")</f>
        <v/>
      </c>
      <c r="AA2379" s="59">
        <f>IF($Y2379="","",IF(INDEX($D$6:$D$40000,$Y2379)="","",INDEX($D$6:$D$40000,$Y2379)))</f>
        <v/>
      </c>
      <c r="AB2379">
        <f>IF($Y2379="","",INDEX($L$6:$L$40000,$Y2379)&amp;"")</f>
        <v/>
      </c>
    </row>
    <row r="2380">
      <c r="Y2380" s="47">
        <f>IFERROR(MATCH(Library!M2380,$M$6:$M$40000,0),"")</f>
        <v/>
      </c>
      <c r="Z2380">
        <f>IF($Y2380="","",INDEX($C$6:$C$40000,$Y2380)&amp;"")</f>
        <v/>
      </c>
      <c r="AA2380" s="59">
        <f>IF($Y2380="","",IF(INDEX($D$6:$D$40000,$Y2380)="","",INDEX($D$6:$D$40000,$Y2380)))</f>
        <v/>
      </c>
      <c r="AB2380">
        <f>IF($Y2380="","",INDEX($L$6:$L$40000,$Y2380)&amp;"")</f>
        <v/>
      </c>
    </row>
    <row r="2381">
      <c r="Y2381" s="47">
        <f>IFERROR(MATCH(Library!M2381,$M$6:$M$40000,0),"")</f>
        <v/>
      </c>
      <c r="Z2381">
        <f>IF($Y2381="","",INDEX($C$6:$C$40000,$Y2381)&amp;"")</f>
        <v/>
      </c>
      <c r="AA2381" s="59">
        <f>IF($Y2381="","",IF(INDEX($D$6:$D$40000,$Y2381)="","",INDEX($D$6:$D$40000,$Y2381)))</f>
        <v/>
      </c>
      <c r="AB2381">
        <f>IF($Y2381="","",INDEX($L$6:$L$40000,$Y2381)&amp;"")</f>
        <v/>
      </c>
    </row>
    <row r="2382">
      <c r="Y2382" s="47">
        <f>IFERROR(MATCH(Library!M2382,$M$6:$M$40000,0),"")</f>
        <v/>
      </c>
      <c r="Z2382">
        <f>IF($Y2382="","",INDEX($C$6:$C$40000,$Y2382)&amp;"")</f>
        <v/>
      </c>
      <c r="AA2382" s="59">
        <f>IF($Y2382="","",IF(INDEX($D$6:$D$40000,$Y2382)="","",INDEX($D$6:$D$40000,$Y2382)))</f>
        <v/>
      </c>
      <c r="AB2382">
        <f>IF($Y2382="","",INDEX($L$6:$L$40000,$Y2382)&amp;"")</f>
        <v/>
      </c>
    </row>
    <row r="2383">
      <c r="Y2383" s="47">
        <f>IFERROR(MATCH(Library!M2383,$M$6:$M$40000,0),"")</f>
        <v/>
      </c>
      <c r="Z2383">
        <f>IF($Y2383="","",INDEX($C$6:$C$40000,$Y2383)&amp;"")</f>
        <v/>
      </c>
      <c r="AA2383" s="59">
        <f>IF($Y2383="","",IF(INDEX($D$6:$D$40000,$Y2383)="","",INDEX($D$6:$D$40000,$Y2383)))</f>
        <v/>
      </c>
      <c r="AB2383">
        <f>IF($Y2383="","",INDEX($L$6:$L$40000,$Y2383)&amp;"")</f>
        <v/>
      </c>
    </row>
    <row r="2384">
      <c r="Y2384" s="47">
        <f>IFERROR(MATCH(Library!M2384,$M$6:$M$40000,0),"")</f>
        <v/>
      </c>
      <c r="Z2384">
        <f>IF($Y2384="","",INDEX($C$6:$C$40000,$Y2384)&amp;"")</f>
        <v/>
      </c>
      <c r="AA2384" s="59">
        <f>IF($Y2384="","",IF(INDEX($D$6:$D$40000,$Y2384)="","",INDEX($D$6:$D$40000,$Y2384)))</f>
        <v/>
      </c>
      <c r="AB2384">
        <f>IF($Y2384="","",INDEX($L$6:$L$40000,$Y2384)&amp;"")</f>
        <v/>
      </c>
    </row>
    <row r="2385">
      <c r="Y2385" s="47">
        <f>IFERROR(MATCH(Library!M2385,$M$6:$M$40000,0),"")</f>
        <v/>
      </c>
      <c r="Z2385">
        <f>IF($Y2385="","",INDEX($C$6:$C$40000,$Y2385)&amp;"")</f>
        <v/>
      </c>
      <c r="AA2385" s="59">
        <f>IF($Y2385="","",IF(INDEX($D$6:$D$40000,$Y2385)="","",INDEX($D$6:$D$40000,$Y2385)))</f>
        <v/>
      </c>
      <c r="AB2385">
        <f>IF($Y2385="","",INDEX($L$6:$L$40000,$Y2385)&amp;"")</f>
        <v/>
      </c>
    </row>
    <row r="2386">
      <c r="Y2386" s="47">
        <f>IFERROR(MATCH(Library!M2386,$M$6:$M$40000,0),"")</f>
        <v/>
      </c>
      <c r="Z2386">
        <f>IF($Y2386="","",INDEX($C$6:$C$40000,$Y2386)&amp;"")</f>
        <v/>
      </c>
      <c r="AA2386" s="59">
        <f>IF($Y2386="","",IF(INDEX($D$6:$D$40000,$Y2386)="","",INDEX($D$6:$D$40000,$Y2386)))</f>
        <v/>
      </c>
      <c r="AB2386">
        <f>IF($Y2386="","",INDEX($L$6:$L$40000,$Y2386)&amp;"")</f>
        <v/>
      </c>
    </row>
    <row r="2387">
      <c r="Y2387" s="47">
        <f>IFERROR(MATCH(Library!M2387,$M$6:$M$40000,0),"")</f>
        <v/>
      </c>
      <c r="Z2387">
        <f>IF($Y2387="","",INDEX($C$6:$C$40000,$Y2387)&amp;"")</f>
        <v/>
      </c>
      <c r="AA2387" s="59">
        <f>IF($Y2387="","",IF(INDEX($D$6:$D$40000,$Y2387)="","",INDEX($D$6:$D$40000,$Y2387)))</f>
        <v/>
      </c>
      <c r="AB2387">
        <f>IF($Y2387="","",INDEX($L$6:$L$40000,$Y2387)&amp;"")</f>
        <v/>
      </c>
    </row>
    <row r="2388">
      <c r="Y2388" s="47">
        <f>IFERROR(MATCH(Library!M2388,$M$6:$M$40000,0),"")</f>
        <v/>
      </c>
      <c r="Z2388">
        <f>IF($Y2388="","",INDEX($C$6:$C$40000,$Y2388)&amp;"")</f>
        <v/>
      </c>
      <c r="AA2388" s="59">
        <f>IF($Y2388="","",IF(INDEX($D$6:$D$40000,$Y2388)="","",INDEX($D$6:$D$40000,$Y2388)))</f>
        <v/>
      </c>
      <c r="AB2388">
        <f>IF($Y2388="","",INDEX($L$6:$L$40000,$Y2388)&amp;"")</f>
        <v/>
      </c>
    </row>
    <row r="2389">
      <c r="Y2389" s="47">
        <f>IFERROR(MATCH(Library!M2389,$M$6:$M$40000,0),"")</f>
        <v/>
      </c>
      <c r="Z2389">
        <f>IF($Y2389="","",INDEX($C$6:$C$40000,$Y2389)&amp;"")</f>
        <v/>
      </c>
      <c r="AA2389" s="59">
        <f>IF($Y2389="","",IF(INDEX($D$6:$D$40000,$Y2389)="","",INDEX($D$6:$D$40000,$Y2389)))</f>
        <v/>
      </c>
      <c r="AB2389">
        <f>IF($Y2389="","",INDEX($L$6:$L$40000,$Y2389)&amp;"")</f>
        <v/>
      </c>
    </row>
    <row r="2390">
      <c r="Y2390" s="47">
        <f>IFERROR(MATCH(Library!M2390,$M$6:$M$40000,0),"")</f>
        <v/>
      </c>
      <c r="Z2390">
        <f>IF($Y2390="","",INDEX($C$6:$C$40000,$Y2390)&amp;"")</f>
        <v/>
      </c>
      <c r="AA2390" s="59">
        <f>IF($Y2390="","",IF(INDEX($D$6:$D$40000,$Y2390)="","",INDEX($D$6:$D$40000,$Y2390)))</f>
        <v/>
      </c>
      <c r="AB2390">
        <f>IF($Y2390="","",INDEX($L$6:$L$40000,$Y2390)&amp;"")</f>
        <v/>
      </c>
    </row>
    <row r="2391">
      <c r="Y2391" s="47">
        <f>IFERROR(MATCH(Library!M2391,$M$6:$M$40000,0),"")</f>
        <v/>
      </c>
      <c r="Z2391">
        <f>IF($Y2391="","",INDEX($C$6:$C$40000,$Y2391)&amp;"")</f>
        <v/>
      </c>
      <c r="AA2391" s="59">
        <f>IF($Y2391="","",IF(INDEX($D$6:$D$40000,$Y2391)="","",INDEX($D$6:$D$40000,$Y2391)))</f>
        <v/>
      </c>
      <c r="AB2391">
        <f>IF($Y2391="","",INDEX($L$6:$L$40000,$Y2391)&amp;"")</f>
        <v/>
      </c>
    </row>
    <row r="2392">
      <c r="Y2392" s="47">
        <f>IFERROR(MATCH(Library!M2392,$M$6:$M$40000,0),"")</f>
        <v/>
      </c>
      <c r="Z2392">
        <f>IF($Y2392="","",INDEX($C$6:$C$40000,$Y2392)&amp;"")</f>
        <v/>
      </c>
      <c r="AA2392" s="59">
        <f>IF($Y2392="","",IF(INDEX($D$6:$D$40000,$Y2392)="","",INDEX($D$6:$D$40000,$Y2392)))</f>
        <v/>
      </c>
      <c r="AB2392">
        <f>IF($Y2392="","",INDEX($L$6:$L$40000,$Y2392)&amp;"")</f>
        <v/>
      </c>
    </row>
    <row r="2393">
      <c r="Y2393" s="47">
        <f>IFERROR(MATCH(Library!M2393,$M$6:$M$40000,0),"")</f>
        <v/>
      </c>
      <c r="Z2393">
        <f>IF($Y2393="","",INDEX($C$6:$C$40000,$Y2393)&amp;"")</f>
        <v/>
      </c>
      <c r="AA2393" s="59">
        <f>IF($Y2393="","",IF(INDEX($D$6:$D$40000,$Y2393)="","",INDEX($D$6:$D$40000,$Y2393)))</f>
        <v/>
      </c>
      <c r="AB2393">
        <f>IF($Y2393="","",INDEX($L$6:$L$40000,$Y2393)&amp;"")</f>
        <v/>
      </c>
    </row>
    <row r="2394">
      <c r="Y2394" s="47">
        <f>IFERROR(MATCH(Library!M2394,$M$6:$M$40000,0),"")</f>
        <v/>
      </c>
      <c r="Z2394">
        <f>IF($Y2394="","",INDEX($C$6:$C$40000,$Y2394)&amp;"")</f>
        <v/>
      </c>
      <c r="AA2394" s="59">
        <f>IF($Y2394="","",IF(INDEX($D$6:$D$40000,$Y2394)="","",INDEX($D$6:$D$40000,$Y2394)))</f>
        <v/>
      </c>
      <c r="AB2394">
        <f>IF($Y2394="","",INDEX($L$6:$L$40000,$Y2394)&amp;"")</f>
        <v/>
      </c>
    </row>
    <row r="2395">
      <c r="Y2395" s="47">
        <f>IFERROR(MATCH(Library!M2395,$M$6:$M$40000,0),"")</f>
        <v/>
      </c>
      <c r="Z2395">
        <f>IF($Y2395="","",INDEX($C$6:$C$40000,$Y2395)&amp;"")</f>
        <v/>
      </c>
      <c r="AA2395" s="59">
        <f>IF($Y2395="","",IF(INDEX($D$6:$D$40000,$Y2395)="","",INDEX($D$6:$D$40000,$Y2395)))</f>
        <v/>
      </c>
      <c r="AB2395">
        <f>IF($Y2395="","",INDEX($L$6:$L$40000,$Y2395)&amp;"")</f>
        <v/>
      </c>
    </row>
    <row r="2396">
      <c r="Y2396" s="47">
        <f>IFERROR(MATCH(Library!M2396,$M$6:$M$40000,0),"")</f>
        <v/>
      </c>
      <c r="Z2396">
        <f>IF($Y2396="","",INDEX($C$6:$C$40000,$Y2396)&amp;"")</f>
        <v/>
      </c>
      <c r="AA2396" s="59">
        <f>IF($Y2396="","",IF(INDEX($D$6:$D$40000,$Y2396)="","",INDEX($D$6:$D$40000,$Y2396)))</f>
        <v/>
      </c>
      <c r="AB2396">
        <f>IF($Y2396="","",INDEX($L$6:$L$40000,$Y2396)&amp;"")</f>
        <v/>
      </c>
    </row>
    <row r="2397">
      <c r="Y2397" s="47">
        <f>IFERROR(MATCH(Library!M2397,$M$6:$M$40000,0),"")</f>
        <v/>
      </c>
      <c r="Z2397">
        <f>IF($Y2397="","",INDEX($C$6:$C$40000,$Y2397)&amp;"")</f>
        <v/>
      </c>
      <c r="AA2397" s="59">
        <f>IF($Y2397="","",IF(INDEX($D$6:$D$40000,$Y2397)="","",INDEX($D$6:$D$40000,$Y2397)))</f>
        <v/>
      </c>
      <c r="AB2397">
        <f>IF($Y2397="","",INDEX($L$6:$L$40000,$Y2397)&amp;"")</f>
        <v/>
      </c>
    </row>
    <row r="2398">
      <c r="Y2398" s="47">
        <f>IFERROR(MATCH(Library!M2398,$M$6:$M$40000,0),"")</f>
        <v/>
      </c>
      <c r="Z2398">
        <f>IF($Y2398="","",INDEX($C$6:$C$40000,$Y2398)&amp;"")</f>
        <v/>
      </c>
      <c r="AA2398" s="59">
        <f>IF($Y2398="","",IF(INDEX($D$6:$D$40000,$Y2398)="","",INDEX($D$6:$D$40000,$Y2398)))</f>
        <v/>
      </c>
      <c r="AB2398">
        <f>IF($Y2398="","",INDEX($L$6:$L$40000,$Y2398)&amp;"")</f>
        <v/>
      </c>
    </row>
    <row r="2399">
      <c r="Y2399" s="47">
        <f>IFERROR(MATCH(Library!M2399,$M$6:$M$40000,0),"")</f>
        <v/>
      </c>
      <c r="Z2399">
        <f>IF($Y2399="","",INDEX($C$6:$C$40000,$Y2399)&amp;"")</f>
        <v/>
      </c>
      <c r="AA2399" s="59">
        <f>IF($Y2399="","",IF(INDEX($D$6:$D$40000,$Y2399)="","",INDEX($D$6:$D$40000,$Y2399)))</f>
        <v/>
      </c>
      <c r="AB2399">
        <f>IF($Y2399="","",INDEX($L$6:$L$40000,$Y2399)&amp;"")</f>
        <v/>
      </c>
    </row>
    <row r="2400">
      <c r="Y2400" s="47">
        <f>IFERROR(MATCH(Library!M2400,$M$6:$M$40000,0),"")</f>
        <v/>
      </c>
      <c r="Z2400">
        <f>IF($Y2400="","",INDEX($C$6:$C$40000,$Y2400)&amp;"")</f>
        <v/>
      </c>
      <c r="AA2400" s="59">
        <f>IF($Y2400="","",IF(INDEX($D$6:$D$40000,$Y2400)="","",INDEX($D$6:$D$40000,$Y2400)))</f>
        <v/>
      </c>
      <c r="AB2400">
        <f>IF($Y2400="","",INDEX($L$6:$L$40000,$Y2400)&amp;"")</f>
        <v/>
      </c>
    </row>
    <row r="2401">
      <c r="Y2401" s="47">
        <f>IFERROR(MATCH(Library!M2401,$M$6:$M$40000,0),"")</f>
        <v/>
      </c>
      <c r="Z2401">
        <f>IF($Y2401="","",INDEX($C$6:$C$40000,$Y2401)&amp;"")</f>
        <v/>
      </c>
      <c r="AA2401" s="59">
        <f>IF($Y2401="","",IF(INDEX($D$6:$D$40000,$Y2401)="","",INDEX($D$6:$D$40000,$Y2401)))</f>
        <v/>
      </c>
      <c r="AB2401">
        <f>IF($Y2401="","",INDEX($L$6:$L$40000,$Y2401)&amp;"")</f>
        <v/>
      </c>
    </row>
    <row r="2402">
      <c r="Y2402" s="47">
        <f>IFERROR(MATCH(Library!M2402,$M$6:$M$40000,0),"")</f>
        <v/>
      </c>
      <c r="Z2402">
        <f>IF($Y2402="","",INDEX($C$6:$C$40000,$Y2402)&amp;"")</f>
        <v/>
      </c>
      <c r="AA2402" s="59">
        <f>IF($Y2402="","",IF(INDEX($D$6:$D$40000,$Y2402)="","",INDEX($D$6:$D$40000,$Y2402)))</f>
        <v/>
      </c>
      <c r="AB2402">
        <f>IF($Y2402="","",INDEX($L$6:$L$40000,$Y2402)&amp;"")</f>
        <v/>
      </c>
    </row>
    <row r="2403">
      <c r="Y2403" s="47">
        <f>IFERROR(MATCH(Library!M2403,$M$6:$M$40000,0),"")</f>
        <v/>
      </c>
      <c r="Z2403">
        <f>IF($Y2403="","",INDEX($C$6:$C$40000,$Y2403)&amp;"")</f>
        <v/>
      </c>
      <c r="AA2403" s="59">
        <f>IF($Y2403="","",IF(INDEX($D$6:$D$40000,$Y2403)="","",INDEX($D$6:$D$40000,$Y2403)))</f>
        <v/>
      </c>
      <c r="AB2403">
        <f>IF($Y2403="","",INDEX($L$6:$L$40000,$Y2403)&amp;"")</f>
        <v/>
      </c>
    </row>
    <row r="2404">
      <c r="Y2404" s="47">
        <f>IFERROR(MATCH(Library!M2404,$M$6:$M$40000,0),"")</f>
        <v/>
      </c>
      <c r="Z2404">
        <f>IF($Y2404="","",INDEX($C$6:$C$40000,$Y2404)&amp;"")</f>
        <v/>
      </c>
      <c r="AA2404" s="59">
        <f>IF($Y2404="","",IF(INDEX($D$6:$D$40000,$Y2404)="","",INDEX($D$6:$D$40000,$Y2404)))</f>
        <v/>
      </c>
      <c r="AB2404">
        <f>IF($Y2404="","",INDEX($L$6:$L$40000,$Y2404)&amp;"")</f>
        <v/>
      </c>
    </row>
    <row r="2405">
      <c r="Y2405" s="47">
        <f>IFERROR(MATCH(Library!M2405,$M$6:$M$40000,0),"")</f>
        <v/>
      </c>
      <c r="Z2405">
        <f>IF($Y2405="","",INDEX($C$6:$C$40000,$Y2405)&amp;"")</f>
        <v/>
      </c>
      <c r="AA2405" s="59">
        <f>IF($Y2405="","",IF(INDEX($D$6:$D$40000,$Y2405)="","",INDEX($D$6:$D$40000,$Y2405)))</f>
        <v/>
      </c>
      <c r="AB2405">
        <f>IF($Y2405="","",INDEX($L$6:$L$40000,$Y2405)&amp;"")</f>
        <v/>
      </c>
    </row>
    <row r="2406">
      <c r="Y2406" s="47">
        <f>IFERROR(MATCH(Library!M2406,$M$6:$M$40000,0),"")</f>
        <v/>
      </c>
      <c r="Z2406">
        <f>IF($Y2406="","",INDEX($C$6:$C$40000,$Y2406)&amp;"")</f>
        <v/>
      </c>
      <c r="AA2406" s="59">
        <f>IF($Y2406="","",IF(INDEX($D$6:$D$40000,$Y2406)="","",INDEX($D$6:$D$40000,$Y2406)))</f>
        <v/>
      </c>
      <c r="AB2406">
        <f>IF($Y2406="","",INDEX($L$6:$L$40000,$Y2406)&amp;"")</f>
        <v/>
      </c>
    </row>
    <row r="2407">
      <c r="Y2407" s="47">
        <f>IFERROR(MATCH(Library!M2407,$M$6:$M$40000,0),"")</f>
        <v/>
      </c>
      <c r="Z2407">
        <f>IF($Y2407="","",INDEX($C$6:$C$40000,$Y2407)&amp;"")</f>
        <v/>
      </c>
      <c r="AA2407" s="59">
        <f>IF($Y2407="","",IF(INDEX($D$6:$D$40000,$Y2407)="","",INDEX($D$6:$D$40000,$Y2407)))</f>
        <v/>
      </c>
      <c r="AB2407">
        <f>IF($Y2407="","",INDEX($L$6:$L$40000,$Y2407)&amp;"")</f>
        <v/>
      </c>
    </row>
    <row r="2408">
      <c r="Y2408" s="47">
        <f>IFERROR(MATCH(Library!M2408,$M$6:$M$40000,0),"")</f>
        <v/>
      </c>
      <c r="Z2408">
        <f>IF($Y2408="","",INDEX($C$6:$C$40000,$Y2408)&amp;"")</f>
        <v/>
      </c>
      <c r="AA2408" s="59">
        <f>IF($Y2408="","",IF(INDEX($D$6:$D$40000,$Y2408)="","",INDEX($D$6:$D$40000,$Y2408)))</f>
        <v/>
      </c>
      <c r="AB2408">
        <f>IF($Y2408="","",INDEX($L$6:$L$40000,$Y2408)&amp;"")</f>
        <v/>
      </c>
    </row>
    <row r="2409">
      <c r="Y2409" s="47">
        <f>IFERROR(MATCH(Library!M2409,$M$6:$M$40000,0),"")</f>
        <v/>
      </c>
      <c r="Z2409">
        <f>IF($Y2409="","",INDEX($C$6:$C$40000,$Y2409)&amp;"")</f>
        <v/>
      </c>
      <c r="AA2409" s="59">
        <f>IF($Y2409="","",IF(INDEX($D$6:$D$40000,$Y2409)="","",INDEX($D$6:$D$40000,$Y2409)))</f>
        <v/>
      </c>
      <c r="AB2409">
        <f>IF($Y2409="","",INDEX($L$6:$L$40000,$Y2409)&amp;"")</f>
        <v/>
      </c>
    </row>
    <row r="2410">
      <c r="Y2410" s="47">
        <f>IFERROR(MATCH(Library!M2410,$M$6:$M$40000,0),"")</f>
        <v/>
      </c>
      <c r="Z2410">
        <f>IF($Y2410="","",INDEX($C$6:$C$40000,$Y2410)&amp;"")</f>
        <v/>
      </c>
      <c r="AA2410" s="59">
        <f>IF($Y2410="","",IF(INDEX($D$6:$D$40000,$Y2410)="","",INDEX($D$6:$D$40000,$Y2410)))</f>
        <v/>
      </c>
      <c r="AB2410">
        <f>IF($Y2410="","",INDEX($L$6:$L$40000,$Y2410)&amp;"")</f>
        <v/>
      </c>
    </row>
    <row r="2411">
      <c r="Y2411" s="47">
        <f>IFERROR(MATCH(Library!M2411,$M$6:$M$40000,0),"")</f>
        <v/>
      </c>
      <c r="Z2411">
        <f>IF($Y2411="","",INDEX($C$6:$C$40000,$Y2411)&amp;"")</f>
        <v/>
      </c>
      <c r="AA2411" s="59">
        <f>IF($Y2411="","",IF(INDEX($D$6:$D$40000,$Y2411)="","",INDEX($D$6:$D$40000,$Y2411)))</f>
        <v/>
      </c>
      <c r="AB2411">
        <f>IF($Y2411="","",INDEX($L$6:$L$40000,$Y2411)&amp;"")</f>
        <v/>
      </c>
    </row>
    <row r="2412">
      <c r="Y2412" s="47">
        <f>IFERROR(MATCH(Library!M2412,$M$6:$M$40000,0),"")</f>
        <v/>
      </c>
      <c r="Z2412">
        <f>IF($Y2412="","",INDEX($C$6:$C$40000,$Y2412)&amp;"")</f>
        <v/>
      </c>
      <c r="AA2412" s="59">
        <f>IF($Y2412="","",IF(INDEX($D$6:$D$40000,$Y2412)="","",INDEX($D$6:$D$40000,$Y2412)))</f>
        <v/>
      </c>
      <c r="AB2412">
        <f>IF($Y2412="","",INDEX($L$6:$L$40000,$Y2412)&amp;"")</f>
        <v/>
      </c>
    </row>
    <row r="2413">
      <c r="Y2413" s="47">
        <f>IFERROR(MATCH(Library!M2413,$M$6:$M$40000,0),"")</f>
        <v/>
      </c>
      <c r="Z2413">
        <f>IF($Y2413="","",INDEX($C$6:$C$40000,$Y2413)&amp;"")</f>
        <v/>
      </c>
      <c r="AA2413" s="59">
        <f>IF($Y2413="","",IF(INDEX($D$6:$D$40000,$Y2413)="","",INDEX($D$6:$D$40000,$Y2413)))</f>
        <v/>
      </c>
      <c r="AB2413">
        <f>IF($Y2413="","",INDEX($L$6:$L$40000,$Y2413)&amp;"")</f>
        <v/>
      </c>
    </row>
    <row r="2414">
      <c r="Y2414" s="47">
        <f>IFERROR(MATCH(Library!M2414,$M$6:$M$40000,0),"")</f>
        <v/>
      </c>
      <c r="Z2414">
        <f>IF($Y2414="","",INDEX($C$6:$C$40000,$Y2414)&amp;"")</f>
        <v/>
      </c>
      <c r="AA2414" s="59">
        <f>IF($Y2414="","",IF(INDEX($D$6:$D$40000,$Y2414)="","",INDEX($D$6:$D$40000,$Y2414)))</f>
        <v/>
      </c>
      <c r="AB2414">
        <f>IF($Y2414="","",INDEX($L$6:$L$40000,$Y2414)&amp;"")</f>
        <v/>
      </c>
    </row>
    <row r="2415">
      <c r="Y2415" s="47">
        <f>IFERROR(MATCH(Library!M2415,$M$6:$M$40000,0),"")</f>
        <v/>
      </c>
      <c r="Z2415">
        <f>IF($Y2415="","",INDEX($C$6:$C$40000,$Y2415)&amp;"")</f>
        <v/>
      </c>
      <c r="AA2415" s="59">
        <f>IF($Y2415="","",IF(INDEX($D$6:$D$40000,$Y2415)="","",INDEX($D$6:$D$40000,$Y2415)))</f>
        <v/>
      </c>
      <c r="AB2415">
        <f>IF($Y2415="","",INDEX($L$6:$L$40000,$Y2415)&amp;"")</f>
        <v/>
      </c>
    </row>
    <row r="2416">
      <c r="Y2416" s="47">
        <f>IFERROR(MATCH(Library!M2416,$M$6:$M$40000,0),"")</f>
        <v/>
      </c>
      <c r="Z2416">
        <f>IF($Y2416="","",INDEX($C$6:$C$40000,$Y2416)&amp;"")</f>
        <v/>
      </c>
      <c r="AA2416" s="59">
        <f>IF($Y2416="","",IF(INDEX($D$6:$D$40000,$Y2416)="","",INDEX($D$6:$D$40000,$Y2416)))</f>
        <v/>
      </c>
      <c r="AB2416">
        <f>IF($Y2416="","",INDEX($L$6:$L$40000,$Y2416)&amp;"")</f>
        <v/>
      </c>
    </row>
    <row r="2417">
      <c r="Y2417" s="47">
        <f>IFERROR(MATCH(Library!M2417,$M$6:$M$40000,0),"")</f>
        <v/>
      </c>
      <c r="Z2417">
        <f>IF($Y2417="","",INDEX($C$6:$C$40000,$Y2417)&amp;"")</f>
        <v/>
      </c>
      <c r="AA2417" s="59">
        <f>IF($Y2417="","",IF(INDEX($D$6:$D$40000,$Y2417)="","",INDEX($D$6:$D$40000,$Y2417)))</f>
        <v/>
      </c>
      <c r="AB2417">
        <f>IF($Y2417="","",INDEX($L$6:$L$40000,$Y2417)&amp;"")</f>
        <v/>
      </c>
    </row>
    <row r="2418">
      <c r="Y2418" s="47">
        <f>IFERROR(MATCH(Library!M2418,$M$6:$M$40000,0),"")</f>
        <v/>
      </c>
      <c r="Z2418">
        <f>IF($Y2418="","",INDEX($C$6:$C$40000,$Y2418)&amp;"")</f>
        <v/>
      </c>
      <c r="AA2418" s="59">
        <f>IF($Y2418="","",IF(INDEX($D$6:$D$40000,$Y2418)="","",INDEX($D$6:$D$40000,$Y2418)))</f>
        <v/>
      </c>
      <c r="AB2418">
        <f>IF($Y2418="","",INDEX($L$6:$L$40000,$Y2418)&amp;"")</f>
        <v/>
      </c>
    </row>
    <row r="2419">
      <c r="Y2419" s="47">
        <f>IFERROR(MATCH(Library!M2419,$M$6:$M$40000,0),"")</f>
        <v/>
      </c>
      <c r="Z2419">
        <f>IF($Y2419="","",INDEX($C$6:$C$40000,$Y2419)&amp;"")</f>
        <v/>
      </c>
      <c r="AA2419" s="59">
        <f>IF($Y2419="","",IF(INDEX($D$6:$D$40000,$Y2419)="","",INDEX($D$6:$D$40000,$Y2419)))</f>
        <v/>
      </c>
      <c r="AB2419">
        <f>IF($Y2419="","",INDEX($L$6:$L$40000,$Y2419)&amp;"")</f>
        <v/>
      </c>
    </row>
    <row r="2420">
      <c r="Y2420" s="47">
        <f>IFERROR(MATCH(Library!M2420,$M$6:$M$40000,0),"")</f>
        <v/>
      </c>
      <c r="Z2420">
        <f>IF($Y2420="","",INDEX($C$6:$C$40000,$Y2420)&amp;"")</f>
        <v/>
      </c>
      <c r="AA2420" s="59">
        <f>IF($Y2420="","",IF(INDEX($D$6:$D$40000,$Y2420)="","",INDEX($D$6:$D$40000,$Y2420)))</f>
        <v/>
      </c>
      <c r="AB2420">
        <f>IF($Y2420="","",INDEX($L$6:$L$40000,$Y2420)&amp;"")</f>
        <v/>
      </c>
    </row>
    <row r="2421">
      <c r="Y2421" s="47">
        <f>IFERROR(MATCH(Library!M2421,$M$6:$M$40000,0),"")</f>
        <v/>
      </c>
      <c r="Z2421">
        <f>IF($Y2421="","",INDEX($C$6:$C$40000,$Y2421)&amp;"")</f>
        <v/>
      </c>
      <c r="AA2421" s="59">
        <f>IF($Y2421="","",IF(INDEX($D$6:$D$40000,$Y2421)="","",INDEX($D$6:$D$40000,$Y2421)))</f>
        <v/>
      </c>
      <c r="AB2421">
        <f>IF($Y2421="","",INDEX($L$6:$L$40000,$Y2421)&amp;"")</f>
        <v/>
      </c>
    </row>
    <row r="2422">
      <c r="Y2422" s="47">
        <f>IFERROR(MATCH(Library!M2422,$M$6:$M$40000,0),"")</f>
        <v/>
      </c>
      <c r="Z2422">
        <f>IF($Y2422="","",INDEX($C$6:$C$40000,$Y2422)&amp;"")</f>
        <v/>
      </c>
      <c r="AA2422" s="59">
        <f>IF($Y2422="","",IF(INDEX($D$6:$D$40000,$Y2422)="","",INDEX($D$6:$D$40000,$Y2422)))</f>
        <v/>
      </c>
      <c r="AB2422">
        <f>IF($Y2422="","",INDEX($L$6:$L$40000,$Y2422)&amp;"")</f>
        <v/>
      </c>
    </row>
    <row r="2423">
      <c r="Y2423" s="47">
        <f>IFERROR(MATCH(Library!M2423,$M$6:$M$40000,0),"")</f>
        <v/>
      </c>
      <c r="Z2423">
        <f>IF($Y2423="","",INDEX($C$6:$C$40000,$Y2423)&amp;"")</f>
        <v/>
      </c>
      <c r="AA2423" s="59">
        <f>IF($Y2423="","",IF(INDEX($D$6:$D$40000,$Y2423)="","",INDEX($D$6:$D$40000,$Y2423)))</f>
        <v/>
      </c>
      <c r="AB2423">
        <f>IF($Y2423="","",INDEX($L$6:$L$40000,$Y2423)&amp;"")</f>
        <v/>
      </c>
    </row>
    <row r="2424">
      <c r="Y2424" s="47">
        <f>IFERROR(MATCH(Library!M2424,$M$6:$M$40000,0),"")</f>
        <v/>
      </c>
      <c r="Z2424">
        <f>IF($Y2424="","",INDEX($C$6:$C$40000,$Y2424)&amp;"")</f>
        <v/>
      </c>
      <c r="AA2424" s="59">
        <f>IF($Y2424="","",IF(INDEX($D$6:$D$40000,$Y2424)="","",INDEX($D$6:$D$40000,$Y2424)))</f>
        <v/>
      </c>
      <c r="AB2424">
        <f>IF($Y2424="","",INDEX($L$6:$L$40000,$Y2424)&amp;"")</f>
        <v/>
      </c>
    </row>
    <row r="2425">
      <c r="Y2425" s="47">
        <f>IFERROR(MATCH(Library!M2425,$M$6:$M$40000,0),"")</f>
        <v/>
      </c>
      <c r="Z2425">
        <f>IF($Y2425="","",INDEX($C$6:$C$40000,$Y2425)&amp;"")</f>
        <v/>
      </c>
      <c r="AA2425" s="59">
        <f>IF($Y2425="","",IF(INDEX($D$6:$D$40000,$Y2425)="","",INDEX($D$6:$D$40000,$Y2425)))</f>
        <v/>
      </c>
      <c r="AB2425">
        <f>IF($Y2425="","",INDEX($L$6:$L$40000,$Y2425)&amp;"")</f>
        <v/>
      </c>
    </row>
    <row r="2426">
      <c r="Y2426" s="47">
        <f>IFERROR(MATCH(Library!M2426,$M$6:$M$40000,0),"")</f>
        <v/>
      </c>
      <c r="Z2426">
        <f>IF($Y2426="","",INDEX($C$6:$C$40000,$Y2426)&amp;"")</f>
        <v/>
      </c>
      <c r="AA2426" s="59">
        <f>IF($Y2426="","",IF(INDEX($D$6:$D$40000,$Y2426)="","",INDEX($D$6:$D$40000,$Y2426)))</f>
        <v/>
      </c>
      <c r="AB2426">
        <f>IF($Y2426="","",INDEX($L$6:$L$40000,$Y2426)&amp;"")</f>
        <v/>
      </c>
    </row>
    <row r="2427">
      <c r="Y2427" s="47">
        <f>IFERROR(MATCH(Library!M2427,$M$6:$M$40000,0),"")</f>
        <v/>
      </c>
      <c r="Z2427">
        <f>IF($Y2427="","",INDEX($C$6:$C$40000,$Y2427)&amp;"")</f>
        <v/>
      </c>
      <c r="AA2427" s="59">
        <f>IF($Y2427="","",IF(INDEX($D$6:$D$40000,$Y2427)="","",INDEX($D$6:$D$40000,$Y2427)))</f>
        <v/>
      </c>
      <c r="AB2427">
        <f>IF($Y2427="","",INDEX($L$6:$L$40000,$Y2427)&amp;"")</f>
        <v/>
      </c>
    </row>
    <row r="2428">
      <c r="Y2428" s="47">
        <f>IFERROR(MATCH(Library!M2428,$M$6:$M$40000,0),"")</f>
        <v/>
      </c>
      <c r="Z2428">
        <f>IF($Y2428="","",INDEX($C$6:$C$40000,$Y2428)&amp;"")</f>
        <v/>
      </c>
      <c r="AA2428" s="59">
        <f>IF($Y2428="","",IF(INDEX($D$6:$D$40000,$Y2428)="","",INDEX($D$6:$D$40000,$Y2428)))</f>
        <v/>
      </c>
      <c r="AB2428">
        <f>IF($Y2428="","",INDEX($L$6:$L$40000,$Y2428)&amp;"")</f>
        <v/>
      </c>
    </row>
    <row r="2429">
      <c r="Y2429" s="47">
        <f>IFERROR(MATCH(Library!M2429,$M$6:$M$40000,0),"")</f>
        <v/>
      </c>
      <c r="Z2429">
        <f>IF($Y2429="","",INDEX($C$6:$C$40000,$Y2429)&amp;"")</f>
        <v/>
      </c>
      <c r="AA2429" s="59">
        <f>IF($Y2429="","",IF(INDEX($D$6:$D$40000,$Y2429)="","",INDEX($D$6:$D$40000,$Y2429)))</f>
        <v/>
      </c>
      <c r="AB2429">
        <f>IF($Y2429="","",INDEX($L$6:$L$40000,$Y2429)&amp;"")</f>
        <v/>
      </c>
    </row>
    <row r="2430">
      <c r="Y2430" s="47">
        <f>IFERROR(MATCH(Library!M2430,$M$6:$M$40000,0),"")</f>
        <v/>
      </c>
      <c r="Z2430">
        <f>IF($Y2430="","",INDEX($C$6:$C$40000,$Y2430)&amp;"")</f>
        <v/>
      </c>
      <c r="AA2430" s="59">
        <f>IF($Y2430="","",IF(INDEX($D$6:$D$40000,$Y2430)="","",INDEX($D$6:$D$40000,$Y2430)))</f>
        <v/>
      </c>
      <c r="AB2430">
        <f>IF($Y2430="","",INDEX($L$6:$L$40000,$Y2430)&amp;"")</f>
        <v/>
      </c>
    </row>
    <row r="2431">
      <c r="Y2431" s="47">
        <f>IFERROR(MATCH(Library!M2431,$M$6:$M$40000,0),"")</f>
        <v/>
      </c>
      <c r="Z2431">
        <f>IF($Y2431="","",INDEX($C$6:$C$40000,$Y2431)&amp;"")</f>
        <v/>
      </c>
      <c r="AA2431" s="59">
        <f>IF($Y2431="","",IF(INDEX($D$6:$D$40000,$Y2431)="","",INDEX($D$6:$D$40000,$Y2431)))</f>
        <v/>
      </c>
      <c r="AB2431">
        <f>IF($Y2431="","",INDEX($L$6:$L$40000,$Y2431)&amp;"")</f>
        <v/>
      </c>
    </row>
    <row r="2432">
      <c r="Y2432" s="47">
        <f>IFERROR(MATCH(Library!M2432,$M$6:$M$40000,0),"")</f>
        <v/>
      </c>
      <c r="Z2432">
        <f>IF($Y2432="","",INDEX($C$6:$C$40000,$Y2432)&amp;"")</f>
        <v/>
      </c>
      <c r="AA2432" s="59">
        <f>IF($Y2432="","",IF(INDEX($D$6:$D$40000,$Y2432)="","",INDEX($D$6:$D$40000,$Y2432)))</f>
        <v/>
      </c>
      <c r="AB2432">
        <f>IF($Y2432="","",INDEX($L$6:$L$40000,$Y2432)&amp;"")</f>
        <v/>
      </c>
    </row>
    <row r="2433">
      <c r="Y2433" s="47">
        <f>IFERROR(MATCH(Library!M2433,$M$6:$M$40000,0),"")</f>
        <v/>
      </c>
      <c r="Z2433">
        <f>IF($Y2433="","",INDEX($C$6:$C$40000,$Y2433)&amp;"")</f>
        <v/>
      </c>
      <c r="AA2433" s="59">
        <f>IF($Y2433="","",IF(INDEX($D$6:$D$40000,$Y2433)="","",INDEX($D$6:$D$40000,$Y2433)))</f>
        <v/>
      </c>
      <c r="AB2433">
        <f>IF($Y2433="","",INDEX($L$6:$L$40000,$Y2433)&amp;"")</f>
        <v/>
      </c>
    </row>
    <row r="2434">
      <c r="Y2434" s="47">
        <f>IFERROR(MATCH(Library!M2434,$M$6:$M$40000,0),"")</f>
        <v/>
      </c>
      <c r="Z2434">
        <f>IF($Y2434="","",INDEX($C$6:$C$40000,$Y2434)&amp;"")</f>
        <v/>
      </c>
      <c r="AA2434" s="59">
        <f>IF($Y2434="","",IF(INDEX($D$6:$D$40000,$Y2434)="","",INDEX($D$6:$D$40000,$Y2434)))</f>
        <v/>
      </c>
      <c r="AB2434">
        <f>IF($Y2434="","",INDEX($L$6:$L$40000,$Y2434)&amp;"")</f>
        <v/>
      </c>
    </row>
    <row r="2435">
      <c r="Y2435" s="47">
        <f>IFERROR(MATCH(Library!M2435,$M$6:$M$40000,0),"")</f>
        <v/>
      </c>
      <c r="Z2435">
        <f>IF($Y2435="","",INDEX($C$6:$C$40000,$Y2435)&amp;"")</f>
        <v/>
      </c>
      <c r="AA2435" s="59">
        <f>IF($Y2435="","",IF(INDEX($D$6:$D$40000,$Y2435)="","",INDEX($D$6:$D$40000,$Y2435)))</f>
        <v/>
      </c>
      <c r="AB2435">
        <f>IF($Y2435="","",INDEX($L$6:$L$40000,$Y2435)&amp;"")</f>
        <v/>
      </c>
    </row>
    <row r="2436">
      <c r="Y2436" s="47">
        <f>IFERROR(MATCH(Library!M2436,$M$6:$M$40000,0),"")</f>
        <v/>
      </c>
      <c r="Z2436">
        <f>IF($Y2436="","",INDEX($C$6:$C$40000,$Y2436)&amp;"")</f>
        <v/>
      </c>
      <c r="AA2436" s="59">
        <f>IF($Y2436="","",IF(INDEX($D$6:$D$40000,$Y2436)="","",INDEX($D$6:$D$40000,$Y2436)))</f>
        <v/>
      </c>
      <c r="AB2436">
        <f>IF($Y2436="","",INDEX($L$6:$L$40000,$Y2436)&amp;"")</f>
        <v/>
      </c>
    </row>
    <row r="2437">
      <c r="Y2437" s="47">
        <f>IFERROR(MATCH(Library!M2437,$M$6:$M$40000,0),"")</f>
        <v/>
      </c>
      <c r="Z2437">
        <f>IF($Y2437="","",INDEX($C$6:$C$40000,$Y2437)&amp;"")</f>
        <v/>
      </c>
      <c r="AA2437" s="59">
        <f>IF($Y2437="","",IF(INDEX($D$6:$D$40000,$Y2437)="","",INDEX($D$6:$D$40000,$Y2437)))</f>
        <v/>
      </c>
      <c r="AB2437">
        <f>IF($Y2437="","",INDEX($L$6:$L$40000,$Y2437)&amp;"")</f>
        <v/>
      </c>
    </row>
    <row r="2438">
      <c r="Y2438" s="47">
        <f>IFERROR(MATCH(Library!M2438,$M$6:$M$40000,0),"")</f>
        <v/>
      </c>
      <c r="Z2438">
        <f>IF($Y2438="","",INDEX($C$6:$C$40000,$Y2438)&amp;"")</f>
        <v/>
      </c>
      <c r="AA2438" s="59">
        <f>IF($Y2438="","",IF(INDEX($D$6:$D$40000,$Y2438)="","",INDEX($D$6:$D$40000,$Y2438)))</f>
        <v/>
      </c>
      <c r="AB2438">
        <f>IF($Y2438="","",INDEX($L$6:$L$40000,$Y2438)&amp;"")</f>
        <v/>
      </c>
    </row>
    <row r="2439">
      <c r="Y2439" s="47">
        <f>IFERROR(MATCH(Library!M2439,$M$6:$M$40000,0),"")</f>
        <v/>
      </c>
      <c r="Z2439">
        <f>IF($Y2439="","",INDEX($C$6:$C$40000,$Y2439)&amp;"")</f>
        <v/>
      </c>
      <c r="AA2439" s="59">
        <f>IF($Y2439="","",IF(INDEX($D$6:$D$40000,$Y2439)="","",INDEX($D$6:$D$40000,$Y2439)))</f>
        <v/>
      </c>
      <c r="AB2439">
        <f>IF($Y2439="","",INDEX($L$6:$L$40000,$Y2439)&amp;"")</f>
        <v/>
      </c>
    </row>
    <row r="2440">
      <c r="Y2440" s="47">
        <f>IFERROR(MATCH(Library!M2440,$M$6:$M$40000,0),"")</f>
        <v/>
      </c>
      <c r="Z2440">
        <f>IF($Y2440="","",INDEX($C$6:$C$40000,$Y2440)&amp;"")</f>
        <v/>
      </c>
      <c r="AA2440" s="59">
        <f>IF($Y2440="","",IF(INDEX($D$6:$D$40000,$Y2440)="","",INDEX($D$6:$D$40000,$Y2440)))</f>
        <v/>
      </c>
      <c r="AB2440">
        <f>IF($Y2440="","",INDEX($L$6:$L$40000,$Y2440)&amp;"")</f>
        <v/>
      </c>
    </row>
    <row r="2441">
      <c r="Y2441" s="47">
        <f>IFERROR(MATCH(Library!M2441,$M$6:$M$40000,0),"")</f>
        <v/>
      </c>
      <c r="Z2441">
        <f>IF($Y2441="","",INDEX($C$6:$C$40000,$Y2441)&amp;"")</f>
        <v/>
      </c>
      <c r="AA2441" s="59">
        <f>IF($Y2441="","",IF(INDEX($D$6:$D$40000,$Y2441)="","",INDEX($D$6:$D$40000,$Y2441)))</f>
        <v/>
      </c>
      <c r="AB2441">
        <f>IF($Y2441="","",INDEX($L$6:$L$40000,$Y2441)&amp;"")</f>
        <v/>
      </c>
    </row>
    <row r="2442">
      <c r="Y2442" s="47">
        <f>IFERROR(MATCH(Library!M2442,$M$6:$M$40000,0),"")</f>
        <v/>
      </c>
      <c r="Z2442">
        <f>IF($Y2442="","",INDEX($C$6:$C$40000,$Y2442)&amp;"")</f>
        <v/>
      </c>
      <c r="AA2442" s="59">
        <f>IF($Y2442="","",IF(INDEX($D$6:$D$40000,$Y2442)="","",INDEX($D$6:$D$40000,$Y2442)))</f>
        <v/>
      </c>
      <c r="AB2442">
        <f>IF($Y2442="","",INDEX($L$6:$L$40000,$Y2442)&amp;"")</f>
        <v/>
      </c>
    </row>
    <row r="2443">
      <c r="Y2443" s="47">
        <f>IFERROR(MATCH(Library!M2443,$M$6:$M$40000,0),"")</f>
        <v/>
      </c>
      <c r="Z2443">
        <f>IF($Y2443="","",INDEX($C$6:$C$40000,$Y2443)&amp;"")</f>
        <v/>
      </c>
      <c r="AA2443" s="59">
        <f>IF($Y2443="","",IF(INDEX($D$6:$D$40000,$Y2443)="","",INDEX($D$6:$D$40000,$Y2443)))</f>
        <v/>
      </c>
      <c r="AB2443">
        <f>IF($Y2443="","",INDEX($L$6:$L$40000,$Y2443)&amp;"")</f>
        <v/>
      </c>
    </row>
    <row r="2444">
      <c r="Y2444" s="47">
        <f>IFERROR(MATCH(Library!M2444,$M$6:$M$40000,0),"")</f>
        <v/>
      </c>
      <c r="Z2444">
        <f>IF($Y2444="","",INDEX($C$6:$C$40000,$Y2444)&amp;"")</f>
        <v/>
      </c>
      <c r="AA2444" s="59">
        <f>IF($Y2444="","",IF(INDEX($D$6:$D$40000,$Y2444)="","",INDEX($D$6:$D$40000,$Y2444)))</f>
        <v/>
      </c>
      <c r="AB2444">
        <f>IF($Y2444="","",INDEX($L$6:$L$40000,$Y2444)&amp;"")</f>
        <v/>
      </c>
    </row>
    <row r="2445">
      <c r="Y2445" s="47">
        <f>IFERROR(MATCH(Library!M2445,$M$6:$M$40000,0),"")</f>
        <v/>
      </c>
      <c r="Z2445">
        <f>IF($Y2445="","",INDEX($C$6:$C$40000,$Y2445)&amp;"")</f>
        <v/>
      </c>
      <c r="AA2445" s="59">
        <f>IF($Y2445="","",IF(INDEX($D$6:$D$40000,$Y2445)="","",INDEX($D$6:$D$40000,$Y2445)))</f>
        <v/>
      </c>
      <c r="AB2445">
        <f>IF($Y2445="","",INDEX($L$6:$L$40000,$Y2445)&amp;"")</f>
        <v/>
      </c>
    </row>
    <row r="2446">
      <c r="Y2446" s="47">
        <f>IFERROR(MATCH(Library!M2446,$M$6:$M$40000,0),"")</f>
        <v/>
      </c>
      <c r="Z2446">
        <f>IF($Y2446="","",INDEX($C$6:$C$40000,$Y2446)&amp;"")</f>
        <v/>
      </c>
      <c r="AA2446" s="59">
        <f>IF($Y2446="","",IF(INDEX($D$6:$D$40000,$Y2446)="","",INDEX($D$6:$D$40000,$Y2446)))</f>
        <v/>
      </c>
      <c r="AB2446">
        <f>IF($Y2446="","",INDEX($L$6:$L$40000,$Y2446)&amp;"")</f>
        <v/>
      </c>
    </row>
    <row r="2447">
      <c r="Y2447" s="47">
        <f>IFERROR(MATCH(Library!M2447,$M$6:$M$40000,0),"")</f>
        <v/>
      </c>
      <c r="Z2447">
        <f>IF($Y2447="","",INDEX($C$6:$C$40000,$Y2447)&amp;"")</f>
        <v/>
      </c>
      <c r="AA2447" s="59">
        <f>IF($Y2447="","",IF(INDEX($D$6:$D$40000,$Y2447)="","",INDEX($D$6:$D$40000,$Y2447)))</f>
        <v/>
      </c>
      <c r="AB2447">
        <f>IF($Y2447="","",INDEX($L$6:$L$40000,$Y2447)&amp;"")</f>
        <v/>
      </c>
    </row>
    <row r="2448">
      <c r="Y2448" s="47">
        <f>IFERROR(MATCH(Library!M2448,$M$6:$M$40000,0),"")</f>
        <v/>
      </c>
      <c r="Z2448">
        <f>IF($Y2448="","",INDEX($C$6:$C$40000,$Y2448)&amp;"")</f>
        <v/>
      </c>
      <c r="AA2448" s="59">
        <f>IF($Y2448="","",IF(INDEX($D$6:$D$40000,$Y2448)="","",INDEX($D$6:$D$40000,$Y2448)))</f>
        <v/>
      </c>
      <c r="AB2448">
        <f>IF($Y2448="","",INDEX($L$6:$L$40000,$Y2448)&amp;"")</f>
        <v/>
      </c>
    </row>
    <row r="2449">
      <c r="Y2449" s="47">
        <f>IFERROR(MATCH(Library!M2449,$M$6:$M$40000,0),"")</f>
        <v/>
      </c>
      <c r="Z2449">
        <f>IF($Y2449="","",INDEX($C$6:$C$40000,$Y2449)&amp;"")</f>
        <v/>
      </c>
      <c r="AA2449" s="59">
        <f>IF($Y2449="","",IF(INDEX($D$6:$D$40000,$Y2449)="","",INDEX($D$6:$D$40000,$Y2449)))</f>
        <v/>
      </c>
      <c r="AB2449">
        <f>IF($Y2449="","",INDEX($L$6:$L$40000,$Y2449)&amp;"")</f>
        <v/>
      </c>
    </row>
    <row r="2450">
      <c r="Y2450" s="47">
        <f>IFERROR(MATCH(Library!M2450,$M$6:$M$40000,0),"")</f>
        <v/>
      </c>
      <c r="Z2450">
        <f>IF($Y2450="","",INDEX($C$6:$C$40000,$Y2450)&amp;"")</f>
        <v/>
      </c>
      <c r="AA2450" s="59">
        <f>IF($Y2450="","",IF(INDEX($D$6:$D$40000,$Y2450)="","",INDEX($D$6:$D$40000,$Y2450)))</f>
        <v/>
      </c>
      <c r="AB2450">
        <f>IF($Y2450="","",INDEX($L$6:$L$40000,$Y2450)&amp;"")</f>
        <v/>
      </c>
    </row>
    <row r="2451">
      <c r="Y2451" s="47">
        <f>IFERROR(MATCH(Library!M2451,$M$6:$M$40000,0),"")</f>
        <v/>
      </c>
      <c r="Z2451">
        <f>IF($Y2451="","",INDEX($C$6:$C$40000,$Y2451)&amp;"")</f>
        <v/>
      </c>
      <c r="AA2451" s="59">
        <f>IF($Y2451="","",IF(INDEX($D$6:$D$40000,$Y2451)="","",INDEX($D$6:$D$40000,$Y2451)))</f>
        <v/>
      </c>
      <c r="AB2451">
        <f>IF($Y2451="","",INDEX($L$6:$L$40000,$Y2451)&amp;"")</f>
        <v/>
      </c>
    </row>
    <row r="2452">
      <c r="Y2452" s="47">
        <f>IFERROR(MATCH(Library!M2452,$M$6:$M$40000,0),"")</f>
        <v/>
      </c>
      <c r="Z2452">
        <f>IF($Y2452="","",INDEX($C$6:$C$40000,$Y2452)&amp;"")</f>
        <v/>
      </c>
      <c r="AA2452" s="59">
        <f>IF($Y2452="","",IF(INDEX($D$6:$D$40000,$Y2452)="","",INDEX($D$6:$D$40000,$Y2452)))</f>
        <v/>
      </c>
      <c r="AB2452">
        <f>IF($Y2452="","",INDEX($L$6:$L$40000,$Y2452)&amp;"")</f>
        <v/>
      </c>
    </row>
    <row r="2453">
      <c r="Y2453" s="47">
        <f>IFERROR(MATCH(Library!M2453,$M$6:$M$40000,0),"")</f>
        <v/>
      </c>
      <c r="Z2453">
        <f>IF($Y2453="","",INDEX($C$6:$C$40000,$Y2453)&amp;"")</f>
        <v/>
      </c>
      <c r="AA2453" s="59">
        <f>IF($Y2453="","",IF(INDEX($D$6:$D$40000,$Y2453)="","",INDEX($D$6:$D$40000,$Y2453)))</f>
        <v/>
      </c>
      <c r="AB2453">
        <f>IF($Y2453="","",INDEX($L$6:$L$40000,$Y2453)&amp;"")</f>
        <v/>
      </c>
    </row>
    <row r="2454">
      <c r="Y2454" s="47">
        <f>IFERROR(MATCH(Library!M2454,$M$6:$M$40000,0),"")</f>
        <v/>
      </c>
      <c r="Z2454">
        <f>IF($Y2454="","",INDEX($C$6:$C$40000,$Y2454)&amp;"")</f>
        <v/>
      </c>
      <c r="AA2454" s="59">
        <f>IF($Y2454="","",IF(INDEX($D$6:$D$40000,$Y2454)="","",INDEX($D$6:$D$40000,$Y2454)))</f>
        <v/>
      </c>
      <c r="AB2454">
        <f>IF($Y2454="","",INDEX($L$6:$L$40000,$Y2454)&amp;"")</f>
        <v/>
      </c>
    </row>
    <row r="2455">
      <c r="Y2455" s="47">
        <f>IFERROR(MATCH(Library!M2455,$M$6:$M$40000,0),"")</f>
        <v/>
      </c>
      <c r="Z2455">
        <f>IF($Y2455="","",INDEX($C$6:$C$40000,$Y2455)&amp;"")</f>
        <v/>
      </c>
      <c r="AA2455" s="59">
        <f>IF($Y2455="","",IF(INDEX($D$6:$D$40000,$Y2455)="","",INDEX($D$6:$D$40000,$Y2455)))</f>
        <v/>
      </c>
      <c r="AB2455">
        <f>IF($Y2455="","",INDEX($L$6:$L$40000,$Y2455)&amp;"")</f>
        <v/>
      </c>
    </row>
    <row r="2456">
      <c r="Y2456" s="47">
        <f>IFERROR(MATCH(Library!M2456,$M$6:$M$40000,0),"")</f>
        <v/>
      </c>
      <c r="Z2456">
        <f>IF($Y2456="","",INDEX($C$6:$C$40000,$Y2456)&amp;"")</f>
        <v/>
      </c>
      <c r="AA2456" s="59">
        <f>IF($Y2456="","",IF(INDEX($D$6:$D$40000,$Y2456)="","",INDEX($D$6:$D$40000,$Y2456)))</f>
        <v/>
      </c>
      <c r="AB2456">
        <f>IF($Y2456="","",INDEX($L$6:$L$40000,$Y2456)&amp;"")</f>
        <v/>
      </c>
    </row>
    <row r="2457">
      <c r="Y2457" s="47">
        <f>IFERROR(MATCH(Library!M2457,$M$6:$M$40000,0),"")</f>
        <v/>
      </c>
      <c r="Z2457">
        <f>IF($Y2457="","",INDEX($C$6:$C$40000,$Y2457)&amp;"")</f>
        <v/>
      </c>
      <c r="AA2457" s="59">
        <f>IF($Y2457="","",IF(INDEX($D$6:$D$40000,$Y2457)="","",INDEX($D$6:$D$40000,$Y2457)))</f>
        <v/>
      </c>
      <c r="AB2457">
        <f>IF($Y2457="","",INDEX($L$6:$L$40000,$Y2457)&amp;"")</f>
        <v/>
      </c>
    </row>
    <row r="2458">
      <c r="Y2458" s="47">
        <f>IFERROR(MATCH(Library!M2458,$M$6:$M$40000,0),"")</f>
        <v/>
      </c>
      <c r="Z2458">
        <f>IF($Y2458="","",INDEX($C$6:$C$40000,$Y2458)&amp;"")</f>
        <v/>
      </c>
      <c r="AA2458" s="59">
        <f>IF($Y2458="","",IF(INDEX($D$6:$D$40000,$Y2458)="","",INDEX($D$6:$D$40000,$Y2458)))</f>
        <v/>
      </c>
      <c r="AB2458">
        <f>IF($Y2458="","",INDEX($L$6:$L$40000,$Y2458)&amp;"")</f>
        <v/>
      </c>
    </row>
    <row r="2459">
      <c r="Y2459" s="47">
        <f>IFERROR(MATCH(Library!M2459,$M$6:$M$40000,0),"")</f>
        <v/>
      </c>
      <c r="Z2459">
        <f>IF($Y2459="","",INDEX($C$6:$C$40000,$Y2459)&amp;"")</f>
        <v/>
      </c>
      <c r="AA2459" s="59">
        <f>IF($Y2459="","",IF(INDEX($D$6:$D$40000,$Y2459)="","",INDEX($D$6:$D$40000,$Y2459)))</f>
        <v/>
      </c>
      <c r="AB2459">
        <f>IF($Y2459="","",INDEX($L$6:$L$40000,$Y2459)&amp;"")</f>
        <v/>
      </c>
    </row>
    <row r="2460">
      <c r="Y2460" s="47">
        <f>IFERROR(MATCH(Library!M2460,$M$6:$M$40000,0),"")</f>
        <v/>
      </c>
      <c r="Z2460">
        <f>IF($Y2460="","",INDEX($C$6:$C$40000,$Y2460)&amp;"")</f>
        <v/>
      </c>
      <c r="AA2460" s="59">
        <f>IF($Y2460="","",IF(INDEX($D$6:$D$40000,$Y2460)="","",INDEX($D$6:$D$40000,$Y2460)))</f>
        <v/>
      </c>
      <c r="AB2460">
        <f>IF($Y2460="","",INDEX($L$6:$L$40000,$Y2460)&amp;"")</f>
        <v/>
      </c>
    </row>
    <row r="2461">
      <c r="Y2461" s="47">
        <f>IFERROR(MATCH(Library!M2461,$M$6:$M$40000,0),"")</f>
        <v/>
      </c>
      <c r="Z2461">
        <f>IF($Y2461="","",INDEX($C$6:$C$40000,$Y2461)&amp;"")</f>
        <v/>
      </c>
      <c r="AA2461" s="59">
        <f>IF($Y2461="","",IF(INDEX($D$6:$D$40000,$Y2461)="","",INDEX($D$6:$D$40000,$Y2461)))</f>
        <v/>
      </c>
      <c r="AB2461">
        <f>IF($Y2461="","",INDEX($L$6:$L$40000,$Y2461)&amp;"")</f>
        <v/>
      </c>
    </row>
    <row r="2462">
      <c r="Y2462" s="47">
        <f>IFERROR(MATCH(Library!M2462,$M$6:$M$40000,0),"")</f>
        <v/>
      </c>
      <c r="Z2462">
        <f>IF($Y2462="","",INDEX($C$6:$C$40000,$Y2462)&amp;"")</f>
        <v/>
      </c>
      <c r="AA2462" s="59">
        <f>IF($Y2462="","",IF(INDEX($D$6:$D$40000,$Y2462)="","",INDEX($D$6:$D$40000,$Y2462)))</f>
        <v/>
      </c>
      <c r="AB2462">
        <f>IF($Y2462="","",INDEX($L$6:$L$40000,$Y2462)&amp;"")</f>
        <v/>
      </c>
    </row>
    <row r="2463">
      <c r="Y2463" s="47">
        <f>IFERROR(MATCH(Library!M2463,$M$6:$M$40000,0),"")</f>
        <v/>
      </c>
      <c r="Z2463">
        <f>IF($Y2463="","",INDEX($C$6:$C$40000,$Y2463)&amp;"")</f>
        <v/>
      </c>
      <c r="AA2463" s="59">
        <f>IF($Y2463="","",IF(INDEX($D$6:$D$40000,$Y2463)="","",INDEX($D$6:$D$40000,$Y2463)))</f>
        <v/>
      </c>
      <c r="AB2463">
        <f>IF($Y2463="","",INDEX($L$6:$L$40000,$Y2463)&amp;"")</f>
        <v/>
      </c>
    </row>
    <row r="2464">
      <c r="Y2464" s="47">
        <f>IFERROR(MATCH(Library!M2464,$M$6:$M$40000,0),"")</f>
        <v/>
      </c>
      <c r="Z2464">
        <f>IF($Y2464="","",INDEX($C$6:$C$40000,$Y2464)&amp;"")</f>
        <v/>
      </c>
      <c r="AA2464" s="59">
        <f>IF($Y2464="","",IF(INDEX($D$6:$D$40000,$Y2464)="","",INDEX($D$6:$D$40000,$Y2464)))</f>
        <v/>
      </c>
      <c r="AB2464">
        <f>IF($Y2464="","",INDEX($L$6:$L$40000,$Y2464)&amp;"")</f>
        <v/>
      </c>
    </row>
    <row r="2465">
      <c r="Y2465" s="47">
        <f>IFERROR(MATCH(Library!M2465,$M$6:$M$40000,0),"")</f>
        <v/>
      </c>
      <c r="Z2465">
        <f>IF($Y2465="","",INDEX($C$6:$C$40000,$Y2465)&amp;"")</f>
        <v/>
      </c>
      <c r="AA2465" s="59">
        <f>IF($Y2465="","",IF(INDEX($D$6:$D$40000,$Y2465)="","",INDEX($D$6:$D$40000,$Y2465)))</f>
        <v/>
      </c>
      <c r="AB2465">
        <f>IF($Y2465="","",INDEX($L$6:$L$40000,$Y2465)&amp;"")</f>
        <v/>
      </c>
    </row>
    <row r="2466">
      <c r="Y2466" s="47">
        <f>IFERROR(MATCH(Library!M2466,$M$6:$M$40000,0),"")</f>
        <v/>
      </c>
      <c r="Z2466">
        <f>IF($Y2466="","",INDEX($C$6:$C$40000,$Y2466)&amp;"")</f>
        <v/>
      </c>
      <c r="AA2466" s="59">
        <f>IF($Y2466="","",IF(INDEX($D$6:$D$40000,$Y2466)="","",INDEX($D$6:$D$40000,$Y2466)))</f>
        <v/>
      </c>
      <c r="AB2466">
        <f>IF($Y2466="","",INDEX($L$6:$L$40000,$Y2466)&amp;"")</f>
        <v/>
      </c>
    </row>
    <row r="2467">
      <c r="Y2467" s="47">
        <f>IFERROR(MATCH(Library!M2467,$M$6:$M$40000,0),"")</f>
        <v/>
      </c>
      <c r="Z2467">
        <f>IF($Y2467="","",INDEX($C$6:$C$40000,$Y2467)&amp;"")</f>
        <v/>
      </c>
      <c r="AA2467" s="59">
        <f>IF($Y2467="","",IF(INDEX($D$6:$D$40000,$Y2467)="","",INDEX($D$6:$D$40000,$Y2467)))</f>
        <v/>
      </c>
      <c r="AB2467">
        <f>IF($Y2467="","",INDEX($L$6:$L$40000,$Y2467)&amp;"")</f>
        <v/>
      </c>
    </row>
    <row r="2468">
      <c r="Y2468" s="47">
        <f>IFERROR(MATCH(Library!M2468,$M$6:$M$40000,0),"")</f>
        <v/>
      </c>
      <c r="Z2468">
        <f>IF($Y2468="","",INDEX($C$6:$C$40000,$Y2468)&amp;"")</f>
        <v/>
      </c>
      <c r="AA2468" s="59">
        <f>IF($Y2468="","",IF(INDEX($D$6:$D$40000,$Y2468)="","",INDEX($D$6:$D$40000,$Y2468)))</f>
        <v/>
      </c>
      <c r="AB2468">
        <f>IF($Y2468="","",INDEX($L$6:$L$40000,$Y2468)&amp;"")</f>
        <v/>
      </c>
    </row>
    <row r="2469">
      <c r="Y2469" s="47">
        <f>IFERROR(MATCH(Library!M2469,$M$6:$M$40000,0),"")</f>
        <v/>
      </c>
      <c r="Z2469">
        <f>IF($Y2469="","",INDEX($C$6:$C$40000,$Y2469)&amp;"")</f>
        <v/>
      </c>
      <c r="AA2469" s="59">
        <f>IF($Y2469="","",IF(INDEX($D$6:$D$40000,$Y2469)="","",INDEX($D$6:$D$40000,$Y2469)))</f>
        <v/>
      </c>
      <c r="AB2469">
        <f>IF($Y2469="","",INDEX($L$6:$L$40000,$Y2469)&amp;"")</f>
        <v/>
      </c>
    </row>
    <row r="2470">
      <c r="Y2470" s="47">
        <f>IFERROR(MATCH(Library!M2470,$M$6:$M$40000,0),"")</f>
        <v/>
      </c>
      <c r="Z2470">
        <f>IF($Y2470="","",INDEX($C$6:$C$40000,$Y2470)&amp;"")</f>
        <v/>
      </c>
      <c r="AA2470" s="59">
        <f>IF($Y2470="","",IF(INDEX($D$6:$D$40000,$Y2470)="","",INDEX($D$6:$D$40000,$Y2470)))</f>
        <v/>
      </c>
      <c r="AB2470">
        <f>IF($Y2470="","",INDEX($L$6:$L$40000,$Y2470)&amp;"")</f>
        <v/>
      </c>
    </row>
    <row r="2471">
      <c r="Y2471" s="47">
        <f>IFERROR(MATCH(Library!M2471,$M$6:$M$40000,0),"")</f>
        <v/>
      </c>
      <c r="Z2471">
        <f>IF($Y2471="","",INDEX($C$6:$C$40000,$Y2471)&amp;"")</f>
        <v/>
      </c>
      <c r="AA2471" s="59">
        <f>IF($Y2471="","",IF(INDEX($D$6:$D$40000,$Y2471)="","",INDEX($D$6:$D$40000,$Y2471)))</f>
        <v/>
      </c>
      <c r="AB2471">
        <f>IF($Y2471="","",INDEX($L$6:$L$40000,$Y2471)&amp;"")</f>
        <v/>
      </c>
    </row>
    <row r="2472">
      <c r="Y2472" s="47">
        <f>IFERROR(MATCH(Library!M2472,$M$6:$M$40000,0),"")</f>
        <v/>
      </c>
      <c r="Z2472">
        <f>IF($Y2472="","",INDEX($C$6:$C$40000,$Y2472)&amp;"")</f>
        <v/>
      </c>
      <c r="AA2472" s="59">
        <f>IF($Y2472="","",IF(INDEX($D$6:$D$40000,$Y2472)="","",INDEX($D$6:$D$40000,$Y2472)))</f>
        <v/>
      </c>
      <c r="AB2472">
        <f>IF($Y2472="","",INDEX($L$6:$L$40000,$Y2472)&amp;"")</f>
        <v/>
      </c>
    </row>
    <row r="2473">
      <c r="Y2473" s="47">
        <f>IFERROR(MATCH(Library!M2473,$M$6:$M$40000,0),"")</f>
        <v/>
      </c>
      <c r="Z2473">
        <f>IF($Y2473="","",INDEX($C$6:$C$40000,$Y2473)&amp;"")</f>
        <v/>
      </c>
      <c r="AA2473" s="59">
        <f>IF($Y2473="","",IF(INDEX($D$6:$D$40000,$Y2473)="","",INDEX($D$6:$D$40000,$Y2473)))</f>
        <v/>
      </c>
      <c r="AB2473">
        <f>IF($Y2473="","",INDEX($L$6:$L$40000,$Y2473)&amp;"")</f>
        <v/>
      </c>
    </row>
    <row r="2474">
      <c r="Y2474" s="47">
        <f>IFERROR(MATCH(Library!M2474,$M$6:$M$40000,0),"")</f>
        <v/>
      </c>
      <c r="Z2474">
        <f>IF($Y2474="","",INDEX($C$6:$C$40000,$Y2474)&amp;"")</f>
        <v/>
      </c>
      <c r="AA2474" s="59">
        <f>IF($Y2474="","",IF(INDEX($D$6:$D$40000,$Y2474)="","",INDEX($D$6:$D$40000,$Y2474)))</f>
        <v/>
      </c>
      <c r="AB2474">
        <f>IF($Y2474="","",INDEX($L$6:$L$40000,$Y2474)&amp;"")</f>
        <v/>
      </c>
    </row>
    <row r="2475">
      <c r="Y2475" s="47">
        <f>IFERROR(MATCH(Library!M2475,$M$6:$M$40000,0),"")</f>
        <v/>
      </c>
      <c r="Z2475">
        <f>IF($Y2475="","",INDEX($C$6:$C$40000,$Y2475)&amp;"")</f>
        <v/>
      </c>
      <c r="AA2475" s="59">
        <f>IF($Y2475="","",IF(INDEX($D$6:$D$40000,$Y2475)="","",INDEX($D$6:$D$40000,$Y2475)))</f>
        <v/>
      </c>
      <c r="AB2475">
        <f>IF($Y2475="","",INDEX($L$6:$L$40000,$Y2475)&amp;"")</f>
        <v/>
      </c>
    </row>
    <row r="2476">
      <c r="Y2476" s="47">
        <f>IFERROR(MATCH(Library!M2476,$M$6:$M$40000,0),"")</f>
        <v/>
      </c>
      <c r="Z2476">
        <f>IF($Y2476="","",INDEX($C$6:$C$40000,$Y2476)&amp;"")</f>
        <v/>
      </c>
      <c r="AA2476" s="59">
        <f>IF($Y2476="","",IF(INDEX($D$6:$D$40000,$Y2476)="","",INDEX($D$6:$D$40000,$Y2476)))</f>
        <v/>
      </c>
      <c r="AB2476">
        <f>IF($Y2476="","",INDEX($L$6:$L$40000,$Y2476)&amp;"")</f>
        <v/>
      </c>
    </row>
    <row r="2477">
      <c r="Y2477" s="47">
        <f>IFERROR(MATCH(Library!M2477,$M$6:$M$40000,0),"")</f>
        <v/>
      </c>
      <c r="Z2477">
        <f>IF($Y2477="","",INDEX($C$6:$C$40000,$Y2477)&amp;"")</f>
        <v/>
      </c>
      <c r="AA2477" s="59">
        <f>IF($Y2477="","",IF(INDEX($D$6:$D$40000,$Y2477)="","",INDEX($D$6:$D$40000,$Y2477)))</f>
        <v/>
      </c>
      <c r="AB2477">
        <f>IF($Y2477="","",INDEX($L$6:$L$40000,$Y2477)&amp;"")</f>
        <v/>
      </c>
    </row>
    <row r="2478">
      <c r="Y2478" s="47">
        <f>IFERROR(MATCH(Library!M2478,$M$6:$M$40000,0),"")</f>
        <v/>
      </c>
      <c r="Z2478">
        <f>IF($Y2478="","",INDEX($C$6:$C$40000,$Y2478)&amp;"")</f>
        <v/>
      </c>
      <c r="AA2478" s="59">
        <f>IF($Y2478="","",IF(INDEX($D$6:$D$40000,$Y2478)="","",INDEX($D$6:$D$40000,$Y2478)))</f>
        <v/>
      </c>
      <c r="AB2478">
        <f>IF($Y2478="","",INDEX($L$6:$L$40000,$Y2478)&amp;"")</f>
        <v/>
      </c>
    </row>
    <row r="2479">
      <c r="Y2479" s="47">
        <f>IFERROR(MATCH(Library!M2479,$M$6:$M$40000,0),"")</f>
        <v/>
      </c>
      <c r="Z2479">
        <f>IF($Y2479="","",INDEX($C$6:$C$40000,$Y2479)&amp;"")</f>
        <v/>
      </c>
      <c r="AA2479" s="59">
        <f>IF($Y2479="","",IF(INDEX($D$6:$D$40000,$Y2479)="","",INDEX($D$6:$D$40000,$Y2479)))</f>
        <v/>
      </c>
      <c r="AB2479">
        <f>IF($Y2479="","",INDEX($L$6:$L$40000,$Y2479)&amp;"")</f>
        <v/>
      </c>
    </row>
    <row r="2480">
      <c r="Y2480" s="47">
        <f>IFERROR(MATCH(Library!M2480,$M$6:$M$40000,0),"")</f>
        <v/>
      </c>
      <c r="Z2480">
        <f>IF($Y2480="","",INDEX($C$6:$C$40000,$Y2480)&amp;"")</f>
        <v/>
      </c>
      <c r="AA2480" s="59">
        <f>IF($Y2480="","",IF(INDEX($D$6:$D$40000,$Y2480)="","",INDEX($D$6:$D$40000,$Y2480)))</f>
        <v/>
      </c>
      <c r="AB2480">
        <f>IF($Y2480="","",INDEX($L$6:$L$40000,$Y2480)&amp;"")</f>
        <v/>
      </c>
    </row>
    <row r="2481">
      <c r="Y2481" s="47">
        <f>IFERROR(MATCH(Library!M2481,$M$6:$M$40000,0),"")</f>
        <v/>
      </c>
      <c r="Z2481">
        <f>IF($Y2481="","",INDEX($C$6:$C$40000,$Y2481)&amp;"")</f>
        <v/>
      </c>
      <c r="AA2481" s="59">
        <f>IF($Y2481="","",IF(INDEX($D$6:$D$40000,$Y2481)="","",INDEX($D$6:$D$40000,$Y2481)))</f>
        <v/>
      </c>
      <c r="AB2481">
        <f>IF($Y2481="","",INDEX($L$6:$L$40000,$Y2481)&amp;"")</f>
        <v/>
      </c>
    </row>
    <row r="2482">
      <c r="Y2482" s="47">
        <f>IFERROR(MATCH(Library!M2482,$M$6:$M$40000,0),"")</f>
        <v/>
      </c>
      <c r="Z2482">
        <f>IF($Y2482="","",INDEX($C$6:$C$40000,$Y2482)&amp;"")</f>
        <v/>
      </c>
      <c r="AA2482" s="59">
        <f>IF($Y2482="","",IF(INDEX($D$6:$D$40000,$Y2482)="","",INDEX($D$6:$D$40000,$Y2482)))</f>
        <v/>
      </c>
      <c r="AB2482">
        <f>IF($Y2482="","",INDEX($L$6:$L$40000,$Y2482)&amp;"")</f>
        <v/>
      </c>
    </row>
    <row r="2483">
      <c r="Y2483" s="47">
        <f>IFERROR(MATCH(Library!M2483,$M$6:$M$40000,0),"")</f>
        <v/>
      </c>
      <c r="Z2483">
        <f>IF($Y2483="","",INDEX($C$6:$C$40000,$Y2483)&amp;"")</f>
        <v/>
      </c>
      <c r="AA2483" s="59">
        <f>IF($Y2483="","",IF(INDEX($D$6:$D$40000,$Y2483)="","",INDEX($D$6:$D$40000,$Y2483)))</f>
        <v/>
      </c>
      <c r="AB2483">
        <f>IF($Y2483="","",INDEX($L$6:$L$40000,$Y2483)&amp;"")</f>
        <v/>
      </c>
    </row>
    <row r="2484">
      <c r="Y2484" s="47">
        <f>IFERROR(MATCH(Library!M2484,$M$6:$M$40000,0),"")</f>
        <v/>
      </c>
      <c r="Z2484">
        <f>IF($Y2484="","",INDEX($C$6:$C$40000,$Y2484)&amp;"")</f>
        <v/>
      </c>
      <c r="AA2484" s="59">
        <f>IF($Y2484="","",IF(INDEX($D$6:$D$40000,$Y2484)="","",INDEX($D$6:$D$40000,$Y2484)))</f>
        <v/>
      </c>
      <c r="AB2484">
        <f>IF($Y2484="","",INDEX($L$6:$L$40000,$Y2484)&amp;"")</f>
        <v/>
      </c>
    </row>
    <row r="2485">
      <c r="Y2485" s="47">
        <f>IFERROR(MATCH(Library!M2485,$M$6:$M$40000,0),"")</f>
        <v/>
      </c>
      <c r="Z2485">
        <f>IF($Y2485="","",INDEX($C$6:$C$40000,$Y2485)&amp;"")</f>
        <v/>
      </c>
      <c r="AA2485" s="59">
        <f>IF($Y2485="","",IF(INDEX($D$6:$D$40000,$Y2485)="","",INDEX($D$6:$D$40000,$Y2485)))</f>
        <v/>
      </c>
      <c r="AB2485">
        <f>IF($Y2485="","",INDEX($L$6:$L$40000,$Y2485)&amp;"")</f>
        <v/>
      </c>
    </row>
    <row r="2486">
      <c r="Y2486" s="47">
        <f>IFERROR(MATCH(Library!M2486,$M$6:$M$40000,0),"")</f>
        <v/>
      </c>
      <c r="Z2486">
        <f>IF($Y2486="","",INDEX($C$6:$C$40000,$Y2486)&amp;"")</f>
        <v/>
      </c>
      <c r="AA2486" s="59">
        <f>IF($Y2486="","",IF(INDEX($D$6:$D$40000,$Y2486)="","",INDEX($D$6:$D$40000,$Y2486)))</f>
        <v/>
      </c>
      <c r="AB2486">
        <f>IF($Y2486="","",INDEX($L$6:$L$40000,$Y2486)&amp;"")</f>
        <v/>
      </c>
    </row>
    <row r="2487">
      <c r="Y2487" s="47">
        <f>IFERROR(MATCH(Library!M2487,$M$6:$M$40000,0),"")</f>
        <v/>
      </c>
      <c r="Z2487">
        <f>IF($Y2487="","",INDEX($C$6:$C$40000,$Y2487)&amp;"")</f>
        <v/>
      </c>
      <c r="AA2487" s="59">
        <f>IF($Y2487="","",IF(INDEX($D$6:$D$40000,$Y2487)="","",INDEX($D$6:$D$40000,$Y2487)))</f>
        <v/>
      </c>
      <c r="AB2487">
        <f>IF($Y2487="","",INDEX($L$6:$L$40000,$Y2487)&amp;"")</f>
        <v/>
      </c>
    </row>
    <row r="2488">
      <c r="Y2488" s="47">
        <f>IFERROR(MATCH(Library!M2488,$M$6:$M$40000,0),"")</f>
        <v/>
      </c>
      <c r="Z2488">
        <f>IF($Y2488="","",INDEX($C$6:$C$40000,$Y2488)&amp;"")</f>
        <v/>
      </c>
      <c r="AA2488" s="59">
        <f>IF($Y2488="","",IF(INDEX($D$6:$D$40000,$Y2488)="","",INDEX($D$6:$D$40000,$Y2488)))</f>
        <v/>
      </c>
      <c r="AB2488">
        <f>IF($Y2488="","",INDEX($L$6:$L$40000,$Y2488)&amp;"")</f>
        <v/>
      </c>
    </row>
    <row r="2489">
      <c r="Y2489" s="47">
        <f>IFERROR(MATCH(Library!M2489,$M$6:$M$40000,0),"")</f>
        <v/>
      </c>
      <c r="Z2489">
        <f>IF($Y2489="","",INDEX($C$6:$C$40000,$Y2489)&amp;"")</f>
        <v/>
      </c>
      <c r="AA2489" s="59">
        <f>IF($Y2489="","",IF(INDEX($D$6:$D$40000,$Y2489)="","",INDEX($D$6:$D$40000,$Y2489)))</f>
        <v/>
      </c>
      <c r="AB2489">
        <f>IF($Y2489="","",INDEX($L$6:$L$40000,$Y2489)&amp;"")</f>
        <v/>
      </c>
    </row>
    <row r="2490">
      <c r="Y2490" s="47">
        <f>IFERROR(MATCH(Library!M2490,$M$6:$M$40000,0),"")</f>
        <v/>
      </c>
      <c r="Z2490">
        <f>IF($Y2490="","",INDEX($C$6:$C$40000,$Y2490)&amp;"")</f>
        <v/>
      </c>
      <c r="AA2490" s="59">
        <f>IF($Y2490="","",IF(INDEX($D$6:$D$40000,$Y2490)="","",INDEX($D$6:$D$40000,$Y2490)))</f>
        <v/>
      </c>
      <c r="AB2490">
        <f>IF($Y2490="","",INDEX($L$6:$L$40000,$Y2490)&amp;"")</f>
        <v/>
      </c>
    </row>
    <row r="2491">
      <c r="Y2491" s="47">
        <f>IFERROR(MATCH(Library!M2491,$M$6:$M$40000,0),"")</f>
        <v/>
      </c>
      <c r="Z2491">
        <f>IF($Y2491="","",INDEX($C$6:$C$40000,$Y2491)&amp;"")</f>
        <v/>
      </c>
      <c r="AA2491" s="59">
        <f>IF($Y2491="","",IF(INDEX($D$6:$D$40000,$Y2491)="","",INDEX($D$6:$D$40000,$Y2491)))</f>
        <v/>
      </c>
      <c r="AB2491">
        <f>IF($Y2491="","",INDEX($L$6:$L$40000,$Y2491)&amp;"")</f>
        <v/>
      </c>
    </row>
    <row r="2492">
      <c r="Y2492" s="47">
        <f>IFERROR(MATCH(Library!M2492,$M$6:$M$40000,0),"")</f>
        <v/>
      </c>
      <c r="Z2492">
        <f>IF($Y2492="","",INDEX($C$6:$C$40000,$Y2492)&amp;"")</f>
        <v/>
      </c>
      <c r="AA2492" s="59">
        <f>IF($Y2492="","",IF(INDEX($D$6:$D$40000,$Y2492)="","",INDEX($D$6:$D$40000,$Y2492)))</f>
        <v/>
      </c>
      <c r="AB2492">
        <f>IF($Y2492="","",INDEX($L$6:$L$40000,$Y2492)&amp;"")</f>
        <v/>
      </c>
    </row>
    <row r="2493">
      <c r="Y2493" s="47">
        <f>IFERROR(MATCH(Library!M2493,$M$6:$M$40000,0),"")</f>
        <v/>
      </c>
      <c r="Z2493">
        <f>IF($Y2493="","",INDEX($C$6:$C$40000,$Y2493)&amp;"")</f>
        <v/>
      </c>
      <c r="AA2493" s="59">
        <f>IF($Y2493="","",IF(INDEX($D$6:$D$40000,$Y2493)="","",INDEX($D$6:$D$40000,$Y2493)))</f>
        <v/>
      </c>
      <c r="AB2493">
        <f>IF($Y2493="","",INDEX($L$6:$L$40000,$Y2493)&amp;"")</f>
        <v/>
      </c>
    </row>
    <row r="2494">
      <c r="Y2494" s="47">
        <f>IFERROR(MATCH(Library!M2494,$M$6:$M$40000,0),"")</f>
        <v/>
      </c>
      <c r="Z2494">
        <f>IF($Y2494="","",INDEX($C$6:$C$40000,$Y2494)&amp;"")</f>
        <v/>
      </c>
      <c r="AA2494" s="59">
        <f>IF($Y2494="","",IF(INDEX($D$6:$D$40000,$Y2494)="","",INDEX($D$6:$D$40000,$Y2494)))</f>
        <v/>
      </c>
      <c r="AB2494">
        <f>IF($Y2494="","",INDEX($L$6:$L$40000,$Y2494)&amp;"")</f>
        <v/>
      </c>
    </row>
    <row r="2495">
      <c r="Y2495" s="47">
        <f>IFERROR(MATCH(Library!M2495,$M$6:$M$40000,0),"")</f>
        <v/>
      </c>
      <c r="Z2495">
        <f>IF($Y2495="","",INDEX($C$6:$C$40000,$Y2495)&amp;"")</f>
        <v/>
      </c>
      <c r="AA2495" s="59">
        <f>IF($Y2495="","",IF(INDEX($D$6:$D$40000,$Y2495)="","",INDEX($D$6:$D$40000,$Y2495)))</f>
        <v/>
      </c>
      <c r="AB2495">
        <f>IF($Y2495="","",INDEX($L$6:$L$40000,$Y2495)&amp;"")</f>
        <v/>
      </c>
    </row>
    <row r="2496">
      <c r="Y2496" s="47">
        <f>IFERROR(MATCH(Library!M2496,$M$6:$M$40000,0),"")</f>
        <v/>
      </c>
      <c r="Z2496">
        <f>IF($Y2496="","",INDEX($C$6:$C$40000,$Y2496)&amp;"")</f>
        <v/>
      </c>
      <c r="AA2496" s="59">
        <f>IF($Y2496="","",IF(INDEX($D$6:$D$40000,$Y2496)="","",INDEX($D$6:$D$40000,$Y2496)))</f>
        <v/>
      </c>
      <c r="AB2496">
        <f>IF($Y2496="","",INDEX($L$6:$L$40000,$Y2496)&amp;"")</f>
        <v/>
      </c>
    </row>
    <row r="2497">
      <c r="Y2497" s="47">
        <f>IFERROR(MATCH(Library!M2497,$M$6:$M$40000,0),"")</f>
        <v/>
      </c>
      <c r="Z2497">
        <f>IF($Y2497="","",INDEX($C$6:$C$40000,$Y2497)&amp;"")</f>
        <v/>
      </c>
      <c r="AA2497" s="59">
        <f>IF($Y2497="","",IF(INDEX($D$6:$D$40000,$Y2497)="","",INDEX($D$6:$D$40000,$Y2497)))</f>
        <v/>
      </c>
      <c r="AB2497">
        <f>IF($Y2497="","",INDEX($L$6:$L$40000,$Y2497)&amp;"")</f>
        <v/>
      </c>
    </row>
    <row r="2498">
      <c r="Y2498" s="47">
        <f>IFERROR(MATCH(Library!M2498,$M$6:$M$40000,0),"")</f>
        <v/>
      </c>
      <c r="Z2498">
        <f>IF($Y2498="","",INDEX($C$6:$C$40000,$Y2498)&amp;"")</f>
        <v/>
      </c>
      <c r="AA2498" s="59">
        <f>IF($Y2498="","",IF(INDEX($D$6:$D$40000,$Y2498)="","",INDEX($D$6:$D$40000,$Y2498)))</f>
        <v/>
      </c>
      <c r="AB2498">
        <f>IF($Y2498="","",INDEX($L$6:$L$40000,$Y2498)&amp;"")</f>
        <v/>
      </c>
    </row>
    <row r="2499">
      <c r="Y2499" s="47">
        <f>IFERROR(MATCH(Library!M2499,$M$6:$M$40000,0),"")</f>
        <v/>
      </c>
      <c r="Z2499">
        <f>IF($Y2499="","",INDEX($C$6:$C$40000,$Y2499)&amp;"")</f>
        <v/>
      </c>
      <c r="AA2499" s="59">
        <f>IF($Y2499="","",IF(INDEX($D$6:$D$40000,$Y2499)="","",INDEX($D$6:$D$40000,$Y2499)))</f>
        <v/>
      </c>
      <c r="AB2499">
        <f>IF($Y2499="","",INDEX($L$6:$L$40000,$Y2499)&amp;"")</f>
        <v/>
      </c>
    </row>
    <row r="2500">
      <c r="Y2500" s="47">
        <f>IFERROR(MATCH(Library!M2500,$M$6:$M$40000,0),"")</f>
        <v/>
      </c>
      <c r="Z2500">
        <f>IF($Y2500="","",INDEX($C$6:$C$40000,$Y2500)&amp;"")</f>
        <v/>
      </c>
      <c r="AA2500" s="59">
        <f>IF($Y2500="","",IF(INDEX($D$6:$D$40000,$Y2500)="","",INDEX($D$6:$D$40000,$Y2500)))</f>
        <v/>
      </c>
      <c r="AB2500">
        <f>IF($Y2500="","",INDEX($L$6:$L$40000,$Y2500)&amp;"")</f>
        <v/>
      </c>
    </row>
    <row r="2501">
      <c r="Y2501" s="47">
        <f>IFERROR(MATCH(Library!M2501,$M$6:$M$40000,0),"")</f>
        <v/>
      </c>
      <c r="Z2501">
        <f>IF($Y2501="","",INDEX($C$6:$C$40000,$Y2501)&amp;"")</f>
        <v/>
      </c>
      <c r="AA2501" s="59">
        <f>IF($Y2501="","",IF(INDEX($D$6:$D$40000,$Y2501)="","",INDEX($D$6:$D$40000,$Y2501)))</f>
        <v/>
      </c>
      <c r="AB2501">
        <f>IF($Y2501="","",INDEX($L$6:$L$40000,$Y2501)&amp;"")</f>
        <v/>
      </c>
    </row>
    <row r="2502">
      <c r="Y2502" s="47">
        <f>IFERROR(MATCH(Library!M2502,$M$6:$M$40000,0),"")</f>
        <v/>
      </c>
      <c r="Z2502">
        <f>IF($Y2502="","",INDEX($C$6:$C$40000,$Y2502)&amp;"")</f>
        <v/>
      </c>
      <c r="AA2502" s="59">
        <f>IF($Y2502="","",IF(INDEX($D$6:$D$40000,$Y2502)="","",INDEX($D$6:$D$40000,$Y2502)))</f>
        <v/>
      </c>
      <c r="AB2502">
        <f>IF($Y2502="","",INDEX($L$6:$L$40000,$Y2502)&amp;"")</f>
        <v/>
      </c>
    </row>
    <row r="2503">
      <c r="Y2503" s="47">
        <f>IFERROR(MATCH(Library!M2503,$M$6:$M$40000,0),"")</f>
        <v/>
      </c>
      <c r="Z2503">
        <f>IF($Y2503="","",INDEX($C$6:$C$40000,$Y2503)&amp;"")</f>
        <v/>
      </c>
      <c r="AA2503" s="59">
        <f>IF($Y2503="","",IF(INDEX($D$6:$D$40000,$Y2503)="","",INDEX($D$6:$D$40000,$Y2503)))</f>
        <v/>
      </c>
      <c r="AB2503">
        <f>IF($Y2503="","",INDEX($L$6:$L$40000,$Y2503)&amp;"")</f>
        <v/>
      </c>
    </row>
    <row r="2504">
      <c r="Y2504" s="47">
        <f>IFERROR(MATCH(Library!M2504,$M$6:$M$40000,0),"")</f>
        <v/>
      </c>
      <c r="Z2504">
        <f>IF($Y2504="","",INDEX($C$6:$C$40000,$Y2504)&amp;"")</f>
        <v/>
      </c>
      <c r="AA2504" s="59">
        <f>IF($Y2504="","",IF(INDEX($D$6:$D$40000,$Y2504)="","",INDEX($D$6:$D$40000,$Y2504)))</f>
        <v/>
      </c>
      <c r="AB2504">
        <f>IF($Y2504="","",INDEX($L$6:$L$40000,$Y2504)&amp;"")</f>
        <v/>
      </c>
    </row>
    <row r="2505">
      <c r="Y2505" s="47">
        <f>IFERROR(MATCH(Library!M2505,$M$6:$M$40000,0),"")</f>
        <v/>
      </c>
      <c r="Z2505">
        <f>IF($Y2505="","",INDEX($C$6:$C$40000,$Y2505)&amp;"")</f>
        <v/>
      </c>
      <c r="AA2505" s="59">
        <f>IF($Y2505="","",IF(INDEX($D$6:$D$40000,$Y2505)="","",INDEX($D$6:$D$40000,$Y2505)))</f>
        <v/>
      </c>
      <c r="AB2505">
        <f>IF($Y2505="","",INDEX($L$6:$L$40000,$Y2505)&amp;"")</f>
        <v/>
      </c>
    </row>
    <row r="2506">
      <c r="Y2506" s="47">
        <f>IFERROR(MATCH(Library!M2506,$M$6:$M$40000,0),"")</f>
        <v/>
      </c>
      <c r="Z2506">
        <f>IF($Y2506="","",INDEX($C$6:$C$40000,$Y2506)&amp;"")</f>
        <v/>
      </c>
      <c r="AA2506" s="59">
        <f>IF($Y2506="","",IF(INDEX($D$6:$D$40000,$Y2506)="","",INDEX($D$6:$D$40000,$Y2506)))</f>
        <v/>
      </c>
      <c r="AB2506">
        <f>IF($Y2506="","",INDEX($L$6:$L$40000,$Y2506)&amp;"")</f>
        <v/>
      </c>
    </row>
    <row r="2507">
      <c r="Y2507" s="47">
        <f>IFERROR(MATCH(Library!M2507,$M$6:$M$40000,0),"")</f>
        <v/>
      </c>
      <c r="Z2507">
        <f>IF($Y2507="","",INDEX($C$6:$C$40000,$Y2507)&amp;"")</f>
        <v/>
      </c>
      <c r="AA2507" s="59">
        <f>IF($Y2507="","",IF(INDEX($D$6:$D$40000,$Y2507)="","",INDEX($D$6:$D$40000,$Y2507)))</f>
        <v/>
      </c>
      <c r="AB2507">
        <f>IF($Y2507="","",INDEX($L$6:$L$40000,$Y2507)&amp;"")</f>
        <v/>
      </c>
    </row>
    <row r="2508">
      <c r="Y2508" s="47">
        <f>IFERROR(MATCH(Library!M2508,$M$6:$M$40000,0),"")</f>
        <v/>
      </c>
      <c r="Z2508">
        <f>IF($Y2508="","",INDEX($C$6:$C$40000,$Y2508)&amp;"")</f>
        <v/>
      </c>
      <c r="AA2508" s="59">
        <f>IF($Y2508="","",IF(INDEX($D$6:$D$40000,$Y2508)="","",INDEX($D$6:$D$40000,$Y2508)))</f>
        <v/>
      </c>
      <c r="AB2508">
        <f>IF($Y2508="","",INDEX($L$6:$L$40000,$Y2508)&amp;"")</f>
        <v/>
      </c>
    </row>
    <row r="2509">
      <c r="Y2509" s="47">
        <f>IFERROR(MATCH(Library!M2509,$M$6:$M$40000,0),"")</f>
        <v/>
      </c>
      <c r="Z2509">
        <f>IF($Y2509="","",INDEX($C$6:$C$40000,$Y2509)&amp;"")</f>
        <v/>
      </c>
      <c r="AA2509" s="59">
        <f>IF($Y2509="","",IF(INDEX($D$6:$D$40000,$Y2509)="","",INDEX($D$6:$D$40000,$Y2509)))</f>
        <v/>
      </c>
      <c r="AB2509">
        <f>IF($Y2509="","",INDEX($L$6:$L$40000,$Y2509)&amp;"")</f>
        <v/>
      </c>
    </row>
    <row r="2510">
      <c r="Y2510" s="47">
        <f>IFERROR(MATCH(Library!M2510,$M$6:$M$40000,0),"")</f>
        <v/>
      </c>
      <c r="Z2510">
        <f>IF($Y2510="","",INDEX($C$6:$C$40000,$Y2510)&amp;"")</f>
        <v/>
      </c>
      <c r="AA2510" s="59">
        <f>IF($Y2510="","",IF(INDEX($D$6:$D$40000,$Y2510)="","",INDEX($D$6:$D$40000,$Y2510)))</f>
        <v/>
      </c>
      <c r="AB2510">
        <f>IF($Y2510="","",INDEX($L$6:$L$40000,$Y2510)&amp;"")</f>
        <v/>
      </c>
    </row>
    <row r="2511">
      <c r="Y2511" s="47">
        <f>IFERROR(MATCH(Library!M2511,$M$6:$M$40000,0),"")</f>
        <v/>
      </c>
      <c r="Z2511">
        <f>IF($Y2511="","",INDEX($C$6:$C$40000,$Y2511)&amp;"")</f>
        <v/>
      </c>
      <c r="AA2511" s="59">
        <f>IF($Y2511="","",IF(INDEX($D$6:$D$40000,$Y2511)="","",INDEX($D$6:$D$40000,$Y2511)))</f>
        <v/>
      </c>
      <c r="AB2511">
        <f>IF($Y2511="","",INDEX($L$6:$L$40000,$Y2511)&amp;"")</f>
        <v/>
      </c>
    </row>
    <row r="2512">
      <c r="Y2512" s="47">
        <f>IFERROR(MATCH(Library!M2512,$M$6:$M$40000,0),"")</f>
        <v/>
      </c>
      <c r="Z2512">
        <f>IF($Y2512="","",INDEX($C$6:$C$40000,$Y2512)&amp;"")</f>
        <v/>
      </c>
      <c r="AA2512" s="59">
        <f>IF($Y2512="","",IF(INDEX($D$6:$D$40000,$Y2512)="","",INDEX($D$6:$D$40000,$Y2512)))</f>
        <v/>
      </c>
      <c r="AB2512">
        <f>IF($Y2512="","",INDEX($L$6:$L$40000,$Y2512)&amp;"")</f>
        <v/>
      </c>
    </row>
    <row r="2513">
      <c r="Y2513" s="47">
        <f>IFERROR(MATCH(Library!M2513,$M$6:$M$40000,0),"")</f>
        <v/>
      </c>
      <c r="Z2513">
        <f>IF($Y2513="","",INDEX($C$6:$C$40000,$Y2513)&amp;"")</f>
        <v/>
      </c>
      <c r="AA2513" s="59">
        <f>IF($Y2513="","",IF(INDEX($D$6:$D$40000,$Y2513)="","",INDEX($D$6:$D$40000,$Y2513)))</f>
        <v/>
      </c>
      <c r="AB2513">
        <f>IF($Y2513="","",INDEX($L$6:$L$40000,$Y2513)&amp;"")</f>
        <v/>
      </c>
    </row>
    <row r="2514">
      <c r="Y2514" s="47">
        <f>IFERROR(MATCH(Library!M2514,$M$6:$M$40000,0),"")</f>
        <v/>
      </c>
      <c r="Z2514">
        <f>IF($Y2514="","",INDEX($C$6:$C$40000,$Y2514)&amp;"")</f>
        <v/>
      </c>
      <c r="AA2514" s="59">
        <f>IF($Y2514="","",IF(INDEX($D$6:$D$40000,$Y2514)="","",INDEX($D$6:$D$40000,$Y2514)))</f>
        <v/>
      </c>
      <c r="AB2514">
        <f>IF($Y2514="","",INDEX($L$6:$L$40000,$Y2514)&amp;"")</f>
        <v/>
      </c>
    </row>
    <row r="2515">
      <c r="Y2515" s="47">
        <f>IFERROR(MATCH(Library!M2515,$M$6:$M$40000,0),"")</f>
        <v/>
      </c>
      <c r="Z2515">
        <f>IF($Y2515="","",INDEX($C$6:$C$40000,$Y2515)&amp;"")</f>
        <v/>
      </c>
      <c r="AA2515" s="59">
        <f>IF($Y2515="","",IF(INDEX($D$6:$D$40000,$Y2515)="","",INDEX($D$6:$D$40000,$Y2515)))</f>
        <v/>
      </c>
      <c r="AB2515">
        <f>IF($Y2515="","",INDEX($L$6:$L$40000,$Y2515)&amp;"")</f>
        <v/>
      </c>
    </row>
    <row r="2516">
      <c r="Y2516" s="47">
        <f>IFERROR(MATCH(Library!M2516,$M$6:$M$40000,0),"")</f>
        <v/>
      </c>
      <c r="Z2516">
        <f>IF($Y2516="","",INDEX($C$6:$C$40000,$Y2516)&amp;"")</f>
        <v/>
      </c>
      <c r="AA2516" s="59">
        <f>IF($Y2516="","",IF(INDEX($D$6:$D$40000,$Y2516)="","",INDEX($D$6:$D$40000,$Y2516)))</f>
        <v/>
      </c>
      <c r="AB2516">
        <f>IF($Y2516="","",INDEX($L$6:$L$40000,$Y2516)&amp;"")</f>
        <v/>
      </c>
    </row>
    <row r="2517">
      <c r="Y2517" s="47">
        <f>IFERROR(MATCH(Library!M2517,$M$6:$M$40000,0),"")</f>
        <v/>
      </c>
      <c r="Z2517">
        <f>IF($Y2517="","",INDEX($C$6:$C$40000,$Y2517)&amp;"")</f>
        <v/>
      </c>
      <c r="AA2517" s="59">
        <f>IF($Y2517="","",IF(INDEX($D$6:$D$40000,$Y2517)="","",INDEX($D$6:$D$40000,$Y2517)))</f>
        <v/>
      </c>
      <c r="AB2517">
        <f>IF($Y2517="","",INDEX($L$6:$L$40000,$Y2517)&amp;"")</f>
        <v/>
      </c>
    </row>
    <row r="2518">
      <c r="Y2518" s="47">
        <f>IFERROR(MATCH(Library!M2518,$M$6:$M$40000,0),"")</f>
        <v/>
      </c>
      <c r="Z2518">
        <f>IF($Y2518="","",INDEX($C$6:$C$40000,$Y2518)&amp;"")</f>
        <v/>
      </c>
      <c r="AA2518" s="59">
        <f>IF($Y2518="","",IF(INDEX($D$6:$D$40000,$Y2518)="","",INDEX($D$6:$D$40000,$Y2518)))</f>
        <v/>
      </c>
      <c r="AB2518">
        <f>IF($Y2518="","",INDEX($L$6:$L$40000,$Y2518)&amp;"")</f>
        <v/>
      </c>
    </row>
    <row r="2519">
      <c r="Y2519" s="47">
        <f>IFERROR(MATCH(Library!M2519,$M$6:$M$40000,0),"")</f>
        <v/>
      </c>
      <c r="Z2519">
        <f>IF($Y2519="","",INDEX($C$6:$C$40000,$Y2519)&amp;"")</f>
        <v/>
      </c>
      <c r="AA2519" s="59">
        <f>IF($Y2519="","",IF(INDEX($D$6:$D$40000,$Y2519)="","",INDEX($D$6:$D$40000,$Y2519)))</f>
        <v/>
      </c>
      <c r="AB2519">
        <f>IF($Y2519="","",INDEX($L$6:$L$40000,$Y2519)&amp;"")</f>
        <v/>
      </c>
    </row>
    <row r="2520">
      <c r="Y2520" s="47">
        <f>IFERROR(MATCH(Library!M2520,$M$6:$M$40000,0),"")</f>
        <v/>
      </c>
      <c r="Z2520">
        <f>IF($Y2520="","",INDEX($C$6:$C$40000,$Y2520)&amp;"")</f>
        <v/>
      </c>
      <c r="AA2520" s="59">
        <f>IF($Y2520="","",IF(INDEX($D$6:$D$40000,$Y2520)="","",INDEX($D$6:$D$40000,$Y2520)))</f>
        <v/>
      </c>
      <c r="AB2520">
        <f>IF($Y2520="","",INDEX($L$6:$L$40000,$Y2520)&amp;"")</f>
        <v/>
      </c>
    </row>
    <row r="2521">
      <c r="Y2521" s="47">
        <f>IFERROR(MATCH(Library!M2521,$M$6:$M$40000,0),"")</f>
        <v/>
      </c>
      <c r="Z2521">
        <f>IF($Y2521="","",INDEX($C$6:$C$40000,$Y2521)&amp;"")</f>
        <v/>
      </c>
      <c r="AA2521" s="59">
        <f>IF($Y2521="","",IF(INDEX($D$6:$D$40000,$Y2521)="","",INDEX($D$6:$D$40000,$Y2521)))</f>
        <v/>
      </c>
      <c r="AB2521">
        <f>IF($Y2521="","",INDEX($L$6:$L$40000,$Y2521)&amp;"")</f>
        <v/>
      </c>
    </row>
    <row r="2522">
      <c r="Y2522" s="47">
        <f>IFERROR(MATCH(Library!M2522,$M$6:$M$40000,0),"")</f>
        <v/>
      </c>
      <c r="Z2522">
        <f>IF($Y2522="","",INDEX($C$6:$C$40000,$Y2522)&amp;"")</f>
        <v/>
      </c>
      <c r="AA2522" s="59">
        <f>IF($Y2522="","",IF(INDEX($D$6:$D$40000,$Y2522)="","",INDEX($D$6:$D$40000,$Y2522)))</f>
        <v/>
      </c>
      <c r="AB2522">
        <f>IF($Y2522="","",INDEX($L$6:$L$40000,$Y2522)&amp;"")</f>
        <v/>
      </c>
    </row>
    <row r="2523">
      <c r="Y2523" s="47">
        <f>IFERROR(MATCH(Library!M2523,$M$6:$M$40000,0),"")</f>
        <v/>
      </c>
      <c r="Z2523">
        <f>IF($Y2523="","",INDEX($C$6:$C$40000,$Y2523)&amp;"")</f>
        <v/>
      </c>
      <c r="AA2523" s="59">
        <f>IF($Y2523="","",IF(INDEX($D$6:$D$40000,$Y2523)="","",INDEX($D$6:$D$40000,$Y2523)))</f>
        <v/>
      </c>
      <c r="AB2523">
        <f>IF($Y2523="","",INDEX($L$6:$L$40000,$Y2523)&amp;"")</f>
        <v/>
      </c>
    </row>
    <row r="2524">
      <c r="Y2524" s="47">
        <f>IFERROR(MATCH(Library!M2524,$M$6:$M$40000,0),"")</f>
        <v/>
      </c>
      <c r="Z2524">
        <f>IF($Y2524="","",INDEX($C$6:$C$40000,$Y2524)&amp;"")</f>
        <v/>
      </c>
      <c r="AA2524" s="59">
        <f>IF($Y2524="","",IF(INDEX($D$6:$D$40000,$Y2524)="","",INDEX($D$6:$D$40000,$Y2524)))</f>
        <v/>
      </c>
      <c r="AB2524">
        <f>IF($Y2524="","",INDEX($L$6:$L$40000,$Y2524)&amp;"")</f>
        <v/>
      </c>
    </row>
    <row r="2525">
      <c r="Y2525" s="47">
        <f>IFERROR(MATCH(Library!M2525,$M$6:$M$40000,0),"")</f>
        <v/>
      </c>
      <c r="Z2525">
        <f>IF($Y2525="","",INDEX($C$6:$C$40000,$Y2525)&amp;"")</f>
        <v/>
      </c>
      <c r="AA2525" s="59">
        <f>IF($Y2525="","",IF(INDEX($D$6:$D$40000,$Y2525)="","",INDEX($D$6:$D$40000,$Y2525)))</f>
        <v/>
      </c>
      <c r="AB2525">
        <f>IF($Y2525="","",INDEX($L$6:$L$40000,$Y2525)&amp;"")</f>
        <v/>
      </c>
    </row>
    <row r="2526">
      <c r="Y2526" s="47">
        <f>IFERROR(MATCH(Library!M2526,$M$6:$M$40000,0),"")</f>
        <v/>
      </c>
      <c r="Z2526">
        <f>IF($Y2526="","",INDEX($C$6:$C$40000,$Y2526)&amp;"")</f>
        <v/>
      </c>
      <c r="AA2526" s="59">
        <f>IF($Y2526="","",IF(INDEX($D$6:$D$40000,$Y2526)="","",INDEX($D$6:$D$40000,$Y2526)))</f>
        <v/>
      </c>
      <c r="AB2526">
        <f>IF($Y2526="","",INDEX($L$6:$L$40000,$Y2526)&amp;"")</f>
        <v/>
      </c>
    </row>
    <row r="2527">
      <c r="Y2527" s="47">
        <f>IFERROR(MATCH(Library!M2527,$M$6:$M$40000,0),"")</f>
        <v/>
      </c>
      <c r="Z2527">
        <f>IF($Y2527="","",INDEX($C$6:$C$40000,$Y2527)&amp;"")</f>
        <v/>
      </c>
      <c r="AA2527" s="59">
        <f>IF($Y2527="","",IF(INDEX($D$6:$D$40000,$Y2527)="","",INDEX($D$6:$D$40000,$Y2527)))</f>
        <v/>
      </c>
      <c r="AB2527">
        <f>IF($Y2527="","",INDEX($L$6:$L$40000,$Y2527)&amp;"")</f>
        <v/>
      </c>
    </row>
    <row r="2528">
      <c r="Y2528" s="47">
        <f>IFERROR(MATCH(Library!M2528,$M$6:$M$40000,0),"")</f>
        <v/>
      </c>
      <c r="Z2528">
        <f>IF($Y2528="","",INDEX($C$6:$C$40000,$Y2528)&amp;"")</f>
        <v/>
      </c>
      <c r="AA2528" s="59">
        <f>IF($Y2528="","",IF(INDEX($D$6:$D$40000,$Y2528)="","",INDEX($D$6:$D$40000,$Y2528)))</f>
        <v/>
      </c>
      <c r="AB2528">
        <f>IF($Y2528="","",INDEX($L$6:$L$40000,$Y2528)&amp;"")</f>
        <v/>
      </c>
    </row>
    <row r="2529">
      <c r="Y2529" s="47">
        <f>IFERROR(MATCH(Library!M2529,$M$6:$M$40000,0),"")</f>
        <v/>
      </c>
      <c r="Z2529">
        <f>IF($Y2529="","",INDEX($C$6:$C$40000,$Y2529)&amp;"")</f>
        <v/>
      </c>
      <c r="AA2529" s="59">
        <f>IF($Y2529="","",IF(INDEX($D$6:$D$40000,$Y2529)="","",INDEX($D$6:$D$40000,$Y2529)))</f>
        <v/>
      </c>
      <c r="AB2529">
        <f>IF($Y2529="","",INDEX($L$6:$L$40000,$Y2529)&amp;"")</f>
        <v/>
      </c>
    </row>
    <row r="2530">
      <c r="Y2530" s="47">
        <f>IFERROR(MATCH(Library!M2530,$M$6:$M$40000,0),"")</f>
        <v/>
      </c>
      <c r="Z2530">
        <f>IF($Y2530="","",INDEX($C$6:$C$40000,$Y2530)&amp;"")</f>
        <v/>
      </c>
      <c r="AA2530" s="59">
        <f>IF($Y2530="","",IF(INDEX($D$6:$D$40000,$Y2530)="","",INDEX($D$6:$D$40000,$Y2530)))</f>
        <v/>
      </c>
      <c r="AB2530">
        <f>IF($Y2530="","",INDEX($L$6:$L$40000,$Y2530)&amp;"")</f>
        <v/>
      </c>
    </row>
    <row r="2531">
      <c r="Y2531" s="47">
        <f>IFERROR(MATCH(Library!M2531,$M$6:$M$40000,0),"")</f>
        <v/>
      </c>
      <c r="Z2531">
        <f>IF($Y2531="","",INDEX($C$6:$C$40000,$Y2531)&amp;"")</f>
        <v/>
      </c>
      <c r="AA2531" s="59">
        <f>IF($Y2531="","",IF(INDEX($D$6:$D$40000,$Y2531)="","",INDEX($D$6:$D$40000,$Y2531)))</f>
        <v/>
      </c>
      <c r="AB2531">
        <f>IF($Y2531="","",INDEX($L$6:$L$40000,$Y2531)&amp;"")</f>
        <v/>
      </c>
    </row>
    <row r="2532">
      <c r="Y2532" s="47">
        <f>IFERROR(MATCH(Library!M2532,$M$6:$M$40000,0),"")</f>
        <v/>
      </c>
      <c r="Z2532">
        <f>IF($Y2532="","",INDEX($C$6:$C$40000,$Y2532)&amp;"")</f>
        <v/>
      </c>
      <c r="AA2532" s="59">
        <f>IF($Y2532="","",IF(INDEX($D$6:$D$40000,$Y2532)="","",INDEX($D$6:$D$40000,$Y2532)))</f>
        <v/>
      </c>
      <c r="AB2532">
        <f>IF($Y2532="","",INDEX($L$6:$L$40000,$Y2532)&amp;"")</f>
        <v/>
      </c>
    </row>
    <row r="2533">
      <c r="Y2533" s="47">
        <f>IFERROR(MATCH(Library!M2533,$M$6:$M$40000,0),"")</f>
        <v/>
      </c>
      <c r="Z2533">
        <f>IF($Y2533="","",INDEX($C$6:$C$40000,$Y2533)&amp;"")</f>
        <v/>
      </c>
      <c r="AA2533" s="59">
        <f>IF($Y2533="","",IF(INDEX($D$6:$D$40000,$Y2533)="","",INDEX($D$6:$D$40000,$Y2533)))</f>
        <v/>
      </c>
      <c r="AB2533">
        <f>IF($Y2533="","",INDEX($L$6:$L$40000,$Y2533)&amp;"")</f>
        <v/>
      </c>
    </row>
    <row r="2534">
      <c r="Y2534" s="47">
        <f>IFERROR(MATCH(Library!M2534,$M$6:$M$40000,0),"")</f>
        <v/>
      </c>
      <c r="Z2534">
        <f>IF($Y2534="","",INDEX($C$6:$C$40000,$Y2534)&amp;"")</f>
        <v/>
      </c>
      <c r="AA2534" s="59">
        <f>IF($Y2534="","",IF(INDEX($D$6:$D$40000,$Y2534)="","",INDEX($D$6:$D$40000,$Y2534)))</f>
        <v/>
      </c>
      <c r="AB2534">
        <f>IF($Y2534="","",INDEX($L$6:$L$40000,$Y2534)&amp;"")</f>
        <v/>
      </c>
    </row>
    <row r="2535">
      <c r="Y2535" s="47">
        <f>IFERROR(MATCH(Library!M2535,$M$6:$M$40000,0),"")</f>
        <v/>
      </c>
      <c r="Z2535">
        <f>IF($Y2535="","",INDEX($C$6:$C$40000,$Y2535)&amp;"")</f>
        <v/>
      </c>
      <c r="AA2535" s="59">
        <f>IF($Y2535="","",IF(INDEX($D$6:$D$40000,$Y2535)="","",INDEX($D$6:$D$40000,$Y2535)))</f>
        <v/>
      </c>
      <c r="AB2535">
        <f>IF($Y2535="","",INDEX($L$6:$L$40000,$Y2535)&amp;"")</f>
        <v/>
      </c>
    </row>
    <row r="2536">
      <c r="Y2536" s="47">
        <f>IFERROR(MATCH(Library!M2536,$M$6:$M$40000,0),"")</f>
        <v/>
      </c>
      <c r="Z2536">
        <f>IF($Y2536="","",INDEX($C$6:$C$40000,$Y2536)&amp;"")</f>
        <v/>
      </c>
      <c r="AA2536" s="59">
        <f>IF($Y2536="","",IF(INDEX($D$6:$D$40000,$Y2536)="","",INDEX($D$6:$D$40000,$Y2536)))</f>
        <v/>
      </c>
      <c r="AB2536">
        <f>IF($Y2536="","",INDEX($L$6:$L$40000,$Y2536)&amp;"")</f>
        <v/>
      </c>
    </row>
    <row r="2537">
      <c r="Y2537" s="47">
        <f>IFERROR(MATCH(Library!M2537,$M$6:$M$40000,0),"")</f>
        <v/>
      </c>
      <c r="Z2537">
        <f>IF($Y2537="","",INDEX($C$6:$C$40000,$Y2537)&amp;"")</f>
        <v/>
      </c>
      <c r="AA2537" s="59">
        <f>IF($Y2537="","",IF(INDEX($D$6:$D$40000,$Y2537)="","",INDEX($D$6:$D$40000,$Y2537)))</f>
        <v/>
      </c>
      <c r="AB2537">
        <f>IF($Y2537="","",INDEX($L$6:$L$40000,$Y2537)&amp;"")</f>
        <v/>
      </c>
    </row>
    <row r="2538">
      <c r="Y2538" s="47">
        <f>IFERROR(MATCH(Library!M2538,$M$6:$M$40000,0),"")</f>
        <v/>
      </c>
      <c r="Z2538">
        <f>IF($Y2538="","",INDEX($C$6:$C$40000,$Y2538)&amp;"")</f>
        <v/>
      </c>
      <c r="AA2538" s="59">
        <f>IF($Y2538="","",IF(INDEX($D$6:$D$40000,$Y2538)="","",INDEX($D$6:$D$40000,$Y2538)))</f>
        <v/>
      </c>
      <c r="AB2538">
        <f>IF($Y2538="","",INDEX($L$6:$L$40000,$Y2538)&amp;"")</f>
        <v/>
      </c>
    </row>
    <row r="2539">
      <c r="Y2539" s="47">
        <f>IFERROR(MATCH(Library!M2539,$M$6:$M$40000,0),"")</f>
        <v/>
      </c>
      <c r="Z2539">
        <f>IF($Y2539="","",INDEX($C$6:$C$40000,$Y2539)&amp;"")</f>
        <v/>
      </c>
      <c r="AA2539" s="59">
        <f>IF($Y2539="","",IF(INDEX($D$6:$D$40000,$Y2539)="","",INDEX($D$6:$D$40000,$Y2539)))</f>
        <v/>
      </c>
      <c r="AB2539">
        <f>IF($Y2539="","",INDEX($L$6:$L$40000,$Y2539)&amp;"")</f>
        <v/>
      </c>
    </row>
    <row r="2540">
      <c r="Y2540" s="47">
        <f>IFERROR(MATCH(Library!M2540,$M$6:$M$40000,0),"")</f>
        <v/>
      </c>
      <c r="Z2540">
        <f>IF($Y2540="","",INDEX($C$6:$C$40000,$Y2540)&amp;"")</f>
        <v/>
      </c>
      <c r="AA2540" s="59">
        <f>IF($Y2540="","",IF(INDEX($D$6:$D$40000,$Y2540)="","",INDEX($D$6:$D$40000,$Y2540)))</f>
        <v/>
      </c>
      <c r="AB2540">
        <f>IF($Y2540="","",INDEX($L$6:$L$40000,$Y2540)&amp;"")</f>
        <v/>
      </c>
    </row>
    <row r="2541">
      <c r="Y2541" s="47">
        <f>IFERROR(MATCH(Library!M2541,$M$6:$M$40000,0),"")</f>
        <v/>
      </c>
      <c r="Z2541">
        <f>IF($Y2541="","",INDEX($C$6:$C$40000,$Y2541)&amp;"")</f>
        <v/>
      </c>
      <c r="AA2541" s="59">
        <f>IF($Y2541="","",IF(INDEX($D$6:$D$40000,$Y2541)="","",INDEX($D$6:$D$40000,$Y2541)))</f>
        <v/>
      </c>
      <c r="AB2541">
        <f>IF($Y2541="","",INDEX($L$6:$L$40000,$Y2541)&amp;"")</f>
        <v/>
      </c>
    </row>
    <row r="2542">
      <c r="Y2542" s="47">
        <f>IFERROR(MATCH(Library!M2542,$M$6:$M$40000,0),"")</f>
        <v/>
      </c>
      <c r="Z2542">
        <f>IF($Y2542="","",INDEX($C$6:$C$40000,$Y2542)&amp;"")</f>
        <v/>
      </c>
      <c r="AA2542" s="59">
        <f>IF($Y2542="","",IF(INDEX($D$6:$D$40000,$Y2542)="","",INDEX($D$6:$D$40000,$Y2542)))</f>
        <v/>
      </c>
      <c r="AB2542">
        <f>IF($Y2542="","",INDEX($L$6:$L$40000,$Y2542)&amp;"")</f>
        <v/>
      </c>
    </row>
    <row r="2543">
      <c r="Y2543" s="47">
        <f>IFERROR(MATCH(Library!M2543,$M$6:$M$40000,0),"")</f>
        <v/>
      </c>
      <c r="Z2543">
        <f>IF($Y2543="","",INDEX($C$6:$C$40000,$Y2543)&amp;"")</f>
        <v/>
      </c>
      <c r="AA2543" s="59">
        <f>IF($Y2543="","",IF(INDEX($D$6:$D$40000,$Y2543)="","",INDEX($D$6:$D$40000,$Y2543)))</f>
        <v/>
      </c>
      <c r="AB2543">
        <f>IF($Y2543="","",INDEX($L$6:$L$40000,$Y2543)&amp;"")</f>
        <v/>
      </c>
    </row>
    <row r="2544">
      <c r="Y2544" s="47">
        <f>IFERROR(MATCH(Library!M2544,$M$6:$M$40000,0),"")</f>
        <v/>
      </c>
      <c r="Z2544">
        <f>IF($Y2544="","",INDEX($C$6:$C$40000,$Y2544)&amp;"")</f>
        <v/>
      </c>
      <c r="AA2544" s="59">
        <f>IF($Y2544="","",IF(INDEX($D$6:$D$40000,$Y2544)="","",INDEX($D$6:$D$40000,$Y2544)))</f>
        <v/>
      </c>
      <c r="AB2544">
        <f>IF($Y2544="","",INDEX($L$6:$L$40000,$Y2544)&amp;"")</f>
        <v/>
      </c>
    </row>
    <row r="2545">
      <c r="Y2545" s="47">
        <f>IFERROR(MATCH(Library!M2545,$M$6:$M$40000,0),"")</f>
        <v/>
      </c>
      <c r="Z2545">
        <f>IF($Y2545="","",INDEX($C$6:$C$40000,$Y2545)&amp;"")</f>
        <v/>
      </c>
      <c r="AA2545" s="59">
        <f>IF($Y2545="","",IF(INDEX($D$6:$D$40000,$Y2545)="","",INDEX($D$6:$D$40000,$Y2545)))</f>
        <v/>
      </c>
      <c r="AB2545">
        <f>IF($Y2545="","",INDEX($L$6:$L$40000,$Y2545)&amp;"")</f>
        <v/>
      </c>
    </row>
    <row r="2546">
      <c r="Y2546" s="47">
        <f>IFERROR(MATCH(Library!M2546,$M$6:$M$40000,0),"")</f>
        <v/>
      </c>
      <c r="Z2546">
        <f>IF($Y2546="","",INDEX($C$6:$C$40000,$Y2546)&amp;"")</f>
        <v/>
      </c>
      <c r="AA2546" s="59">
        <f>IF($Y2546="","",IF(INDEX($D$6:$D$40000,$Y2546)="","",INDEX($D$6:$D$40000,$Y2546)))</f>
        <v/>
      </c>
      <c r="AB2546">
        <f>IF($Y2546="","",INDEX($L$6:$L$40000,$Y2546)&amp;"")</f>
        <v/>
      </c>
    </row>
    <row r="2547">
      <c r="Y2547" s="47">
        <f>IFERROR(MATCH(Library!M2547,$M$6:$M$40000,0),"")</f>
        <v/>
      </c>
      <c r="Z2547">
        <f>IF($Y2547="","",INDEX($C$6:$C$40000,$Y2547)&amp;"")</f>
        <v/>
      </c>
      <c r="AA2547" s="59">
        <f>IF($Y2547="","",IF(INDEX($D$6:$D$40000,$Y2547)="","",INDEX($D$6:$D$40000,$Y2547)))</f>
        <v/>
      </c>
      <c r="AB2547">
        <f>IF($Y2547="","",INDEX($L$6:$L$40000,$Y2547)&amp;"")</f>
        <v/>
      </c>
    </row>
    <row r="2548">
      <c r="Y2548" s="47">
        <f>IFERROR(MATCH(Library!M2548,$M$6:$M$40000,0),"")</f>
        <v/>
      </c>
      <c r="Z2548">
        <f>IF($Y2548="","",INDEX($C$6:$C$40000,$Y2548)&amp;"")</f>
        <v/>
      </c>
      <c r="AA2548" s="59">
        <f>IF($Y2548="","",IF(INDEX($D$6:$D$40000,$Y2548)="","",INDEX($D$6:$D$40000,$Y2548)))</f>
        <v/>
      </c>
      <c r="AB2548">
        <f>IF($Y2548="","",INDEX($L$6:$L$40000,$Y2548)&amp;"")</f>
        <v/>
      </c>
    </row>
    <row r="2549">
      <c r="Y2549" s="47">
        <f>IFERROR(MATCH(Library!M2549,$M$6:$M$40000,0),"")</f>
        <v/>
      </c>
      <c r="Z2549">
        <f>IF($Y2549="","",INDEX($C$6:$C$40000,$Y2549)&amp;"")</f>
        <v/>
      </c>
      <c r="AA2549" s="59">
        <f>IF($Y2549="","",IF(INDEX($D$6:$D$40000,$Y2549)="","",INDEX($D$6:$D$40000,$Y2549)))</f>
        <v/>
      </c>
      <c r="AB2549">
        <f>IF($Y2549="","",INDEX($L$6:$L$40000,$Y2549)&amp;"")</f>
        <v/>
      </c>
    </row>
    <row r="2550">
      <c r="Y2550" s="47">
        <f>IFERROR(MATCH(Library!M2550,$M$6:$M$40000,0),"")</f>
        <v/>
      </c>
      <c r="Z2550">
        <f>IF($Y2550="","",INDEX($C$6:$C$40000,$Y2550)&amp;"")</f>
        <v/>
      </c>
      <c r="AA2550" s="59">
        <f>IF($Y2550="","",IF(INDEX($D$6:$D$40000,$Y2550)="","",INDEX($D$6:$D$40000,$Y2550)))</f>
        <v/>
      </c>
      <c r="AB2550">
        <f>IF($Y2550="","",INDEX($L$6:$L$40000,$Y2550)&amp;"")</f>
        <v/>
      </c>
    </row>
    <row r="2551">
      <c r="Y2551" s="47">
        <f>IFERROR(MATCH(Library!M2551,$M$6:$M$40000,0),"")</f>
        <v/>
      </c>
      <c r="Z2551">
        <f>IF($Y2551="","",INDEX($C$6:$C$40000,$Y2551)&amp;"")</f>
        <v/>
      </c>
      <c r="AA2551" s="59">
        <f>IF($Y2551="","",IF(INDEX($D$6:$D$40000,$Y2551)="","",INDEX($D$6:$D$40000,$Y2551)))</f>
        <v/>
      </c>
      <c r="AB2551">
        <f>IF($Y2551="","",INDEX($L$6:$L$40000,$Y2551)&amp;"")</f>
        <v/>
      </c>
    </row>
    <row r="2552">
      <c r="Y2552" s="47">
        <f>IFERROR(MATCH(Library!M2552,$M$6:$M$40000,0),"")</f>
        <v/>
      </c>
      <c r="Z2552">
        <f>IF($Y2552="","",INDEX($C$6:$C$40000,$Y2552)&amp;"")</f>
        <v/>
      </c>
      <c r="AA2552" s="59">
        <f>IF($Y2552="","",IF(INDEX($D$6:$D$40000,$Y2552)="","",INDEX($D$6:$D$40000,$Y2552)))</f>
        <v/>
      </c>
      <c r="AB2552">
        <f>IF($Y2552="","",INDEX($L$6:$L$40000,$Y2552)&amp;"")</f>
        <v/>
      </c>
    </row>
    <row r="2553">
      <c r="Y2553" s="47">
        <f>IFERROR(MATCH(Library!M2553,$M$6:$M$40000,0),"")</f>
        <v/>
      </c>
      <c r="Z2553">
        <f>IF($Y2553="","",INDEX($C$6:$C$40000,$Y2553)&amp;"")</f>
        <v/>
      </c>
      <c r="AA2553" s="59">
        <f>IF($Y2553="","",IF(INDEX($D$6:$D$40000,$Y2553)="","",INDEX($D$6:$D$40000,$Y2553)))</f>
        <v/>
      </c>
      <c r="AB2553">
        <f>IF($Y2553="","",INDEX($L$6:$L$40000,$Y2553)&amp;"")</f>
        <v/>
      </c>
    </row>
    <row r="2554">
      <c r="Y2554" s="47">
        <f>IFERROR(MATCH(Library!M2554,$M$6:$M$40000,0),"")</f>
        <v/>
      </c>
      <c r="Z2554">
        <f>IF($Y2554="","",INDEX($C$6:$C$40000,$Y2554)&amp;"")</f>
        <v/>
      </c>
      <c r="AA2554" s="59">
        <f>IF($Y2554="","",IF(INDEX($D$6:$D$40000,$Y2554)="","",INDEX($D$6:$D$40000,$Y2554)))</f>
        <v/>
      </c>
      <c r="AB2554">
        <f>IF($Y2554="","",INDEX($L$6:$L$40000,$Y2554)&amp;"")</f>
        <v/>
      </c>
    </row>
    <row r="2555">
      <c r="Y2555" s="47">
        <f>IFERROR(MATCH(Library!M2555,$M$6:$M$40000,0),"")</f>
        <v/>
      </c>
      <c r="Z2555">
        <f>IF($Y2555="","",INDEX($C$6:$C$40000,$Y2555)&amp;"")</f>
        <v/>
      </c>
      <c r="AA2555" s="59">
        <f>IF($Y2555="","",IF(INDEX($D$6:$D$40000,$Y2555)="","",INDEX($D$6:$D$40000,$Y2555)))</f>
        <v/>
      </c>
      <c r="AB2555">
        <f>IF($Y2555="","",INDEX($L$6:$L$40000,$Y2555)&amp;"")</f>
        <v/>
      </c>
    </row>
    <row r="2556">
      <c r="Y2556" s="47">
        <f>IFERROR(MATCH(Library!M2556,$M$6:$M$40000,0),"")</f>
        <v/>
      </c>
      <c r="Z2556">
        <f>IF($Y2556="","",INDEX($C$6:$C$40000,$Y2556)&amp;"")</f>
        <v/>
      </c>
      <c r="AA2556" s="59">
        <f>IF($Y2556="","",IF(INDEX($D$6:$D$40000,$Y2556)="","",INDEX($D$6:$D$40000,$Y2556)))</f>
        <v/>
      </c>
      <c r="AB2556">
        <f>IF($Y2556="","",INDEX($L$6:$L$40000,$Y2556)&amp;"")</f>
        <v/>
      </c>
    </row>
    <row r="2557">
      <c r="Y2557" s="47">
        <f>IFERROR(MATCH(Library!M2557,$M$6:$M$40000,0),"")</f>
        <v/>
      </c>
      <c r="Z2557">
        <f>IF($Y2557="","",INDEX($C$6:$C$40000,$Y2557)&amp;"")</f>
        <v/>
      </c>
      <c r="AA2557" s="59">
        <f>IF($Y2557="","",IF(INDEX($D$6:$D$40000,$Y2557)="","",INDEX($D$6:$D$40000,$Y2557)))</f>
        <v/>
      </c>
      <c r="AB2557">
        <f>IF($Y2557="","",INDEX($L$6:$L$40000,$Y2557)&amp;"")</f>
        <v/>
      </c>
    </row>
    <row r="2558">
      <c r="Y2558" s="47">
        <f>IFERROR(MATCH(Library!M2558,$M$6:$M$40000,0),"")</f>
        <v/>
      </c>
      <c r="Z2558">
        <f>IF($Y2558="","",INDEX($C$6:$C$40000,$Y2558)&amp;"")</f>
        <v/>
      </c>
      <c r="AA2558" s="59">
        <f>IF($Y2558="","",IF(INDEX($D$6:$D$40000,$Y2558)="","",INDEX($D$6:$D$40000,$Y2558)))</f>
        <v/>
      </c>
      <c r="AB2558">
        <f>IF($Y2558="","",INDEX($L$6:$L$40000,$Y2558)&amp;"")</f>
        <v/>
      </c>
    </row>
    <row r="2559">
      <c r="Y2559" s="47">
        <f>IFERROR(MATCH(Library!M2559,$M$6:$M$40000,0),"")</f>
        <v/>
      </c>
      <c r="Z2559">
        <f>IF($Y2559="","",INDEX($C$6:$C$40000,$Y2559)&amp;"")</f>
        <v/>
      </c>
      <c r="AA2559" s="59">
        <f>IF($Y2559="","",IF(INDEX($D$6:$D$40000,$Y2559)="","",INDEX($D$6:$D$40000,$Y2559)))</f>
        <v/>
      </c>
      <c r="AB2559">
        <f>IF($Y2559="","",INDEX($L$6:$L$40000,$Y2559)&amp;"")</f>
        <v/>
      </c>
    </row>
    <row r="2560">
      <c r="Y2560" s="47">
        <f>IFERROR(MATCH(Library!M2560,$M$6:$M$40000,0),"")</f>
        <v/>
      </c>
      <c r="Z2560">
        <f>IF($Y2560="","",INDEX($C$6:$C$40000,$Y2560)&amp;"")</f>
        <v/>
      </c>
      <c r="AA2560" s="59">
        <f>IF($Y2560="","",IF(INDEX($D$6:$D$40000,$Y2560)="","",INDEX($D$6:$D$40000,$Y2560)))</f>
        <v/>
      </c>
      <c r="AB2560">
        <f>IF($Y2560="","",INDEX($L$6:$L$40000,$Y2560)&amp;"")</f>
        <v/>
      </c>
    </row>
    <row r="2561">
      <c r="Y2561" s="47">
        <f>IFERROR(MATCH(Library!M2561,$M$6:$M$40000,0),"")</f>
        <v/>
      </c>
      <c r="Z2561">
        <f>IF($Y2561="","",INDEX($C$6:$C$40000,$Y2561)&amp;"")</f>
        <v/>
      </c>
      <c r="AA2561" s="59">
        <f>IF($Y2561="","",IF(INDEX($D$6:$D$40000,$Y2561)="","",INDEX($D$6:$D$40000,$Y2561)))</f>
        <v/>
      </c>
      <c r="AB2561">
        <f>IF($Y2561="","",INDEX($L$6:$L$40000,$Y2561)&amp;"")</f>
        <v/>
      </c>
    </row>
    <row r="2562">
      <c r="Y2562" s="47">
        <f>IFERROR(MATCH(Library!M2562,$M$6:$M$40000,0),"")</f>
        <v/>
      </c>
      <c r="Z2562">
        <f>IF($Y2562="","",INDEX($C$6:$C$40000,$Y2562)&amp;"")</f>
        <v/>
      </c>
      <c r="AA2562" s="59">
        <f>IF($Y2562="","",IF(INDEX($D$6:$D$40000,$Y2562)="","",INDEX($D$6:$D$40000,$Y2562)))</f>
        <v/>
      </c>
      <c r="AB2562">
        <f>IF($Y2562="","",INDEX($L$6:$L$40000,$Y2562)&amp;"")</f>
        <v/>
      </c>
    </row>
    <row r="2563">
      <c r="Y2563" s="47">
        <f>IFERROR(MATCH(Library!M2563,$M$6:$M$40000,0),"")</f>
        <v/>
      </c>
      <c r="Z2563">
        <f>IF($Y2563="","",INDEX($C$6:$C$40000,$Y2563)&amp;"")</f>
        <v/>
      </c>
      <c r="AA2563" s="59">
        <f>IF($Y2563="","",IF(INDEX($D$6:$D$40000,$Y2563)="","",INDEX($D$6:$D$40000,$Y2563)))</f>
        <v/>
      </c>
      <c r="AB2563">
        <f>IF($Y2563="","",INDEX($L$6:$L$40000,$Y2563)&amp;"")</f>
        <v/>
      </c>
    </row>
    <row r="2564">
      <c r="Y2564" s="47">
        <f>IFERROR(MATCH(Library!M2564,$M$6:$M$40000,0),"")</f>
        <v/>
      </c>
      <c r="Z2564">
        <f>IF($Y2564="","",INDEX($C$6:$C$40000,$Y2564)&amp;"")</f>
        <v/>
      </c>
      <c r="AA2564" s="59">
        <f>IF($Y2564="","",IF(INDEX($D$6:$D$40000,$Y2564)="","",INDEX($D$6:$D$40000,$Y2564)))</f>
        <v/>
      </c>
      <c r="AB2564">
        <f>IF($Y2564="","",INDEX($L$6:$L$40000,$Y2564)&amp;"")</f>
        <v/>
      </c>
    </row>
    <row r="2565">
      <c r="Y2565" s="47">
        <f>IFERROR(MATCH(Library!M2565,$M$6:$M$40000,0),"")</f>
        <v/>
      </c>
      <c r="Z2565">
        <f>IF($Y2565="","",INDEX($C$6:$C$40000,$Y2565)&amp;"")</f>
        <v/>
      </c>
      <c r="AA2565" s="59">
        <f>IF($Y2565="","",IF(INDEX($D$6:$D$40000,$Y2565)="","",INDEX($D$6:$D$40000,$Y2565)))</f>
        <v/>
      </c>
      <c r="AB2565">
        <f>IF($Y2565="","",INDEX($L$6:$L$40000,$Y2565)&amp;"")</f>
        <v/>
      </c>
    </row>
    <row r="2566">
      <c r="Y2566" s="47">
        <f>IFERROR(MATCH(Library!M2566,$M$6:$M$40000,0),"")</f>
        <v/>
      </c>
      <c r="Z2566">
        <f>IF($Y2566="","",INDEX($C$6:$C$40000,$Y2566)&amp;"")</f>
        <v/>
      </c>
      <c r="AA2566" s="59">
        <f>IF($Y2566="","",IF(INDEX($D$6:$D$40000,$Y2566)="","",INDEX($D$6:$D$40000,$Y2566)))</f>
        <v/>
      </c>
      <c r="AB2566">
        <f>IF($Y2566="","",INDEX($L$6:$L$40000,$Y2566)&amp;"")</f>
        <v/>
      </c>
    </row>
    <row r="2567">
      <c r="Y2567" s="47">
        <f>IFERROR(MATCH(Library!M2567,$M$6:$M$40000,0),"")</f>
        <v/>
      </c>
      <c r="Z2567">
        <f>IF($Y2567="","",INDEX($C$6:$C$40000,$Y2567)&amp;"")</f>
        <v/>
      </c>
      <c r="AA2567" s="59">
        <f>IF($Y2567="","",IF(INDEX($D$6:$D$40000,$Y2567)="","",INDEX($D$6:$D$40000,$Y2567)))</f>
        <v/>
      </c>
      <c r="AB2567">
        <f>IF($Y2567="","",INDEX($L$6:$L$40000,$Y2567)&amp;"")</f>
        <v/>
      </c>
    </row>
    <row r="2568">
      <c r="Y2568" s="47">
        <f>IFERROR(MATCH(Library!M2568,$M$6:$M$40000,0),"")</f>
        <v/>
      </c>
      <c r="Z2568">
        <f>IF($Y2568="","",INDEX($C$6:$C$40000,$Y2568)&amp;"")</f>
        <v/>
      </c>
      <c r="AA2568" s="59">
        <f>IF($Y2568="","",IF(INDEX($D$6:$D$40000,$Y2568)="","",INDEX($D$6:$D$40000,$Y2568)))</f>
        <v/>
      </c>
      <c r="AB2568">
        <f>IF($Y2568="","",INDEX($L$6:$L$40000,$Y2568)&amp;"")</f>
        <v/>
      </c>
    </row>
    <row r="2569">
      <c r="Y2569" s="47">
        <f>IFERROR(MATCH(Library!M2569,$M$6:$M$40000,0),"")</f>
        <v/>
      </c>
      <c r="Z2569">
        <f>IF($Y2569="","",INDEX($C$6:$C$40000,$Y2569)&amp;"")</f>
        <v/>
      </c>
      <c r="AA2569" s="59">
        <f>IF($Y2569="","",IF(INDEX($D$6:$D$40000,$Y2569)="","",INDEX($D$6:$D$40000,$Y2569)))</f>
        <v/>
      </c>
      <c r="AB2569">
        <f>IF($Y2569="","",INDEX($L$6:$L$40000,$Y2569)&amp;"")</f>
        <v/>
      </c>
    </row>
    <row r="2570">
      <c r="Y2570" s="47">
        <f>IFERROR(MATCH(Library!M2570,$M$6:$M$40000,0),"")</f>
        <v/>
      </c>
      <c r="Z2570">
        <f>IF($Y2570="","",INDEX($C$6:$C$40000,$Y2570)&amp;"")</f>
        <v/>
      </c>
      <c r="AA2570" s="59">
        <f>IF($Y2570="","",IF(INDEX($D$6:$D$40000,$Y2570)="","",INDEX($D$6:$D$40000,$Y2570)))</f>
        <v/>
      </c>
      <c r="AB2570">
        <f>IF($Y2570="","",INDEX($L$6:$L$40000,$Y2570)&amp;"")</f>
        <v/>
      </c>
    </row>
    <row r="2571">
      <c r="Y2571" s="47">
        <f>IFERROR(MATCH(Library!M2571,$M$6:$M$40000,0),"")</f>
        <v/>
      </c>
      <c r="Z2571">
        <f>IF($Y2571="","",INDEX($C$6:$C$40000,$Y2571)&amp;"")</f>
        <v/>
      </c>
      <c r="AA2571" s="59">
        <f>IF($Y2571="","",IF(INDEX($D$6:$D$40000,$Y2571)="","",INDEX($D$6:$D$40000,$Y2571)))</f>
        <v/>
      </c>
      <c r="AB2571">
        <f>IF($Y2571="","",INDEX($L$6:$L$40000,$Y2571)&amp;"")</f>
        <v/>
      </c>
    </row>
    <row r="2572">
      <c r="Y2572" s="47">
        <f>IFERROR(MATCH(Library!M2572,$M$6:$M$40000,0),"")</f>
        <v/>
      </c>
      <c r="Z2572">
        <f>IF($Y2572="","",INDEX($C$6:$C$40000,$Y2572)&amp;"")</f>
        <v/>
      </c>
      <c r="AA2572" s="59">
        <f>IF($Y2572="","",IF(INDEX($D$6:$D$40000,$Y2572)="","",INDEX($D$6:$D$40000,$Y2572)))</f>
        <v/>
      </c>
      <c r="AB2572">
        <f>IF($Y2572="","",INDEX($L$6:$L$40000,$Y2572)&amp;"")</f>
        <v/>
      </c>
    </row>
    <row r="2573">
      <c r="Y2573" s="47">
        <f>IFERROR(MATCH(Library!M2573,$M$6:$M$40000,0),"")</f>
        <v/>
      </c>
      <c r="Z2573">
        <f>IF($Y2573="","",INDEX($C$6:$C$40000,$Y2573)&amp;"")</f>
        <v/>
      </c>
      <c r="AA2573" s="59">
        <f>IF($Y2573="","",IF(INDEX($D$6:$D$40000,$Y2573)="","",INDEX($D$6:$D$40000,$Y2573)))</f>
        <v/>
      </c>
      <c r="AB2573">
        <f>IF($Y2573="","",INDEX($L$6:$L$40000,$Y2573)&amp;"")</f>
        <v/>
      </c>
    </row>
    <row r="2574">
      <c r="Y2574" s="47">
        <f>IFERROR(MATCH(Library!M2574,$M$6:$M$40000,0),"")</f>
        <v/>
      </c>
      <c r="Z2574">
        <f>IF($Y2574="","",INDEX($C$6:$C$40000,$Y2574)&amp;"")</f>
        <v/>
      </c>
      <c r="AA2574" s="59">
        <f>IF($Y2574="","",IF(INDEX($D$6:$D$40000,$Y2574)="","",INDEX($D$6:$D$40000,$Y2574)))</f>
        <v/>
      </c>
      <c r="AB2574">
        <f>IF($Y2574="","",INDEX($L$6:$L$40000,$Y2574)&amp;"")</f>
        <v/>
      </c>
    </row>
    <row r="2575">
      <c r="Y2575" s="47">
        <f>IFERROR(MATCH(Library!M2575,$M$6:$M$40000,0),"")</f>
        <v/>
      </c>
      <c r="Z2575">
        <f>IF($Y2575="","",INDEX($C$6:$C$40000,$Y2575)&amp;"")</f>
        <v/>
      </c>
      <c r="AA2575" s="59">
        <f>IF($Y2575="","",IF(INDEX($D$6:$D$40000,$Y2575)="","",INDEX($D$6:$D$40000,$Y2575)))</f>
        <v/>
      </c>
      <c r="AB2575">
        <f>IF($Y2575="","",INDEX($L$6:$L$40000,$Y2575)&amp;"")</f>
        <v/>
      </c>
    </row>
    <row r="2576">
      <c r="Y2576" s="47">
        <f>IFERROR(MATCH(Library!M2576,$M$6:$M$40000,0),"")</f>
        <v/>
      </c>
      <c r="Z2576">
        <f>IF($Y2576="","",INDEX($C$6:$C$40000,$Y2576)&amp;"")</f>
        <v/>
      </c>
      <c r="AA2576" s="59">
        <f>IF($Y2576="","",IF(INDEX($D$6:$D$40000,$Y2576)="","",INDEX($D$6:$D$40000,$Y2576)))</f>
        <v/>
      </c>
      <c r="AB2576">
        <f>IF($Y2576="","",INDEX($L$6:$L$40000,$Y2576)&amp;"")</f>
        <v/>
      </c>
    </row>
    <row r="2577">
      <c r="Y2577" s="47">
        <f>IFERROR(MATCH(Library!M2577,$M$6:$M$40000,0),"")</f>
        <v/>
      </c>
      <c r="Z2577">
        <f>IF($Y2577="","",INDEX($C$6:$C$40000,$Y2577)&amp;"")</f>
        <v/>
      </c>
      <c r="AA2577" s="59">
        <f>IF($Y2577="","",IF(INDEX($D$6:$D$40000,$Y2577)="","",INDEX($D$6:$D$40000,$Y2577)))</f>
        <v/>
      </c>
      <c r="AB2577">
        <f>IF($Y2577="","",INDEX($L$6:$L$40000,$Y2577)&amp;"")</f>
        <v/>
      </c>
    </row>
    <row r="2578">
      <c r="Y2578" s="47">
        <f>IFERROR(MATCH(Library!M2578,$M$6:$M$40000,0),"")</f>
        <v/>
      </c>
      <c r="Z2578">
        <f>IF($Y2578="","",INDEX($C$6:$C$40000,$Y2578)&amp;"")</f>
        <v/>
      </c>
      <c r="AA2578" s="59">
        <f>IF($Y2578="","",IF(INDEX($D$6:$D$40000,$Y2578)="","",INDEX($D$6:$D$40000,$Y2578)))</f>
        <v/>
      </c>
      <c r="AB2578">
        <f>IF($Y2578="","",INDEX($L$6:$L$40000,$Y2578)&amp;"")</f>
        <v/>
      </c>
    </row>
    <row r="2579">
      <c r="Y2579" s="47">
        <f>IFERROR(MATCH(Library!M2579,$M$6:$M$40000,0),"")</f>
        <v/>
      </c>
      <c r="Z2579">
        <f>IF($Y2579="","",INDEX($C$6:$C$40000,$Y2579)&amp;"")</f>
        <v/>
      </c>
      <c r="AA2579" s="59">
        <f>IF($Y2579="","",IF(INDEX($D$6:$D$40000,$Y2579)="","",INDEX($D$6:$D$40000,$Y2579)))</f>
        <v/>
      </c>
      <c r="AB2579">
        <f>IF($Y2579="","",INDEX($L$6:$L$40000,$Y2579)&amp;"")</f>
        <v/>
      </c>
    </row>
    <row r="2580">
      <c r="Y2580" s="47">
        <f>IFERROR(MATCH(Library!M2580,$M$6:$M$40000,0),"")</f>
        <v/>
      </c>
      <c r="Z2580">
        <f>IF($Y2580="","",INDEX($C$6:$C$40000,$Y2580)&amp;"")</f>
        <v/>
      </c>
      <c r="AA2580" s="59">
        <f>IF($Y2580="","",IF(INDEX($D$6:$D$40000,$Y2580)="","",INDEX($D$6:$D$40000,$Y2580)))</f>
        <v/>
      </c>
      <c r="AB2580">
        <f>IF($Y2580="","",INDEX($L$6:$L$40000,$Y2580)&amp;"")</f>
        <v/>
      </c>
    </row>
    <row r="2581">
      <c r="Y2581" s="47">
        <f>IFERROR(MATCH(Library!M2581,$M$6:$M$40000,0),"")</f>
        <v/>
      </c>
      <c r="Z2581">
        <f>IF($Y2581="","",INDEX($C$6:$C$40000,$Y2581)&amp;"")</f>
        <v/>
      </c>
      <c r="AA2581" s="59">
        <f>IF($Y2581="","",IF(INDEX($D$6:$D$40000,$Y2581)="","",INDEX($D$6:$D$40000,$Y2581)))</f>
        <v/>
      </c>
      <c r="AB2581">
        <f>IF($Y2581="","",INDEX($L$6:$L$40000,$Y2581)&amp;"")</f>
        <v/>
      </c>
    </row>
    <row r="2582">
      <c r="Y2582" s="47">
        <f>IFERROR(MATCH(Library!M2582,$M$6:$M$40000,0),"")</f>
        <v/>
      </c>
      <c r="Z2582">
        <f>IF($Y2582="","",INDEX($C$6:$C$40000,$Y2582)&amp;"")</f>
        <v/>
      </c>
      <c r="AA2582" s="59">
        <f>IF($Y2582="","",IF(INDEX($D$6:$D$40000,$Y2582)="","",INDEX($D$6:$D$40000,$Y2582)))</f>
        <v/>
      </c>
      <c r="AB2582">
        <f>IF($Y2582="","",INDEX($L$6:$L$40000,$Y2582)&amp;"")</f>
        <v/>
      </c>
    </row>
    <row r="2583">
      <c r="Y2583" s="47">
        <f>IFERROR(MATCH(Library!M2583,$M$6:$M$40000,0),"")</f>
        <v/>
      </c>
      <c r="Z2583">
        <f>IF($Y2583="","",INDEX($C$6:$C$40000,$Y2583)&amp;"")</f>
        <v/>
      </c>
      <c r="AA2583" s="59">
        <f>IF($Y2583="","",IF(INDEX($D$6:$D$40000,$Y2583)="","",INDEX($D$6:$D$40000,$Y2583)))</f>
        <v/>
      </c>
      <c r="AB2583">
        <f>IF($Y2583="","",INDEX($L$6:$L$40000,$Y2583)&amp;"")</f>
        <v/>
      </c>
    </row>
    <row r="2584">
      <c r="Y2584" s="47">
        <f>IFERROR(MATCH(Library!M2584,$M$6:$M$40000,0),"")</f>
        <v/>
      </c>
      <c r="Z2584">
        <f>IF($Y2584="","",INDEX($C$6:$C$40000,$Y2584)&amp;"")</f>
        <v/>
      </c>
      <c r="AA2584" s="59">
        <f>IF($Y2584="","",IF(INDEX($D$6:$D$40000,$Y2584)="","",INDEX($D$6:$D$40000,$Y2584)))</f>
        <v/>
      </c>
      <c r="AB2584">
        <f>IF($Y2584="","",INDEX($L$6:$L$40000,$Y2584)&amp;"")</f>
        <v/>
      </c>
    </row>
    <row r="2585">
      <c r="Y2585" s="47">
        <f>IFERROR(MATCH(Library!M2585,$M$6:$M$40000,0),"")</f>
        <v/>
      </c>
      <c r="Z2585">
        <f>IF($Y2585="","",INDEX($C$6:$C$40000,$Y2585)&amp;"")</f>
        <v/>
      </c>
      <c r="AA2585" s="59">
        <f>IF($Y2585="","",IF(INDEX($D$6:$D$40000,$Y2585)="","",INDEX($D$6:$D$40000,$Y2585)))</f>
        <v/>
      </c>
      <c r="AB2585">
        <f>IF($Y2585="","",INDEX($L$6:$L$40000,$Y2585)&amp;"")</f>
        <v/>
      </c>
    </row>
    <row r="2586">
      <c r="Y2586" s="47">
        <f>IFERROR(MATCH(Library!M2586,$M$6:$M$40000,0),"")</f>
        <v/>
      </c>
      <c r="Z2586">
        <f>IF($Y2586="","",INDEX($C$6:$C$40000,$Y2586)&amp;"")</f>
        <v/>
      </c>
      <c r="AA2586" s="59">
        <f>IF($Y2586="","",IF(INDEX($D$6:$D$40000,$Y2586)="","",INDEX($D$6:$D$40000,$Y2586)))</f>
        <v/>
      </c>
      <c r="AB2586">
        <f>IF($Y2586="","",INDEX($L$6:$L$40000,$Y2586)&amp;"")</f>
        <v/>
      </c>
    </row>
    <row r="2587">
      <c r="Y2587" s="47">
        <f>IFERROR(MATCH(Library!M2587,$M$6:$M$40000,0),"")</f>
        <v/>
      </c>
      <c r="Z2587">
        <f>IF($Y2587="","",INDEX($C$6:$C$40000,$Y2587)&amp;"")</f>
        <v/>
      </c>
      <c r="AA2587" s="59">
        <f>IF($Y2587="","",IF(INDEX($D$6:$D$40000,$Y2587)="","",INDEX($D$6:$D$40000,$Y2587)))</f>
        <v/>
      </c>
      <c r="AB2587">
        <f>IF($Y2587="","",INDEX($L$6:$L$40000,$Y2587)&amp;"")</f>
        <v/>
      </c>
    </row>
    <row r="2588">
      <c r="Y2588" s="47">
        <f>IFERROR(MATCH(Library!M2588,$M$6:$M$40000,0),"")</f>
        <v/>
      </c>
      <c r="Z2588">
        <f>IF($Y2588="","",INDEX($C$6:$C$40000,$Y2588)&amp;"")</f>
        <v/>
      </c>
      <c r="AA2588" s="59">
        <f>IF($Y2588="","",IF(INDEX($D$6:$D$40000,$Y2588)="","",INDEX($D$6:$D$40000,$Y2588)))</f>
        <v/>
      </c>
      <c r="AB2588">
        <f>IF($Y2588="","",INDEX($L$6:$L$40000,$Y2588)&amp;"")</f>
        <v/>
      </c>
    </row>
    <row r="2589">
      <c r="Y2589" s="47">
        <f>IFERROR(MATCH(Library!M2589,$M$6:$M$40000,0),"")</f>
        <v/>
      </c>
      <c r="Z2589">
        <f>IF($Y2589="","",INDEX($C$6:$C$40000,$Y2589)&amp;"")</f>
        <v/>
      </c>
      <c r="AA2589" s="59">
        <f>IF($Y2589="","",IF(INDEX($D$6:$D$40000,$Y2589)="","",INDEX($D$6:$D$40000,$Y2589)))</f>
        <v/>
      </c>
      <c r="AB2589">
        <f>IF($Y2589="","",INDEX($L$6:$L$40000,$Y2589)&amp;"")</f>
        <v/>
      </c>
    </row>
    <row r="2590">
      <c r="Y2590" s="47">
        <f>IFERROR(MATCH(Library!M2590,$M$6:$M$40000,0),"")</f>
        <v/>
      </c>
      <c r="Z2590">
        <f>IF($Y2590="","",INDEX($C$6:$C$40000,$Y2590)&amp;"")</f>
        <v/>
      </c>
      <c r="AA2590" s="59">
        <f>IF($Y2590="","",IF(INDEX($D$6:$D$40000,$Y2590)="","",INDEX($D$6:$D$40000,$Y2590)))</f>
        <v/>
      </c>
      <c r="AB2590">
        <f>IF($Y2590="","",INDEX($L$6:$L$40000,$Y2590)&amp;"")</f>
        <v/>
      </c>
    </row>
    <row r="2591">
      <c r="Y2591" s="47">
        <f>IFERROR(MATCH(Library!M2591,$M$6:$M$40000,0),"")</f>
        <v/>
      </c>
      <c r="Z2591">
        <f>IF($Y2591="","",INDEX($C$6:$C$40000,$Y2591)&amp;"")</f>
        <v/>
      </c>
      <c r="AA2591" s="59">
        <f>IF($Y2591="","",IF(INDEX($D$6:$D$40000,$Y2591)="","",INDEX($D$6:$D$40000,$Y2591)))</f>
        <v/>
      </c>
      <c r="AB2591">
        <f>IF($Y2591="","",INDEX($L$6:$L$40000,$Y2591)&amp;"")</f>
        <v/>
      </c>
    </row>
    <row r="2592">
      <c r="Y2592" s="47">
        <f>IFERROR(MATCH(Library!M2592,$M$6:$M$40000,0),"")</f>
        <v/>
      </c>
      <c r="Z2592">
        <f>IF($Y2592="","",INDEX($C$6:$C$40000,$Y2592)&amp;"")</f>
        <v/>
      </c>
      <c r="AA2592" s="59">
        <f>IF($Y2592="","",IF(INDEX($D$6:$D$40000,$Y2592)="","",INDEX($D$6:$D$40000,$Y2592)))</f>
        <v/>
      </c>
      <c r="AB2592">
        <f>IF($Y2592="","",INDEX($L$6:$L$40000,$Y2592)&amp;"")</f>
        <v/>
      </c>
    </row>
    <row r="2593">
      <c r="Y2593" s="47">
        <f>IFERROR(MATCH(Library!M2593,$M$6:$M$40000,0),"")</f>
        <v/>
      </c>
      <c r="Z2593">
        <f>IF($Y2593="","",INDEX($C$6:$C$40000,$Y2593)&amp;"")</f>
        <v/>
      </c>
      <c r="AA2593" s="59">
        <f>IF($Y2593="","",IF(INDEX($D$6:$D$40000,$Y2593)="","",INDEX($D$6:$D$40000,$Y2593)))</f>
        <v/>
      </c>
      <c r="AB2593">
        <f>IF($Y2593="","",INDEX($L$6:$L$40000,$Y2593)&amp;"")</f>
        <v/>
      </c>
    </row>
    <row r="2594">
      <c r="Y2594" s="47">
        <f>IFERROR(MATCH(Library!M2594,$M$6:$M$40000,0),"")</f>
        <v/>
      </c>
      <c r="Z2594">
        <f>IF($Y2594="","",INDEX($C$6:$C$40000,$Y2594)&amp;"")</f>
        <v/>
      </c>
      <c r="AA2594" s="59">
        <f>IF($Y2594="","",IF(INDEX($D$6:$D$40000,$Y2594)="","",INDEX($D$6:$D$40000,$Y2594)))</f>
        <v/>
      </c>
      <c r="AB2594">
        <f>IF($Y2594="","",INDEX($L$6:$L$40000,$Y2594)&amp;"")</f>
        <v/>
      </c>
    </row>
    <row r="2595">
      <c r="Y2595" s="47">
        <f>IFERROR(MATCH(Library!M2595,$M$6:$M$40000,0),"")</f>
        <v/>
      </c>
      <c r="Z2595">
        <f>IF($Y2595="","",INDEX($C$6:$C$40000,$Y2595)&amp;"")</f>
        <v/>
      </c>
      <c r="AA2595" s="59">
        <f>IF($Y2595="","",IF(INDEX($D$6:$D$40000,$Y2595)="","",INDEX($D$6:$D$40000,$Y2595)))</f>
        <v/>
      </c>
      <c r="AB2595">
        <f>IF($Y2595="","",INDEX($L$6:$L$40000,$Y2595)&amp;"")</f>
        <v/>
      </c>
    </row>
    <row r="2596">
      <c r="Y2596" s="47">
        <f>IFERROR(MATCH(Library!M2596,$M$6:$M$40000,0),"")</f>
        <v/>
      </c>
      <c r="Z2596">
        <f>IF($Y2596="","",INDEX($C$6:$C$40000,$Y2596)&amp;"")</f>
        <v/>
      </c>
      <c r="AA2596" s="59">
        <f>IF($Y2596="","",IF(INDEX($D$6:$D$40000,$Y2596)="","",INDEX($D$6:$D$40000,$Y2596)))</f>
        <v/>
      </c>
      <c r="AB2596">
        <f>IF($Y2596="","",INDEX($L$6:$L$40000,$Y2596)&amp;"")</f>
        <v/>
      </c>
    </row>
    <row r="2597">
      <c r="Y2597" s="47">
        <f>IFERROR(MATCH(Library!M2597,$M$6:$M$40000,0),"")</f>
        <v/>
      </c>
      <c r="Z2597">
        <f>IF($Y2597="","",INDEX($C$6:$C$40000,$Y2597)&amp;"")</f>
        <v/>
      </c>
      <c r="AA2597" s="59">
        <f>IF($Y2597="","",IF(INDEX($D$6:$D$40000,$Y2597)="","",INDEX($D$6:$D$40000,$Y2597)))</f>
        <v/>
      </c>
      <c r="AB2597">
        <f>IF($Y2597="","",INDEX($L$6:$L$40000,$Y2597)&amp;"")</f>
        <v/>
      </c>
    </row>
    <row r="2598">
      <c r="Y2598" s="47">
        <f>IFERROR(MATCH(Library!M2598,$M$6:$M$40000,0),"")</f>
        <v/>
      </c>
      <c r="Z2598">
        <f>IF($Y2598="","",INDEX($C$6:$C$40000,$Y2598)&amp;"")</f>
        <v/>
      </c>
      <c r="AA2598" s="59">
        <f>IF($Y2598="","",IF(INDEX($D$6:$D$40000,$Y2598)="","",INDEX($D$6:$D$40000,$Y2598)))</f>
        <v/>
      </c>
      <c r="AB2598">
        <f>IF($Y2598="","",INDEX($L$6:$L$40000,$Y2598)&amp;"")</f>
        <v/>
      </c>
    </row>
    <row r="2599">
      <c r="Y2599" s="47">
        <f>IFERROR(MATCH(Library!M2599,$M$6:$M$40000,0),"")</f>
        <v/>
      </c>
      <c r="Z2599">
        <f>IF($Y2599="","",INDEX($C$6:$C$40000,$Y2599)&amp;"")</f>
        <v/>
      </c>
      <c r="AA2599" s="59">
        <f>IF($Y2599="","",IF(INDEX($D$6:$D$40000,$Y2599)="","",INDEX($D$6:$D$40000,$Y2599)))</f>
        <v/>
      </c>
      <c r="AB2599">
        <f>IF($Y2599="","",INDEX($L$6:$L$40000,$Y2599)&amp;"")</f>
        <v/>
      </c>
    </row>
    <row r="2600">
      <c r="Y2600" s="47">
        <f>IFERROR(MATCH(Library!M2600,$M$6:$M$40000,0),"")</f>
        <v/>
      </c>
      <c r="Z2600">
        <f>IF($Y2600="","",INDEX($C$6:$C$40000,$Y2600)&amp;"")</f>
        <v/>
      </c>
      <c r="AA2600" s="59">
        <f>IF($Y2600="","",IF(INDEX($D$6:$D$40000,$Y2600)="","",INDEX($D$6:$D$40000,$Y2600)))</f>
        <v/>
      </c>
      <c r="AB2600">
        <f>IF($Y2600="","",INDEX($L$6:$L$40000,$Y2600)&amp;"")</f>
        <v/>
      </c>
    </row>
    <row r="2601">
      <c r="Y2601" s="47">
        <f>IFERROR(MATCH(Library!M2601,$M$6:$M$40000,0),"")</f>
        <v/>
      </c>
      <c r="Z2601">
        <f>IF($Y2601="","",INDEX($C$6:$C$40000,$Y2601)&amp;"")</f>
        <v/>
      </c>
      <c r="AA2601" s="59">
        <f>IF($Y2601="","",IF(INDEX($D$6:$D$40000,$Y2601)="","",INDEX($D$6:$D$40000,$Y2601)))</f>
        <v/>
      </c>
      <c r="AB2601">
        <f>IF($Y2601="","",INDEX($L$6:$L$40000,$Y2601)&amp;"")</f>
        <v/>
      </c>
    </row>
    <row r="2602">
      <c r="Y2602" s="47">
        <f>IFERROR(MATCH(Library!M2602,$M$6:$M$40000,0),"")</f>
        <v/>
      </c>
      <c r="Z2602">
        <f>IF($Y2602="","",INDEX($C$6:$C$40000,$Y2602)&amp;"")</f>
        <v/>
      </c>
      <c r="AA2602" s="59">
        <f>IF($Y2602="","",IF(INDEX($D$6:$D$40000,$Y2602)="","",INDEX($D$6:$D$40000,$Y2602)))</f>
        <v/>
      </c>
      <c r="AB2602">
        <f>IF($Y2602="","",INDEX($L$6:$L$40000,$Y2602)&amp;"")</f>
        <v/>
      </c>
    </row>
    <row r="2603">
      <c r="Y2603" s="47">
        <f>IFERROR(MATCH(Library!M2603,$M$6:$M$40000,0),"")</f>
        <v/>
      </c>
      <c r="Z2603">
        <f>IF($Y2603="","",INDEX($C$6:$C$40000,$Y2603)&amp;"")</f>
        <v/>
      </c>
      <c r="AA2603" s="59">
        <f>IF($Y2603="","",IF(INDEX($D$6:$D$40000,$Y2603)="","",INDEX($D$6:$D$40000,$Y2603)))</f>
        <v/>
      </c>
      <c r="AB2603">
        <f>IF($Y2603="","",INDEX($L$6:$L$40000,$Y2603)&amp;"")</f>
        <v/>
      </c>
    </row>
    <row r="2604">
      <c r="Y2604" s="47">
        <f>IFERROR(MATCH(Library!M2604,$M$6:$M$40000,0),"")</f>
        <v/>
      </c>
      <c r="Z2604">
        <f>IF($Y2604="","",INDEX($C$6:$C$40000,$Y2604)&amp;"")</f>
        <v/>
      </c>
      <c r="AA2604" s="59">
        <f>IF($Y2604="","",IF(INDEX($D$6:$D$40000,$Y2604)="","",INDEX($D$6:$D$40000,$Y2604)))</f>
        <v/>
      </c>
      <c r="AB2604">
        <f>IF($Y2604="","",INDEX($L$6:$L$40000,$Y2604)&amp;"")</f>
        <v/>
      </c>
    </row>
    <row r="2605">
      <c r="Y2605" s="47">
        <f>IFERROR(MATCH(Library!M2605,$M$6:$M$40000,0),"")</f>
        <v/>
      </c>
      <c r="Z2605">
        <f>IF($Y2605="","",INDEX($C$6:$C$40000,$Y2605)&amp;"")</f>
        <v/>
      </c>
      <c r="AA2605" s="59">
        <f>IF($Y2605="","",IF(INDEX($D$6:$D$40000,$Y2605)="","",INDEX($D$6:$D$40000,$Y2605)))</f>
        <v/>
      </c>
      <c r="AB2605">
        <f>IF($Y2605="","",INDEX($L$6:$L$40000,$Y2605)&amp;"")</f>
        <v/>
      </c>
    </row>
    <row r="2606">
      <c r="Y2606" s="47">
        <f>IFERROR(MATCH(Library!M2606,$M$6:$M$40000,0),"")</f>
        <v/>
      </c>
      <c r="Z2606">
        <f>IF($Y2606="","",INDEX($C$6:$C$40000,$Y2606)&amp;"")</f>
        <v/>
      </c>
      <c r="AA2606" s="59">
        <f>IF($Y2606="","",IF(INDEX($D$6:$D$40000,$Y2606)="","",INDEX($D$6:$D$40000,$Y2606)))</f>
        <v/>
      </c>
      <c r="AB2606">
        <f>IF($Y2606="","",INDEX($L$6:$L$40000,$Y2606)&amp;"")</f>
        <v/>
      </c>
    </row>
    <row r="2607">
      <c r="Y2607" s="47">
        <f>IFERROR(MATCH(Library!M2607,$M$6:$M$40000,0),"")</f>
        <v/>
      </c>
      <c r="Z2607">
        <f>IF($Y2607="","",INDEX($C$6:$C$40000,$Y2607)&amp;"")</f>
        <v/>
      </c>
      <c r="AA2607" s="59">
        <f>IF($Y2607="","",IF(INDEX($D$6:$D$40000,$Y2607)="","",INDEX($D$6:$D$40000,$Y2607)))</f>
        <v/>
      </c>
      <c r="AB2607">
        <f>IF($Y2607="","",INDEX($L$6:$L$40000,$Y2607)&amp;"")</f>
        <v/>
      </c>
    </row>
    <row r="2608">
      <c r="Y2608" s="47">
        <f>IFERROR(MATCH(Library!M2608,$M$6:$M$40000,0),"")</f>
        <v/>
      </c>
      <c r="Z2608">
        <f>IF($Y2608="","",INDEX($C$6:$C$40000,$Y2608)&amp;"")</f>
        <v/>
      </c>
      <c r="AA2608" s="59">
        <f>IF($Y2608="","",IF(INDEX($D$6:$D$40000,$Y2608)="","",INDEX($D$6:$D$40000,$Y2608)))</f>
        <v/>
      </c>
      <c r="AB2608">
        <f>IF($Y2608="","",INDEX($L$6:$L$40000,$Y2608)&amp;"")</f>
        <v/>
      </c>
    </row>
    <row r="2609">
      <c r="Y2609" s="47">
        <f>IFERROR(MATCH(Library!M2609,$M$6:$M$40000,0),"")</f>
        <v/>
      </c>
      <c r="Z2609">
        <f>IF($Y2609="","",INDEX($C$6:$C$40000,$Y2609)&amp;"")</f>
        <v/>
      </c>
      <c r="AA2609" s="59">
        <f>IF($Y2609="","",IF(INDEX($D$6:$D$40000,$Y2609)="","",INDEX($D$6:$D$40000,$Y2609)))</f>
        <v/>
      </c>
      <c r="AB2609">
        <f>IF($Y2609="","",INDEX($L$6:$L$40000,$Y2609)&amp;"")</f>
        <v/>
      </c>
    </row>
    <row r="2610">
      <c r="Y2610" s="47">
        <f>IFERROR(MATCH(Library!M2610,$M$6:$M$40000,0),"")</f>
        <v/>
      </c>
      <c r="Z2610">
        <f>IF($Y2610="","",INDEX($C$6:$C$40000,$Y2610)&amp;"")</f>
        <v/>
      </c>
      <c r="AA2610" s="59">
        <f>IF($Y2610="","",IF(INDEX($D$6:$D$40000,$Y2610)="","",INDEX($D$6:$D$40000,$Y2610)))</f>
        <v/>
      </c>
      <c r="AB2610">
        <f>IF($Y2610="","",INDEX($L$6:$L$40000,$Y2610)&amp;"")</f>
        <v/>
      </c>
    </row>
    <row r="2611">
      <c r="Y2611" s="47">
        <f>IFERROR(MATCH(Library!M2611,$M$6:$M$40000,0),"")</f>
        <v/>
      </c>
      <c r="Z2611">
        <f>IF($Y2611="","",INDEX($C$6:$C$40000,$Y2611)&amp;"")</f>
        <v/>
      </c>
      <c r="AA2611" s="59">
        <f>IF($Y2611="","",IF(INDEX($D$6:$D$40000,$Y2611)="","",INDEX($D$6:$D$40000,$Y2611)))</f>
        <v/>
      </c>
      <c r="AB2611">
        <f>IF($Y2611="","",INDEX($L$6:$L$40000,$Y2611)&amp;"")</f>
        <v/>
      </c>
    </row>
    <row r="2612">
      <c r="Y2612" s="47">
        <f>IFERROR(MATCH(Library!M2612,$M$6:$M$40000,0),"")</f>
        <v/>
      </c>
      <c r="Z2612">
        <f>IF($Y2612="","",INDEX($C$6:$C$40000,$Y2612)&amp;"")</f>
        <v/>
      </c>
      <c r="AA2612" s="59">
        <f>IF($Y2612="","",IF(INDEX($D$6:$D$40000,$Y2612)="","",INDEX($D$6:$D$40000,$Y2612)))</f>
        <v/>
      </c>
      <c r="AB2612">
        <f>IF($Y2612="","",INDEX($L$6:$L$40000,$Y2612)&amp;"")</f>
        <v/>
      </c>
    </row>
    <row r="2613">
      <c r="Y2613" s="47">
        <f>IFERROR(MATCH(Library!M2613,$M$6:$M$40000,0),"")</f>
        <v/>
      </c>
      <c r="Z2613">
        <f>IF($Y2613="","",INDEX($C$6:$C$40000,$Y2613)&amp;"")</f>
        <v/>
      </c>
      <c r="AA2613" s="59">
        <f>IF($Y2613="","",IF(INDEX($D$6:$D$40000,$Y2613)="","",INDEX($D$6:$D$40000,$Y2613)))</f>
        <v/>
      </c>
      <c r="AB2613">
        <f>IF($Y2613="","",INDEX($L$6:$L$40000,$Y2613)&amp;"")</f>
        <v/>
      </c>
    </row>
    <row r="2614">
      <c r="Y2614" s="47">
        <f>IFERROR(MATCH(Library!M2614,$M$6:$M$40000,0),"")</f>
        <v/>
      </c>
      <c r="Z2614">
        <f>IF($Y2614="","",INDEX($C$6:$C$40000,$Y2614)&amp;"")</f>
        <v/>
      </c>
      <c r="AA2614" s="59">
        <f>IF($Y2614="","",IF(INDEX($D$6:$D$40000,$Y2614)="","",INDEX($D$6:$D$40000,$Y2614)))</f>
        <v/>
      </c>
      <c r="AB2614">
        <f>IF($Y2614="","",INDEX($L$6:$L$40000,$Y2614)&amp;"")</f>
        <v/>
      </c>
    </row>
    <row r="2615">
      <c r="Y2615" s="47">
        <f>IFERROR(MATCH(Library!M2615,$M$6:$M$40000,0),"")</f>
        <v/>
      </c>
      <c r="Z2615">
        <f>IF($Y2615="","",INDEX($C$6:$C$40000,$Y2615)&amp;"")</f>
        <v/>
      </c>
      <c r="AA2615" s="59">
        <f>IF($Y2615="","",IF(INDEX($D$6:$D$40000,$Y2615)="","",INDEX($D$6:$D$40000,$Y2615)))</f>
        <v/>
      </c>
      <c r="AB2615">
        <f>IF($Y2615="","",INDEX($L$6:$L$40000,$Y2615)&amp;"")</f>
        <v/>
      </c>
    </row>
    <row r="2616">
      <c r="Y2616" s="47">
        <f>IFERROR(MATCH(Library!M2616,$M$6:$M$40000,0),"")</f>
        <v/>
      </c>
      <c r="Z2616">
        <f>IF($Y2616="","",INDEX($C$6:$C$40000,$Y2616)&amp;"")</f>
        <v/>
      </c>
      <c r="AA2616" s="59">
        <f>IF($Y2616="","",IF(INDEX($D$6:$D$40000,$Y2616)="","",INDEX($D$6:$D$40000,$Y2616)))</f>
        <v/>
      </c>
      <c r="AB2616">
        <f>IF($Y2616="","",INDEX($L$6:$L$40000,$Y2616)&amp;"")</f>
        <v/>
      </c>
    </row>
    <row r="2617">
      <c r="Y2617" s="47">
        <f>IFERROR(MATCH(Library!M2617,$M$6:$M$40000,0),"")</f>
        <v/>
      </c>
      <c r="Z2617">
        <f>IF($Y2617="","",INDEX($C$6:$C$40000,$Y2617)&amp;"")</f>
        <v/>
      </c>
      <c r="AA2617" s="59">
        <f>IF($Y2617="","",IF(INDEX($D$6:$D$40000,$Y2617)="","",INDEX($D$6:$D$40000,$Y2617)))</f>
        <v/>
      </c>
      <c r="AB2617">
        <f>IF($Y2617="","",INDEX($L$6:$L$40000,$Y2617)&amp;"")</f>
        <v/>
      </c>
    </row>
    <row r="2618">
      <c r="Y2618" s="47">
        <f>IFERROR(MATCH(Library!M2618,$M$6:$M$40000,0),"")</f>
        <v/>
      </c>
      <c r="Z2618">
        <f>IF($Y2618="","",INDEX($C$6:$C$40000,$Y2618)&amp;"")</f>
        <v/>
      </c>
      <c r="AA2618" s="59">
        <f>IF($Y2618="","",IF(INDEX($D$6:$D$40000,$Y2618)="","",INDEX($D$6:$D$40000,$Y2618)))</f>
        <v/>
      </c>
      <c r="AB2618">
        <f>IF($Y2618="","",INDEX($L$6:$L$40000,$Y2618)&amp;"")</f>
        <v/>
      </c>
    </row>
    <row r="2619">
      <c r="Y2619" s="47">
        <f>IFERROR(MATCH(Library!M2619,$M$6:$M$40000,0),"")</f>
        <v/>
      </c>
      <c r="Z2619">
        <f>IF($Y2619="","",INDEX($C$6:$C$40000,$Y2619)&amp;"")</f>
        <v/>
      </c>
      <c r="AA2619" s="59">
        <f>IF($Y2619="","",IF(INDEX($D$6:$D$40000,$Y2619)="","",INDEX($D$6:$D$40000,$Y2619)))</f>
        <v/>
      </c>
      <c r="AB2619">
        <f>IF($Y2619="","",INDEX($L$6:$L$40000,$Y2619)&amp;"")</f>
        <v/>
      </c>
    </row>
    <row r="2620">
      <c r="Y2620" s="47">
        <f>IFERROR(MATCH(Library!M2620,$M$6:$M$40000,0),"")</f>
        <v/>
      </c>
      <c r="Z2620">
        <f>IF($Y2620="","",INDEX($C$6:$C$40000,$Y2620)&amp;"")</f>
        <v/>
      </c>
      <c r="AA2620" s="59">
        <f>IF($Y2620="","",IF(INDEX($D$6:$D$40000,$Y2620)="","",INDEX($D$6:$D$40000,$Y2620)))</f>
        <v/>
      </c>
      <c r="AB2620">
        <f>IF($Y2620="","",INDEX($L$6:$L$40000,$Y2620)&amp;"")</f>
        <v/>
      </c>
    </row>
    <row r="2621">
      <c r="Y2621" s="47">
        <f>IFERROR(MATCH(Library!M2621,$M$6:$M$40000,0),"")</f>
        <v/>
      </c>
      <c r="Z2621">
        <f>IF($Y2621="","",INDEX($C$6:$C$40000,$Y2621)&amp;"")</f>
        <v/>
      </c>
      <c r="AA2621" s="59">
        <f>IF($Y2621="","",IF(INDEX($D$6:$D$40000,$Y2621)="","",INDEX($D$6:$D$40000,$Y2621)))</f>
        <v/>
      </c>
      <c r="AB2621">
        <f>IF($Y2621="","",INDEX($L$6:$L$40000,$Y2621)&amp;"")</f>
        <v/>
      </c>
    </row>
    <row r="2622">
      <c r="Y2622" s="47">
        <f>IFERROR(MATCH(Library!M2622,$M$6:$M$40000,0),"")</f>
        <v/>
      </c>
      <c r="Z2622">
        <f>IF($Y2622="","",INDEX($C$6:$C$40000,$Y2622)&amp;"")</f>
        <v/>
      </c>
      <c r="AA2622" s="59">
        <f>IF($Y2622="","",IF(INDEX($D$6:$D$40000,$Y2622)="","",INDEX($D$6:$D$40000,$Y2622)))</f>
        <v/>
      </c>
      <c r="AB2622">
        <f>IF($Y2622="","",INDEX($L$6:$L$40000,$Y2622)&amp;"")</f>
        <v/>
      </c>
    </row>
    <row r="2623">
      <c r="Y2623" s="47">
        <f>IFERROR(MATCH(Library!M2623,$M$6:$M$40000,0),"")</f>
        <v/>
      </c>
      <c r="Z2623">
        <f>IF($Y2623="","",INDEX($C$6:$C$40000,$Y2623)&amp;"")</f>
        <v/>
      </c>
      <c r="AA2623" s="59">
        <f>IF($Y2623="","",IF(INDEX($D$6:$D$40000,$Y2623)="","",INDEX($D$6:$D$40000,$Y2623)))</f>
        <v/>
      </c>
      <c r="AB2623">
        <f>IF($Y2623="","",INDEX($L$6:$L$40000,$Y2623)&amp;"")</f>
        <v/>
      </c>
    </row>
    <row r="2624">
      <c r="Y2624" s="47">
        <f>IFERROR(MATCH(Library!M2624,$M$6:$M$40000,0),"")</f>
        <v/>
      </c>
      <c r="Z2624">
        <f>IF($Y2624="","",INDEX($C$6:$C$40000,$Y2624)&amp;"")</f>
        <v/>
      </c>
      <c r="AA2624" s="59">
        <f>IF($Y2624="","",IF(INDEX($D$6:$D$40000,$Y2624)="","",INDEX($D$6:$D$40000,$Y2624)))</f>
        <v/>
      </c>
      <c r="AB2624">
        <f>IF($Y2624="","",INDEX($L$6:$L$40000,$Y2624)&amp;"")</f>
        <v/>
      </c>
    </row>
    <row r="2625">
      <c r="Y2625" s="47">
        <f>IFERROR(MATCH(Library!M2625,$M$6:$M$40000,0),"")</f>
        <v/>
      </c>
      <c r="Z2625">
        <f>IF($Y2625="","",INDEX($C$6:$C$40000,$Y2625)&amp;"")</f>
        <v/>
      </c>
      <c r="AA2625" s="59">
        <f>IF($Y2625="","",IF(INDEX($D$6:$D$40000,$Y2625)="","",INDEX($D$6:$D$40000,$Y2625)))</f>
        <v/>
      </c>
      <c r="AB2625">
        <f>IF($Y2625="","",INDEX($L$6:$L$40000,$Y2625)&amp;"")</f>
        <v/>
      </c>
    </row>
    <row r="2626">
      <c r="Y2626" s="47">
        <f>IFERROR(MATCH(Library!M2626,$M$6:$M$40000,0),"")</f>
        <v/>
      </c>
      <c r="Z2626">
        <f>IF($Y2626="","",INDEX($C$6:$C$40000,$Y2626)&amp;"")</f>
        <v/>
      </c>
      <c r="AA2626" s="59">
        <f>IF($Y2626="","",IF(INDEX($D$6:$D$40000,$Y2626)="","",INDEX($D$6:$D$40000,$Y2626)))</f>
        <v/>
      </c>
      <c r="AB2626">
        <f>IF($Y2626="","",INDEX($L$6:$L$40000,$Y2626)&amp;"")</f>
        <v/>
      </c>
    </row>
    <row r="2627">
      <c r="Y2627" s="47">
        <f>IFERROR(MATCH(Library!M2627,$M$6:$M$40000,0),"")</f>
        <v/>
      </c>
      <c r="Z2627">
        <f>IF($Y2627="","",INDEX($C$6:$C$40000,$Y2627)&amp;"")</f>
        <v/>
      </c>
      <c r="AA2627" s="59">
        <f>IF($Y2627="","",IF(INDEX($D$6:$D$40000,$Y2627)="","",INDEX($D$6:$D$40000,$Y2627)))</f>
        <v/>
      </c>
      <c r="AB2627">
        <f>IF($Y2627="","",INDEX($L$6:$L$40000,$Y2627)&amp;"")</f>
        <v/>
      </c>
    </row>
    <row r="2628">
      <c r="Y2628" s="47">
        <f>IFERROR(MATCH(Library!M2628,$M$6:$M$40000,0),"")</f>
        <v/>
      </c>
      <c r="Z2628">
        <f>IF($Y2628="","",INDEX($C$6:$C$40000,$Y2628)&amp;"")</f>
        <v/>
      </c>
      <c r="AA2628" s="59">
        <f>IF($Y2628="","",IF(INDEX($D$6:$D$40000,$Y2628)="","",INDEX($D$6:$D$40000,$Y2628)))</f>
        <v/>
      </c>
      <c r="AB2628">
        <f>IF($Y2628="","",INDEX($L$6:$L$40000,$Y2628)&amp;"")</f>
        <v/>
      </c>
    </row>
    <row r="2629">
      <c r="Y2629" s="47">
        <f>IFERROR(MATCH(Library!M2629,$M$6:$M$40000,0),"")</f>
        <v/>
      </c>
      <c r="Z2629">
        <f>IF($Y2629="","",INDEX($C$6:$C$40000,$Y2629)&amp;"")</f>
        <v/>
      </c>
      <c r="AA2629" s="59">
        <f>IF($Y2629="","",IF(INDEX($D$6:$D$40000,$Y2629)="","",INDEX($D$6:$D$40000,$Y2629)))</f>
        <v/>
      </c>
      <c r="AB2629">
        <f>IF($Y2629="","",INDEX($L$6:$L$40000,$Y2629)&amp;"")</f>
        <v/>
      </c>
    </row>
    <row r="2630">
      <c r="Y2630" s="47">
        <f>IFERROR(MATCH(Library!M2630,$M$6:$M$40000,0),"")</f>
        <v/>
      </c>
      <c r="Z2630">
        <f>IF($Y2630="","",INDEX($C$6:$C$40000,$Y2630)&amp;"")</f>
        <v/>
      </c>
      <c r="AA2630" s="59">
        <f>IF($Y2630="","",IF(INDEX($D$6:$D$40000,$Y2630)="","",INDEX($D$6:$D$40000,$Y2630)))</f>
        <v/>
      </c>
      <c r="AB2630">
        <f>IF($Y2630="","",INDEX($L$6:$L$40000,$Y2630)&amp;"")</f>
        <v/>
      </c>
    </row>
    <row r="2631">
      <c r="Y2631" s="47">
        <f>IFERROR(MATCH(Library!M2631,$M$6:$M$40000,0),"")</f>
        <v/>
      </c>
      <c r="Z2631">
        <f>IF($Y2631="","",INDEX($C$6:$C$40000,$Y2631)&amp;"")</f>
        <v/>
      </c>
      <c r="AA2631" s="59">
        <f>IF($Y2631="","",IF(INDEX($D$6:$D$40000,$Y2631)="","",INDEX($D$6:$D$40000,$Y2631)))</f>
        <v/>
      </c>
      <c r="AB2631">
        <f>IF($Y2631="","",INDEX($L$6:$L$40000,$Y2631)&amp;"")</f>
        <v/>
      </c>
    </row>
    <row r="2632">
      <c r="Y2632" s="47">
        <f>IFERROR(MATCH(Library!M2632,$M$6:$M$40000,0),"")</f>
        <v/>
      </c>
      <c r="Z2632">
        <f>IF($Y2632="","",INDEX($C$6:$C$40000,$Y2632)&amp;"")</f>
        <v/>
      </c>
      <c r="AA2632" s="59">
        <f>IF($Y2632="","",IF(INDEX($D$6:$D$40000,$Y2632)="","",INDEX($D$6:$D$40000,$Y2632)))</f>
        <v/>
      </c>
      <c r="AB2632">
        <f>IF($Y2632="","",INDEX($L$6:$L$40000,$Y2632)&amp;"")</f>
        <v/>
      </c>
    </row>
    <row r="2633">
      <c r="Y2633" s="47">
        <f>IFERROR(MATCH(Library!M2633,$M$6:$M$40000,0),"")</f>
        <v/>
      </c>
      <c r="Z2633">
        <f>IF($Y2633="","",INDEX($C$6:$C$40000,$Y2633)&amp;"")</f>
        <v/>
      </c>
      <c r="AA2633" s="59">
        <f>IF($Y2633="","",IF(INDEX($D$6:$D$40000,$Y2633)="","",INDEX($D$6:$D$40000,$Y2633)))</f>
        <v/>
      </c>
      <c r="AB2633">
        <f>IF($Y2633="","",INDEX($L$6:$L$40000,$Y2633)&amp;"")</f>
        <v/>
      </c>
    </row>
    <row r="2634">
      <c r="Y2634" s="47">
        <f>IFERROR(MATCH(Library!M2634,$M$6:$M$40000,0),"")</f>
        <v/>
      </c>
      <c r="Z2634">
        <f>IF($Y2634="","",INDEX($C$6:$C$40000,$Y2634)&amp;"")</f>
        <v/>
      </c>
      <c r="AA2634" s="59">
        <f>IF($Y2634="","",IF(INDEX($D$6:$D$40000,$Y2634)="","",INDEX($D$6:$D$40000,$Y2634)))</f>
        <v/>
      </c>
      <c r="AB2634">
        <f>IF($Y2634="","",INDEX($L$6:$L$40000,$Y2634)&amp;"")</f>
        <v/>
      </c>
    </row>
    <row r="2635">
      <c r="Y2635" s="47">
        <f>IFERROR(MATCH(Library!M2635,$M$6:$M$40000,0),"")</f>
        <v/>
      </c>
      <c r="Z2635">
        <f>IF($Y2635="","",INDEX($C$6:$C$40000,$Y2635)&amp;"")</f>
        <v/>
      </c>
      <c r="AA2635" s="59">
        <f>IF($Y2635="","",IF(INDEX($D$6:$D$40000,$Y2635)="","",INDEX($D$6:$D$40000,$Y2635)))</f>
        <v/>
      </c>
      <c r="AB2635">
        <f>IF($Y2635="","",INDEX($L$6:$L$40000,$Y2635)&amp;"")</f>
        <v/>
      </c>
    </row>
    <row r="2636">
      <c r="Y2636" s="47">
        <f>IFERROR(MATCH(Library!M2636,$M$6:$M$40000,0),"")</f>
        <v/>
      </c>
      <c r="Z2636">
        <f>IF($Y2636="","",INDEX($C$6:$C$40000,$Y2636)&amp;"")</f>
        <v/>
      </c>
      <c r="AA2636" s="59">
        <f>IF($Y2636="","",IF(INDEX($D$6:$D$40000,$Y2636)="","",INDEX($D$6:$D$40000,$Y2636)))</f>
        <v/>
      </c>
      <c r="AB2636">
        <f>IF($Y2636="","",INDEX($L$6:$L$40000,$Y2636)&amp;"")</f>
        <v/>
      </c>
    </row>
    <row r="2637">
      <c r="Y2637" s="47">
        <f>IFERROR(MATCH(Library!M2637,$M$6:$M$40000,0),"")</f>
        <v/>
      </c>
      <c r="Z2637">
        <f>IF($Y2637="","",INDEX($C$6:$C$40000,$Y2637)&amp;"")</f>
        <v/>
      </c>
      <c r="AA2637" s="59">
        <f>IF($Y2637="","",IF(INDEX($D$6:$D$40000,$Y2637)="","",INDEX($D$6:$D$40000,$Y2637)))</f>
        <v/>
      </c>
      <c r="AB2637">
        <f>IF($Y2637="","",INDEX($L$6:$L$40000,$Y2637)&amp;"")</f>
        <v/>
      </c>
    </row>
    <row r="2638">
      <c r="Y2638" s="47">
        <f>IFERROR(MATCH(Library!M2638,$M$6:$M$40000,0),"")</f>
        <v/>
      </c>
      <c r="Z2638">
        <f>IF($Y2638="","",INDEX($C$6:$C$40000,$Y2638)&amp;"")</f>
        <v/>
      </c>
      <c r="AA2638" s="59">
        <f>IF($Y2638="","",IF(INDEX($D$6:$D$40000,$Y2638)="","",INDEX($D$6:$D$40000,$Y2638)))</f>
        <v/>
      </c>
      <c r="AB2638">
        <f>IF($Y2638="","",INDEX($L$6:$L$40000,$Y2638)&amp;"")</f>
        <v/>
      </c>
    </row>
    <row r="2639">
      <c r="Y2639" s="47">
        <f>IFERROR(MATCH(Library!M2639,$M$6:$M$40000,0),"")</f>
        <v/>
      </c>
      <c r="Z2639">
        <f>IF($Y2639="","",INDEX($C$6:$C$40000,$Y2639)&amp;"")</f>
        <v/>
      </c>
      <c r="AA2639" s="59">
        <f>IF($Y2639="","",IF(INDEX($D$6:$D$40000,$Y2639)="","",INDEX($D$6:$D$40000,$Y2639)))</f>
        <v/>
      </c>
      <c r="AB2639">
        <f>IF($Y2639="","",INDEX($L$6:$L$40000,$Y2639)&amp;"")</f>
        <v/>
      </c>
    </row>
    <row r="2640">
      <c r="Y2640" s="47">
        <f>IFERROR(MATCH(Library!M2640,$M$6:$M$40000,0),"")</f>
        <v/>
      </c>
      <c r="Z2640">
        <f>IF($Y2640="","",INDEX($C$6:$C$40000,$Y2640)&amp;"")</f>
        <v/>
      </c>
      <c r="AA2640" s="59">
        <f>IF($Y2640="","",IF(INDEX($D$6:$D$40000,$Y2640)="","",INDEX($D$6:$D$40000,$Y2640)))</f>
        <v/>
      </c>
      <c r="AB2640">
        <f>IF($Y2640="","",INDEX($L$6:$L$40000,$Y2640)&amp;"")</f>
        <v/>
      </c>
    </row>
    <row r="2641">
      <c r="Y2641" s="47">
        <f>IFERROR(MATCH(Library!M2641,$M$6:$M$40000,0),"")</f>
        <v/>
      </c>
      <c r="Z2641">
        <f>IF($Y2641="","",INDEX($C$6:$C$40000,$Y2641)&amp;"")</f>
        <v/>
      </c>
      <c r="AA2641" s="59">
        <f>IF($Y2641="","",IF(INDEX($D$6:$D$40000,$Y2641)="","",INDEX($D$6:$D$40000,$Y2641)))</f>
        <v/>
      </c>
      <c r="AB2641">
        <f>IF($Y2641="","",INDEX($L$6:$L$40000,$Y2641)&amp;"")</f>
        <v/>
      </c>
    </row>
    <row r="2642">
      <c r="Y2642" s="47">
        <f>IFERROR(MATCH(Library!M2642,$M$6:$M$40000,0),"")</f>
        <v/>
      </c>
      <c r="Z2642">
        <f>IF($Y2642="","",INDEX($C$6:$C$40000,$Y2642)&amp;"")</f>
        <v/>
      </c>
      <c r="AA2642" s="59">
        <f>IF($Y2642="","",IF(INDEX($D$6:$D$40000,$Y2642)="","",INDEX($D$6:$D$40000,$Y2642)))</f>
        <v/>
      </c>
      <c r="AB2642">
        <f>IF($Y2642="","",INDEX($L$6:$L$40000,$Y2642)&amp;"")</f>
        <v/>
      </c>
    </row>
    <row r="2643">
      <c r="Y2643" s="47">
        <f>IFERROR(MATCH(Library!M2643,$M$6:$M$40000,0),"")</f>
        <v/>
      </c>
      <c r="Z2643">
        <f>IF($Y2643="","",INDEX($C$6:$C$40000,$Y2643)&amp;"")</f>
        <v/>
      </c>
      <c r="AA2643" s="59">
        <f>IF($Y2643="","",IF(INDEX($D$6:$D$40000,$Y2643)="","",INDEX($D$6:$D$40000,$Y2643)))</f>
        <v/>
      </c>
      <c r="AB2643">
        <f>IF($Y2643="","",INDEX($L$6:$L$40000,$Y2643)&amp;"")</f>
        <v/>
      </c>
    </row>
    <row r="2644">
      <c r="Y2644" s="47">
        <f>IFERROR(MATCH(Library!M2644,$M$6:$M$40000,0),"")</f>
        <v/>
      </c>
      <c r="Z2644">
        <f>IF($Y2644="","",INDEX($C$6:$C$40000,$Y2644)&amp;"")</f>
        <v/>
      </c>
      <c r="AA2644" s="59">
        <f>IF($Y2644="","",IF(INDEX($D$6:$D$40000,$Y2644)="","",INDEX($D$6:$D$40000,$Y2644)))</f>
        <v/>
      </c>
      <c r="AB2644">
        <f>IF($Y2644="","",INDEX($L$6:$L$40000,$Y2644)&amp;"")</f>
        <v/>
      </c>
    </row>
    <row r="2645">
      <c r="Y2645" s="47">
        <f>IFERROR(MATCH(Library!M2645,$M$6:$M$40000,0),"")</f>
        <v/>
      </c>
      <c r="Z2645">
        <f>IF($Y2645="","",INDEX($C$6:$C$40000,$Y2645)&amp;"")</f>
        <v/>
      </c>
      <c r="AA2645" s="59">
        <f>IF($Y2645="","",IF(INDEX($D$6:$D$40000,$Y2645)="","",INDEX($D$6:$D$40000,$Y2645)))</f>
        <v/>
      </c>
      <c r="AB2645">
        <f>IF($Y2645="","",INDEX($L$6:$L$40000,$Y2645)&amp;"")</f>
        <v/>
      </c>
    </row>
    <row r="2646">
      <c r="Y2646" s="47">
        <f>IFERROR(MATCH(Library!M2646,$M$6:$M$40000,0),"")</f>
        <v/>
      </c>
      <c r="Z2646">
        <f>IF($Y2646="","",INDEX($C$6:$C$40000,$Y2646)&amp;"")</f>
        <v/>
      </c>
      <c r="AA2646" s="59">
        <f>IF($Y2646="","",IF(INDEX($D$6:$D$40000,$Y2646)="","",INDEX($D$6:$D$40000,$Y2646)))</f>
        <v/>
      </c>
      <c r="AB2646">
        <f>IF($Y2646="","",INDEX($L$6:$L$40000,$Y2646)&amp;"")</f>
        <v/>
      </c>
    </row>
    <row r="2647">
      <c r="Y2647" s="47">
        <f>IFERROR(MATCH(Library!M2647,$M$6:$M$40000,0),"")</f>
        <v/>
      </c>
      <c r="Z2647">
        <f>IF($Y2647="","",INDEX($C$6:$C$40000,$Y2647)&amp;"")</f>
        <v/>
      </c>
      <c r="AA2647" s="59">
        <f>IF($Y2647="","",IF(INDEX($D$6:$D$40000,$Y2647)="","",INDEX($D$6:$D$40000,$Y2647)))</f>
        <v/>
      </c>
      <c r="AB2647">
        <f>IF($Y2647="","",INDEX($L$6:$L$40000,$Y2647)&amp;"")</f>
        <v/>
      </c>
    </row>
    <row r="2648">
      <c r="Y2648" s="47">
        <f>IFERROR(MATCH(Library!M2648,$M$6:$M$40000,0),"")</f>
        <v/>
      </c>
      <c r="Z2648">
        <f>IF($Y2648="","",INDEX($C$6:$C$40000,$Y2648)&amp;"")</f>
        <v/>
      </c>
      <c r="AA2648" s="59">
        <f>IF($Y2648="","",IF(INDEX($D$6:$D$40000,$Y2648)="","",INDEX($D$6:$D$40000,$Y2648)))</f>
        <v/>
      </c>
      <c r="AB2648">
        <f>IF($Y2648="","",INDEX($L$6:$L$40000,$Y2648)&amp;"")</f>
        <v/>
      </c>
    </row>
    <row r="2649">
      <c r="Y2649" s="47">
        <f>IFERROR(MATCH(Library!M2649,$M$6:$M$40000,0),"")</f>
        <v/>
      </c>
      <c r="Z2649">
        <f>IF($Y2649="","",INDEX($C$6:$C$40000,$Y2649)&amp;"")</f>
        <v/>
      </c>
      <c r="AA2649" s="59">
        <f>IF($Y2649="","",IF(INDEX($D$6:$D$40000,$Y2649)="","",INDEX($D$6:$D$40000,$Y2649)))</f>
        <v/>
      </c>
      <c r="AB2649">
        <f>IF($Y2649="","",INDEX($L$6:$L$40000,$Y2649)&amp;"")</f>
        <v/>
      </c>
    </row>
    <row r="2650">
      <c r="Y2650" s="47">
        <f>IFERROR(MATCH(Library!M2650,$M$6:$M$40000,0),"")</f>
        <v/>
      </c>
      <c r="Z2650">
        <f>IF($Y2650="","",INDEX($C$6:$C$40000,$Y2650)&amp;"")</f>
        <v/>
      </c>
      <c r="AA2650" s="59">
        <f>IF($Y2650="","",IF(INDEX($D$6:$D$40000,$Y2650)="","",INDEX($D$6:$D$40000,$Y2650)))</f>
        <v/>
      </c>
      <c r="AB2650">
        <f>IF($Y2650="","",INDEX($L$6:$L$40000,$Y2650)&amp;"")</f>
        <v/>
      </c>
    </row>
    <row r="2651">
      <c r="Y2651" s="47">
        <f>IFERROR(MATCH(Library!M2651,$M$6:$M$40000,0),"")</f>
        <v/>
      </c>
      <c r="Z2651">
        <f>IF($Y2651="","",INDEX($C$6:$C$40000,$Y2651)&amp;"")</f>
        <v/>
      </c>
      <c r="AA2651" s="59">
        <f>IF($Y2651="","",IF(INDEX($D$6:$D$40000,$Y2651)="","",INDEX($D$6:$D$40000,$Y2651)))</f>
        <v/>
      </c>
      <c r="AB2651">
        <f>IF($Y2651="","",INDEX($L$6:$L$40000,$Y2651)&amp;"")</f>
        <v/>
      </c>
    </row>
    <row r="2652">
      <c r="Y2652" s="47">
        <f>IFERROR(MATCH(Library!M2652,$M$6:$M$40000,0),"")</f>
        <v/>
      </c>
      <c r="Z2652">
        <f>IF($Y2652="","",INDEX($C$6:$C$40000,$Y2652)&amp;"")</f>
        <v/>
      </c>
      <c r="AA2652" s="59">
        <f>IF($Y2652="","",IF(INDEX($D$6:$D$40000,$Y2652)="","",INDEX($D$6:$D$40000,$Y2652)))</f>
        <v/>
      </c>
      <c r="AB2652">
        <f>IF($Y2652="","",INDEX($L$6:$L$40000,$Y2652)&amp;"")</f>
        <v/>
      </c>
    </row>
    <row r="2653">
      <c r="Y2653" s="47">
        <f>IFERROR(MATCH(Library!M2653,$M$6:$M$40000,0),"")</f>
        <v/>
      </c>
      <c r="Z2653">
        <f>IF($Y2653="","",INDEX($C$6:$C$40000,$Y2653)&amp;"")</f>
        <v/>
      </c>
      <c r="AA2653" s="59">
        <f>IF($Y2653="","",IF(INDEX($D$6:$D$40000,$Y2653)="","",INDEX($D$6:$D$40000,$Y2653)))</f>
        <v/>
      </c>
      <c r="AB2653">
        <f>IF($Y2653="","",INDEX($L$6:$L$40000,$Y2653)&amp;"")</f>
        <v/>
      </c>
    </row>
    <row r="2654">
      <c r="Y2654" s="47">
        <f>IFERROR(MATCH(Library!M2654,$M$6:$M$40000,0),"")</f>
        <v/>
      </c>
      <c r="Z2654">
        <f>IF($Y2654="","",INDEX($C$6:$C$40000,$Y2654)&amp;"")</f>
        <v/>
      </c>
      <c r="AA2654" s="59">
        <f>IF($Y2654="","",IF(INDEX($D$6:$D$40000,$Y2654)="","",INDEX($D$6:$D$40000,$Y2654)))</f>
        <v/>
      </c>
      <c r="AB2654">
        <f>IF($Y2654="","",INDEX($L$6:$L$40000,$Y2654)&amp;"")</f>
        <v/>
      </c>
    </row>
    <row r="2655">
      <c r="Y2655" s="47">
        <f>IFERROR(MATCH(Library!M2655,$M$6:$M$40000,0),"")</f>
        <v/>
      </c>
      <c r="Z2655">
        <f>IF($Y2655="","",INDEX($C$6:$C$40000,$Y2655)&amp;"")</f>
        <v/>
      </c>
      <c r="AA2655" s="59">
        <f>IF($Y2655="","",IF(INDEX($D$6:$D$40000,$Y2655)="","",INDEX($D$6:$D$40000,$Y2655)))</f>
        <v/>
      </c>
      <c r="AB2655">
        <f>IF($Y2655="","",INDEX($L$6:$L$40000,$Y2655)&amp;"")</f>
        <v/>
      </c>
    </row>
    <row r="2656">
      <c r="Y2656" s="47">
        <f>IFERROR(MATCH(Library!M2656,$M$6:$M$40000,0),"")</f>
        <v/>
      </c>
      <c r="Z2656">
        <f>IF($Y2656="","",INDEX($C$6:$C$40000,$Y2656)&amp;"")</f>
        <v/>
      </c>
      <c r="AA2656" s="59">
        <f>IF($Y2656="","",IF(INDEX($D$6:$D$40000,$Y2656)="","",INDEX($D$6:$D$40000,$Y2656)))</f>
        <v/>
      </c>
      <c r="AB2656">
        <f>IF($Y2656="","",INDEX($L$6:$L$40000,$Y2656)&amp;"")</f>
        <v/>
      </c>
    </row>
    <row r="2657">
      <c r="Y2657" s="47">
        <f>IFERROR(MATCH(Library!M2657,$M$6:$M$40000,0),"")</f>
        <v/>
      </c>
      <c r="Z2657">
        <f>IF($Y2657="","",INDEX($C$6:$C$40000,$Y2657)&amp;"")</f>
        <v/>
      </c>
      <c r="AA2657" s="59">
        <f>IF($Y2657="","",IF(INDEX($D$6:$D$40000,$Y2657)="","",INDEX($D$6:$D$40000,$Y2657)))</f>
        <v/>
      </c>
      <c r="AB2657">
        <f>IF($Y2657="","",INDEX($L$6:$L$40000,$Y2657)&amp;"")</f>
        <v/>
      </c>
    </row>
    <row r="2658">
      <c r="Y2658" s="47">
        <f>IFERROR(MATCH(Library!M2658,$M$6:$M$40000,0),"")</f>
        <v/>
      </c>
      <c r="Z2658">
        <f>IF($Y2658="","",INDEX($C$6:$C$40000,$Y2658)&amp;"")</f>
        <v/>
      </c>
      <c r="AA2658" s="59">
        <f>IF($Y2658="","",IF(INDEX($D$6:$D$40000,$Y2658)="","",INDEX($D$6:$D$40000,$Y2658)))</f>
        <v/>
      </c>
      <c r="AB2658">
        <f>IF($Y2658="","",INDEX($L$6:$L$40000,$Y2658)&amp;"")</f>
        <v/>
      </c>
    </row>
    <row r="2659">
      <c r="Y2659" s="47">
        <f>IFERROR(MATCH(Library!M2659,$M$6:$M$40000,0),"")</f>
        <v/>
      </c>
      <c r="Z2659">
        <f>IF($Y2659="","",INDEX($C$6:$C$40000,$Y2659)&amp;"")</f>
        <v/>
      </c>
      <c r="AA2659" s="59">
        <f>IF($Y2659="","",IF(INDEX($D$6:$D$40000,$Y2659)="","",INDEX($D$6:$D$40000,$Y2659)))</f>
        <v/>
      </c>
      <c r="AB2659">
        <f>IF($Y2659="","",INDEX($L$6:$L$40000,$Y2659)&amp;"")</f>
        <v/>
      </c>
    </row>
    <row r="2660">
      <c r="Y2660" s="47">
        <f>IFERROR(MATCH(Library!M2660,$M$6:$M$40000,0),"")</f>
        <v/>
      </c>
      <c r="Z2660">
        <f>IF($Y2660="","",INDEX($C$6:$C$40000,$Y2660)&amp;"")</f>
        <v/>
      </c>
      <c r="AA2660" s="59">
        <f>IF($Y2660="","",IF(INDEX($D$6:$D$40000,$Y2660)="","",INDEX($D$6:$D$40000,$Y2660)))</f>
        <v/>
      </c>
      <c r="AB2660">
        <f>IF($Y2660="","",INDEX($L$6:$L$40000,$Y2660)&amp;"")</f>
        <v/>
      </c>
    </row>
    <row r="2661">
      <c r="Y2661" s="47">
        <f>IFERROR(MATCH(Library!M2661,$M$6:$M$40000,0),"")</f>
        <v/>
      </c>
      <c r="Z2661">
        <f>IF($Y2661="","",INDEX($C$6:$C$40000,$Y2661)&amp;"")</f>
        <v/>
      </c>
      <c r="AA2661" s="59">
        <f>IF($Y2661="","",IF(INDEX($D$6:$D$40000,$Y2661)="","",INDEX($D$6:$D$40000,$Y2661)))</f>
        <v/>
      </c>
      <c r="AB2661">
        <f>IF($Y2661="","",INDEX($L$6:$L$40000,$Y2661)&amp;"")</f>
        <v/>
      </c>
    </row>
    <row r="2662">
      <c r="Y2662" s="47">
        <f>IFERROR(MATCH(Library!M2662,$M$6:$M$40000,0),"")</f>
        <v/>
      </c>
      <c r="Z2662">
        <f>IF($Y2662="","",INDEX($C$6:$C$40000,$Y2662)&amp;"")</f>
        <v/>
      </c>
      <c r="AA2662" s="59">
        <f>IF($Y2662="","",IF(INDEX($D$6:$D$40000,$Y2662)="","",INDEX($D$6:$D$40000,$Y2662)))</f>
        <v/>
      </c>
      <c r="AB2662">
        <f>IF($Y2662="","",INDEX($L$6:$L$40000,$Y2662)&amp;"")</f>
        <v/>
      </c>
    </row>
    <row r="2663">
      <c r="Y2663" s="47">
        <f>IFERROR(MATCH(Library!M2663,$M$6:$M$40000,0),"")</f>
        <v/>
      </c>
      <c r="Z2663">
        <f>IF($Y2663="","",INDEX($C$6:$C$40000,$Y2663)&amp;"")</f>
        <v/>
      </c>
      <c r="AA2663" s="59">
        <f>IF($Y2663="","",IF(INDEX($D$6:$D$40000,$Y2663)="","",INDEX($D$6:$D$40000,$Y2663)))</f>
        <v/>
      </c>
      <c r="AB2663">
        <f>IF($Y2663="","",INDEX($L$6:$L$40000,$Y2663)&amp;"")</f>
        <v/>
      </c>
    </row>
    <row r="2664">
      <c r="Y2664" s="47">
        <f>IFERROR(MATCH(Library!M2664,$M$6:$M$40000,0),"")</f>
        <v/>
      </c>
      <c r="Z2664">
        <f>IF($Y2664="","",INDEX($C$6:$C$40000,$Y2664)&amp;"")</f>
        <v/>
      </c>
      <c r="AA2664" s="59">
        <f>IF($Y2664="","",IF(INDEX($D$6:$D$40000,$Y2664)="","",INDEX($D$6:$D$40000,$Y2664)))</f>
        <v/>
      </c>
      <c r="AB2664">
        <f>IF($Y2664="","",INDEX($L$6:$L$40000,$Y2664)&amp;"")</f>
        <v/>
      </c>
    </row>
    <row r="2665">
      <c r="Y2665" s="47">
        <f>IFERROR(MATCH(Library!M2665,$M$6:$M$40000,0),"")</f>
        <v/>
      </c>
      <c r="Z2665">
        <f>IF($Y2665="","",INDEX($C$6:$C$40000,$Y2665)&amp;"")</f>
        <v/>
      </c>
      <c r="AA2665" s="59">
        <f>IF($Y2665="","",IF(INDEX($D$6:$D$40000,$Y2665)="","",INDEX($D$6:$D$40000,$Y2665)))</f>
        <v/>
      </c>
      <c r="AB2665">
        <f>IF($Y2665="","",INDEX($L$6:$L$40000,$Y2665)&amp;"")</f>
        <v/>
      </c>
    </row>
    <row r="2666">
      <c r="Y2666" s="47">
        <f>IFERROR(MATCH(Library!M2666,$M$6:$M$40000,0),"")</f>
        <v/>
      </c>
      <c r="Z2666">
        <f>IF($Y2666="","",INDEX($C$6:$C$40000,$Y2666)&amp;"")</f>
        <v/>
      </c>
      <c r="AA2666" s="59">
        <f>IF($Y2666="","",IF(INDEX($D$6:$D$40000,$Y2666)="","",INDEX($D$6:$D$40000,$Y2666)))</f>
        <v/>
      </c>
      <c r="AB2666">
        <f>IF($Y2666="","",INDEX($L$6:$L$40000,$Y2666)&amp;"")</f>
        <v/>
      </c>
    </row>
    <row r="2667">
      <c r="Y2667" s="47">
        <f>IFERROR(MATCH(Library!M2667,$M$6:$M$40000,0),"")</f>
        <v/>
      </c>
      <c r="Z2667">
        <f>IF($Y2667="","",INDEX($C$6:$C$40000,$Y2667)&amp;"")</f>
        <v/>
      </c>
      <c r="AA2667" s="59">
        <f>IF($Y2667="","",IF(INDEX($D$6:$D$40000,$Y2667)="","",INDEX($D$6:$D$40000,$Y2667)))</f>
        <v/>
      </c>
      <c r="AB2667">
        <f>IF($Y2667="","",INDEX($L$6:$L$40000,$Y2667)&amp;"")</f>
        <v/>
      </c>
    </row>
    <row r="2668">
      <c r="Y2668" s="47">
        <f>IFERROR(MATCH(Library!M2668,$M$6:$M$40000,0),"")</f>
        <v/>
      </c>
      <c r="Z2668">
        <f>IF($Y2668="","",INDEX($C$6:$C$40000,$Y2668)&amp;"")</f>
        <v/>
      </c>
      <c r="AA2668" s="59">
        <f>IF($Y2668="","",IF(INDEX($D$6:$D$40000,$Y2668)="","",INDEX($D$6:$D$40000,$Y2668)))</f>
        <v/>
      </c>
      <c r="AB2668">
        <f>IF($Y2668="","",INDEX($L$6:$L$40000,$Y2668)&amp;"")</f>
        <v/>
      </c>
    </row>
    <row r="2669">
      <c r="Y2669" s="47">
        <f>IFERROR(MATCH(Library!M2669,$M$6:$M$40000,0),"")</f>
        <v/>
      </c>
      <c r="Z2669">
        <f>IF($Y2669="","",INDEX($C$6:$C$40000,$Y2669)&amp;"")</f>
        <v/>
      </c>
      <c r="AA2669" s="59">
        <f>IF($Y2669="","",IF(INDEX($D$6:$D$40000,$Y2669)="","",INDEX($D$6:$D$40000,$Y2669)))</f>
        <v/>
      </c>
      <c r="AB2669">
        <f>IF($Y2669="","",INDEX($L$6:$L$40000,$Y2669)&amp;"")</f>
        <v/>
      </c>
    </row>
    <row r="2670">
      <c r="Y2670" s="47">
        <f>IFERROR(MATCH(Library!M2670,$M$6:$M$40000,0),"")</f>
        <v/>
      </c>
      <c r="Z2670">
        <f>IF($Y2670="","",INDEX($C$6:$C$40000,$Y2670)&amp;"")</f>
        <v/>
      </c>
      <c r="AA2670" s="59">
        <f>IF($Y2670="","",IF(INDEX($D$6:$D$40000,$Y2670)="","",INDEX($D$6:$D$40000,$Y2670)))</f>
        <v/>
      </c>
      <c r="AB2670">
        <f>IF($Y2670="","",INDEX($L$6:$L$40000,$Y2670)&amp;"")</f>
        <v/>
      </c>
    </row>
    <row r="2671">
      <c r="Y2671" s="47">
        <f>IFERROR(MATCH(Library!M2671,$M$6:$M$40000,0),"")</f>
        <v/>
      </c>
      <c r="Z2671">
        <f>IF($Y2671="","",INDEX($C$6:$C$40000,$Y2671)&amp;"")</f>
        <v/>
      </c>
      <c r="AA2671" s="59">
        <f>IF($Y2671="","",IF(INDEX($D$6:$D$40000,$Y2671)="","",INDEX($D$6:$D$40000,$Y2671)))</f>
        <v/>
      </c>
      <c r="AB2671">
        <f>IF($Y2671="","",INDEX($L$6:$L$40000,$Y2671)&amp;"")</f>
        <v/>
      </c>
    </row>
    <row r="2672">
      <c r="Y2672" s="47">
        <f>IFERROR(MATCH(Library!M2672,$M$6:$M$40000,0),"")</f>
        <v/>
      </c>
      <c r="Z2672">
        <f>IF($Y2672="","",INDEX($C$6:$C$40000,$Y2672)&amp;"")</f>
        <v/>
      </c>
      <c r="AA2672" s="59">
        <f>IF($Y2672="","",IF(INDEX($D$6:$D$40000,$Y2672)="","",INDEX($D$6:$D$40000,$Y2672)))</f>
        <v/>
      </c>
      <c r="AB2672">
        <f>IF($Y2672="","",INDEX($L$6:$L$40000,$Y2672)&amp;"")</f>
        <v/>
      </c>
    </row>
    <row r="2673">
      <c r="Y2673" s="47">
        <f>IFERROR(MATCH(Library!M2673,$M$6:$M$40000,0),"")</f>
        <v/>
      </c>
      <c r="Z2673">
        <f>IF($Y2673="","",INDEX($C$6:$C$40000,$Y2673)&amp;"")</f>
        <v/>
      </c>
      <c r="AA2673" s="59">
        <f>IF($Y2673="","",IF(INDEX($D$6:$D$40000,$Y2673)="","",INDEX($D$6:$D$40000,$Y2673)))</f>
        <v/>
      </c>
      <c r="AB2673">
        <f>IF($Y2673="","",INDEX($L$6:$L$40000,$Y2673)&amp;"")</f>
        <v/>
      </c>
    </row>
    <row r="2674">
      <c r="Y2674" s="47">
        <f>IFERROR(MATCH(Library!M2674,$M$6:$M$40000,0),"")</f>
        <v/>
      </c>
      <c r="Z2674">
        <f>IF($Y2674="","",INDEX($C$6:$C$40000,$Y2674)&amp;"")</f>
        <v/>
      </c>
      <c r="AA2674" s="59">
        <f>IF($Y2674="","",IF(INDEX($D$6:$D$40000,$Y2674)="","",INDEX($D$6:$D$40000,$Y2674)))</f>
        <v/>
      </c>
      <c r="AB2674">
        <f>IF($Y2674="","",INDEX($L$6:$L$40000,$Y2674)&amp;"")</f>
        <v/>
      </c>
    </row>
    <row r="2675">
      <c r="Y2675" s="47">
        <f>IFERROR(MATCH(Library!M2675,$M$6:$M$40000,0),"")</f>
        <v/>
      </c>
      <c r="Z2675">
        <f>IF($Y2675="","",INDEX($C$6:$C$40000,$Y2675)&amp;"")</f>
        <v/>
      </c>
      <c r="AA2675" s="59">
        <f>IF($Y2675="","",IF(INDEX($D$6:$D$40000,$Y2675)="","",INDEX($D$6:$D$40000,$Y2675)))</f>
        <v/>
      </c>
      <c r="AB2675">
        <f>IF($Y2675="","",INDEX($L$6:$L$40000,$Y2675)&amp;"")</f>
        <v/>
      </c>
    </row>
    <row r="2676">
      <c r="Y2676" s="47">
        <f>IFERROR(MATCH(Library!M2676,$M$6:$M$40000,0),"")</f>
        <v/>
      </c>
      <c r="Z2676">
        <f>IF($Y2676="","",INDEX($C$6:$C$40000,$Y2676)&amp;"")</f>
        <v/>
      </c>
      <c r="AA2676" s="59">
        <f>IF($Y2676="","",IF(INDEX($D$6:$D$40000,$Y2676)="","",INDEX($D$6:$D$40000,$Y2676)))</f>
        <v/>
      </c>
      <c r="AB2676">
        <f>IF($Y2676="","",INDEX($L$6:$L$40000,$Y2676)&amp;"")</f>
        <v/>
      </c>
    </row>
    <row r="2677">
      <c r="Y2677" s="47">
        <f>IFERROR(MATCH(Library!M2677,$M$6:$M$40000,0),"")</f>
        <v/>
      </c>
      <c r="Z2677">
        <f>IF($Y2677="","",INDEX($C$6:$C$40000,$Y2677)&amp;"")</f>
        <v/>
      </c>
      <c r="AA2677" s="59">
        <f>IF($Y2677="","",IF(INDEX($D$6:$D$40000,$Y2677)="","",INDEX($D$6:$D$40000,$Y2677)))</f>
        <v/>
      </c>
      <c r="AB2677">
        <f>IF($Y2677="","",INDEX($L$6:$L$40000,$Y2677)&amp;"")</f>
        <v/>
      </c>
    </row>
    <row r="2678">
      <c r="Y2678" s="47">
        <f>IFERROR(MATCH(Library!M2678,$M$6:$M$40000,0),"")</f>
        <v/>
      </c>
      <c r="Z2678">
        <f>IF($Y2678="","",INDEX($C$6:$C$40000,$Y2678)&amp;"")</f>
        <v/>
      </c>
      <c r="AA2678" s="59">
        <f>IF($Y2678="","",IF(INDEX($D$6:$D$40000,$Y2678)="","",INDEX($D$6:$D$40000,$Y2678)))</f>
        <v/>
      </c>
      <c r="AB2678">
        <f>IF($Y2678="","",INDEX($L$6:$L$40000,$Y2678)&amp;"")</f>
        <v/>
      </c>
    </row>
    <row r="2679">
      <c r="Y2679" s="47">
        <f>IFERROR(MATCH(Library!M2679,$M$6:$M$40000,0),"")</f>
        <v/>
      </c>
      <c r="Z2679">
        <f>IF($Y2679="","",INDEX($C$6:$C$40000,$Y2679)&amp;"")</f>
        <v/>
      </c>
      <c r="AA2679" s="59">
        <f>IF($Y2679="","",IF(INDEX($D$6:$D$40000,$Y2679)="","",INDEX($D$6:$D$40000,$Y2679)))</f>
        <v/>
      </c>
      <c r="AB2679">
        <f>IF($Y2679="","",INDEX($L$6:$L$40000,$Y2679)&amp;"")</f>
        <v/>
      </c>
    </row>
    <row r="2680">
      <c r="Y2680" s="47">
        <f>IFERROR(MATCH(Library!M2680,$M$6:$M$40000,0),"")</f>
        <v/>
      </c>
      <c r="Z2680">
        <f>IF($Y2680="","",INDEX($C$6:$C$40000,$Y2680)&amp;"")</f>
        <v/>
      </c>
      <c r="AA2680" s="59">
        <f>IF($Y2680="","",IF(INDEX($D$6:$D$40000,$Y2680)="","",INDEX($D$6:$D$40000,$Y2680)))</f>
        <v/>
      </c>
      <c r="AB2680">
        <f>IF($Y2680="","",INDEX($L$6:$L$40000,$Y2680)&amp;"")</f>
        <v/>
      </c>
    </row>
    <row r="2681">
      <c r="Y2681" s="47">
        <f>IFERROR(MATCH(Library!M2681,$M$6:$M$40000,0),"")</f>
        <v/>
      </c>
      <c r="Z2681">
        <f>IF($Y2681="","",INDEX($C$6:$C$40000,$Y2681)&amp;"")</f>
        <v/>
      </c>
      <c r="AA2681" s="59">
        <f>IF($Y2681="","",IF(INDEX($D$6:$D$40000,$Y2681)="","",INDEX($D$6:$D$40000,$Y2681)))</f>
        <v/>
      </c>
      <c r="AB2681">
        <f>IF($Y2681="","",INDEX($L$6:$L$40000,$Y2681)&amp;"")</f>
        <v/>
      </c>
    </row>
    <row r="2682">
      <c r="Y2682" s="47">
        <f>IFERROR(MATCH(Library!M2682,$M$6:$M$40000,0),"")</f>
        <v/>
      </c>
      <c r="Z2682">
        <f>IF($Y2682="","",INDEX($C$6:$C$40000,$Y2682)&amp;"")</f>
        <v/>
      </c>
      <c r="AA2682" s="59">
        <f>IF($Y2682="","",IF(INDEX($D$6:$D$40000,$Y2682)="","",INDEX($D$6:$D$40000,$Y2682)))</f>
        <v/>
      </c>
      <c r="AB2682">
        <f>IF($Y2682="","",INDEX($L$6:$L$40000,$Y2682)&amp;"")</f>
        <v/>
      </c>
    </row>
    <row r="2683">
      <c r="Y2683" s="47">
        <f>IFERROR(MATCH(Library!M2683,$M$6:$M$40000,0),"")</f>
        <v/>
      </c>
      <c r="Z2683">
        <f>IF($Y2683="","",INDEX($C$6:$C$40000,$Y2683)&amp;"")</f>
        <v/>
      </c>
      <c r="AA2683" s="59">
        <f>IF($Y2683="","",IF(INDEX($D$6:$D$40000,$Y2683)="","",INDEX($D$6:$D$40000,$Y2683)))</f>
        <v/>
      </c>
      <c r="AB2683">
        <f>IF($Y2683="","",INDEX($L$6:$L$40000,$Y2683)&amp;"")</f>
        <v/>
      </c>
    </row>
    <row r="2684">
      <c r="Y2684" s="47">
        <f>IFERROR(MATCH(Library!M2684,$M$6:$M$40000,0),"")</f>
        <v/>
      </c>
      <c r="Z2684">
        <f>IF($Y2684="","",INDEX($C$6:$C$40000,$Y2684)&amp;"")</f>
        <v/>
      </c>
      <c r="AA2684" s="59">
        <f>IF($Y2684="","",IF(INDEX($D$6:$D$40000,$Y2684)="","",INDEX($D$6:$D$40000,$Y2684)))</f>
        <v/>
      </c>
      <c r="AB2684">
        <f>IF($Y2684="","",INDEX($L$6:$L$40000,$Y2684)&amp;"")</f>
        <v/>
      </c>
    </row>
    <row r="2685">
      <c r="Y2685" s="47">
        <f>IFERROR(MATCH(Library!M2685,$M$6:$M$40000,0),"")</f>
        <v/>
      </c>
      <c r="Z2685">
        <f>IF($Y2685="","",INDEX($C$6:$C$40000,$Y2685)&amp;"")</f>
        <v/>
      </c>
      <c r="AA2685" s="59">
        <f>IF($Y2685="","",IF(INDEX($D$6:$D$40000,$Y2685)="","",INDEX($D$6:$D$40000,$Y2685)))</f>
        <v/>
      </c>
      <c r="AB2685">
        <f>IF($Y2685="","",INDEX($L$6:$L$40000,$Y2685)&amp;"")</f>
        <v/>
      </c>
    </row>
    <row r="2686">
      <c r="Y2686" s="47">
        <f>IFERROR(MATCH(Library!M2686,$M$6:$M$40000,0),"")</f>
        <v/>
      </c>
      <c r="Z2686">
        <f>IF($Y2686="","",INDEX($C$6:$C$40000,$Y2686)&amp;"")</f>
        <v/>
      </c>
      <c r="AA2686" s="59">
        <f>IF($Y2686="","",IF(INDEX($D$6:$D$40000,$Y2686)="","",INDEX($D$6:$D$40000,$Y2686)))</f>
        <v/>
      </c>
      <c r="AB2686">
        <f>IF($Y2686="","",INDEX($L$6:$L$40000,$Y2686)&amp;"")</f>
        <v/>
      </c>
    </row>
    <row r="2687">
      <c r="Y2687" s="47">
        <f>IFERROR(MATCH(Library!M2687,$M$6:$M$40000,0),"")</f>
        <v/>
      </c>
      <c r="Z2687">
        <f>IF($Y2687="","",INDEX($C$6:$C$40000,$Y2687)&amp;"")</f>
        <v/>
      </c>
      <c r="AA2687" s="59">
        <f>IF($Y2687="","",IF(INDEX($D$6:$D$40000,$Y2687)="","",INDEX($D$6:$D$40000,$Y2687)))</f>
        <v/>
      </c>
      <c r="AB2687">
        <f>IF($Y2687="","",INDEX($L$6:$L$40000,$Y2687)&amp;"")</f>
        <v/>
      </c>
    </row>
    <row r="2688">
      <c r="Y2688" s="47">
        <f>IFERROR(MATCH(Library!M2688,$M$6:$M$40000,0),"")</f>
        <v/>
      </c>
      <c r="Z2688">
        <f>IF($Y2688="","",INDEX($C$6:$C$40000,$Y2688)&amp;"")</f>
        <v/>
      </c>
      <c r="AA2688" s="59">
        <f>IF($Y2688="","",IF(INDEX($D$6:$D$40000,$Y2688)="","",INDEX($D$6:$D$40000,$Y2688)))</f>
        <v/>
      </c>
      <c r="AB2688">
        <f>IF($Y2688="","",INDEX($L$6:$L$40000,$Y2688)&amp;"")</f>
        <v/>
      </c>
    </row>
    <row r="2689">
      <c r="Y2689" s="47">
        <f>IFERROR(MATCH(Library!M2689,$M$6:$M$40000,0),"")</f>
        <v/>
      </c>
      <c r="Z2689">
        <f>IF($Y2689="","",INDEX($C$6:$C$40000,$Y2689)&amp;"")</f>
        <v/>
      </c>
      <c r="AA2689" s="59">
        <f>IF($Y2689="","",IF(INDEX($D$6:$D$40000,$Y2689)="","",INDEX($D$6:$D$40000,$Y2689)))</f>
        <v/>
      </c>
      <c r="AB2689">
        <f>IF($Y2689="","",INDEX($L$6:$L$40000,$Y2689)&amp;"")</f>
        <v/>
      </c>
    </row>
    <row r="2690">
      <c r="Y2690" s="47">
        <f>IFERROR(MATCH(Library!M2690,$M$6:$M$40000,0),"")</f>
        <v/>
      </c>
      <c r="Z2690">
        <f>IF($Y2690="","",INDEX($C$6:$C$40000,$Y2690)&amp;"")</f>
        <v/>
      </c>
      <c r="AA2690" s="59">
        <f>IF($Y2690="","",IF(INDEX($D$6:$D$40000,$Y2690)="","",INDEX($D$6:$D$40000,$Y2690)))</f>
        <v/>
      </c>
      <c r="AB2690">
        <f>IF($Y2690="","",INDEX($L$6:$L$40000,$Y2690)&amp;"")</f>
        <v/>
      </c>
    </row>
    <row r="2691">
      <c r="Y2691" s="47">
        <f>IFERROR(MATCH(Library!M2691,$M$6:$M$40000,0),"")</f>
        <v/>
      </c>
      <c r="Z2691">
        <f>IF($Y2691="","",INDEX($C$6:$C$40000,$Y2691)&amp;"")</f>
        <v/>
      </c>
      <c r="AA2691" s="59">
        <f>IF($Y2691="","",IF(INDEX($D$6:$D$40000,$Y2691)="","",INDEX($D$6:$D$40000,$Y2691)))</f>
        <v/>
      </c>
      <c r="AB2691">
        <f>IF($Y2691="","",INDEX($L$6:$L$40000,$Y2691)&amp;"")</f>
        <v/>
      </c>
    </row>
    <row r="2692">
      <c r="Y2692" s="47">
        <f>IFERROR(MATCH(Library!M2692,$M$6:$M$40000,0),"")</f>
        <v/>
      </c>
      <c r="Z2692">
        <f>IF($Y2692="","",INDEX($C$6:$C$40000,$Y2692)&amp;"")</f>
        <v/>
      </c>
      <c r="AA2692" s="59">
        <f>IF($Y2692="","",IF(INDEX($D$6:$D$40000,$Y2692)="","",INDEX($D$6:$D$40000,$Y2692)))</f>
        <v/>
      </c>
      <c r="AB2692">
        <f>IF($Y2692="","",INDEX($L$6:$L$40000,$Y2692)&amp;"")</f>
        <v/>
      </c>
    </row>
    <row r="2693">
      <c r="Y2693" s="47">
        <f>IFERROR(MATCH(Library!M2693,$M$6:$M$40000,0),"")</f>
        <v/>
      </c>
      <c r="Z2693">
        <f>IF($Y2693="","",INDEX($C$6:$C$40000,$Y2693)&amp;"")</f>
        <v/>
      </c>
      <c r="AA2693" s="59">
        <f>IF($Y2693="","",IF(INDEX($D$6:$D$40000,$Y2693)="","",INDEX($D$6:$D$40000,$Y2693)))</f>
        <v/>
      </c>
      <c r="AB2693">
        <f>IF($Y2693="","",INDEX($L$6:$L$40000,$Y2693)&amp;"")</f>
        <v/>
      </c>
    </row>
    <row r="2694">
      <c r="Y2694" s="47">
        <f>IFERROR(MATCH(Library!M2694,$M$6:$M$40000,0),"")</f>
        <v/>
      </c>
      <c r="Z2694">
        <f>IF($Y2694="","",INDEX($C$6:$C$40000,$Y2694)&amp;"")</f>
        <v/>
      </c>
      <c r="AA2694" s="59">
        <f>IF($Y2694="","",IF(INDEX($D$6:$D$40000,$Y2694)="","",INDEX($D$6:$D$40000,$Y2694)))</f>
        <v/>
      </c>
      <c r="AB2694">
        <f>IF($Y2694="","",INDEX($L$6:$L$40000,$Y2694)&amp;"")</f>
        <v/>
      </c>
    </row>
    <row r="2695">
      <c r="Y2695" s="47">
        <f>IFERROR(MATCH(Library!M2695,$M$6:$M$40000,0),"")</f>
        <v/>
      </c>
      <c r="Z2695">
        <f>IF($Y2695="","",INDEX($C$6:$C$40000,$Y2695)&amp;"")</f>
        <v/>
      </c>
      <c r="AA2695" s="59">
        <f>IF($Y2695="","",IF(INDEX($D$6:$D$40000,$Y2695)="","",INDEX($D$6:$D$40000,$Y2695)))</f>
        <v/>
      </c>
      <c r="AB2695">
        <f>IF($Y2695="","",INDEX($L$6:$L$40000,$Y2695)&amp;"")</f>
        <v/>
      </c>
    </row>
    <row r="2696">
      <c r="Y2696" s="47">
        <f>IFERROR(MATCH(Library!M2696,$M$6:$M$40000,0),"")</f>
        <v/>
      </c>
      <c r="Z2696">
        <f>IF($Y2696="","",INDEX($C$6:$C$40000,$Y2696)&amp;"")</f>
        <v/>
      </c>
      <c r="AA2696" s="59">
        <f>IF($Y2696="","",IF(INDEX($D$6:$D$40000,$Y2696)="","",INDEX($D$6:$D$40000,$Y2696)))</f>
        <v/>
      </c>
      <c r="AB2696">
        <f>IF($Y2696="","",INDEX($L$6:$L$40000,$Y2696)&amp;"")</f>
        <v/>
      </c>
    </row>
    <row r="2697">
      <c r="Y2697" s="47">
        <f>IFERROR(MATCH(Library!M2697,$M$6:$M$40000,0),"")</f>
        <v/>
      </c>
      <c r="Z2697">
        <f>IF($Y2697="","",INDEX($C$6:$C$40000,$Y2697)&amp;"")</f>
        <v/>
      </c>
      <c r="AA2697" s="59">
        <f>IF($Y2697="","",IF(INDEX($D$6:$D$40000,$Y2697)="","",INDEX($D$6:$D$40000,$Y2697)))</f>
        <v/>
      </c>
      <c r="AB2697">
        <f>IF($Y2697="","",INDEX($L$6:$L$40000,$Y2697)&amp;"")</f>
        <v/>
      </c>
    </row>
    <row r="2698">
      <c r="Y2698" s="47">
        <f>IFERROR(MATCH(Library!M2698,$M$6:$M$40000,0),"")</f>
        <v/>
      </c>
      <c r="Z2698">
        <f>IF($Y2698="","",INDEX($C$6:$C$40000,$Y2698)&amp;"")</f>
        <v/>
      </c>
      <c r="AA2698" s="59">
        <f>IF($Y2698="","",IF(INDEX($D$6:$D$40000,$Y2698)="","",INDEX($D$6:$D$40000,$Y2698)))</f>
        <v/>
      </c>
      <c r="AB2698">
        <f>IF($Y2698="","",INDEX($L$6:$L$40000,$Y2698)&amp;"")</f>
        <v/>
      </c>
    </row>
    <row r="2699">
      <c r="Y2699" s="47">
        <f>IFERROR(MATCH(Library!M2699,$M$6:$M$40000,0),"")</f>
        <v/>
      </c>
      <c r="Z2699">
        <f>IF($Y2699="","",INDEX($C$6:$C$40000,$Y2699)&amp;"")</f>
        <v/>
      </c>
      <c r="AA2699" s="59">
        <f>IF($Y2699="","",IF(INDEX($D$6:$D$40000,$Y2699)="","",INDEX($D$6:$D$40000,$Y2699)))</f>
        <v/>
      </c>
      <c r="AB2699">
        <f>IF($Y2699="","",INDEX($L$6:$L$40000,$Y2699)&amp;"")</f>
        <v/>
      </c>
    </row>
    <row r="2700">
      <c r="Y2700" s="47">
        <f>IFERROR(MATCH(Library!M2700,$M$6:$M$40000,0),"")</f>
        <v/>
      </c>
      <c r="Z2700">
        <f>IF($Y2700="","",INDEX($C$6:$C$40000,$Y2700)&amp;"")</f>
        <v/>
      </c>
      <c r="AA2700" s="59">
        <f>IF($Y2700="","",IF(INDEX($D$6:$D$40000,$Y2700)="","",INDEX($D$6:$D$40000,$Y2700)))</f>
        <v/>
      </c>
      <c r="AB2700">
        <f>IF($Y2700="","",INDEX($L$6:$L$40000,$Y2700)&amp;"")</f>
        <v/>
      </c>
    </row>
    <row r="2701">
      <c r="Y2701" s="47">
        <f>IFERROR(MATCH(Library!M2701,$M$6:$M$40000,0),"")</f>
        <v/>
      </c>
      <c r="Z2701">
        <f>IF($Y2701="","",INDEX($C$6:$C$40000,$Y2701)&amp;"")</f>
        <v/>
      </c>
      <c r="AA2701" s="59">
        <f>IF($Y2701="","",IF(INDEX($D$6:$D$40000,$Y2701)="","",INDEX($D$6:$D$40000,$Y2701)))</f>
        <v/>
      </c>
      <c r="AB2701">
        <f>IF($Y2701="","",INDEX($L$6:$L$40000,$Y2701)&amp;"")</f>
        <v/>
      </c>
    </row>
    <row r="2702">
      <c r="Y2702" s="47">
        <f>IFERROR(MATCH(Library!M2702,$M$6:$M$40000,0),"")</f>
        <v/>
      </c>
      <c r="Z2702">
        <f>IF($Y2702="","",INDEX($C$6:$C$40000,$Y2702)&amp;"")</f>
        <v/>
      </c>
      <c r="AA2702" s="59">
        <f>IF($Y2702="","",IF(INDEX($D$6:$D$40000,$Y2702)="","",INDEX($D$6:$D$40000,$Y2702)))</f>
        <v/>
      </c>
      <c r="AB2702">
        <f>IF($Y2702="","",INDEX($L$6:$L$40000,$Y2702)&amp;"")</f>
        <v/>
      </c>
    </row>
    <row r="2703">
      <c r="Y2703" s="47">
        <f>IFERROR(MATCH(Library!M2703,$M$6:$M$40000,0),"")</f>
        <v/>
      </c>
      <c r="Z2703">
        <f>IF($Y2703="","",INDEX($C$6:$C$40000,$Y2703)&amp;"")</f>
        <v/>
      </c>
      <c r="AA2703" s="59">
        <f>IF($Y2703="","",IF(INDEX($D$6:$D$40000,$Y2703)="","",INDEX($D$6:$D$40000,$Y2703)))</f>
        <v/>
      </c>
      <c r="AB2703">
        <f>IF($Y2703="","",INDEX($L$6:$L$40000,$Y2703)&amp;"")</f>
        <v/>
      </c>
    </row>
    <row r="2704">
      <c r="Y2704" s="47">
        <f>IFERROR(MATCH(Library!M2704,$M$6:$M$40000,0),"")</f>
        <v/>
      </c>
      <c r="Z2704">
        <f>IF($Y2704="","",INDEX($C$6:$C$40000,$Y2704)&amp;"")</f>
        <v/>
      </c>
      <c r="AA2704" s="59">
        <f>IF($Y2704="","",IF(INDEX($D$6:$D$40000,$Y2704)="","",INDEX($D$6:$D$40000,$Y2704)))</f>
        <v/>
      </c>
      <c r="AB2704">
        <f>IF($Y2704="","",INDEX($L$6:$L$40000,$Y2704)&amp;"")</f>
        <v/>
      </c>
    </row>
    <row r="2705">
      <c r="Y2705" s="47">
        <f>IFERROR(MATCH(Library!M2705,$M$6:$M$40000,0),"")</f>
        <v/>
      </c>
      <c r="Z2705">
        <f>IF($Y2705="","",INDEX($C$6:$C$40000,$Y2705)&amp;"")</f>
        <v/>
      </c>
      <c r="AA2705" s="59">
        <f>IF($Y2705="","",IF(INDEX($D$6:$D$40000,$Y2705)="","",INDEX($D$6:$D$40000,$Y2705)))</f>
        <v/>
      </c>
      <c r="AB2705">
        <f>IF($Y2705="","",INDEX($L$6:$L$40000,$Y2705)&amp;"")</f>
        <v/>
      </c>
    </row>
    <row r="2706">
      <c r="Y2706" s="47">
        <f>IFERROR(MATCH(Library!M2706,$M$6:$M$40000,0),"")</f>
        <v/>
      </c>
      <c r="Z2706">
        <f>IF($Y2706="","",INDEX($C$6:$C$40000,$Y2706)&amp;"")</f>
        <v/>
      </c>
      <c r="AA2706" s="59">
        <f>IF($Y2706="","",IF(INDEX($D$6:$D$40000,$Y2706)="","",INDEX($D$6:$D$40000,$Y2706)))</f>
        <v/>
      </c>
      <c r="AB2706">
        <f>IF($Y2706="","",INDEX($L$6:$L$40000,$Y2706)&amp;"")</f>
        <v/>
      </c>
    </row>
    <row r="2707">
      <c r="Y2707" s="47">
        <f>IFERROR(MATCH(Library!M2707,$M$6:$M$40000,0),"")</f>
        <v/>
      </c>
      <c r="Z2707">
        <f>IF($Y2707="","",INDEX($C$6:$C$40000,$Y2707)&amp;"")</f>
        <v/>
      </c>
      <c r="AA2707" s="59">
        <f>IF($Y2707="","",IF(INDEX($D$6:$D$40000,$Y2707)="","",INDEX($D$6:$D$40000,$Y2707)))</f>
        <v/>
      </c>
      <c r="AB2707">
        <f>IF($Y2707="","",INDEX($L$6:$L$40000,$Y2707)&amp;"")</f>
        <v/>
      </c>
    </row>
    <row r="2708">
      <c r="Y2708" s="47">
        <f>IFERROR(MATCH(Library!M2708,$M$6:$M$40000,0),"")</f>
        <v/>
      </c>
      <c r="Z2708">
        <f>IF($Y2708="","",INDEX($C$6:$C$40000,$Y2708)&amp;"")</f>
        <v/>
      </c>
      <c r="AA2708" s="59">
        <f>IF($Y2708="","",IF(INDEX($D$6:$D$40000,$Y2708)="","",INDEX($D$6:$D$40000,$Y2708)))</f>
        <v/>
      </c>
      <c r="AB2708">
        <f>IF($Y2708="","",INDEX($L$6:$L$40000,$Y2708)&amp;"")</f>
        <v/>
      </c>
    </row>
    <row r="2709">
      <c r="Y2709" s="47">
        <f>IFERROR(MATCH(Library!M2709,$M$6:$M$40000,0),"")</f>
        <v/>
      </c>
      <c r="Z2709">
        <f>IF($Y2709="","",INDEX($C$6:$C$40000,$Y2709)&amp;"")</f>
        <v/>
      </c>
      <c r="AA2709" s="59">
        <f>IF($Y2709="","",IF(INDEX($D$6:$D$40000,$Y2709)="","",INDEX($D$6:$D$40000,$Y2709)))</f>
        <v/>
      </c>
      <c r="AB2709">
        <f>IF($Y2709="","",INDEX($L$6:$L$40000,$Y2709)&amp;"")</f>
        <v/>
      </c>
    </row>
    <row r="2710">
      <c r="Y2710" s="47">
        <f>IFERROR(MATCH(Library!M2710,$M$6:$M$40000,0),"")</f>
        <v/>
      </c>
      <c r="Z2710">
        <f>IF($Y2710="","",INDEX($C$6:$C$40000,$Y2710)&amp;"")</f>
        <v/>
      </c>
      <c r="AA2710" s="59">
        <f>IF($Y2710="","",IF(INDEX($D$6:$D$40000,$Y2710)="","",INDEX($D$6:$D$40000,$Y2710)))</f>
        <v/>
      </c>
      <c r="AB2710">
        <f>IF($Y2710="","",INDEX($L$6:$L$40000,$Y2710)&amp;"")</f>
        <v/>
      </c>
    </row>
    <row r="2711">
      <c r="Y2711" s="47">
        <f>IFERROR(MATCH(Library!M2711,$M$6:$M$40000,0),"")</f>
        <v/>
      </c>
      <c r="Z2711">
        <f>IF($Y2711="","",INDEX($C$6:$C$40000,$Y2711)&amp;"")</f>
        <v/>
      </c>
      <c r="AA2711" s="59">
        <f>IF($Y2711="","",IF(INDEX($D$6:$D$40000,$Y2711)="","",INDEX($D$6:$D$40000,$Y2711)))</f>
        <v/>
      </c>
      <c r="AB2711">
        <f>IF($Y2711="","",INDEX($L$6:$L$40000,$Y2711)&amp;"")</f>
        <v/>
      </c>
    </row>
    <row r="2712">
      <c r="Y2712" s="47">
        <f>IFERROR(MATCH(Library!M2712,$M$6:$M$40000,0),"")</f>
        <v/>
      </c>
      <c r="Z2712">
        <f>IF($Y2712="","",INDEX($C$6:$C$40000,$Y2712)&amp;"")</f>
        <v/>
      </c>
      <c r="AA2712" s="59">
        <f>IF($Y2712="","",IF(INDEX($D$6:$D$40000,$Y2712)="","",INDEX($D$6:$D$40000,$Y2712)))</f>
        <v/>
      </c>
      <c r="AB2712">
        <f>IF($Y2712="","",INDEX($L$6:$L$40000,$Y2712)&amp;"")</f>
        <v/>
      </c>
    </row>
    <row r="2713">
      <c r="Y2713" s="47">
        <f>IFERROR(MATCH(Library!M2713,$M$6:$M$40000,0),"")</f>
        <v/>
      </c>
      <c r="Z2713">
        <f>IF($Y2713="","",INDEX($C$6:$C$40000,$Y2713)&amp;"")</f>
        <v/>
      </c>
      <c r="AA2713" s="59">
        <f>IF($Y2713="","",IF(INDEX($D$6:$D$40000,$Y2713)="","",INDEX($D$6:$D$40000,$Y2713)))</f>
        <v/>
      </c>
      <c r="AB2713">
        <f>IF($Y2713="","",INDEX($L$6:$L$40000,$Y2713)&amp;"")</f>
        <v/>
      </c>
    </row>
    <row r="2714">
      <c r="Y2714" s="47">
        <f>IFERROR(MATCH(Library!M2714,$M$6:$M$40000,0),"")</f>
        <v/>
      </c>
      <c r="Z2714">
        <f>IF($Y2714="","",INDEX($C$6:$C$40000,$Y2714)&amp;"")</f>
        <v/>
      </c>
      <c r="AA2714" s="59">
        <f>IF($Y2714="","",IF(INDEX($D$6:$D$40000,$Y2714)="","",INDEX($D$6:$D$40000,$Y2714)))</f>
        <v/>
      </c>
      <c r="AB2714">
        <f>IF($Y2714="","",INDEX($L$6:$L$40000,$Y2714)&amp;"")</f>
        <v/>
      </c>
    </row>
    <row r="2715">
      <c r="Y2715" s="47">
        <f>IFERROR(MATCH(Library!M2715,$M$6:$M$40000,0),"")</f>
        <v/>
      </c>
      <c r="Z2715">
        <f>IF($Y2715="","",INDEX($C$6:$C$40000,$Y2715)&amp;"")</f>
        <v/>
      </c>
      <c r="AA2715" s="59">
        <f>IF($Y2715="","",IF(INDEX($D$6:$D$40000,$Y2715)="","",INDEX($D$6:$D$40000,$Y2715)))</f>
        <v/>
      </c>
      <c r="AB2715">
        <f>IF($Y2715="","",INDEX($L$6:$L$40000,$Y2715)&amp;"")</f>
        <v/>
      </c>
    </row>
    <row r="2716">
      <c r="Y2716" s="47">
        <f>IFERROR(MATCH(Library!M2716,$M$6:$M$40000,0),"")</f>
        <v/>
      </c>
      <c r="Z2716">
        <f>IF($Y2716="","",INDEX($C$6:$C$40000,$Y2716)&amp;"")</f>
        <v/>
      </c>
      <c r="AA2716" s="59">
        <f>IF($Y2716="","",IF(INDEX($D$6:$D$40000,$Y2716)="","",INDEX($D$6:$D$40000,$Y2716)))</f>
        <v/>
      </c>
      <c r="AB2716">
        <f>IF($Y2716="","",INDEX($L$6:$L$40000,$Y2716)&amp;"")</f>
        <v/>
      </c>
    </row>
    <row r="2717">
      <c r="Y2717" s="47">
        <f>IFERROR(MATCH(Library!M2717,$M$6:$M$40000,0),"")</f>
        <v/>
      </c>
      <c r="Z2717">
        <f>IF($Y2717="","",INDEX($C$6:$C$40000,$Y2717)&amp;"")</f>
        <v/>
      </c>
      <c r="AA2717" s="59">
        <f>IF($Y2717="","",IF(INDEX($D$6:$D$40000,$Y2717)="","",INDEX($D$6:$D$40000,$Y2717)))</f>
        <v/>
      </c>
      <c r="AB2717">
        <f>IF($Y2717="","",INDEX($L$6:$L$40000,$Y2717)&amp;"")</f>
        <v/>
      </c>
    </row>
    <row r="2718">
      <c r="Y2718" s="47">
        <f>IFERROR(MATCH(Library!M2718,$M$6:$M$40000,0),"")</f>
        <v/>
      </c>
      <c r="Z2718">
        <f>IF($Y2718="","",INDEX($C$6:$C$40000,$Y2718)&amp;"")</f>
        <v/>
      </c>
      <c r="AA2718" s="59">
        <f>IF($Y2718="","",IF(INDEX($D$6:$D$40000,$Y2718)="","",INDEX($D$6:$D$40000,$Y2718)))</f>
        <v/>
      </c>
      <c r="AB2718">
        <f>IF($Y2718="","",INDEX($L$6:$L$40000,$Y2718)&amp;"")</f>
        <v/>
      </c>
    </row>
    <row r="2719">
      <c r="Y2719" s="47">
        <f>IFERROR(MATCH(Library!M2719,$M$6:$M$40000,0),"")</f>
        <v/>
      </c>
      <c r="Z2719">
        <f>IF($Y2719="","",INDEX($C$6:$C$40000,$Y2719)&amp;"")</f>
        <v/>
      </c>
      <c r="AA2719" s="59">
        <f>IF($Y2719="","",IF(INDEX($D$6:$D$40000,$Y2719)="","",INDEX($D$6:$D$40000,$Y2719)))</f>
        <v/>
      </c>
      <c r="AB2719">
        <f>IF($Y2719="","",INDEX($L$6:$L$40000,$Y2719)&amp;"")</f>
        <v/>
      </c>
    </row>
    <row r="2720">
      <c r="Y2720" s="47">
        <f>IFERROR(MATCH(Library!M2720,$M$6:$M$40000,0),"")</f>
        <v/>
      </c>
      <c r="Z2720">
        <f>IF($Y2720="","",INDEX($C$6:$C$40000,$Y2720)&amp;"")</f>
        <v/>
      </c>
      <c r="AA2720" s="59">
        <f>IF($Y2720="","",IF(INDEX($D$6:$D$40000,$Y2720)="","",INDEX($D$6:$D$40000,$Y2720)))</f>
        <v/>
      </c>
      <c r="AB2720">
        <f>IF($Y2720="","",INDEX($L$6:$L$40000,$Y2720)&amp;"")</f>
        <v/>
      </c>
    </row>
    <row r="2721">
      <c r="Y2721" s="47">
        <f>IFERROR(MATCH(Library!M2721,$M$6:$M$40000,0),"")</f>
        <v/>
      </c>
      <c r="Z2721">
        <f>IF($Y2721="","",INDEX($C$6:$C$40000,$Y2721)&amp;"")</f>
        <v/>
      </c>
      <c r="AA2721" s="59">
        <f>IF($Y2721="","",IF(INDEX($D$6:$D$40000,$Y2721)="","",INDEX($D$6:$D$40000,$Y2721)))</f>
        <v/>
      </c>
      <c r="AB2721">
        <f>IF($Y2721="","",INDEX($L$6:$L$40000,$Y2721)&amp;"")</f>
        <v/>
      </c>
    </row>
    <row r="2722">
      <c r="Y2722" s="47">
        <f>IFERROR(MATCH(Library!M2722,$M$6:$M$40000,0),"")</f>
        <v/>
      </c>
      <c r="Z2722">
        <f>IF($Y2722="","",INDEX($C$6:$C$40000,$Y2722)&amp;"")</f>
        <v/>
      </c>
      <c r="AA2722" s="59">
        <f>IF($Y2722="","",IF(INDEX($D$6:$D$40000,$Y2722)="","",INDEX($D$6:$D$40000,$Y2722)))</f>
        <v/>
      </c>
      <c r="AB2722">
        <f>IF($Y2722="","",INDEX($L$6:$L$40000,$Y2722)&amp;"")</f>
        <v/>
      </c>
    </row>
    <row r="2723">
      <c r="Y2723" s="47">
        <f>IFERROR(MATCH(Library!M2723,$M$6:$M$40000,0),"")</f>
        <v/>
      </c>
      <c r="Z2723">
        <f>IF($Y2723="","",INDEX($C$6:$C$40000,$Y2723)&amp;"")</f>
        <v/>
      </c>
      <c r="AA2723" s="59">
        <f>IF($Y2723="","",IF(INDEX($D$6:$D$40000,$Y2723)="","",INDEX($D$6:$D$40000,$Y2723)))</f>
        <v/>
      </c>
      <c r="AB2723">
        <f>IF($Y2723="","",INDEX($L$6:$L$40000,$Y2723)&amp;"")</f>
        <v/>
      </c>
    </row>
    <row r="2724">
      <c r="Y2724" s="47">
        <f>IFERROR(MATCH(Library!M2724,$M$6:$M$40000,0),"")</f>
        <v/>
      </c>
      <c r="Z2724">
        <f>IF($Y2724="","",INDEX($C$6:$C$40000,$Y2724)&amp;"")</f>
        <v/>
      </c>
      <c r="AA2724" s="59">
        <f>IF($Y2724="","",IF(INDEX($D$6:$D$40000,$Y2724)="","",INDEX($D$6:$D$40000,$Y2724)))</f>
        <v/>
      </c>
      <c r="AB2724">
        <f>IF($Y2724="","",INDEX($L$6:$L$40000,$Y2724)&amp;"")</f>
        <v/>
      </c>
    </row>
    <row r="2725">
      <c r="Y2725" s="47">
        <f>IFERROR(MATCH(Library!M2725,$M$6:$M$40000,0),"")</f>
        <v/>
      </c>
      <c r="Z2725">
        <f>IF($Y2725="","",INDEX($C$6:$C$40000,$Y2725)&amp;"")</f>
        <v/>
      </c>
      <c r="AA2725" s="59">
        <f>IF($Y2725="","",IF(INDEX($D$6:$D$40000,$Y2725)="","",INDEX($D$6:$D$40000,$Y2725)))</f>
        <v/>
      </c>
      <c r="AB2725">
        <f>IF($Y2725="","",INDEX($L$6:$L$40000,$Y2725)&amp;"")</f>
        <v/>
      </c>
    </row>
    <row r="2726">
      <c r="Y2726" s="47">
        <f>IFERROR(MATCH(Library!M2726,$M$6:$M$40000,0),"")</f>
        <v/>
      </c>
      <c r="Z2726">
        <f>IF($Y2726="","",INDEX($C$6:$C$40000,$Y2726)&amp;"")</f>
        <v/>
      </c>
      <c r="AA2726" s="59">
        <f>IF($Y2726="","",IF(INDEX($D$6:$D$40000,$Y2726)="","",INDEX($D$6:$D$40000,$Y2726)))</f>
        <v/>
      </c>
      <c r="AB2726">
        <f>IF($Y2726="","",INDEX($L$6:$L$40000,$Y2726)&amp;"")</f>
        <v/>
      </c>
    </row>
    <row r="2727">
      <c r="Y2727" s="47">
        <f>IFERROR(MATCH(Library!M2727,$M$6:$M$40000,0),"")</f>
        <v/>
      </c>
      <c r="Z2727">
        <f>IF($Y2727="","",INDEX($C$6:$C$40000,$Y2727)&amp;"")</f>
        <v/>
      </c>
      <c r="AA2727" s="59">
        <f>IF($Y2727="","",IF(INDEX($D$6:$D$40000,$Y2727)="","",INDEX($D$6:$D$40000,$Y2727)))</f>
        <v/>
      </c>
      <c r="AB2727">
        <f>IF($Y2727="","",INDEX($L$6:$L$40000,$Y2727)&amp;"")</f>
        <v/>
      </c>
    </row>
    <row r="2728">
      <c r="Y2728" s="47">
        <f>IFERROR(MATCH(Library!M2728,$M$6:$M$40000,0),"")</f>
        <v/>
      </c>
      <c r="Z2728">
        <f>IF($Y2728="","",INDEX($C$6:$C$40000,$Y2728)&amp;"")</f>
        <v/>
      </c>
      <c r="AA2728" s="59">
        <f>IF($Y2728="","",IF(INDEX($D$6:$D$40000,$Y2728)="","",INDEX($D$6:$D$40000,$Y2728)))</f>
        <v/>
      </c>
      <c r="AB2728">
        <f>IF($Y2728="","",INDEX($L$6:$L$40000,$Y2728)&amp;"")</f>
        <v/>
      </c>
    </row>
    <row r="2729">
      <c r="Y2729" s="47">
        <f>IFERROR(MATCH(Library!M2729,$M$6:$M$40000,0),"")</f>
        <v/>
      </c>
      <c r="Z2729">
        <f>IF($Y2729="","",INDEX($C$6:$C$40000,$Y2729)&amp;"")</f>
        <v/>
      </c>
      <c r="AA2729" s="59">
        <f>IF($Y2729="","",IF(INDEX($D$6:$D$40000,$Y2729)="","",INDEX($D$6:$D$40000,$Y2729)))</f>
        <v/>
      </c>
      <c r="AB2729">
        <f>IF($Y2729="","",INDEX($L$6:$L$40000,$Y2729)&amp;"")</f>
        <v/>
      </c>
    </row>
    <row r="2730">
      <c r="Y2730" s="47">
        <f>IFERROR(MATCH(Library!M2730,$M$6:$M$40000,0),"")</f>
        <v/>
      </c>
      <c r="Z2730">
        <f>IF($Y2730="","",INDEX($C$6:$C$40000,$Y2730)&amp;"")</f>
        <v/>
      </c>
      <c r="AA2730" s="59">
        <f>IF($Y2730="","",IF(INDEX($D$6:$D$40000,$Y2730)="","",INDEX($D$6:$D$40000,$Y2730)))</f>
        <v/>
      </c>
      <c r="AB2730">
        <f>IF($Y2730="","",INDEX($L$6:$L$40000,$Y2730)&amp;"")</f>
        <v/>
      </c>
    </row>
    <row r="2731">
      <c r="Y2731" s="47">
        <f>IFERROR(MATCH(Library!M2731,$M$6:$M$40000,0),"")</f>
        <v/>
      </c>
      <c r="Z2731">
        <f>IF($Y2731="","",INDEX($C$6:$C$40000,$Y2731)&amp;"")</f>
        <v/>
      </c>
      <c r="AA2731" s="59">
        <f>IF($Y2731="","",IF(INDEX($D$6:$D$40000,$Y2731)="","",INDEX($D$6:$D$40000,$Y2731)))</f>
        <v/>
      </c>
      <c r="AB2731">
        <f>IF($Y2731="","",INDEX($L$6:$L$40000,$Y2731)&amp;"")</f>
        <v/>
      </c>
    </row>
    <row r="2732">
      <c r="Y2732" s="47">
        <f>IFERROR(MATCH(Library!M2732,$M$6:$M$40000,0),"")</f>
        <v/>
      </c>
      <c r="Z2732">
        <f>IF($Y2732="","",INDEX($C$6:$C$40000,$Y2732)&amp;"")</f>
        <v/>
      </c>
      <c r="AA2732" s="59">
        <f>IF($Y2732="","",IF(INDEX($D$6:$D$40000,$Y2732)="","",INDEX($D$6:$D$40000,$Y2732)))</f>
        <v/>
      </c>
      <c r="AB2732">
        <f>IF($Y2732="","",INDEX($L$6:$L$40000,$Y2732)&amp;"")</f>
        <v/>
      </c>
    </row>
    <row r="2733">
      <c r="Y2733" s="47">
        <f>IFERROR(MATCH(Library!M2733,$M$6:$M$40000,0),"")</f>
        <v/>
      </c>
      <c r="Z2733">
        <f>IF($Y2733="","",INDEX($C$6:$C$40000,$Y2733)&amp;"")</f>
        <v/>
      </c>
      <c r="AA2733" s="59">
        <f>IF($Y2733="","",IF(INDEX($D$6:$D$40000,$Y2733)="","",INDEX($D$6:$D$40000,$Y2733)))</f>
        <v/>
      </c>
      <c r="AB2733">
        <f>IF($Y2733="","",INDEX($L$6:$L$40000,$Y2733)&amp;"")</f>
        <v/>
      </c>
    </row>
    <row r="2734">
      <c r="Y2734" s="47">
        <f>IFERROR(MATCH(Library!M2734,$M$6:$M$40000,0),"")</f>
        <v/>
      </c>
      <c r="Z2734">
        <f>IF($Y2734="","",INDEX($C$6:$C$40000,$Y2734)&amp;"")</f>
        <v/>
      </c>
      <c r="AA2734" s="59">
        <f>IF($Y2734="","",IF(INDEX($D$6:$D$40000,$Y2734)="","",INDEX($D$6:$D$40000,$Y2734)))</f>
        <v/>
      </c>
      <c r="AB2734">
        <f>IF($Y2734="","",INDEX($L$6:$L$40000,$Y2734)&amp;"")</f>
        <v/>
      </c>
    </row>
    <row r="2735">
      <c r="Y2735" s="47">
        <f>IFERROR(MATCH(Library!M2735,$M$6:$M$40000,0),"")</f>
        <v/>
      </c>
      <c r="Z2735">
        <f>IF($Y2735="","",INDEX($C$6:$C$40000,$Y2735)&amp;"")</f>
        <v/>
      </c>
      <c r="AA2735" s="59">
        <f>IF($Y2735="","",IF(INDEX($D$6:$D$40000,$Y2735)="","",INDEX($D$6:$D$40000,$Y2735)))</f>
        <v/>
      </c>
      <c r="AB2735">
        <f>IF($Y2735="","",INDEX($L$6:$L$40000,$Y2735)&amp;"")</f>
        <v/>
      </c>
    </row>
    <row r="2736">
      <c r="Y2736" s="47">
        <f>IFERROR(MATCH(Library!M2736,$M$6:$M$40000,0),"")</f>
        <v/>
      </c>
      <c r="Z2736">
        <f>IF($Y2736="","",INDEX($C$6:$C$40000,$Y2736)&amp;"")</f>
        <v/>
      </c>
      <c r="AA2736" s="59">
        <f>IF($Y2736="","",IF(INDEX($D$6:$D$40000,$Y2736)="","",INDEX($D$6:$D$40000,$Y2736)))</f>
        <v/>
      </c>
      <c r="AB2736">
        <f>IF($Y2736="","",INDEX($L$6:$L$40000,$Y2736)&amp;"")</f>
        <v/>
      </c>
    </row>
    <row r="2737">
      <c r="Y2737" s="47">
        <f>IFERROR(MATCH(Library!M2737,$M$6:$M$40000,0),"")</f>
        <v/>
      </c>
      <c r="Z2737">
        <f>IF($Y2737="","",INDEX($C$6:$C$40000,$Y2737)&amp;"")</f>
        <v/>
      </c>
      <c r="AA2737" s="59">
        <f>IF($Y2737="","",IF(INDEX($D$6:$D$40000,$Y2737)="","",INDEX($D$6:$D$40000,$Y2737)))</f>
        <v/>
      </c>
      <c r="AB2737">
        <f>IF($Y2737="","",INDEX($L$6:$L$40000,$Y2737)&amp;"")</f>
        <v/>
      </c>
    </row>
    <row r="2738">
      <c r="Y2738" s="47">
        <f>IFERROR(MATCH(Library!M2738,$M$6:$M$40000,0),"")</f>
        <v/>
      </c>
      <c r="Z2738">
        <f>IF($Y2738="","",INDEX($C$6:$C$40000,$Y2738)&amp;"")</f>
        <v/>
      </c>
      <c r="AA2738" s="59">
        <f>IF($Y2738="","",IF(INDEX($D$6:$D$40000,$Y2738)="","",INDEX($D$6:$D$40000,$Y2738)))</f>
        <v/>
      </c>
      <c r="AB2738">
        <f>IF($Y2738="","",INDEX($L$6:$L$40000,$Y2738)&amp;"")</f>
        <v/>
      </c>
    </row>
    <row r="2739">
      <c r="Y2739" s="47">
        <f>IFERROR(MATCH(Library!M2739,$M$6:$M$40000,0),"")</f>
        <v/>
      </c>
      <c r="Z2739">
        <f>IF($Y2739="","",INDEX($C$6:$C$40000,$Y2739)&amp;"")</f>
        <v/>
      </c>
      <c r="AA2739" s="59">
        <f>IF($Y2739="","",IF(INDEX($D$6:$D$40000,$Y2739)="","",INDEX($D$6:$D$40000,$Y2739)))</f>
        <v/>
      </c>
      <c r="AB2739">
        <f>IF($Y2739="","",INDEX($L$6:$L$40000,$Y2739)&amp;"")</f>
        <v/>
      </c>
    </row>
    <row r="2740">
      <c r="Y2740" s="47">
        <f>IFERROR(MATCH(Library!M2740,$M$6:$M$40000,0),"")</f>
        <v/>
      </c>
      <c r="Z2740">
        <f>IF($Y2740="","",INDEX($C$6:$C$40000,$Y2740)&amp;"")</f>
        <v/>
      </c>
      <c r="AA2740" s="59">
        <f>IF($Y2740="","",IF(INDEX($D$6:$D$40000,$Y2740)="","",INDEX($D$6:$D$40000,$Y2740)))</f>
        <v/>
      </c>
      <c r="AB2740">
        <f>IF($Y2740="","",INDEX($L$6:$L$40000,$Y2740)&amp;"")</f>
        <v/>
      </c>
    </row>
    <row r="2741">
      <c r="Y2741" s="47">
        <f>IFERROR(MATCH(Library!M2741,$M$6:$M$40000,0),"")</f>
        <v/>
      </c>
      <c r="Z2741">
        <f>IF($Y2741="","",INDEX($C$6:$C$40000,$Y2741)&amp;"")</f>
        <v/>
      </c>
      <c r="AA2741" s="59">
        <f>IF($Y2741="","",IF(INDEX($D$6:$D$40000,$Y2741)="","",INDEX($D$6:$D$40000,$Y2741)))</f>
        <v/>
      </c>
      <c r="AB2741">
        <f>IF($Y2741="","",INDEX($L$6:$L$40000,$Y2741)&amp;"")</f>
        <v/>
      </c>
    </row>
    <row r="2742">
      <c r="Y2742" s="47">
        <f>IFERROR(MATCH(Library!M2742,$M$6:$M$40000,0),"")</f>
        <v/>
      </c>
      <c r="Z2742">
        <f>IF($Y2742="","",INDEX($C$6:$C$40000,$Y2742)&amp;"")</f>
        <v/>
      </c>
      <c r="AA2742" s="59">
        <f>IF($Y2742="","",IF(INDEX($D$6:$D$40000,$Y2742)="","",INDEX($D$6:$D$40000,$Y2742)))</f>
        <v/>
      </c>
      <c r="AB2742">
        <f>IF($Y2742="","",INDEX($L$6:$L$40000,$Y2742)&amp;"")</f>
        <v/>
      </c>
    </row>
    <row r="2743">
      <c r="Y2743" s="47">
        <f>IFERROR(MATCH(Library!M2743,$M$6:$M$40000,0),"")</f>
        <v/>
      </c>
      <c r="Z2743">
        <f>IF($Y2743="","",INDEX($C$6:$C$40000,$Y2743)&amp;"")</f>
        <v/>
      </c>
      <c r="AA2743" s="59">
        <f>IF($Y2743="","",IF(INDEX($D$6:$D$40000,$Y2743)="","",INDEX($D$6:$D$40000,$Y2743)))</f>
        <v/>
      </c>
      <c r="AB2743">
        <f>IF($Y2743="","",INDEX($L$6:$L$40000,$Y2743)&amp;"")</f>
        <v/>
      </c>
    </row>
    <row r="2744">
      <c r="Y2744" s="47">
        <f>IFERROR(MATCH(Library!M2744,$M$6:$M$40000,0),"")</f>
        <v/>
      </c>
      <c r="Z2744">
        <f>IF($Y2744="","",INDEX($C$6:$C$40000,$Y2744)&amp;"")</f>
        <v/>
      </c>
      <c r="AA2744" s="59">
        <f>IF($Y2744="","",IF(INDEX($D$6:$D$40000,$Y2744)="","",INDEX($D$6:$D$40000,$Y2744)))</f>
        <v/>
      </c>
      <c r="AB2744">
        <f>IF($Y2744="","",INDEX($L$6:$L$40000,$Y2744)&amp;"")</f>
        <v/>
      </c>
    </row>
    <row r="2745">
      <c r="Y2745" s="47">
        <f>IFERROR(MATCH(Library!M2745,$M$6:$M$40000,0),"")</f>
        <v/>
      </c>
      <c r="Z2745">
        <f>IF($Y2745="","",INDEX($C$6:$C$40000,$Y2745)&amp;"")</f>
        <v/>
      </c>
      <c r="AA2745" s="59">
        <f>IF($Y2745="","",IF(INDEX($D$6:$D$40000,$Y2745)="","",INDEX($D$6:$D$40000,$Y2745)))</f>
        <v/>
      </c>
      <c r="AB2745">
        <f>IF($Y2745="","",INDEX($L$6:$L$40000,$Y2745)&amp;"")</f>
        <v/>
      </c>
    </row>
    <row r="2746">
      <c r="Y2746" s="47">
        <f>IFERROR(MATCH(Library!M2746,$M$6:$M$40000,0),"")</f>
        <v/>
      </c>
      <c r="Z2746">
        <f>IF($Y2746="","",INDEX($C$6:$C$40000,$Y2746)&amp;"")</f>
        <v/>
      </c>
      <c r="AA2746" s="59">
        <f>IF($Y2746="","",IF(INDEX($D$6:$D$40000,$Y2746)="","",INDEX($D$6:$D$40000,$Y2746)))</f>
        <v/>
      </c>
      <c r="AB2746">
        <f>IF($Y2746="","",INDEX($L$6:$L$40000,$Y2746)&amp;"")</f>
        <v/>
      </c>
    </row>
    <row r="2747">
      <c r="Y2747" s="47">
        <f>IFERROR(MATCH(Library!M2747,$M$6:$M$40000,0),"")</f>
        <v/>
      </c>
      <c r="Z2747">
        <f>IF($Y2747="","",INDEX($C$6:$C$40000,$Y2747)&amp;"")</f>
        <v/>
      </c>
      <c r="AA2747" s="59">
        <f>IF($Y2747="","",IF(INDEX($D$6:$D$40000,$Y2747)="","",INDEX($D$6:$D$40000,$Y2747)))</f>
        <v/>
      </c>
      <c r="AB2747">
        <f>IF($Y2747="","",INDEX($L$6:$L$40000,$Y2747)&amp;"")</f>
        <v/>
      </c>
    </row>
    <row r="2748">
      <c r="Y2748" s="47">
        <f>IFERROR(MATCH(Library!M2748,$M$6:$M$40000,0),"")</f>
        <v/>
      </c>
      <c r="Z2748">
        <f>IF($Y2748="","",INDEX($C$6:$C$40000,$Y2748)&amp;"")</f>
        <v/>
      </c>
      <c r="AA2748" s="59">
        <f>IF($Y2748="","",IF(INDEX($D$6:$D$40000,$Y2748)="","",INDEX($D$6:$D$40000,$Y2748)))</f>
        <v/>
      </c>
      <c r="AB2748">
        <f>IF($Y2748="","",INDEX($L$6:$L$40000,$Y2748)&amp;"")</f>
        <v/>
      </c>
    </row>
    <row r="2749">
      <c r="Y2749" s="47">
        <f>IFERROR(MATCH(Library!M2749,$M$6:$M$40000,0),"")</f>
        <v/>
      </c>
      <c r="Z2749">
        <f>IF($Y2749="","",INDEX($C$6:$C$40000,$Y2749)&amp;"")</f>
        <v/>
      </c>
      <c r="AA2749" s="59">
        <f>IF($Y2749="","",IF(INDEX($D$6:$D$40000,$Y2749)="","",INDEX($D$6:$D$40000,$Y2749)))</f>
        <v/>
      </c>
      <c r="AB2749">
        <f>IF($Y2749="","",INDEX($L$6:$L$40000,$Y2749)&amp;"")</f>
        <v/>
      </c>
    </row>
    <row r="2750">
      <c r="Y2750" s="47">
        <f>IFERROR(MATCH(Library!M2750,$M$6:$M$40000,0),"")</f>
        <v/>
      </c>
      <c r="Z2750">
        <f>IF($Y2750="","",INDEX($C$6:$C$40000,$Y2750)&amp;"")</f>
        <v/>
      </c>
      <c r="AA2750" s="59">
        <f>IF($Y2750="","",IF(INDEX($D$6:$D$40000,$Y2750)="","",INDEX($D$6:$D$40000,$Y2750)))</f>
        <v/>
      </c>
      <c r="AB2750">
        <f>IF($Y2750="","",INDEX($L$6:$L$40000,$Y2750)&amp;"")</f>
        <v/>
      </c>
    </row>
    <row r="2751">
      <c r="Y2751" s="47">
        <f>IFERROR(MATCH(Library!M2751,$M$6:$M$40000,0),"")</f>
        <v/>
      </c>
      <c r="Z2751">
        <f>IF($Y2751="","",INDEX($C$6:$C$40000,$Y2751)&amp;"")</f>
        <v/>
      </c>
      <c r="AA2751" s="59">
        <f>IF($Y2751="","",IF(INDEX($D$6:$D$40000,$Y2751)="","",INDEX($D$6:$D$40000,$Y2751)))</f>
        <v/>
      </c>
      <c r="AB2751">
        <f>IF($Y2751="","",INDEX($L$6:$L$40000,$Y2751)&amp;"")</f>
        <v/>
      </c>
    </row>
    <row r="2752">
      <c r="Y2752" s="47">
        <f>IFERROR(MATCH(Library!M2752,$M$6:$M$40000,0),"")</f>
        <v/>
      </c>
      <c r="Z2752">
        <f>IF($Y2752="","",INDEX($C$6:$C$40000,$Y2752)&amp;"")</f>
        <v/>
      </c>
      <c r="AA2752" s="59">
        <f>IF($Y2752="","",IF(INDEX($D$6:$D$40000,$Y2752)="","",INDEX($D$6:$D$40000,$Y2752)))</f>
        <v/>
      </c>
      <c r="AB2752">
        <f>IF($Y2752="","",INDEX($L$6:$L$40000,$Y2752)&amp;"")</f>
        <v/>
      </c>
    </row>
    <row r="2753">
      <c r="Y2753" s="47">
        <f>IFERROR(MATCH(Library!M2753,$M$6:$M$40000,0),"")</f>
        <v/>
      </c>
      <c r="Z2753">
        <f>IF($Y2753="","",INDEX($C$6:$C$40000,$Y2753)&amp;"")</f>
        <v/>
      </c>
      <c r="AA2753" s="59">
        <f>IF($Y2753="","",IF(INDEX($D$6:$D$40000,$Y2753)="","",INDEX($D$6:$D$40000,$Y2753)))</f>
        <v/>
      </c>
      <c r="AB2753">
        <f>IF($Y2753="","",INDEX($L$6:$L$40000,$Y2753)&amp;"")</f>
        <v/>
      </c>
    </row>
    <row r="2754">
      <c r="Y2754" s="47">
        <f>IFERROR(MATCH(Library!M2754,$M$6:$M$40000,0),"")</f>
        <v/>
      </c>
      <c r="Z2754">
        <f>IF($Y2754="","",INDEX($C$6:$C$40000,$Y2754)&amp;"")</f>
        <v/>
      </c>
      <c r="AA2754" s="59">
        <f>IF($Y2754="","",IF(INDEX($D$6:$D$40000,$Y2754)="","",INDEX($D$6:$D$40000,$Y2754)))</f>
        <v/>
      </c>
      <c r="AB2754">
        <f>IF($Y2754="","",INDEX($L$6:$L$40000,$Y2754)&amp;"")</f>
        <v/>
      </c>
    </row>
    <row r="2755">
      <c r="Y2755" s="47">
        <f>IFERROR(MATCH(Library!M2755,$M$6:$M$40000,0),"")</f>
        <v/>
      </c>
      <c r="Z2755">
        <f>IF($Y2755="","",INDEX($C$6:$C$40000,$Y2755)&amp;"")</f>
        <v/>
      </c>
      <c r="AA2755" s="59">
        <f>IF($Y2755="","",IF(INDEX($D$6:$D$40000,$Y2755)="","",INDEX($D$6:$D$40000,$Y2755)))</f>
        <v/>
      </c>
      <c r="AB2755">
        <f>IF($Y2755="","",INDEX($L$6:$L$40000,$Y2755)&amp;"")</f>
        <v/>
      </c>
    </row>
    <row r="2756">
      <c r="Y2756" s="47">
        <f>IFERROR(MATCH(Library!M2756,$M$6:$M$40000,0),"")</f>
        <v/>
      </c>
      <c r="Z2756">
        <f>IF($Y2756="","",INDEX($C$6:$C$40000,$Y2756)&amp;"")</f>
        <v/>
      </c>
      <c r="AA2756" s="59">
        <f>IF($Y2756="","",IF(INDEX($D$6:$D$40000,$Y2756)="","",INDEX($D$6:$D$40000,$Y2756)))</f>
        <v/>
      </c>
      <c r="AB2756">
        <f>IF($Y2756="","",INDEX($L$6:$L$40000,$Y2756)&amp;"")</f>
        <v/>
      </c>
    </row>
    <row r="2757">
      <c r="Y2757" s="47">
        <f>IFERROR(MATCH(Library!M2757,$M$6:$M$40000,0),"")</f>
        <v/>
      </c>
      <c r="Z2757">
        <f>IF($Y2757="","",INDEX($C$6:$C$40000,$Y2757)&amp;"")</f>
        <v/>
      </c>
      <c r="AA2757" s="59">
        <f>IF($Y2757="","",IF(INDEX($D$6:$D$40000,$Y2757)="","",INDEX($D$6:$D$40000,$Y2757)))</f>
        <v/>
      </c>
      <c r="AB2757">
        <f>IF($Y2757="","",INDEX($L$6:$L$40000,$Y2757)&amp;"")</f>
        <v/>
      </c>
    </row>
    <row r="2758">
      <c r="Y2758" s="47">
        <f>IFERROR(MATCH(Library!M2758,$M$6:$M$40000,0),"")</f>
        <v/>
      </c>
      <c r="Z2758">
        <f>IF($Y2758="","",INDEX($C$6:$C$40000,$Y2758)&amp;"")</f>
        <v/>
      </c>
      <c r="AA2758" s="59">
        <f>IF($Y2758="","",IF(INDEX($D$6:$D$40000,$Y2758)="","",INDEX($D$6:$D$40000,$Y2758)))</f>
        <v/>
      </c>
      <c r="AB2758">
        <f>IF($Y2758="","",INDEX($L$6:$L$40000,$Y2758)&amp;"")</f>
        <v/>
      </c>
    </row>
    <row r="2759">
      <c r="Y2759" s="47">
        <f>IFERROR(MATCH(Library!M2759,$M$6:$M$40000,0),"")</f>
        <v/>
      </c>
      <c r="Z2759">
        <f>IF($Y2759="","",INDEX($C$6:$C$40000,$Y2759)&amp;"")</f>
        <v/>
      </c>
      <c r="AA2759" s="59">
        <f>IF($Y2759="","",IF(INDEX($D$6:$D$40000,$Y2759)="","",INDEX($D$6:$D$40000,$Y2759)))</f>
        <v/>
      </c>
      <c r="AB2759">
        <f>IF($Y2759="","",INDEX($L$6:$L$40000,$Y2759)&amp;"")</f>
        <v/>
      </c>
    </row>
    <row r="2760">
      <c r="Y2760" s="47">
        <f>IFERROR(MATCH(Library!M2760,$M$6:$M$40000,0),"")</f>
        <v/>
      </c>
      <c r="Z2760">
        <f>IF($Y2760="","",INDEX($C$6:$C$40000,$Y2760)&amp;"")</f>
        <v/>
      </c>
      <c r="AA2760" s="59">
        <f>IF($Y2760="","",IF(INDEX($D$6:$D$40000,$Y2760)="","",INDEX($D$6:$D$40000,$Y2760)))</f>
        <v/>
      </c>
      <c r="AB2760">
        <f>IF($Y2760="","",INDEX($L$6:$L$40000,$Y2760)&amp;"")</f>
        <v/>
      </c>
    </row>
    <row r="2761">
      <c r="Y2761" s="47">
        <f>IFERROR(MATCH(Library!M2761,$M$6:$M$40000,0),"")</f>
        <v/>
      </c>
      <c r="Z2761">
        <f>IF($Y2761="","",INDEX($C$6:$C$40000,$Y2761)&amp;"")</f>
        <v/>
      </c>
      <c r="AA2761" s="59">
        <f>IF($Y2761="","",IF(INDEX($D$6:$D$40000,$Y2761)="","",INDEX($D$6:$D$40000,$Y2761)))</f>
        <v/>
      </c>
      <c r="AB2761">
        <f>IF($Y2761="","",INDEX($L$6:$L$40000,$Y2761)&amp;"")</f>
        <v/>
      </c>
    </row>
    <row r="2762">
      <c r="Y2762" s="47">
        <f>IFERROR(MATCH(Library!M2762,$M$6:$M$40000,0),"")</f>
        <v/>
      </c>
      <c r="Z2762">
        <f>IF($Y2762="","",INDEX($C$6:$C$40000,$Y2762)&amp;"")</f>
        <v/>
      </c>
      <c r="AA2762" s="59">
        <f>IF($Y2762="","",IF(INDEX($D$6:$D$40000,$Y2762)="","",INDEX($D$6:$D$40000,$Y2762)))</f>
        <v/>
      </c>
      <c r="AB2762">
        <f>IF($Y2762="","",INDEX($L$6:$L$40000,$Y2762)&amp;"")</f>
        <v/>
      </c>
    </row>
    <row r="2763">
      <c r="Y2763" s="47">
        <f>IFERROR(MATCH(Library!M2763,$M$6:$M$40000,0),"")</f>
        <v/>
      </c>
      <c r="Z2763">
        <f>IF($Y2763="","",INDEX($C$6:$C$40000,$Y2763)&amp;"")</f>
        <v/>
      </c>
      <c r="AA2763" s="59">
        <f>IF($Y2763="","",IF(INDEX($D$6:$D$40000,$Y2763)="","",INDEX($D$6:$D$40000,$Y2763)))</f>
        <v/>
      </c>
      <c r="AB2763">
        <f>IF($Y2763="","",INDEX($L$6:$L$40000,$Y2763)&amp;"")</f>
        <v/>
      </c>
    </row>
    <row r="2764">
      <c r="Y2764" s="47">
        <f>IFERROR(MATCH(Library!M2764,$M$6:$M$40000,0),"")</f>
        <v/>
      </c>
      <c r="Z2764">
        <f>IF($Y2764="","",INDEX($C$6:$C$40000,$Y2764)&amp;"")</f>
        <v/>
      </c>
      <c r="AA2764" s="59">
        <f>IF($Y2764="","",IF(INDEX($D$6:$D$40000,$Y2764)="","",INDEX($D$6:$D$40000,$Y2764)))</f>
        <v/>
      </c>
      <c r="AB2764">
        <f>IF($Y2764="","",INDEX($L$6:$L$40000,$Y2764)&amp;"")</f>
        <v/>
      </c>
    </row>
    <row r="2765">
      <c r="Y2765" s="47">
        <f>IFERROR(MATCH(Library!M2765,$M$6:$M$40000,0),"")</f>
        <v/>
      </c>
      <c r="Z2765">
        <f>IF($Y2765="","",INDEX($C$6:$C$40000,$Y2765)&amp;"")</f>
        <v/>
      </c>
      <c r="AA2765" s="59">
        <f>IF($Y2765="","",IF(INDEX($D$6:$D$40000,$Y2765)="","",INDEX($D$6:$D$40000,$Y2765)))</f>
        <v/>
      </c>
      <c r="AB2765">
        <f>IF($Y2765="","",INDEX($L$6:$L$40000,$Y2765)&amp;"")</f>
        <v/>
      </c>
    </row>
    <row r="2766">
      <c r="Y2766" s="47">
        <f>IFERROR(MATCH(Library!M2766,$M$6:$M$40000,0),"")</f>
        <v/>
      </c>
      <c r="Z2766">
        <f>IF($Y2766="","",INDEX($C$6:$C$40000,$Y2766)&amp;"")</f>
        <v/>
      </c>
      <c r="AA2766" s="59">
        <f>IF($Y2766="","",IF(INDEX($D$6:$D$40000,$Y2766)="","",INDEX($D$6:$D$40000,$Y2766)))</f>
        <v/>
      </c>
      <c r="AB2766">
        <f>IF($Y2766="","",INDEX($L$6:$L$40000,$Y2766)&amp;"")</f>
        <v/>
      </c>
    </row>
    <row r="2767">
      <c r="Y2767" s="47">
        <f>IFERROR(MATCH(Library!M2767,$M$6:$M$40000,0),"")</f>
        <v/>
      </c>
      <c r="Z2767">
        <f>IF($Y2767="","",INDEX($C$6:$C$40000,$Y2767)&amp;"")</f>
        <v/>
      </c>
      <c r="AA2767" s="59">
        <f>IF($Y2767="","",IF(INDEX($D$6:$D$40000,$Y2767)="","",INDEX($D$6:$D$40000,$Y2767)))</f>
        <v/>
      </c>
      <c r="AB2767">
        <f>IF($Y2767="","",INDEX($L$6:$L$40000,$Y2767)&amp;"")</f>
        <v/>
      </c>
    </row>
    <row r="2768">
      <c r="Y2768" s="47">
        <f>IFERROR(MATCH(Library!M2768,$M$6:$M$40000,0),"")</f>
        <v/>
      </c>
      <c r="Z2768">
        <f>IF($Y2768="","",INDEX($C$6:$C$40000,$Y2768)&amp;"")</f>
        <v/>
      </c>
      <c r="AA2768" s="59">
        <f>IF($Y2768="","",IF(INDEX($D$6:$D$40000,$Y2768)="","",INDEX($D$6:$D$40000,$Y2768)))</f>
        <v/>
      </c>
      <c r="AB2768">
        <f>IF($Y2768="","",INDEX($L$6:$L$40000,$Y2768)&amp;"")</f>
        <v/>
      </c>
    </row>
    <row r="2769">
      <c r="Y2769" s="47">
        <f>IFERROR(MATCH(Library!M2769,$M$6:$M$40000,0),"")</f>
        <v/>
      </c>
      <c r="Z2769">
        <f>IF($Y2769="","",INDEX($C$6:$C$40000,$Y2769)&amp;"")</f>
        <v/>
      </c>
      <c r="AA2769" s="59">
        <f>IF($Y2769="","",IF(INDEX($D$6:$D$40000,$Y2769)="","",INDEX($D$6:$D$40000,$Y2769)))</f>
        <v/>
      </c>
      <c r="AB2769">
        <f>IF($Y2769="","",INDEX($L$6:$L$40000,$Y2769)&amp;"")</f>
        <v/>
      </c>
    </row>
    <row r="2770">
      <c r="Y2770" s="47">
        <f>IFERROR(MATCH(Library!M2770,$M$6:$M$40000,0),"")</f>
        <v/>
      </c>
      <c r="Z2770">
        <f>IF($Y2770="","",INDEX($C$6:$C$40000,$Y2770)&amp;"")</f>
        <v/>
      </c>
      <c r="AA2770" s="59">
        <f>IF($Y2770="","",IF(INDEX($D$6:$D$40000,$Y2770)="","",INDEX($D$6:$D$40000,$Y2770)))</f>
        <v/>
      </c>
      <c r="AB2770">
        <f>IF($Y2770="","",INDEX($L$6:$L$40000,$Y2770)&amp;"")</f>
        <v/>
      </c>
    </row>
    <row r="2771">
      <c r="Y2771" s="47">
        <f>IFERROR(MATCH(Library!M2771,$M$6:$M$40000,0),"")</f>
        <v/>
      </c>
      <c r="Z2771">
        <f>IF($Y2771="","",INDEX($C$6:$C$40000,$Y2771)&amp;"")</f>
        <v/>
      </c>
      <c r="AA2771" s="59">
        <f>IF($Y2771="","",IF(INDEX($D$6:$D$40000,$Y2771)="","",INDEX($D$6:$D$40000,$Y2771)))</f>
        <v/>
      </c>
      <c r="AB2771">
        <f>IF($Y2771="","",INDEX($L$6:$L$40000,$Y2771)&amp;"")</f>
        <v/>
      </c>
    </row>
    <row r="2772">
      <c r="Y2772" s="47">
        <f>IFERROR(MATCH(Library!M2772,$M$6:$M$40000,0),"")</f>
        <v/>
      </c>
      <c r="Z2772">
        <f>IF($Y2772="","",INDEX($C$6:$C$40000,$Y2772)&amp;"")</f>
        <v/>
      </c>
      <c r="AA2772" s="59">
        <f>IF($Y2772="","",IF(INDEX($D$6:$D$40000,$Y2772)="","",INDEX($D$6:$D$40000,$Y2772)))</f>
        <v/>
      </c>
      <c r="AB2772">
        <f>IF($Y2772="","",INDEX($L$6:$L$40000,$Y2772)&amp;"")</f>
        <v/>
      </c>
    </row>
    <row r="2773">
      <c r="Y2773" s="47">
        <f>IFERROR(MATCH(Library!M2773,$M$6:$M$40000,0),"")</f>
        <v/>
      </c>
      <c r="Z2773">
        <f>IF($Y2773="","",INDEX($C$6:$C$40000,$Y2773)&amp;"")</f>
        <v/>
      </c>
      <c r="AA2773" s="59">
        <f>IF($Y2773="","",IF(INDEX($D$6:$D$40000,$Y2773)="","",INDEX($D$6:$D$40000,$Y2773)))</f>
        <v/>
      </c>
      <c r="AB2773">
        <f>IF($Y2773="","",INDEX($L$6:$L$40000,$Y2773)&amp;"")</f>
        <v/>
      </c>
    </row>
    <row r="2774">
      <c r="Y2774" s="47">
        <f>IFERROR(MATCH(Library!M2774,$M$6:$M$40000,0),"")</f>
        <v/>
      </c>
      <c r="Z2774">
        <f>IF($Y2774="","",INDEX($C$6:$C$40000,$Y2774)&amp;"")</f>
        <v/>
      </c>
      <c r="AA2774" s="59">
        <f>IF($Y2774="","",IF(INDEX($D$6:$D$40000,$Y2774)="","",INDEX($D$6:$D$40000,$Y2774)))</f>
        <v/>
      </c>
      <c r="AB2774">
        <f>IF($Y2774="","",INDEX($L$6:$L$40000,$Y2774)&amp;"")</f>
        <v/>
      </c>
    </row>
    <row r="2775">
      <c r="Y2775" s="47">
        <f>IFERROR(MATCH(Library!M2775,$M$6:$M$40000,0),"")</f>
        <v/>
      </c>
      <c r="Z2775">
        <f>IF($Y2775="","",INDEX($C$6:$C$40000,$Y2775)&amp;"")</f>
        <v/>
      </c>
      <c r="AA2775" s="59">
        <f>IF($Y2775="","",IF(INDEX($D$6:$D$40000,$Y2775)="","",INDEX($D$6:$D$40000,$Y2775)))</f>
        <v/>
      </c>
      <c r="AB2775">
        <f>IF($Y2775="","",INDEX($L$6:$L$40000,$Y2775)&amp;"")</f>
        <v/>
      </c>
    </row>
    <row r="2776">
      <c r="Y2776" s="47">
        <f>IFERROR(MATCH(Library!M2776,$M$6:$M$40000,0),"")</f>
        <v/>
      </c>
      <c r="Z2776">
        <f>IF($Y2776="","",INDEX($C$6:$C$40000,$Y2776)&amp;"")</f>
        <v/>
      </c>
      <c r="AA2776" s="59">
        <f>IF($Y2776="","",IF(INDEX($D$6:$D$40000,$Y2776)="","",INDEX($D$6:$D$40000,$Y2776)))</f>
        <v/>
      </c>
      <c r="AB2776">
        <f>IF($Y2776="","",INDEX($L$6:$L$40000,$Y2776)&amp;"")</f>
        <v/>
      </c>
    </row>
    <row r="2777">
      <c r="Y2777" s="47">
        <f>IFERROR(MATCH(Library!M2777,$M$6:$M$40000,0),"")</f>
        <v/>
      </c>
      <c r="Z2777">
        <f>IF($Y2777="","",INDEX($C$6:$C$40000,$Y2777)&amp;"")</f>
        <v/>
      </c>
      <c r="AA2777" s="59">
        <f>IF($Y2777="","",IF(INDEX($D$6:$D$40000,$Y2777)="","",INDEX($D$6:$D$40000,$Y2777)))</f>
        <v/>
      </c>
      <c r="AB2777">
        <f>IF($Y2777="","",INDEX($L$6:$L$40000,$Y2777)&amp;"")</f>
        <v/>
      </c>
    </row>
    <row r="2778">
      <c r="Y2778" s="47">
        <f>IFERROR(MATCH(Library!M2778,$M$6:$M$40000,0),"")</f>
        <v/>
      </c>
      <c r="Z2778">
        <f>IF($Y2778="","",INDEX($C$6:$C$40000,$Y2778)&amp;"")</f>
        <v/>
      </c>
      <c r="AA2778" s="59">
        <f>IF($Y2778="","",IF(INDEX($D$6:$D$40000,$Y2778)="","",INDEX($D$6:$D$40000,$Y2778)))</f>
        <v/>
      </c>
      <c r="AB2778">
        <f>IF($Y2778="","",INDEX($L$6:$L$40000,$Y2778)&amp;"")</f>
        <v/>
      </c>
    </row>
    <row r="2779">
      <c r="Y2779" s="47">
        <f>IFERROR(MATCH(Library!M2779,$M$6:$M$40000,0),"")</f>
        <v/>
      </c>
      <c r="Z2779">
        <f>IF($Y2779="","",INDEX($C$6:$C$40000,$Y2779)&amp;"")</f>
        <v/>
      </c>
      <c r="AA2779" s="59">
        <f>IF($Y2779="","",IF(INDEX($D$6:$D$40000,$Y2779)="","",INDEX($D$6:$D$40000,$Y2779)))</f>
        <v/>
      </c>
      <c r="AB2779">
        <f>IF($Y2779="","",INDEX($L$6:$L$40000,$Y2779)&amp;"")</f>
        <v/>
      </c>
    </row>
    <row r="2780">
      <c r="Y2780" s="47">
        <f>IFERROR(MATCH(Library!M2780,$M$6:$M$40000,0),"")</f>
        <v/>
      </c>
      <c r="Z2780">
        <f>IF($Y2780="","",INDEX($C$6:$C$40000,$Y2780)&amp;"")</f>
        <v/>
      </c>
      <c r="AA2780" s="59">
        <f>IF($Y2780="","",IF(INDEX($D$6:$D$40000,$Y2780)="","",INDEX($D$6:$D$40000,$Y2780)))</f>
        <v/>
      </c>
      <c r="AB2780">
        <f>IF($Y2780="","",INDEX($L$6:$L$40000,$Y2780)&amp;"")</f>
        <v/>
      </c>
    </row>
    <row r="2781">
      <c r="Y2781" s="47">
        <f>IFERROR(MATCH(Library!M2781,$M$6:$M$40000,0),"")</f>
        <v/>
      </c>
      <c r="Z2781">
        <f>IF($Y2781="","",INDEX($C$6:$C$40000,$Y2781)&amp;"")</f>
        <v/>
      </c>
      <c r="AA2781" s="59">
        <f>IF($Y2781="","",IF(INDEX($D$6:$D$40000,$Y2781)="","",INDEX($D$6:$D$40000,$Y2781)))</f>
        <v/>
      </c>
      <c r="AB2781">
        <f>IF($Y2781="","",INDEX($L$6:$L$40000,$Y2781)&amp;"")</f>
        <v/>
      </c>
    </row>
    <row r="2782">
      <c r="Y2782" s="47">
        <f>IFERROR(MATCH(Library!M2782,$M$6:$M$40000,0),"")</f>
        <v/>
      </c>
      <c r="Z2782">
        <f>IF($Y2782="","",INDEX($C$6:$C$40000,$Y2782)&amp;"")</f>
        <v/>
      </c>
      <c r="AA2782" s="59">
        <f>IF($Y2782="","",IF(INDEX($D$6:$D$40000,$Y2782)="","",INDEX($D$6:$D$40000,$Y2782)))</f>
        <v/>
      </c>
      <c r="AB2782">
        <f>IF($Y2782="","",INDEX($L$6:$L$40000,$Y2782)&amp;"")</f>
        <v/>
      </c>
    </row>
    <row r="2783">
      <c r="Y2783" s="47">
        <f>IFERROR(MATCH(Library!M2783,$M$6:$M$40000,0),"")</f>
        <v/>
      </c>
      <c r="Z2783">
        <f>IF($Y2783="","",INDEX($C$6:$C$40000,$Y2783)&amp;"")</f>
        <v/>
      </c>
      <c r="AA2783" s="59">
        <f>IF($Y2783="","",IF(INDEX($D$6:$D$40000,$Y2783)="","",INDEX($D$6:$D$40000,$Y2783)))</f>
        <v/>
      </c>
      <c r="AB2783">
        <f>IF($Y2783="","",INDEX($L$6:$L$40000,$Y2783)&amp;"")</f>
        <v/>
      </c>
    </row>
    <row r="2784">
      <c r="Y2784" s="47">
        <f>IFERROR(MATCH(Library!M2784,$M$6:$M$40000,0),"")</f>
        <v/>
      </c>
      <c r="Z2784">
        <f>IF($Y2784="","",INDEX($C$6:$C$40000,$Y2784)&amp;"")</f>
        <v/>
      </c>
      <c r="AA2784" s="59">
        <f>IF($Y2784="","",IF(INDEX($D$6:$D$40000,$Y2784)="","",INDEX($D$6:$D$40000,$Y2784)))</f>
        <v/>
      </c>
      <c r="AB2784">
        <f>IF($Y2784="","",INDEX($L$6:$L$40000,$Y2784)&amp;"")</f>
        <v/>
      </c>
    </row>
    <row r="2785">
      <c r="Y2785" s="47">
        <f>IFERROR(MATCH(Library!M2785,$M$6:$M$40000,0),"")</f>
        <v/>
      </c>
      <c r="Z2785">
        <f>IF($Y2785="","",INDEX($C$6:$C$40000,$Y2785)&amp;"")</f>
        <v/>
      </c>
      <c r="AA2785" s="59">
        <f>IF($Y2785="","",IF(INDEX($D$6:$D$40000,$Y2785)="","",INDEX($D$6:$D$40000,$Y2785)))</f>
        <v/>
      </c>
      <c r="AB2785">
        <f>IF($Y2785="","",INDEX($L$6:$L$40000,$Y2785)&amp;"")</f>
        <v/>
      </c>
    </row>
    <row r="2786">
      <c r="Y2786" s="47">
        <f>IFERROR(MATCH(Library!M2786,$M$6:$M$40000,0),"")</f>
        <v/>
      </c>
      <c r="Z2786">
        <f>IF($Y2786="","",INDEX($C$6:$C$40000,$Y2786)&amp;"")</f>
        <v/>
      </c>
      <c r="AA2786" s="59">
        <f>IF($Y2786="","",IF(INDEX($D$6:$D$40000,$Y2786)="","",INDEX($D$6:$D$40000,$Y2786)))</f>
        <v/>
      </c>
      <c r="AB2786">
        <f>IF($Y2786="","",INDEX($L$6:$L$40000,$Y2786)&amp;"")</f>
        <v/>
      </c>
    </row>
    <row r="2787">
      <c r="Y2787" s="47">
        <f>IFERROR(MATCH(Library!M2787,$M$6:$M$40000,0),"")</f>
        <v/>
      </c>
      <c r="Z2787">
        <f>IF($Y2787="","",INDEX($C$6:$C$40000,$Y2787)&amp;"")</f>
        <v/>
      </c>
      <c r="AA2787" s="59">
        <f>IF($Y2787="","",IF(INDEX($D$6:$D$40000,$Y2787)="","",INDEX($D$6:$D$40000,$Y2787)))</f>
        <v/>
      </c>
      <c r="AB2787">
        <f>IF($Y2787="","",INDEX($L$6:$L$40000,$Y2787)&amp;"")</f>
        <v/>
      </c>
    </row>
    <row r="2788">
      <c r="Y2788" s="47">
        <f>IFERROR(MATCH(Library!M2788,$M$6:$M$40000,0),"")</f>
        <v/>
      </c>
      <c r="Z2788">
        <f>IF($Y2788="","",INDEX($C$6:$C$40000,$Y2788)&amp;"")</f>
        <v/>
      </c>
      <c r="AA2788" s="59">
        <f>IF($Y2788="","",IF(INDEX($D$6:$D$40000,$Y2788)="","",INDEX($D$6:$D$40000,$Y2788)))</f>
        <v/>
      </c>
      <c r="AB2788">
        <f>IF($Y2788="","",INDEX($L$6:$L$40000,$Y2788)&amp;"")</f>
        <v/>
      </c>
    </row>
    <row r="2789">
      <c r="Y2789" s="47">
        <f>IFERROR(MATCH(Library!M2789,$M$6:$M$40000,0),"")</f>
        <v/>
      </c>
      <c r="Z2789">
        <f>IF($Y2789="","",INDEX($C$6:$C$40000,$Y2789)&amp;"")</f>
        <v/>
      </c>
      <c r="AA2789" s="59">
        <f>IF($Y2789="","",IF(INDEX($D$6:$D$40000,$Y2789)="","",INDEX($D$6:$D$40000,$Y2789)))</f>
        <v/>
      </c>
      <c r="AB2789">
        <f>IF($Y2789="","",INDEX($L$6:$L$40000,$Y2789)&amp;"")</f>
        <v/>
      </c>
    </row>
    <row r="2790">
      <c r="Y2790" s="47">
        <f>IFERROR(MATCH(Library!M2790,$M$6:$M$40000,0),"")</f>
        <v/>
      </c>
      <c r="Z2790">
        <f>IF($Y2790="","",INDEX($C$6:$C$40000,$Y2790)&amp;"")</f>
        <v/>
      </c>
      <c r="AA2790" s="59">
        <f>IF($Y2790="","",IF(INDEX($D$6:$D$40000,$Y2790)="","",INDEX($D$6:$D$40000,$Y2790)))</f>
        <v/>
      </c>
      <c r="AB2790">
        <f>IF($Y2790="","",INDEX($L$6:$L$40000,$Y2790)&amp;"")</f>
        <v/>
      </c>
    </row>
    <row r="2791">
      <c r="Y2791" s="47">
        <f>IFERROR(MATCH(Library!M2791,$M$6:$M$40000,0),"")</f>
        <v/>
      </c>
      <c r="Z2791">
        <f>IF($Y2791="","",INDEX($C$6:$C$40000,$Y2791)&amp;"")</f>
        <v/>
      </c>
      <c r="AA2791" s="59">
        <f>IF($Y2791="","",IF(INDEX($D$6:$D$40000,$Y2791)="","",INDEX($D$6:$D$40000,$Y2791)))</f>
        <v/>
      </c>
      <c r="AB2791">
        <f>IF($Y2791="","",INDEX($L$6:$L$40000,$Y2791)&amp;"")</f>
        <v/>
      </c>
    </row>
    <row r="2792">
      <c r="Y2792" s="47">
        <f>IFERROR(MATCH(Library!M2792,$M$6:$M$40000,0),"")</f>
        <v/>
      </c>
      <c r="Z2792">
        <f>IF($Y2792="","",INDEX($C$6:$C$40000,$Y2792)&amp;"")</f>
        <v/>
      </c>
      <c r="AA2792" s="59">
        <f>IF($Y2792="","",IF(INDEX($D$6:$D$40000,$Y2792)="","",INDEX($D$6:$D$40000,$Y2792)))</f>
        <v/>
      </c>
      <c r="AB2792">
        <f>IF($Y2792="","",INDEX($L$6:$L$40000,$Y2792)&amp;"")</f>
        <v/>
      </c>
    </row>
    <row r="2793">
      <c r="Y2793" s="47">
        <f>IFERROR(MATCH(Library!M2793,$M$6:$M$40000,0),"")</f>
        <v/>
      </c>
      <c r="Z2793">
        <f>IF($Y2793="","",INDEX($C$6:$C$40000,$Y2793)&amp;"")</f>
        <v/>
      </c>
      <c r="AA2793" s="59">
        <f>IF($Y2793="","",IF(INDEX($D$6:$D$40000,$Y2793)="","",INDEX($D$6:$D$40000,$Y2793)))</f>
        <v/>
      </c>
      <c r="AB2793">
        <f>IF($Y2793="","",INDEX($L$6:$L$40000,$Y2793)&amp;"")</f>
        <v/>
      </c>
    </row>
    <row r="2794">
      <c r="Y2794" s="47">
        <f>IFERROR(MATCH(Library!M2794,$M$6:$M$40000,0),"")</f>
        <v/>
      </c>
      <c r="Z2794">
        <f>IF($Y2794="","",INDEX($C$6:$C$40000,$Y2794)&amp;"")</f>
        <v/>
      </c>
      <c r="AA2794" s="59">
        <f>IF($Y2794="","",IF(INDEX($D$6:$D$40000,$Y2794)="","",INDEX($D$6:$D$40000,$Y2794)))</f>
        <v/>
      </c>
      <c r="AB2794">
        <f>IF($Y2794="","",INDEX($L$6:$L$40000,$Y2794)&amp;"")</f>
        <v/>
      </c>
    </row>
    <row r="2795">
      <c r="Y2795" s="47">
        <f>IFERROR(MATCH(Library!M2795,$M$6:$M$40000,0),"")</f>
        <v/>
      </c>
      <c r="Z2795">
        <f>IF($Y2795="","",INDEX($C$6:$C$40000,$Y2795)&amp;"")</f>
        <v/>
      </c>
      <c r="AA2795" s="59">
        <f>IF($Y2795="","",IF(INDEX($D$6:$D$40000,$Y2795)="","",INDEX($D$6:$D$40000,$Y2795)))</f>
        <v/>
      </c>
      <c r="AB2795">
        <f>IF($Y2795="","",INDEX($L$6:$L$40000,$Y2795)&amp;"")</f>
        <v/>
      </c>
    </row>
    <row r="2796">
      <c r="Y2796" s="47">
        <f>IFERROR(MATCH(Library!M2796,$M$6:$M$40000,0),"")</f>
        <v/>
      </c>
      <c r="Z2796">
        <f>IF($Y2796="","",INDEX($C$6:$C$40000,$Y2796)&amp;"")</f>
        <v/>
      </c>
      <c r="AA2796" s="59">
        <f>IF($Y2796="","",IF(INDEX($D$6:$D$40000,$Y2796)="","",INDEX($D$6:$D$40000,$Y2796)))</f>
        <v/>
      </c>
      <c r="AB2796">
        <f>IF($Y2796="","",INDEX($L$6:$L$40000,$Y2796)&amp;"")</f>
        <v/>
      </c>
    </row>
    <row r="2797">
      <c r="Y2797" s="47">
        <f>IFERROR(MATCH(Library!M2797,$M$6:$M$40000,0),"")</f>
        <v/>
      </c>
      <c r="Z2797">
        <f>IF($Y2797="","",INDEX($C$6:$C$40000,$Y2797)&amp;"")</f>
        <v/>
      </c>
      <c r="AA2797" s="59">
        <f>IF($Y2797="","",IF(INDEX($D$6:$D$40000,$Y2797)="","",INDEX($D$6:$D$40000,$Y2797)))</f>
        <v/>
      </c>
      <c r="AB2797">
        <f>IF($Y2797="","",INDEX($L$6:$L$40000,$Y2797)&amp;"")</f>
        <v/>
      </c>
    </row>
    <row r="2798">
      <c r="Y2798" s="47">
        <f>IFERROR(MATCH(Library!M2798,$M$6:$M$40000,0),"")</f>
        <v/>
      </c>
      <c r="Z2798">
        <f>IF($Y2798="","",INDEX($C$6:$C$40000,$Y2798)&amp;"")</f>
        <v/>
      </c>
      <c r="AA2798" s="59">
        <f>IF($Y2798="","",IF(INDEX($D$6:$D$40000,$Y2798)="","",INDEX($D$6:$D$40000,$Y2798)))</f>
        <v/>
      </c>
      <c r="AB2798">
        <f>IF($Y2798="","",INDEX($L$6:$L$40000,$Y2798)&amp;"")</f>
        <v/>
      </c>
    </row>
    <row r="2799">
      <c r="Y2799" s="47">
        <f>IFERROR(MATCH(Library!M2799,$M$6:$M$40000,0),"")</f>
        <v/>
      </c>
      <c r="Z2799">
        <f>IF($Y2799="","",INDEX($C$6:$C$40000,$Y2799)&amp;"")</f>
        <v/>
      </c>
      <c r="AA2799" s="59">
        <f>IF($Y2799="","",IF(INDEX($D$6:$D$40000,$Y2799)="","",INDEX($D$6:$D$40000,$Y2799)))</f>
        <v/>
      </c>
      <c r="AB2799">
        <f>IF($Y2799="","",INDEX($L$6:$L$40000,$Y2799)&amp;"")</f>
        <v/>
      </c>
    </row>
    <row r="2800">
      <c r="Y2800" s="47">
        <f>IFERROR(MATCH(Library!M2800,$M$6:$M$40000,0),"")</f>
        <v/>
      </c>
      <c r="Z2800">
        <f>IF($Y2800="","",INDEX($C$6:$C$40000,$Y2800)&amp;"")</f>
        <v/>
      </c>
      <c r="AA2800" s="59">
        <f>IF($Y2800="","",IF(INDEX($D$6:$D$40000,$Y2800)="","",INDEX($D$6:$D$40000,$Y2800)))</f>
        <v/>
      </c>
      <c r="AB2800">
        <f>IF($Y2800="","",INDEX($L$6:$L$40000,$Y2800)&amp;"")</f>
        <v/>
      </c>
    </row>
    <row r="2801">
      <c r="Y2801" s="47">
        <f>IFERROR(MATCH(Library!M2801,$M$6:$M$40000,0),"")</f>
        <v/>
      </c>
      <c r="Z2801">
        <f>IF($Y2801="","",INDEX($C$6:$C$40000,$Y2801)&amp;"")</f>
        <v/>
      </c>
      <c r="AA2801" s="59">
        <f>IF($Y2801="","",IF(INDEX($D$6:$D$40000,$Y2801)="","",INDEX($D$6:$D$40000,$Y2801)))</f>
        <v/>
      </c>
      <c r="AB2801">
        <f>IF($Y2801="","",INDEX($L$6:$L$40000,$Y2801)&amp;"")</f>
        <v/>
      </c>
    </row>
    <row r="2802">
      <c r="Y2802" s="47">
        <f>IFERROR(MATCH(Library!M2802,$M$6:$M$40000,0),"")</f>
        <v/>
      </c>
      <c r="Z2802">
        <f>IF($Y2802="","",INDEX($C$6:$C$40000,$Y2802)&amp;"")</f>
        <v/>
      </c>
      <c r="AA2802" s="59">
        <f>IF($Y2802="","",IF(INDEX($D$6:$D$40000,$Y2802)="","",INDEX($D$6:$D$40000,$Y2802)))</f>
        <v/>
      </c>
      <c r="AB2802">
        <f>IF($Y2802="","",INDEX($L$6:$L$40000,$Y2802)&amp;"")</f>
        <v/>
      </c>
    </row>
    <row r="2803">
      <c r="Y2803" s="47">
        <f>IFERROR(MATCH(Library!M2803,$M$6:$M$40000,0),"")</f>
        <v/>
      </c>
      <c r="Z2803">
        <f>IF($Y2803="","",INDEX($C$6:$C$40000,$Y2803)&amp;"")</f>
        <v/>
      </c>
      <c r="AA2803" s="59">
        <f>IF($Y2803="","",IF(INDEX($D$6:$D$40000,$Y2803)="","",INDEX($D$6:$D$40000,$Y2803)))</f>
        <v/>
      </c>
      <c r="AB2803">
        <f>IF($Y2803="","",INDEX($L$6:$L$40000,$Y2803)&amp;"")</f>
        <v/>
      </c>
    </row>
    <row r="2804">
      <c r="Y2804" s="47">
        <f>IFERROR(MATCH(Library!M2804,$M$6:$M$40000,0),"")</f>
        <v/>
      </c>
      <c r="Z2804">
        <f>IF($Y2804="","",INDEX($C$6:$C$40000,$Y2804)&amp;"")</f>
        <v/>
      </c>
      <c r="AA2804" s="59">
        <f>IF($Y2804="","",IF(INDEX($D$6:$D$40000,$Y2804)="","",INDEX($D$6:$D$40000,$Y2804)))</f>
        <v/>
      </c>
      <c r="AB2804">
        <f>IF($Y2804="","",INDEX($L$6:$L$40000,$Y2804)&amp;"")</f>
        <v/>
      </c>
    </row>
    <row r="2805">
      <c r="Y2805" s="47">
        <f>IFERROR(MATCH(Library!M2805,$M$6:$M$40000,0),"")</f>
        <v/>
      </c>
      <c r="Z2805">
        <f>IF($Y2805="","",INDEX($C$6:$C$40000,$Y2805)&amp;"")</f>
        <v/>
      </c>
      <c r="AA2805" s="59">
        <f>IF($Y2805="","",IF(INDEX($D$6:$D$40000,$Y2805)="","",INDEX($D$6:$D$40000,$Y2805)))</f>
        <v/>
      </c>
      <c r="AB2805">
        <f>IF($Y2805="","",INDEX($L$6:$L$40000,$Y2805)&amp;"")</f>
        <v/>
      </c>
    </row>
    <row r="2806">
      <c r="Y2806" s="47">
        <f>IFERROR(MATCH(Library!M2806,$M$6:$M$40000,0),"")</f>
        <v/>
      </c>
      <c r="Z2806">
        <f>IF($Y2806="","",INDEX($C$6:$C$40000,$Y2806)&amp;"")</f>
        <v/>
      </c>
      <c r="AA2806" s="59">
        <f>IF($Y2806="","",IF(INDEX($D$6:$D$40000,$Y2806)="","",INDEX($D$6:$D$40000,$Y2806)))</f>
        <v/>
      </c>
      <c r="AB2806">
        <f>IF($Y2806="","",INDEX($L$6:$L$40000,$Y2806)&amp;"")</f>
        <v/>
      </c>
    </row>
    <row r="2807">
      <c r="Y2807" s="47">
        <f>IFERROR(MATCH(Library!M2807,$M$6:$M$40000,0),"")</f>
        <v/>
      </c>
      <c r="Z2807">
        <f>IF($Y2807="","",INDEX($C$6:$C$40000,$Y2807)&amp;"")</f>
        <v/>
      </c>
      <c r="AA2807" s="59">
        <f>IF($Y2807="","",IF(INDEX($D$6:$D$40000,$Y2807)="","",INDEX($D$6:$D$40000,$Y2807)))</f>
        <v/>
      </c>
      <c r="AB2807">
        <f>IF($Y2807="","",INDEX($L$6:$L$40000,$Y2807)&amp;"")</f>
        <v/>
      </c>
    </row>
    <row r="2808">
      <c r="Y2808" s="47">
        <f>IFERROR(MATCH(Library!M2808,$M$6:$M$40000,0),"")</f>
        <v/>
      </c>
      <c r="Z2808">
        <f>IF($Y2808="","",INDEX($C$6:$C$40000,$Y2808)&amp;"")</f>
        <v/>
      </c>
      <c r="AA2808" s="59">
        <f>IF($Y2808="","",IF(INDEX($D$6:$D$40000,$Y2808)="","",INDEX($D$6:$D$40000,$Y2808)))</f>
        <v/>
      </c>
      <c r="AB2808">
        <f>IF($Y2808="","",INDEX($L$6:$L$40000,$Y2808)&amp;"")</f>
        <v/>
      </c>
    </row>
    <row r="2809">
      <c r="Y2809" s="47">
        <f>IFERROR(MATCH(Library!M2809,$M$6:$M$40000,0),"")</f>
        <v/>
      </c>
      <c r="Z2809">
        <f>IF($Y2809="","",INDEX($C$6:$C$40000,$Y2809)&amp;"")</f>
        <v/>
      </c>
      <c r="AA2809" s="59">
        <f>IF($Y2809="","",IF(INDEX($D$6:$D$40000,$Y2809)="","",INDEX($D$6:$D$40000,$Y2809)))</f>
        <v/>
      </c>
      <c r="AB2809">
        <f>IF($Y2809="","",INDEX($L$6:$L$40000,$Y2809)&amp;"")</f>
        <v/>
      </c>
    </row>
    <row r="2810">
      <c r="Y2810" s="47">
        <f>IFERROR(MATCH(Library!M2810,$M$6:$M$40000,0),"")</f>
        <v/>
      </c>
      <c r="Z2810">
        <f>IF($Y2810="","",INDEX($C$6:$C$40000,$Y2810)&amp;"")</f>
        <v/>
      </c>
      <c r="AA2810" s="59">
        <f>IF($Y2810="","",IF(INDEX($D$6:$D$40000,$Y2810)="","",INDEX($D$6:$D$40000,$Y2810)))</f>
        <v/>
      </c>
      <c r="AB2810">
        <f>IF($Y2810="","",INDEX($L$6:$L$40000,$Y2810)&amp;"")</f>
        <v/>
      </c>
    </row>
    <row r="2811">
      <c r="Y2811" s="47">
        <f>IFERROR(MATCH(Library!M2811,$M$6:$M$40000,0),"")</f>
        <v/>
      </c>
      <c r="Z2811">
        <f>IF($Y2811="","",INDEX($C$6:$C$40000,$Y2811)&amp;"")</f>
        <v/>
      </c>
      <c r="AA2811" s="59">
        <f>IF($Y2811="","",IF(INDEX($D$6:$D$40000,$Y2811)="","",INDEX($D$6:$D$40000,$Y2811)))</f>
        <v/>
      </c>
      <c r="AB2811">
        <f>IF($Y2811="","",INDEX($L$6:$L$40000,$Y2811)&amp;"")</f>
        <v/>
      </c>
    </row>
    <row r="2812">
      <c r="Y2812" s="47">
        <f>IFERROR(MATCH(Library!M2812,$M$6:$M$40000,0),"")</f>
        <v/>
      </c>
      <c r="Z2812">
        <f>IF($Y2812="","",INDEX($C$6:$C$40000,$Y2812)&amp;"")</f>
        <v/>
      </c>
      <c r="AA2812" s="59">
        <f>IF($Y2812="","",IF(INDEX($D$6:$D$40000,$Y2812)="","",INDEX($D$6:$D$40000,$Y2812)))</f>
        <v/>
      </c>
      <c r="AB2812">
        <f>IF($Y2812="","",INDEX($L$6:$L$40000,$Y2812)&amp;"")</f>
        <v/>
      </c>
    </row>
    <row r="2813">
      <c r="Y2813" s="47">
        <f>IFERROR(MATCH(Library!M2813,$M$6:$M$40000,0),"")</f>
        <v/>
      </c>
      <c r="Z2813">
        <f>IF($Y2813="","",INDEX($C$6:$C$40000,$Y2813)&amp;"")</f>
        <v/>
      </c>
      <c r="AA2813" s="59">
        <f>IF($Y2813="","",IF(INDEX($D$6:$D$40000,$Y2813)="","",INDEX($D$6:$D$40000,$Y2813)))</f>
        <v/>
      </c>
      <c r="AB2813">
        <f>IF($Y2813="","",INDEX($L$6:$L$40000,$Y2813)&amp;"")</f>
        <v/>
      </c>
    </row>
    <row r="2814">
      <c r="Y2814" s="47">
        <f>IFERROR(MATCH(Library!M2814,$M$6:$M$40000,0),"")</f>
        <v/>
      </c>
      <c r="Z2814">
        <f>IF($Y2814="","",INDEX($C$6:$C$40000,$Y2814)&amp;"")</f>
        <v/>
      </c>
      <c r="AA2814" s="59">
        <f>IF($Y2814="","",IF(INDEX($D$6:$D$40000,$Y2814)="","",INDEX($D$6:$D$40000,$Y2814)))</f>
        <v/>
      </c>
      <c r="AB2814">
        <f>IF($Y2814="","",INDEX($L$6:$L$40000,$Y2814)&amp;"")</f>
        <v/>
      </c>
    </row>
    <row r="2815">
      <c r="Y2815" s="47">
        <f>IFERROR(MATCH(Library!M2815,$M$6:$M$40000,0),"")</f>
        <v/>
      </c>
      <c r="Z2815">
        <f>IF($Y2815="","",INDEX($C$6:$C$40000,$Y2815)&amp;"")</f>
        <v/>
      </c>
      <c r="AA2815" s="59">
        <f>IF($Y2815="","",IF(INDEX($D$6:$D$40000,$Y2815)="","",INDEX($D$6:$D$40000,$Y2815)))</f>
        <v/>
      </c>
      <c r="AB2815">
        <f>IF($Y2815="","",INDEX($L$6:$L$40000,$Y2815)&amp;"")</f>
        <v/>
      </c>
    </row>
    <row r="2816">
      <c r="Y2816" s="47">
        <f>IFERROR(MATCH(Library!M2816,$M$6:$M$40000,0),"")</f>
        <v/>
      </c>
      <c r="Z2816">
        <f>IF($Y2816="","",INDEX($C$6:$C$40000,$Y2816)&amp;"")</f>
        <v/>
      </c>
      <c r="AA2816" s="59">
        <f>IF($Y2816="","",IF(INDEX($D$6:$D$40000,$Y2816)="","",INDEX($D$6:$D$40000,$Y2816)))</f>
        <v/>
      </c>
      <c r="AB2816">
        <f>IF($Y2816="","",INDEX($L$6:$L$40000,$Y2816)&amp;"")</f>
        <v/>
      </c>
    </row>
    <row r="2817">
      <c r="Y2817" s="47">
        <f>IFERROR(MATCH(Library!M2817,$M$6:$M$40000,0),"")</f>
        <v/>
      </c>
      <c r="Z2817">
        <f>IF($Y2817="","",INDEX($C$6:$C$40000,$Y2817)&amp;"")</f>
        <v/>
      </c>
      <c r="AA2817" s="59">
        <f>IF($Y2817="","",IF(INDEX($D$6:$D$40000,$Y2817)="","",INDEX($D$6:$D$40000,$Y2817)))</f>
        <v/>
      </c>
      <c r="AB2817">
        <f>IF($Y2817="","",INDEX($L$6:$L$40000,$Y2817)&amp;"")</f>
        <v/>
      </c>
    </row>
    <row r="2818">
      <c r="Y2818" s="47">
        <f>IFERROR(MATCH(Library!M2818,$M$6:$M$40000,0),"")</f>
        <v/>
      </c>
      <c r="Z2818">
        <f>IF($Y2818="","",INDEX($C$6:$C$40000,$Y2818)&amp;"")</f>
        <v/>
      </c>
      <c r="AA2818" s="59">
        <f>IF($Y2818="","",IF(INDEX($D$6:$D$40000,$Y2818)="","",INDEX($D$6:$D$40000,$Y2818)))</f>
        <v/>
      </c>
      <c r="AB2818">
        <f>IF($Y2818="","",INDEX($L$6:$L$40000,$Y2818)&amp;"")</f>
        <v/>
      </c>
    </row>
    <row r="2819">
      <c r="Y2819" s="47">
        <f>IFERROR(MATCH(Library!M2819,$M$6:$M$40000,0),"")</f>
        <v/>
      </c>
      <c r="Z2819">
        <f>IF($Y2819="","",INDEX($C$6:$C$40000,$Y2819)&amp;"")</f>
        <v/>
      </c>
      <c r="AA2819" s="59">
        <f>IF($Y2819="","",IF(INDEX($D$6:$D$40000,$Y2819)="","",INDEX($D$6:$D$40000,$Y2819)))</f>
        <v/>
      </c>
      <c r="AB2819">
        <f>IF($Y2819="","",INDEX($L$6:$L$40000,$Y2819)&amp;"")</f>
        <v/>
      </c>
    </row>
    <row r="2820">
      <c r="Y2820" s="47">
        <f>IFERROR(MATCH(Library!M2820,$M$6:$M$40000,0),"")</f>
        <v/>
      </c>
      <c r="Z2820">
        <f>IF($Y2820="","",INDEX($C$6:$C$40000,$Y2820)&amp;"")</f>
        <v/>
      </c>
      <c r="AA2820" s="59">
        <f>IF($Y2820="","",IF(INDEX($D$6:$D$40000,$Y2820)="","",INDEX($D$6:$D$40000,$Y2820)))</f>
        <v/>
      </c>
      <c r="AB2820">
        <f>IF($Y2820="","",INDEX($L$6:$L$40000,$Y2820)&amp;"")</f>
        <v/>
      </c>
    </row>
    <row r="2821">
      <c r="Y2821" s="47">
        <f>IFERROR(MATCH(Library!M2821,$M$6:$M$40000,0),"")</f>
        <v/>
      </c>
      <c r="Z2821">
        <f>IF($Y2821="","",INDEX($C$6:$C$40000,$Y2821)&amp;"")</f>
        <v/>
      </c>
      <c r="AA2821" s="59">
        <f>IF($Y2821="","",IF(INDEX($D$6:$D$40000,$Y2821)="","",INDEX($D$6:$D$40000,$Y2821)))</f>
        <v/>
      </c>
      <c r="AB2821">
        <f>IF($Y2821="","",INDEX($L$6:$L$40000,$Y2821)&amp;"")</f>
        <v/>
      </c>
    </row>
    <row r="2822">
      <c r="Y2822" s="47">
        <f>IFERROR(MATCH(Library!M2822,$M$6:$M$40000,0),"")</f>
        <v/>
      </c>
      <c r="Z2822">
        <f>IF($Y2822="","",INDEX($C$6:$C$40000,$Y2822)&amp;"")</f>
        <v/>
      </c>
      <c r="AA2822" s="59">
        <f>IF($Y2822="","",IF(INDEX($D$6:$D$40000,$Y2822)="","",INDEX($D$6:$D$40000,$Y2822)))</f>
        <v/>
      </c>
      <c r="AB2822">
        <f>IF($Y2822="","",INDEX($L$6:$L$40000,$Y2822)&amp;"")</f>
        <v/>
      </c>
    </row>
    <row r="2823">
      <c r="Y2823" s="47">
        <f>IFERROR(MATCH(Library!M2823,$M$6:$M$40000,0),"")</f>
        <v/>
      </c>
      <c r="Z2823">
        <f>IF($Y2823="","",INDEX($C$6:$C$40000,$Y2823)&amp;"")</f>
        <v/>
      </c>
      <c r="AA2823" s="59">
        <f>IF($Y2823="","",IF(INDEX($D$6:$D$40000,$Y2823)="","",INDEX($D$6:$D$40000,$Y2823)))</f>
        <v/>
      </c>
      <c r="AB2823">
        <f>IF($Y2823="","",INDEX($L$6:$L$40000,$Y2823)&amp;"")</f>
        <v/>
      </c>
    </row>
    <row r="2824">
      <c r="Y2824" s="47">
        <f>IFERROR(MATCH(Library!M2824,$M$6:$M$40000,0),"")</f>
        <v/>
      </c>
      <c r="Z2824">
        <f>IF($Y2824="","",INDEX($C$6:$C$40000,$Y2824)&amp;"")</f>
        <v/>
      </c>
      <c r="AA2824" s="59">
        <f>IF($Y2824="","",IF(INDEX($D$6:$D$40000,$Y2824)="","",INDEX($D$6:$D$40000,$Y2824)))</f>
        <v/>
      </c>
      <c r="AB2824">
        <f>IF($Y2824="","",INDEX($L$6:$L$40000,$Y2824)&amp;"")</f>
        <v/>
      </c>
    </row>
    <row r="2825">
      <c r="Y2825" s="47">
        <f>IFERROR(MATCH(Library!M2825,$M$6:$M$40000,0),"")</f>
        <v/>
      </c>
      <c r="Z2825">
        <f>IF($Y2825="","",INDEX($C$6:$C$40000,$Y2825)&amp;"")</f>
        <v/>
      </c>
      <c r="AA2825" s="59">
        <f>IF($Y2825="","",IF(INDEX($D$6:$D$40000,$Y2825)="","",INDEX($D$6:$D$40000,$Y2825)))</f>
        <v/>
      </c>
      <c r="AB2825">
        <f>IF($Y2825="","",INDEX($L$6:$L$40000,$Y2825)&amp;"")</f>
        <v/>
      </c>
    </row>
    <row r="2826">
      <c r="Y2826" s="47">
        <f>IFERROR(MATCH(Library!M2826,$M$6:$M$40000,0),"")</f>
        <v/>
      </c>
      <c r="Z2826">
        <f>IF($Y2826="","",INDEX($C$6:$C$40000,$Y2826)&amp;"")</f>
        <v/>
      </c>
      <c r="AA2826" s="59">
        <f>IF($Y2826="","",IF(INDEX($D$6:$D$40000,$Y2826)="","",INDEX($D$6:$D$40000,$Y2826)))</f>
        <v/>
      </c>
      <c r="AB2826">
        <f>IF($Y2826="","",INDEX($L$6:$L$40000,$Y2826)&amp;"")</f>
        <v/>
      </c>
    </row>
    <row r="2827">
      <c r="Y2827" s="47">
        <f>IFERROR(MATCH(Library!M2827,$M$6:$M$40000,0),"")</f>
        <v/>
      </c>
      <c r="Z2827">
        <f>IF($Y2827="","",INDEX($C$6:$C$40000,$Y2827)&amp;"")</f>
        <v/>
      </c>
      <c r="AA2827" s="59">
        <f>IF($Y2827="","",IF(INDEX($D$6:$D$40000,$Y2827)="","",INDEX($D$6:$D$40000,$Y2827)))</f>
        <v/>
      </c>
      <c r="AB2827">
        <f>IF($Y2827="","",INDEX($L$6:$L$40000,$Y2827)&amp;"")</f>
        <v/>
      </c>
    </row>
    <row r="2828">
      <c r="Y2828" s="47">
        <f>IFERROR(MATCH(Library!M2828,$M$6:$M$40000,0),"")</f>
        <v/>
      </c>
      <c r="Z2828">
        <f>IF($Y2828="","",INDEX($C$6:$C$40000,$Y2828)&amp;"")</f>
        <v/>
      </c>
      <c r="AA2828" s="59">
        <f>IF($Y2828="","",IF(INDEX($D$6:$D$40000,$Y2828)="","",INDEX($D$6:$D$40000,$Y2828)))</f>
        <v/>
      </c>
      <c r="AB2828">
        <f>IF($Y2828="","",INDEX($L$6:$L$40000,$Y2828)&amp;"")</f>
        <v/>
      </c>
    </row>
    <row r="2829">
      <c r="Y2829" s="47">
        <f>IFERROR(MATCH(Library!M2829,$M$6:$M$40000,0),"")</f>
        <v/>
      </c>
      <c r="Z2829">
        <f>IF($Y2829="","",INDEX($C$6:$C$40000,$Y2829)&amp;"")</f>
        <v/>
      </c>
      <c r="AA2829" s="59">
        <f>IF($Y2829="","",IF(INDEX($D$6:$D$40000,$Y2829)="","",INDEX($D$6:$D$40000,$Y2829)))</f>
        <v/>
      </c>
      <c r="AB2829">
        <f>IF($Y2829="","",INDEX($L$6:$L$40000,$Y2829)&amp;"")</f>
        <v/>
      </c>
    </row>
    <row r="2830">
      <c r="Y2830" s="47">
        <f>IFERROR(MATCH(Library!M2830,$M$6:$M$40000,0),"")</f>
        <v/>
      </c>
      <c r="Z2830">
        <f>IF($Y2830="","",INDEX($C$6:$C$40000,$Y2830)&amp;"")</f>
        <v/>
      </c>
      <c r="AA2830" s="59">
        <f>IF($Y2830="","",IF(INDEX($D$6:$D$40000,$Y2830)="","",INDEX($D$6:$D$40000,$Y2830)))</f>
        <v/>
      </c>
      <c r="AB2830">
        <f>IF($Y2830="","",INDEX($L$6:$L$40000,$Y2830)&amp;"")</f>
        <v/>
      </c>
    </row>
    <row r="2831">
      <c r="Y2831" s="47">
        <f>IFERROR(MATCH(Library!M2831,$M$6:$M$40000,0),"")</f>
        <v/>
      </c>
      <c r="Z2831">
        <f>IF($Y2831="","",INDEX($C$6:$C$40000,$Y2831)&amp;"")</f>
        <v/>
      </c>
      <c r="AA2831" s="59">
        <f>IF($Y2831="","",IF(INDEX($D$6:$D$40000,$Y2831)="","",INDEX($D$6:$D$40000,$Y2831)))</f>
        <v/>
      </c>
      <c r="AB2831">
        <f>IF($Y2831="","",INDEX($L$6:$L$40000,$Y2831)&amp;"")</f>
        <v/>
      </c>
    </row>
    <row r="2832">
      <c r="Y2832" s="47">
        <f>IFERROR(MATCH(Library!M2832,$M$6:$M$40000,0),"")</f>
        <v/>
      </c>
      <c r="Z2832">
        <f>IF($Y2832="","",INDEX($C$6:$C$40000,$Y2832)&amp;"")</f>
        <v/>
      </c>
      <c r="AA2832" s="59">
        <f>IF($Y2832="","",IF(INDEX($D$6:$D$40000,$Y2832)="","",INDEX($D$6:$D$40000,$Y2832)))</f>
        <v/>
      </c>
      <c r="AB2832">
        <f>IF($Y2832="","",INDEX($L$6:$L$40000,$Y2832)&amp;"")</f>
        <v/>
      </c>
    </row>
    <row r="2833">
      <c r="Y2833" s="47">
        <f>IFERROR(MATCH(Library!M2833,$M$6:$M$40000,0),"")</f>
        <v/>
      </c>
      <c r="Z2833">
        <f>IF($Y2833="","",INDEX($C$6:$C$40000,$Y2833)&amp;"")</f>
        <v/>
      </c>
      <c r="AA2833" s="59">
        <f>IF($Y2833="","",IF(INDEX($D$6:$D$40000,$Y2833)="","",INDEX($D$6:$D$40000,$Y2833)))</f>
        <v/>
      </c>
      <c r="AB2833">
        <f>IF($Y2833="","",INDEX($L$6:$L$40000,$Y2833)&amp;"")</f>
        <v/>
      </c>
    </row>
    <row r="2834">
      <c r="Y2834" s="47">
        <f>IFERROR(MATCH(Library!M2834,$M$6:$M$40000,0),"")</f>
        <v/>
      </c>
      <c r="Z2834">
        <f>IF($Y2834="","",INDEX($C$6:$C$40000,$Y2834)&amp;"")</f>
        <v/>
      </c>
      <c r="AA2834" s="59">
        <f>IF($Y2834="","",IF(INDEX($D$6:$D$40000,$Y2834)="","",INDEX($D$6:$D$40000,$Y2834)))</f>
        <v/>
      </c>
      <c r="AB2834">
        <f>IF($Y2834="","",INDEX($L$6:$L$40000,$Y2834)&amp;"")</f>
        <v/>
      </c>
    </row>
    <row r="2835">
      <c r="Y2835" s="47">
        <f>IFERROR(MATCH(Library!M2835,$M$6:$M$40000,0),"")</f>
        <v/>
      </c>
      <c r="Z2835">
        <f>IF($Y2835="","",INDEX($C$6:$C$40000,$Y2835)&amp;"")</f>
        <v/>
      </c>
      <c r="AA2835" s="59">
        <f>IF($Y2835="","",IF(INDEX($D$6:$D$40000,$Y2835)="","",INDEX($D$6:$D$40000,$Y2835)))</f>
        <v/>
      </c>
      <c r="AB2835">
        <f>IF($Y2835="","",INDEX($L$6:$L$40000,$Y2835)&amp;"")</f>
        <v/>
      </c>
    </row>
    <row r="2836">
      <c r="Y2836" s="47">
        <f>IFERROR(MATCH(Library!M2836,$M$6:$M$40000,0),"")</f>
        <v/>
      </c>
      <c r="Z2836">
        <f>IF($Y2836="","",INDEX($C$6:$C$40000,$Y2836)&amp;"")</f>
        <v/>
      </c>
      <c r="AA2836" s="59">
        <f>IF($Y2836="","",IF(INDEX($D$6:$D$40000,$Y2836)="","",INDEX($D$6:$D$40000,$Y2836)))</f>
        <v/>
      </c>
      <c r="AB2836">
        <f>IF($Y2836="","",INDEX($L$6:$L$40000,$Y2836)&amp;"")</f>
        <v/>
      </c>
    </row>
    <row r="2837">
      <c r="Y2837" s="47">
        <f>IFERROR(MATCH(Library!M2837,$M$6:$M$40000,0),"")</f>
        <v/>
      </c>
      <c r="Z2837">
        <f>IF($Y2837="","",INDEX($C$6:$C$40000,$Y2837)&amp;"")</f>
        <v/>
      </c>
      <c r="AA2837" s="59">
        <f>IF($Y2837="","",IF(INDEX($D$6:$D$40000,$Y2837)="","",INDEX($D$6:$D$40000,$Y2837)))</f>
        <v/>
      </c>
      <c r="AB2837">
        <f>IF($Y2837="","",INDEX($L$6:$L$40000,$Y2837)&amp;"")</f>
        <v/>
      </c>
    </row>
    <row r="2838">
      <c r="Y2838" s="47">
        <f>IFERROR(MATCH(Library!M2838,$M$6:$M$40000,0),"")</f>
        <v/>
      </c>
      <c r="Z2838">
        <f>IF($Y2838="","",INDEX($C$6:$C$40000,$Y2838)&amp;"")</f>
        <v/>
      </c>
      <c r="AA2838" s="59">
        <f>IF($Y2838="","",IF(INDEX($D$6:$D$40000,$Y2838)="","",INDEX($D$6:$D$40000,$Y2838)))</f>
        <v/>
      </c>
      <c r="AB2838">
        <f>IF($Y2838="","",INDEX($L$6:$L$40000,$Y2838)&amp;"")</f>
        <v/>
      </c>
    </row>
    <row r="2839">
      <c r="Y2839" s="47">
        <f>IFERROR(MATCH(Library!M2839,$M$6:$M$40000,0),"")</f>
        <v/>
      </c>
      <c r="Z2839">
        <f>IF($Y2839="","",INDEX($C$6:$C$40000,$Y2839)&amp;"")</f>
        <v/>
      </c>
      <c r="AA2839" s="59">
        <f>IF($Y2839="","",IF(INDEX($D$6:$D$40000,$Y2839)="","",INDEX($D$6:$D$40000,$Y2839)))</f>
        <v/>
      </c>
      <c r="AB2839">
        <f>IF($Y2839="","",INDEX($L$6:$L$40000,$Y2839)&amp;"")</f>
        <v/>
      </c>
    </row>
    <row r="2840">
      <c r="Y2840" s="47">
        <f>IFERROR(MATCH(Library!M2840,$M$6:$M$40000,0),"")</f>
        <v/>
      </c>
      <c r="Z2840">
        <f>IF($Y2840="","",INDEX($C$6:$C$40000,$Y2840)&amp;"")</f>
        <v/>
      </c>
      <c r="AA2840" s="59">
        <f>IF($Y2840="","",IF(INDEX($D$6:$D$40000,$Y2840)="","",INDEX($D$6:$D$40000,$Y2840)))</f>
        <v/>
      </c>
      <c r="AB2840">
        <f>IF($Y2840="","",INDEX($L$6:$L$40000,$Y2840)&amp;"")</f>
        <v/>
      </c>
    </row>
    <row r="2841">
      <c r="Y2841" s="47">
        <f>IFERROR(MATCH(Library!M2841,$M$6:$M$40000,0),"")</f>
        <v/>
      </c>
      <c r="Z2841">
        <f>IF($Y2841="","",INDEX($C$6:$C$40000,$Y2841)&amp;"")</f>
        <v/>
      </c>
      <c r="AA2841" s="59">
        <f>IF($Y2841="","",IF(INDEX($D$6:$D$40000,$Y2841)="","",INDEX($D$6:$D$40000,$Y2841)))</f>
        <v/>
      </c>
      <c r="AB2841">
        <f>IF($Y2841="","",INDEX($L$6:$L$40000,$Y2841)&amp;"")</f>
        <v/>
      </c>
    </row>
    <row r="2842">
      <c r="Y2842" s="47">
        <f>IFERROR(MATCH(Library!M2842,$M$6:$M$40000,0),"")</f>
        <v/>
      </c>
      <c r="Z2842">
        <f>IF($Y2842="","",INDEX($C$6:$C$40000,$Y2842)&amp;"")</f>
        <v/>
      </c>
      <c r="AA2842" s="59">
        <f>IF($Y2842="","",IF(INDEX($D$6:$D$40000,$Y2842)="","",INDEX($D$6:$D$40000,$Y2842)))</f>
        <v/>
      </c>
      <c r="AB2842">
        <f>IF($Y2842="","",INDEX($L$6:$L$40000,$Y2842)&amp;"")</f>
        <v/>
      </c>
    </row>
    <row r="2843">
      <c r="Y2843" s="47">
        <f>IFERROR(MATCH(Library!M2843,$M$6:$M$40000,0),"")</f>
        <v/>
      </c>
      <c r="Z2843">
        <f>IF($Y2843="","",INDEX($C$6:$C$40000,$Y2843)&amp;"")</f>
        <v/>
      </c>
      <c r="AA2843" s="59">
        <f>IF($Y2843="","",IF(INDEX($D$6:$D$40000,$Y2843)="","",INDEX($D$6:$D$40000,$Y2843)))</f>
        <v/>
      </c>
      <c r="AB2843">
        <f>IF($Y2843="","",INDEX($L$6:$L$40000,$Y2843)&amp;"")</f>
        <v/>
      </c>
    </row>
    <row r="2844">
      <c r="Y2844" s="47">
        <f>IFERROR(MATCH(Library!M2844,$M$6:$M$40000,0),"")</f>
        <v/>
      </c>
      <c r="Z2844">
        <f>IF($Y2844="","",INDEX($C$6:$C$40000,$Y2844)&amp;"")</f>
        <v/>
      </c>
      <c r="AA2844" s="59">
        <f>IF($Y2844="","",IF(INDEX($D$6:$D$40000,$Y2844)="","",INDEX($D$6:$D$40000,$Y2844)))</f>
        <v/>
      </c>
      <c r="AB2844">
        <f>IF($Y2844="","",INDEX($L$6:$L$40000,$Y2844)&amp;"")</f>
        <v/>
      </c>
    </row>
    <row r="2845">
      <c r="Y2845" s="47">
        <f>IFERROR(MATCH(Library!M2845,$M$6:$M$40000,0),"")</f>
        <v/>
      </c>
      <c r="Z2845">
        <f>IF($Y2845="","",INDEX($C$6:$C$40000,$Y2845)&amp;"")</f>
        <v/>
      </c>
      <c r="AA2845" s="59">
        <f>IF($Y2845="","",IF(INDEX($D$6:$D$40000,$Y2845)="","",INDEX($D$6:$D$40000,$Y2845)))</f>
        <v/>
      </c>
      <c r="AB2845">
        <f>IF($Y2845="","",INDEX($L$6:$L$40000,$Y2845)&amp;"")</f>
        <v/>
      </c>
    </row>
    <row r="2846">
      <c r="Y2846" s="47">
        <f>IFERROR(MATCH(Library!M2846,$M$6:$M$40000,0),"")</f>
        <v/>
      </c>
      <c r="Z2846">
        <f>IF($Y2846="","",INDEX($C$6:$C$40000,$Y2846)&amp;"")</f>
        <v/>
      </c>
      <c r="AA2846" s="59">
        <f>IF($Y2846="","",IF(INDEX($D$6:$D$40000,$Y2846)="","",INDEX($D$6:$D$40000,$Y2846)))</f>
        <v/>
      </c>
      <c r="AB2846">
        <f>IF($Y2846="","",INDEX($L$6:$L$40000,$Y2846)&amp;"")</f>
        <v/>
      </c>
    </row>
    <row r="2847">
      <c r="Y2847" s="47">
        <f>IFERROR(MATCH(Library!M2847,$M$6:$M$40000,0),"")</f>
        <v/>
      </c>
      <c r="Z2847">
        <f>IF($Y2847="","",INDEX($C$6:$C$40000,$Y2847)&amp;"")</f>
        <v/>
      </c>
      <c r="AA2847" s="59">
        <f>IF($Y2847="","",IF(INDEX($D$6:$D$40000,$Y2847)="","",INDEX($D$6:$D$40000,$Y2847)))</f>
        <v/>
      </c>
      <c r="AB2847">
        <f>IF($Y2847="","",INDEX($L$6:$L$40000,$Y2847)&amp;"")</f>
        <v/>
      </c>
    </row>
    <row r="2848">
      <c r="Y2848" s="47">
        <f>IFERROR(MATCH(Library!M2848,$M$6:$M$40000,0),"")</f>
        <v/>
      </c>
      <c r="Z2848">
        <f>IF($Y2848="","",INDEX($C$6:$C$40000,$Y2848)&amp;"")</f>
        <v/>
      </c>
      <c r="AA2848" s="59">
        <f>IF($Y2848="","",IF(INDEX($D$6:$D$40000,$Y2848)="","",INDEX($D$6:$D$40000,$Y2848)))</f>
        <v/>
      </c>
      <c r="AB2848">
        <f>IF($Y2848="","",INDEX($L$6:$L$40000,$Y2848)&amp;"")</f>
        <v/>
      </c>
    </row>
    <row r="2849">
      <c r="Y2849" s="47">
        <f>IFERROR(MATCH(Library!M2849,$M$6:$M$40000,0),"")</f>
        <v/>
      </c>
      <c r="Z2849">
        <f>IF($Y2849="","",INDEX($C$6:$C$40000,$Y2849)&amp;"")</f>
        <v/>
      </c>
      <c r="AA2849" s="59">
        <f>IF($Y2849="","",IF(INDEX($D$6:$D$40000,$Y2849)="","",INDEX($D$6:$D$40000,$Y2849)))</f>
        <v/>
      </c>
      <c r="AB2849">
        <f>IF($Y2849="","",INDEX($L$6:$L$40000,$Y2849)&amp;"")</f>
        <v/>
      </c>
    </row>
    <row r="2850">
      <c r="Y2850" s="47">
        <f>IFERROR(MATCH(Library!M2850,$M$6:$M$40000,0),"")</f>
        <v/>
      </c>
      <c r="Z2850">
        <f>IF($Y2850="","",INDEX($C$6:$C$40000,$Y2850)&amp;"")</f>
        <v/>
      </c>
      <c r="AA2850" s="59">
        <f>IF($Y2850="","",IF(INDEX($D$6:$D$40000,$Y2850)="","",INDEX($D$6:$D$40000,$Y2850)))</f>
        <v/>
      </c>
      <c r="AB2850">
        <f>IF($Y2850="","",INDEX($L$6:$L$40000,$Y2850)&amp;"")</f>
        <v/>
      </c>
    </row>
    <row r="2851">
      <c r="Y2851" s="47">
        <f>IFERROR(MATCH(Library!M2851,$M$6:$M$40000,0),"")</f>
        <v/>
      </c>
      <c r="Z2851">
        <f>IF($Y2851="","",INDEX($C$6:$C$40000,$Y2851)&amp;"")</f>
        <v/>
      </c>
      <c r="AA2851" s="59">
        <f>IF($Y2851="","",IF(INDEX($D$6:$D$40000,$Y2851)="","",INDEX($D$6:$D$40000,$Y2851)))</f>
        <v/>
      </c>
      <c r="AB2851">
        <f>IF($Y2851="","",INDEX($L$6:$L$40000,$Y2851)&amp;"")</f>
        <v/>
      </c>
    </row>
    <row r="2852">
      <c r="Y2852" s="47">
        <f>IFERROR(MATCH(Library!M2852,$M$6:$M$40000,0),"")</f>
        <v/>
      </c>
      <c r="Z2852">
        <f>IF($Y2852="","",INDEX($C$6:$C$40000,$Y2852)&amp;"")</f>
        <v/>
      </c>
      <c r="AA2852" s="59">
        <f>IF($Y2852="","",IF(INDEX($D$6:$D$40000,$Y2852)="","",INDEX($D$6:$D$40000,$Y2852)))</f>
        <v/>
      </c>
      <c r="AB2852">
        <f>IF($Y2852="","",INDEX($L$6:$L$40000,$Y2852)&amp;"")</f>
        <v/>
      </c>
    </row>
    <row r="2853">
      <c r="Y2853" s="47">
        <f>IFERROR(MATCH(Library!M2853,$M$6:$M$40000,0),"")</f>
        <v/>
      </c>
      <c r="Z2853">
        <f>IF($Y2853="","",INDEX($C$6:$C$40000,$Y2853)&amp;"")</f>
        <v/>
      </c>
      <c r="AA2853" s="59">
        <f>IF($Y2853="","",IF(INDEX($D$6:$D$40000,$Y2853)="","",INDEX($D$6:$D$40000,$Y2853)))</f>
        <v/>
      </c>
      <c r="AB2853">
        <f>IF($Y2853="","",INDEX($L$6:$L$40000,$Y2853)&amp;"")</f>
        <v/>
      </c>
    </row>
    <row r="2854">
      <c r="Y2854" s="47">
        <f>IFERROR(MATCH(Library!M2854,$M$6:$M$40000,0),"")</f>
        <v/>
      </c>
      <c r="Z2854">
        <f>IF($Y2854="","",INDEX($C$6:$C$40000,$Y2854)&amp;"")</f>
        <v/>
      </c>
      <c r="AA2854" s="59">
        <f>IF($Y2854="","",IF(INDEX($D$6:$D$40000,$Y2854)="","",INDEX($D$6:$D$40000,$Y2854)))</f>
        <v/>
      </c>
      <c r="AB2854">
        <f>IF($Y2854="","",INDEX($L$6:$L$40000,$Y2854)&amp;"")</f>
        <v/>
      </c>
    </row>
    <row r="2855">
      <c r="Y2855" s="47">
        <f>IFERROR(MATCH(Library!M2855,$M$6:$M$40000,0),"")</f>
        <v/>
      </c>
      <c r="Z2855">
        <f>IF($Y2855="","",INDEX($C$6:$C$40000,$Y2855)&amp;"")</f>
        <v/>
      </c>
      <c r="AA2855" s="59">
        <f>IF($Y2855="","",IF(INDEX($D$6:$D$40000,$Y2855)="","",INDEX($D$6:$D$40000,$Y2855)))</f>
        <v/>
      </c>
      <c r="AB2855">
        <f>IF($Y2855="","",INDEX($L$6:$L$40000,$Y2855)&amp;"")</f>
        <v/>
      </c>
    </row>
    <row r="2856">
      <c r="Y2856" s="47">
        <f>IFERROR(MATCH(Library!M2856,$M$6:$M$40000,0),"")</f>
        <v/>
      </c>
      <c r="Z2856">
        <f>IF($Y2856="","",INDEX($C$6:$C$40000,$Y2856)&amp;"")</f>
        <v/>
      </c>
      <c r="AA2856" s="59">
        <f>IF($Y2856="","",IF(INDEX($D$6:$D$40000,$Y2856)="","",INDEX($D$6:$D$40000,$Y2856)))</f>
        <v/>
      </c>
      <c r="AB2856">
        <f>IF($Y2856="","",INDEX($L$6:$L$40000,$Y2856)&amp;"")</f>
        <v/>
      </c>
    </row>
    <row r="2857">
      <c r="Y2857" s="47">
        <f>IFERROR(MATCH(Library!M2857,$M$6:$M$40000,0),"")</f>
        <v/>
      </c>
      <c r="Z2857">
        <f>IF($Y2857="","",INDEX($C$6:$C$40000,$Y2857)&amp;"")</f>
        <v/>
      </c>
      <c r="AA2857" s="59">
        <f>IF($Y2857="","",IF(INDEX($D$6:$D$40000,$Y2857)="","",INDEX($D$6:$D$40000,$Y2857)))</f>
        <v/>
      </c>
      <c r="AB2857">
        <f>IF($Y2857="","",INDEX($L$6:$L$40000,$Y2857)&amp;"")</f>
        <v/>
      </c>
    </row>
    <row r="2858">
      <c r="Y2858" s="47">
        <f>IFERROR(MATCH(Library!M2858,$M$6:$M$40000,0),"")</f>
        <v/>
      </c>
      <c r="Z2858">
        <f>IF($Y2858="","",INDEX($C$6:$C$40000,$Y2858)&amp;"")</f>
        <v/>
      </c>
      <c r="AA2858" s="59">
        <f>IF($Y2858="","",IF(INDEX($D$6:$D$40000,$Y2858)="","",INDEX($D$6:$D$40000,$Y2858)))</f>
        <v/>
      </c>
      <c r="AB2858">
        <f>IF($Y2858="","",INDEX($L$6:$L$40000,$Y2858)&amp;"")</f>
        <v/>
      </c>
    </row>
    <row r="2859">
      <c r="Y2859" s="47">
        <f>IFERROR(MATCH(Library!M2859,$M$6:$M$40000,0),"")</f>
        <v/>
      </c>
      <c r="Z2859">
        <f>IF($Y2859="","",INDEX($C$6:$C$40000,$Y2859)&amp;"")</f>
        <v/>
      </c>
      <c r="AA2859" s="59">
        <f>IF($Y2859="","",IF(INDEX($D$6:$D$40000,$Y2859)="","",INDEX($D$6:$D$40000,$Y2859)))</f>
        <v/>
      </c>
      <c r="AB2859">
        <f>IF($Y2859="","",INDEX($L$6:$L$40000,$Y2859)&amp;"")</f>
        <v/>
      </c>
    </row>
    <row r="2860">
      <c r="Y2860" s="47">
        <f>IFERROR(MATCH(Library!M2860,$M$6:$M$40000,0),"")</f>
        <v/>
      </c>
      <c r="Z2860">
        <f>IF($Y2860="","",INDEX($C$6:$C$40000,$Y2860)&amp;"")</f>
        <v/>
      </c>
      <c r="AA2860" s="59">
        <f>IF($Y2860="","",IF(INDEX($D$6:$D$40000,$Y2860)="","",INDEX($D$6:$D$40000,$Y2860)))</f>
        <v/>
      </c>
      <c r="AB2860">
        <f>IF($Y2860="","",INDEX($L$6:$L$40000,$Y2860)&amp;"")</f>
        <v/>
      </c>
    </row>
    <row r="2861">
      <c r="Y2861" s="47">
        <f>IFERROR(MATCH(Library!M2861,$M$6:$M$40000,0),"")</f>
        <v/>
      </c>
      <c r="Z2861">
        <f>IF($Y2861="","",INDEX($C$6:$C$40000,$Y2861)&amp;"")</f>
        <v/>
      </c>
      <c r="AA2861" s="59">
        <f>IF($Y2861="","",IF(INDEX($D$6:$D$40000,$Y2861)="","",INDEX($D$6:$D$40000,$Y2861)))</f>
        <v/>
      </c>
      <c r="AB2861">
        <f>IF($Y2861="","",INDEX($L$6:$L$40000,$Y2861)&amp;"")</f>
        <v/>
      </c>
    </row>
    <row r="2862">
      <c r="Y2862" s="47">
        <f>IFERROR(MATCH(Library!M2862,$M$6:$M$40000,0),"")</f>
        <v/>
      </c>
      <c r="Z2862">
        <f>IF($Y2862="","",INDEX($C$6:$C$40000,$Y2862)&amp;"")</f>
        <v/>
      </c>
      <c r="AA2862" s="59">
        <f>IF($Y2862="","",IF(INDEX($D$6:$D$40000,$Y2862)="","",INDEX($D$6:$D$40000,$Y2862)))</f>
        <v/>
      </c>
      <c r="AB2862">
        <f>IF($Y2862="","",INDEX($L$6:$L$40000,$Y2862)&amp;"")</f>
        <v/>
      </c>
    </row>
    <row r="2863">
      <c r="Y2863" s="47">
        <f>IFERROR(MATCH(Library!M2863,$M$6:$M$40000,0),"")</f>
        <v/>
      </c>
      <c r="Z2863">
        <f>IF($Y2863="","",INDEX($C$6:$C$40000,$Y2863)&amp;"")</f>
        <v/>
      </c>
      <c r="AA2863" s="59">
        <f>IF($Y2863="","",IF(INDEX($D$6:$D$40000,$Y2863)="","",INDEX($D$6:$D$40000,$Y2863)))</f>
        <v/>
      </c>
      <c r="AB2863">
        <f>IF($Y2863="","",INDEX($L$6:$L$40000,$Y2863)&amp;"")</f>
        <v/>
      </c>
    </row>
    <row r="2864">
      <c r="Y2864" s="47">
        <f>IFERROR(MATCH(Library!M2864,$M$6:$M$40000,0),"")</f>
        <v/>
      </c>
      <c r="Z2864">
        <f>IF($Y2864="","",INDEX($C$6:$C$40000,$Y2864)&amp;"")</f>
        <v/>
      </c>
      <c r="AA2864" s="59">
        <f>IF($Y2864="","",IF(INDEX($D$6:$D$40000,$Y2864)="","",INDEX($D$6:$D$40000,$Y2864)))</f>
        <v/>
      </c>
      <c r="AB2864">
        <f>IF($Y2864="","",INDEX($L$6:$L$40000,$Y2864)&amp;"")</f>
        <v/>
      </c>
    </row>
    <row r="2865">
      <c r="Y2865" s="47">
        <f>IFERROR(MATCH(Library!M2865,$M$6:$M$40000,0),"")</f>
        <v/>
      </c>
      <c r="Z2865">
        <f>IF($Y2865="","",INDEX($C$6:$C$40000,$Y2865)&amp;"")</f>
        <v/>
      </c>
      <c r="AA2865" s="59">
        <f>IF($Y2865="","",IF(INDEX($D$6:$D$40000,$Y2865)="","",INDEX($D$6:$D$40000,$Y2865)))</f>
        <v/>
      </c>
      <c r="AB2865">
        <f>IF($Y2865="","",INDEX($L$6:$L$40000,$Y2865)&amp;"")</f>
        <v/>
      </c>
    </row>
    <row r="2866">
      <c r="Y2866" s="47">
        <f>IFERROR(MATCH(Library!M2866,$M$6:$M$40000,0),"")</f>
        <v/>
      </c>
      <c r="Z2866">
        <f>IF($Y2866="","",INDEX($C$6:$C$40000,$Y2866)&amp;"")</f>
        <v/>
      </c>
      <c r="AA2866" s="59">
        <f>IF($Y2866="","",IF(INDEX($D$6:$D$40000,$Y2866)="","",INDEX($D$6:$D$40000,$Y2866)))</f>
        <v/>
      </c>
      <c r="AB2866">
        <f>IF($Y2866="","",INDEX($L$6:$L$40000,$Y2866)&amp;"")</f>
        <v/>
      </c>
    </row>
    <row r="2867">
      <c r="Y2867" s="47">
        <f>IFERROR(MATCH(Library!M2867,$M$6:$M$40000,0),"")</f>
        <v/>
      </c>
      <c r="Z2867">
        <f>IF($Y2867="","",INDEX($C$6:$C$40000,$Y2867)&amp;"")</f>
        <v/>
      </c>
      <c r="AA2867" s="59">
        <f>IF($Y2867="","",IF(INDEX($D$6:$D$40000,$Y2867)="","",INDEX($D$6:$D$40000,$Y2867)))</f>
        <v/>
      </c>
      <c r="AB2867">
        <f>IF($Y2867="","",INDEX($L$6:$L$40000,$Y2867)&amp;"")</f>
        <v/>
      </c>
    </row>
    <row r="2868">
      <c r="Y2868" s="47">
        <f>IFERROR(MATCH(Library!M2868,$M$6:$M$40000,0),"")</f>
        <v/>
      </c>
      <c r="Z2868">
        <f>IF($Y2868="","",INDEX($C$6:$C$40000,$Y2868)&amp;"")</f>
        <v/>
      </c>
      <c r="AA2868" s="59">
        <f>IF($Y2868="","",IF(INDEX($D$6:$D$40000,$Y2868)="","",INDEX($D$6:$D$40000,$Y2868)))</f>
        <v/>
      </c>
      <c r="AB2868">
        <f>IF($Y2868="","",INDEX($L$6:$L$40000,$Y2868)&amp;"")</f>
        <v/>
      </c>
    </row>
    <row r="2869">
      <c r="Y2869" s="47">
        <f>IFERROR(MATCH(Library!M2869,$M$6:$M$40000,0),"")</f>
        <v/>
      </c>
      <c r="Z2869">
        <f>IF($Y2869="","",INDEX($C$6:$C$40000,$Y2869)&amp;"")</f>
        <v/>
      </c>
      <c r="AA2869" s="59">
        <f>IF($Y2869="","",IF(INDEX($D$6:$D$40000,$Y2869)="","",INDEX($D$6:$D$40000,$Y2869)))</f>
        <v/>
      </c>
      <c r="AB2869">
        <f>IF($Y2869="","",INDEX($L$6:$L$40000,$Y2869)&amp;"")</f>
        <v/>
      </c>
    </row>
    <row r="2870">
      <c r="Y2870" s="47">
        <f>IFERROR(MATCH(Library!M2870,$M$6:$M$40000,0),"")</f>
        <v/>
      </c>
      <c r="Z2870">
        <f>IF($Y2870="","",INDEX($C$6:$C$40000,$Y2870)&amp;"")</f>
        <v/>
      </c>
      <c r="AA2870" s="59">
        <f>IF($Y2870="","",IF(INDEX($D$6:$D$40000,$Y2870)="","",INDEX($D$6:$D$40000,$Y2870)))</f>
        <v/>
      </c>
      <c r="AB2870">
        <f>IF($Y2870="","",INDEX($L$6:$L$40000,$Y2870)&amp;"")</f>
        <v/>
      </c>
    </row>
    <row r="2871">
      <c r="Y2871" s="47">
        <f>IFERROR(MATCH(Library!M2871,$M$6:$M$40000,0),"")</f>
        <v/>
      </c>
      <c r="Z2871">
        <f>IF($Y2871="","",INDEX($C$6:$C$40000,$Y2871)&amp;"")</f>
        <v/>
      </c>
      <c r="AA2871" s="59">
        <f>IF($Y2871="","",IF(INDEX($D$6:$D$40000,$Y2871)="","",INDEX($D$6:$D$40000,$Y2871)))</f>
        <v/>
      </c>
      <c r="AB2871">
        <f>IF($Y2871="","",INDEX($L$6:$L$40000,$Y2871)&amp;"")</f>
        <v/>
      </c>
    </row>
    <row r="2872">
      <c r="Y2872" s="47">
        <f>IFERROR(MATCH(Library!M2872,$M$6:$M$40000,0),"")</f>
        <v/>
      </c>
      <c r="Z2872">
        <f>IF($Y2872="","",INDEX($C$6:$C$40000,$Y2872)&amp;"")</f>
        <v/>
      </c>
      <c r="AA2872" s="59">
        <f>IF($Y2872="","",IF(INDEX($D$6:$D$40000,$Y2872)="","",INDEX($D$6:$D$40000,$Y2872)))</f>
        <v/>
      </c>
      <c r="AB2872">
        <f>IF($Y2872="","",INDEX($L$6:$L$40000,$Y2872)&amp;"")</f>
        <v/>
      </c>
    </row>
    <row r="2873">
      <c r="Y2873" s="47">
        <f>IFERROR(MATCH(Library!M2873,$M$6:$M$40000,0),"")</f>
        <v/>
      </c>
      <c r="Z2873">
        <f>IF($Y2873="","",INDEX($C$6:$C$40000,$Y2873)&amp;"")</f>
        <v/>
      </c>
      <c r="AA2873" s="59">
        <f>IF($Y2873="","",IF(INDEX($D$6:$D$40000,$Y2873)="","",INDEX($D$6:$D$40000,$Y2873)))</f>
        <v/>
      </c>
      <c r="AB2873">
        <f>IF($Y2873="","",INDEX($L$6:$L$40000,$Y2873)&amp;"")</f>
        <v/>
      </c>
    </row>
    <row r="2874">
      <c r="Y2874" s="47">
        <f>IFERROR(MATCH(Library!M2874,$M$6:$M$40000,0),"")</f>
        <v/>
      </c>
      <c r="Z2874">
        <f>IF($Y2874="","",INDEX($C$6:$C$40000,$Y2874)&amp;"")</f>
        <v/>
      </c>
      <c r="AA2874" s="59">
        <f>IF($Y2874="","",IF(INDEX($D$6:$D$40000,$Y2874)="","",INDEX($D$6:$D$40000,$Y2874)))</f>
        <v/>
      </c>
      <c r="AB2874">
        <f>IF($Y2874="","",INDEX($L$6:$L$40000,$Y2874)&amp;"")</f>
        <v/>
      </c>
    </row>
    <row r="2875">
      <c r="Y2875" s="47">
        <f>IFERROR(MATCH(Library!M2875,$M$6:$M$40000,0),"")</f>
        <v/>
      </c>
      <c r="Z2875">
        <f>IF($Y2875="","",INDEX($C$6:$C$40000,$Y2875)&amp;"")</f>
        <v/>
      </c>
      <c r="AA2875" s="59">
        <f>IF($Y2875="","",IF(INDEX($D$6:$D$40000,$Y2875)="","",INDEX($D$6:$D$40000,$Y2875)))</f>
        <v/>
      </c>
      <c r="AB2875">
        <f>IF($Y2875="","",INDEX($L$6:$L$40000,$Y2875)&amp;"")</f>
        <v/>
      </c>
    </row>
    <row r="2876">
      <c r="Y2876" s="47">
        <f>IFERROR(MATCH(Library!M2876,$M$6:$M$40000,0),"")</f>
        <v/>
      </c>
      <c r="Z2876">
        <f>IF($Y2876="","",INDEX($C$6:$C$40000,$Y2876)&amp;"")</f>
        <v/>
      </c>
      <c r="AA2876" s="59">
        <f>IF($Y2876="","",IF(INDEX($D$6:$D$40000,$Y2876)="","",INDEX($D$6:$D$40000,$Y2876)))</f>
        <v/>
      </c>
      <c r="AB2876">
        <f>IF($Y2876="","",INDEX($L$6:$L$40000,$Y2876)&amp;"")</f>
        <v/>
      </c>
    </row>
    <row r="2877">
      <c r="Y2877" s="47">
        <f>IFERROR(MATCH(Library!M2877,$M$6:$M$40000,0),"")</f>
        <v/>
      </c>
      <c r="Z2877">
        <f>IF($Y2877="","",INDEX($C$6:$C$40000,$Y2877)&amp;"")</f>
        <v/>
      </c>
      <c r="AA2877" s="59">
        <f>IF($Y2877="","",IF(INDEX($D$6:$D$40000,$Y2877)="","",INDEX($D$6:$D$40000,$Y2877)))</f>
        <v/>
      </c>
      <c r="AB2877">
        <f>IF($Y2877="","",INDEX($L$6:$L$40000,$Y2877)&amp;"")</f>
        <v/>
      </c>
    </row>
    <row r="2878">
      <c r="Y2878" s="47">
        <f>IFERROR(MATCH(Library!M2878,$M$6:$M$40000,0),"")</f>
        <v/>
      </c>
      <c r="Z2878">
        <f>IF($Y2878="","",INDEX($C$6:$C$40000,$Y2878)&amp;"")</f>
        <v/>
      </c>
      <c r="AA2878" s="59">
        <f>IF($Y2878="","",IF(INDEX($D$6:$D$40000,$Y2878)="","",INDEX($D$6:$D$40000,$Y2878)))</f>
        <v/>
      </c>
      <c r="AB2878">
        <f>IF($Y2878="","",INDEX($L$6:$L$40000,$Y2878)&amp;"")</f>
        <v/>
      </c>
    </row>
    <row r="2879">
      <c r="Y2879" s="47">
        <f>IFERROR(MATCH(Library!M2879,$M$6:$M$40000,0),"")</f>
        <v/>
      </c>
      <c r="Z2879">
        <f>IF($Y2879="","",INDEX($C$6:$C$40000,$Y2879)&amp;"")</f>
        <v/>
      </c>
      <c r="AA2879" s="59">
        <f>IF($Y2879="","",IF(INDEX($D$6:$D$40000,$Y2879)="","",INDEX($D$6:$D$40000,$Y2879)))</f>
        <v/>
      </c>
      <c r="AB2879">
        <f>IF($Y2879="","",INDEX($L$6:$L$40000,$Y2879)&amp;"")</f>
        <v/>
      </c>
    </row>
    <row r="2880">
      <c r="Y2880" s="47">
        <f>IFERROR(MATCH(Library!M2880,$M$6:$M$40000,0),"")</f>
        <v/>
      </c>
      <c r="Z2880">
        <f>IF($Y2880="","",INDEX($C$6:$C$40000,$Y2880)&amp;"")</f>
        <v/>
      </c>
      <c r="AA2880" s="59">
        <f>IF($Y2880="","",IF(INDEX($D$6:$D$40000,$Y2880)="","",INDEX($D$6:$D$40000,$Y2880)))</f>
        <v/>
      </c>
      <c r="AB2880">
        <f>IF($Y2880="","",INDEX($L$6:$L$40000,$Y2880)&amp;"")</f>
        <v/>
      </c>
    </row>
    <row r="2881">
      <c r="Y2881" s="47">
        <f>IFERROR(MATCH(Library!M2881,$M$6:$M$40000,0),"")</f>
        <v/>
      </c>
      <c r="Z2881">
        <f>IF($Y2881="","",INDEX($C$6:$C$40000,$Y2881)&amp;"")</f>
        <v/>
      </c>
      <c r="AA2881" s="59">
        <f>IF($Y2881="","",IF(INDEX($D$6:$D$40000,$Y2881)="","",INDEX($D$6:$D$40000,$Y2881)))</f>
        <v/>
      </c>
      <c r="AB2881">
        <f>IF($Y2881="","",INDEX($L$6:$L$40000,$Y2881)&amp;"")</f>
        <v/>
      </c>
    </row>
    <row r="2882">
      <c r="Y2882" s="47">
        <f>IFERROR(MATCH(Library!M2882,$M$6:$M$40000,0),"")</f>
        <v/>
      </c>
      <c r="Z2882">
        <f>IF($Y2882="","",INDEX($C$6:$C$40000,$Y2882)&amp;"")</f>
        <v/>
      </c>
      <c r="AA2882" s="59">
        <f>IF($Y2882="","",IF(INDEX($D$6:$D$40000,$Y2882)="","",INDEX($D$6:$D$40000,$Y2882)))</f>
        <v/>
      </c>
      <c r="AB2882">
        <f>IF($Y2882="","",INDEX($L$6:$L$40000,$Y2882)&amp;"")</f>
        <v/>
      </c>
    </row>
    <row r="2883">
      <c r="Y2883" s="47">
        <f>IFERROR(MATCH(Library!M2883,$M$6:$M$40000,0),"")</f>
        <v/>
      </c>
      <c r="Z2883">
        <f>IF($Y2883="","",INDEX($C$6:$C$40000,$Y2883)&amp;"")</f>
        <v/>
      </c>
      <c r="AA2883" s="59">
        <f>IF($Y2883="","",IF(INDEX($D$6:$D$40000,$Y2883)="","",INDEX($D$6:$D$40000,$Y2883)))</f>
        <v/>
      </c>
      <c r="AB2883">
        <f>IF($Y2883="","",INDEX($L$6:$L$40000,$Y2883)&amp;"")</f>
        <v/>
      </c>
    </row>
    <row r="2884">
      <c r="Y2884" s="47">
        <f>IFERROR(MATCH(Library!M2884,$M$6:$M$40000,0),"")</f>
        <v/>
      </c>
      <c r="Z2884">
        <f>IF($Y2884="","",INDEX($C$6:$C$40000,$Y2884)&amp;"")</f>
        <v/>
      </c>
      <c r="AA2884" s="59">
        <f>IF($Y2884="","",IF(INDEX($D$6:$D$40000,$Y2884)="","",INDEX($D$6:$D$40000,$Y2884)))</f>
        <v/>
      </c>
      <c r="AB2884">
        <f>IF($Y2884="","",INDEX($L$6:$L$40000,$Y2884)&amp;"")</f>
        <v/>
      </c>
    </row>
    <row r="2885">
      <c r="Y2885" s="47">
        <f>IFERROR(MATCH(Library!M2885,$M$6:$M$40000,0),"")</f>
        <v/>
      </c>
      <c r="Z2885">
        <f>IF($Y2885="","",INDEX($C$6:$C$40000,$Y2885)&amp;"")</f>
        <v/>
      </c>
      <c r="AA2885" s="59">
        <f>IF($Y2885="","",IF(INDEX($D$6:$D$40000,$Y2885)="","",INDEX($D$6:$D$40000,$Y2885)))</f>
        <v/>
      </c>
      <c r="AB2885">
        <f>IF($Y2885="","",INDEX($L$6:$L$40000,$Y2885)&amp;"")</f>
        <v/>
      </c>
    </row>
    <row r="2886">
      <c r="Y2886" s="47">
        <f>IFERROR(MATCH(Library!M2886,$M$6:$M$40000,0),"")</f>
        <v/>
      </c>
      <c r="Z2886">
        <f>IF($Y2886="","",INDEX($C$6:$C$40000,$Y2886)&amp;"")</f>
        <v/>
      </c>
      <c r="AA2886" s="59">
        <f>IF($Y2886="","",IF(INDEX($D$6:$D$40000,$Y2886)="","",INDEX($D$6:$D$40000,$Y2886)))</f>
        <v/>
      </c>
      <c r="AB2886">
        <f>IF($Y2886="","",INDEX($L$6:$L$40000,$Y2886)&amp;"")</f>
        <v/>
      </c>
    </row>
    <row r="2887">
      <c r="Y2887" s="47">
        <f>IFERROR(MATCH(Library!M2887,$M$6:$M$40000,0),"")</f>
        <v/>
      </c>
      <c r="Z2887">
        <f>IF($Y2887="","",INDEX($C$6:$C$40000,$Y2887)&amp;"")</f>
        <v/>
      </c>
      <c r="AA2887" s="59">
        <f>IF($Y2887="","",IF(INDEX($D$6:$D$40000,$Y2887)="","",INDEX($D$6:$D$40000,$Y2887)))</f>
        <v/>
      </c>
      <c r="AB2887">
        <f>IF($Y2887="","",INDEX($L$6:$L$40000,$Y2887)&amp;"")</f>
        <v/>
      </c>
    </row>
    <row r="2888">
      <c r="Y2888" s="47">
        <f>IFERROR(MATCH(Library!M2888,$M$6:$M$40000,0),"")</f>
        <v/>
      </c>
      <c r="Z2888">
        <f>IF($Y2888="","",INDEX($C$6:$C$40000,$Y2888)&amp;"")</f>
        <v/>
      </c>
      <c r="AA2888" s="59">
        <f>IF($Y2888="","",IF(INDEX($D$6:$D$40000,$Y2888)="","",INDEX($D$6:$D$40000,$Y2888)))</f>
        <v/>
      </c>
      <c r="AB2888">
        <f>IF($Y2888="","",INDEX($L$6:$L$40000,$Y2888)&amp;"")</f>
        <v/>
      </c>
    </row>
    <row r="2889">
      <c r="Y2889" s="47">
        <f>IFERROR(MATCH(Library!M2889,$M$6:$M$40000,0),"")</f>
        <v/>
      </c>
      <c r="Z2889">
        <f>IF($Y2889="","",INDEX($C$6:$C$40000,$Y2889)&amp;"")</f>
        <v/>
      </c>
      <c r="AA2889" s="59">
        <f>IF($Y2889="","",IF(INDEX($D$6:$D$40000,$Y2889)="","",INDEX($D$6:$D$40000,$Y2889)))</f>
        <v/>
      </c>
      <c r="AB2889">
        <f>IF($Y2889="","",INDEX($L$6:$L$40000,$Y2889)&amp;"")</f>
        <v/>
      </c>
    </row>
    <row r="2890">
      <c r="Y2890" s="47">
        <f>IFERROR(MATCH(Library!M2890,$M$6:$M$40000,0),"")</f>
        <v/>
      </c>
      <c r="Z2890">
        <f>IF($Y2890="","",INDEX($C$6:$C$40000,$Y2890)&amp;"")</f>
        <v/>
      </c>
      <c r="AA2890" s="59">
        <f>IF($Y2890="","",IF(INDEX($D$6:$D$40000,$Y2890)="","",INDEX($D$6:$D$40000,$Y2890)))</f>
        <v/>
      </c>
      <c r="AB2890">
        <f>IF($Y2890="","",INDEX($L$6:$L$40000,$Y2890)&amp;"")</f>
        <v/>
      </c>
    </row>
    <row r="2891">
      <c r="Y2891" s="47">
        <f>IFERROR(MATCH(Library!M2891,$M$6:$M$40000,0),"")</f>
        <v/>
      </c>
      <c r="Z2891">
        <f>IF($Y2891="","",INDEX($C$6:$C$40000,$Y2891)&amp;"")</f>
        <v/>
      </c>
      <c r="AA2891" s="59">
        <f>IF($Y2891="","",IF(INDEX($D$6:$D$40000,$Y2891)="","",INDEX($D$6:$D$40000,$Y2891)))</f>
        <v/>
      </c>
      <c r="AB2891">
        <f>IF($Y2891="","",INDEX($L$6:$L$40000,$Y2891)&amp;"")</f>
        <v/>
      </c>
    </row>
    <row r="2892">
      <c r="Y2892" s="47">
        <f>IFERROR(MATCH(Library!M2892,$M$6:$M$40000,0),"")</f>
        <v/>
      </c>
      <c r="Z2892">
        <f>IF($Y2892="","",INDEX($C$6:$C$40000,$Y2892)&amp;"")</f>
        <v/>
      </c>
      <c r="AA2892" s="59">
        <f>IF($Y2892="","",IF(INDEX($D$6:$D$40000,$Y2892)="","",INDEX($D$6:$D$40000,$Y2892)))</f>
        <v/>
      </c>
      <c r="AB2892">
        <f>IF($Y2892="","",INDEX($L$6:$L$40000,$Y2892)&amp;"")</f>
        <v/>
      </c>
    </row>
    <row r="2893">
      <c r="Y2893" s="47">
        <f>IFERROR(MATCH(Library!M2893,$M$6:$M$40000,0),"")</f>
        <v/>
      </c>
      <c r="Z2893">
        <f>IF($Y2893="","",INDEX($C$6:$C$40000,$Y2893)&amp;"")</f>
        <v/>
      </c>
      <c r="AA2893" s="59">
        <f>IF($Y2893="","",IF(INDEX($D$6:$D$40000,$Y2893)="","",INDEX($D$6:$D$40000,$Y2893)))</f>
        <v/>
      </c>
      <c r="AB2893">
        <f>IF($Y2893="","",INDEX($L$6:$L$40000,$Y2893)&amp;"")</f>
        <v/>
      </c>
    </row>
    <row r="2894">
      <c r="Y2894" s="47">
        <f>IFERROR(MATCH(Library!M2894,$M$6:$M$40000,0),"")</f>
        <v/>
      </c>
      <c r="Z2894">
        <f>IF($Y2894="","",INDEX($C$6:$C$40000,$Y2894)&amp;"")</f>
        <v/>
      </c>
      <c r="AA2894" s="59">
        <f>IF($Y2894="","",IF(INDEX($D$6:$D$40000,$Y2894)="","",INDEX($D$6:$D$40000,$Y2894)))</f>
        <v/>
      </c>
      <c r="AB2894">
        <f>IF($Y2894="","",INDEX($L$6:$L$40000,$Y2894)&amp;"")</f>
        <v/>
      </c>
    </row>
    <row r="2895">
      <c r="Y2895" s="47">
        <f>IFERROR(MATCH(Library!M2895,$M$6:$M$40000,0),"")</f>
        <v/>
      </c>
      <c r="Z2895">
        <f>IF($Y2895="","",INDEX($C$6:$C$40000,$Y2895)&amp;"")</f>
        <v/>
      </c>
      <c r="AA2895" s="59">
        <f>IF($Y2895="","",IF(INDEX($D$6:$D$40000,$Y2895)="","",INDEX($D$6:$D$40000,$Y2895)))</f>
        <v/>
      </c>
      <c r="AB2895">
        <f>IF($Y2895="","",INDEX($L$6:$L$40000,$Y2895)&amp;"")</f>
        <v/>
      </c>
    </row>
    <row r="2896">
      <c r="Y2896" s="47">
        <f>IFERROR(MATCH(Library!M2896,$M$6:$M$40000,0),"")</f>
        <v/>
      </c>
      <c r="Z2896">
        <f>IF($Y2896="","",INDEX($C$6:$C$40000,$Y2896)&amp;"")</f>
        <v/>
      </c>
      <c r="AA2896" s="59">
        <f>IF($Y2896="","",IF(INDEX($D$6:$D$40000,$Y2896)="","",INDEX($D$6:$D$40000,$Y2896)))</f>
        <v/>
      </c>
      <c r="AB2896">
        <f>IF($Y2896="","",INDEX($L$6:$L$40000,$Y2896)&amp;"")</f>
        <v/>
      </c>
    </row>
    <row r="2897">
      <c r="Y2897" s="47">
        <f>IFERROR(MATCH(Library!M2897,$M$6:$M$40000,0),"")</f>
        <v/>
      </c>
      <c r="Z2897">
        <f>IF($Y2897="","",INDEX($C$6:$C$40000,$Y2897)&amp;"")</f>
        <v/>
      </c>
      <c r="AA2897" s="59">
        <f>IF($Y2897="","",IF(INDEX($D$6:$D$40000,$Y2897)="","",INDEX($D$6:$D$40000,$Y2897)))</f>
        <v/>
      </c>
      <c r="AB2897">
        <f>IF($Y2897="","",INDEX($L$6:$L$40000,$Y2897)&amp;"")</f>
        <v/>
      </c>
    </row>
    <row r="2898">
      <c r="Y2898" s="47">
        <f>IFERROR(MATCH(Library!M2898,$M$6:$M$40000,0),"")</f>
        <v/>
      </c>
      <c r="Z2898">
        <f>IF($Y2898="","",INDEX($C$6:$C$40000,$Y2898)&amp;"")</f>
        <v/>
      </c>
      <c r="AA2898" s="59">
        <f>IF($Y2898="","",IF(INDEX($D$6:$D$40000,$Y2898)="","",INDEX($D$6:$D$40000,$Y2898)))</f>
        <v/>
      </c>
      <c r="AB2898">
        <f>IF($Y2898="","",INDEX($L$6:$L$40000,$Y2898)&amp;"")</f>
        <v/>
      </c>
    </row>
    <row r="2899">
      <c r="Y2899" s="47">
        <f>IFERROR(MATCH(Library!M2899,$M$6:$M$40000,0),"")</f>
        <v/>
      </c>
      <c r="Z2899">
        <f>IF($Y2899="","",INDEX($C$6:$C$40000,$Y2899)&amp;"")</f>
        <v/>
      </c>
      <c r="AA2899" s="59">
        <f>IF($Y2899="","",IF(INDEX($D$6:$D$40000,$Y2899)="","",INDEX($D$6:$D$40000,$Y2899)))</f>
        <v/>
      </c>
      <c r="AB2899">
        <f>IF($Y2899="","",INDEX($L$6:$L$40000,$Y2899)&amp;"")</f>
        <v/>
      </c>
    </row>
    <row r="2900">
      <c r="Y2900" s="47">
        <f>IFERROR(MATCH(Library!M2900,$M$6:$M$40000,0),"")</f>
        <v/>
      </c>
      <c r="Z2900">
        <f>IF($Y2900="","",INDEX($C$6:$C$40000,$Y2900)&amp;"")</f>
        <v/>
      </c>
      <c r="AA2900" s="59">
        <f>IF($Y2900="","",IF(INDEX($D$6:$D$40000,$Y2900)="","",INDEX($D$6:$D$40000,$Y2900)))</f>
        <v/>
      </c>
      <c r="AB2900">
        <f>IF($Y2900="","",INDEX($L$6:$L$40000,$Y2900)&amp;"")</f>
        <v/>
      </c>
    </row>
    <row r="2901">
      <c r="Y2901" s="47">
        <f>IFERROR(MATCH(Library!M2901,$M$6:$M$40000,0),"")</f>
        <v/>
      </c>
      <c r="Z2901">
        <f>IF($Y2901="","",INDEX($C$6:$C$40000,$Y2901)&amp;"")</f>
        <v/>
      </c>
      <c r="AA2901" s="59">
        <f>IF($Y2901="","",IF(INDEX($D$6:$D$40000,$Y2901)="","",INDEX($D$6:$D$40000,$Y2901)))</f>
        <v/>
      </c>
      <c r="AB2901">
        <f>IF($Y2901="","",INDEX($L$6:$L$40000,$Y2901)&amp;"")</f>
        <v/>
      </c>
    </row>
    <row r="2902">
      <c r="Y2902" s="47">
        <f>IFERROR(MATCH(Library!M2902,$M$6:$M$40000,0),"")</f>
        <v/>
      </c>
      <c r="Z2902">
        <f>IF($Y2902="","",INDEX($C$6:$C$40000,$Y2902)&amp;"")</f>
        <v/>
      </c>
      <c r="AA2902" s="59">
        <f>IF($Y2902="","",IF(INDEX($D$6:$D$40000,$Y2902)="","",INDEX($D$6:$D$40000,$Y2902)))</f>
        <v/>
      </c>
      <c r="AB2902">
        <f>IF($Y2902="","",INDEX($L$6:$L$40000,$Y2902)&amp;"")</f>
        <v/>
      </c>
    </row>
    <row r="2903">
      <c r="Y2903" s="47">
        <f>IFERROR(MATCH(Library!M2903,$M$6:$M$40000,0),"")</f>
        <v/>
      </c>
      <c r="Z2903">
        <f>IF($Y2903="","",INDEX($C$6:$C$40000,$Y2903)&amp;"")</f>
        <v/>
      </c>
      <c r="AA2903" s="59">
        <f>IF($Y2903="","",IF(INDEX($D$6:$D$40000,$Y2903)="","",INDEX($D$6:$D$40000,$Y2903)))</f>
        <v/>
      </c>
      <c r="AB2903">
        <f>IF($Y2903="","",INDEX($L$6:$L$40000,$Y2903)&amp;"")</f>
        <v/>
      </c>
    </row>
    <row r="2904">
      <c r="Y2904" s="47">
        <f>IFERROR(MATCH(Library!M2904,$M$6:$M$40000,0),"")</f>
        <v/>
      </c>
      <c r="Z2904">
        <f>IF($Y2904="","",INDEX($C$6:$C$40000,$Y2904)&amp;"")</f>
        <v/>
      </c>
      <c r="AA2904" s="59">
        <f>IF($Y2904="","",IF(INDEX($D$6:$D$40000,$Y2904)="","",INDEX($D$6:$D$40000,$Y2904)))</f>
        <v/>
      </c>
      <c r="AB2904">
        <f>IF($Y2904="","",INDEX($L$6:$L$40000,$Y2904)&amp;"")</f>
        <v/>
      </c>
    </row>
    <row r="2905">
      <c r="Y2905" s="47">
        <f>IFERROR(MATCH(Library!M2905,$M$6:$M$40000,0),"")</f>
        <v/>
      </c>
      <c r="Z2905">
        <f>IF($Y2905="","",INDEX($C$6:$C$40000,$Y2905)&amp;"")</f>
        <v/>
      </c>
      <c r="AA2905" s="59">
        <f>IF($Y2905="","",IF(INDEX($D$6:$D$40000,$Y2905)="","",INDEX($D$6:$D$40000,$Y2905)))</f>
        <v/>
      </c>
      <c r="AB2905">
        <f>IF($Y2905="","",INDEX($L$6:$L$40000,$Y2905)&amp;"")</f>
        <v/>
      </c>
    </row>
    <row r="2906">
      <c r="Y2906" s="47">
        <f>IFERROR(MATCH(Library!M2906,$M$6:$M$40000,0),"")</f>
        <v/>
      </c>
      <c r="Z2906">
        <f>IF($Y2906="","",INDEX($C$6:$C$40000,$Y2906)&amp;"")</f>
        <v/>
      </c>
      <c r="AA2906" s="59">
        <f>IF($Y2906="","",IF(INDEX($D$6:$D$40000,$Y2906)="","",INDEX($D$6:$D$40000,$Y2906)))</f>
        <v/>
      </c>
      <c r="AB2906">
        <f>IF($Y2906="","",INDEX($L$6:$L$40000,$Y2906)&amp;"")</f>
        <v/>
      </c>
    </row>
    <row r="2907">
      <c r="Y2907" s="47">
        <f>IFERROR(MATCH(Library!M2907,$M$6:$M$40000,0),"")</f>
        <v/>
      </c>
      <c r="Z2907">
        <f>IF($Y2907="","",INDEX($C$6:$C$40000,$Y2907)&amp;"")</f>
        <v/>
      </c>
      <c r="AA2907" s="59">
        <f>IF($Y2907="","",IF(INDEX($D$6:$D$40000,$Y2907)="","",INDEX($D$6:$D$40000,$Y2907)))</f>
        <v/>
      </c>
      <c r="AB2907">
        <f>IF($Y2907="","",INDEX($L$6:$L$40000,$Y2907)&amp;"")</f>
        <v/>
      </c>
    </row>
    <row r="2908">
      <c r="Y2908" s="47">
        <f>IFERROR(MATCH(Library!M2908,$M$6:$M$40000,0),"")</f>
        <v/>
      </c>
      <c r="Z2908">
        <f>IF($Y2908="","",INDEX($C$6:$C$40000,$Y2908)&amp;"")</f>
        <v/>
      </c>
      <c r="AA2908" s="59">
        <f>IF($Y2908="","",IF(INDEX($D$6:$D$40000,$Y2908)="","",INDEX($D$6:$D$40000,$Y2908)))</f>
        <v/>
      </c>
      <c r="AB2908">
        <f>IF($Y2908="","",INDEX($L$6:$L$40000,$Y2908)&amp;"")</f>
        <v/>
      </c>
    </row>
    <row r="2909">
      <c r="Y2909" s="47">
        <f>IFERROR(MATCH(Library!M2909,$M$6:$M$40000,0),"")</f>
        <v/>
      </c>
      <c r="Z2909">
        <f>IF($Y2909="","",INDEX($C$6:$C$40000,$Y2909)&amp;"")</f>
        <v/>
      </c>
      <c r="AA2909" s="59">
        <f>IF($Y2909="","",IF(INDEX($D$6:$D$40000,$Y2909)="","",INDEX($D$6:$D$40000,$Y2909)))</f>
        <v/>
      </c>
      <c r="AB2909">
        <f>IF($Y2909="","",INDEX($L$6:$L$40000,$Y2909)&amp;"")</f>
        <v/>
      </c>
    </row>
    <row r="2910">
      <c r="Y2910" s="47">
        <f>IFERROR(MATCH(Library!M2910,$M$6:$M$40000,0),"")</f>
        <v/>
      </c>
      <c r="Z2910">
        <f>IF($Y2910="","",INDEX($C$6:$C$40000,$Y2910)&amp;"")</f>
        <v/>
      </c>
      <c r="AA2910" s="59">
        <f>IF($Y2910="","",IF(INDEX($D$6:$D$40000,$Y2910)="","",INDEX($D$6:$D$40000,$Y2910)))</f>
        <v/>
      </c>
      <c r="AB2910">
        <f>IF($Y2910="","",INDEX($L$6:$L$40000,$Y2910)&amp;"")</f>
        <v/>
      </c>
    </row>
    <row r="2911">
      <c r="Y2911" s="47">
        <f>IFERROR(MATCH(Library!M2911,$M$6:$M$40000,0),"")</f>
        <v/>
      </c>
      <c r="Z2911">
        <f>IF($Y2911="","",INDEX($C$6:$C$40000,$Y2911)&amp;"")</f>
        <v/>
      </c>
      <c r="AA2911" s="59">
        <f>IF($Y2911="","",IF(INDEX($D$6:$D$40000,$Y2911)="","",INDEX($D$6:$D$40000,$Y2911)))</f>
        <v/>
      </c>
      <c r="AB2911">
        <f>IF($Y2911="","",INDEX($L$6:$L$40000,$Y2911)&amp;"")</f>
        <v/>
      </c>
    </row>
    <row r="2912">
      <c r="Y2912" s="47">
        <f>IFERROR(MATCH(Library!M2912,$M$6:$M$40000,0),"")</f>
        <v/>
      </c>
      <c r="Z2912">
        <f>IF($Y2912="","",INDEX($C$6:$C$40000,$Y2912)&amp;"")</f>
        <v/>
      </c>
      <c r="AA2912" s="59">
        <f>IF($Y2912="","",IF(INDEX($D$6:$D$40000,$Y2912)="","",INDEX($D$6:$D$40000,$Y2912)))</f>
        <v/>
      </c>
      <c r="AB2912">
        <f>IF($Y2912="","",INDEX($L$6:$L$40000,$Y2912)&amp;"")</f>
        <v/>
      </c>
    </row>
    <row r="2913">
      <c r="Y2913" s="47">
        <f>IFERROR(MATCH(Library!M2913,$M$6:$M$40000,0),"")</f>
        <v/>
      </c>
      <c r="Z2913">
        <f>IF($Y2913="","",INDEX($C$6:$C$40000,$Y2913)&amp;"")</f>
        <v/>
      </c>
      <c r="AA2913" s="59">
        <f>IF($Y2913="","",IF(INDEX($D$6:$D$40000,$Y2913)="","",INDEX($D$6:$D$40000,$Y2913)))</f>
        <v/>
      </c>
      <c r="AB2913">
        <f>IF($Y2913="","",INDEX($L$6:$L$40000,$Y2913)&amp;"")</f>
        <v/>
      </c>
    </row>
    <row r="2914">
      <c r="Y2914" s="47">
        <f>IFERROR(MATCH(Library!M2914,$M$6:$M$40000,0),"")</f>
        <v/>
      </c>
      <c r="Z2914">
        <f>IF($Y2914="","",INDEX($C$6:$C$40000,$Y2914)&amp;"")</f>
        <v/>
      </c>
      <c r="AA2914" s="59">
        <f>IF($Y2914="","",IF(INDEX($D$6:$D$40000,$Y2914)="","",INDEX($D$6:$D$40000,$Y2914)))</f>
        <v/>
      </c>
      <c r="AB2914">
        <f>IF($Y2914="","",INDEX($L$6:$L$40000,$Y2914)&amp;"")</f>
        <v/>
      </c>
    </row>
    <row r="2915">
      <c r="Y2915" s="47">
        <f>IFERROR(MATCH(Library!M2915,$M$6:$M$40000,0),"")</f>
        <v/>
      </c>
      <c r="Z2915">
        <f>IF($Y2915="","",INDEX($C$6:$C$40000,$Y2915)&amp;"")</f>
        <v/>
      </c>
      <c r="AA2915" s="59">
        <f>IF($Y2915="","",IF(INDEX($D$6:$D$40000,$Y2915)="","",INDEX($D$6:$D$40000,$Y2915)))</f>
        <v/>
      </c>
      <c r="AB2915">
        <f>IF($Y2915="","",INDEX($L$6:$L$40000,$Y2915)&amp;"")</f>
        <v/>
      </c>
    </row>
    <row r="2916">
      <c r="Y2916" s="47">
        <f>IFERROR(MATCH(Library!M2916,$M$6:$M$40000,0),"")</f>
        <v/>
      </c>
      <c r="Z2916">
        <f>IF($Y2916="","",INDEX($C$6:$C$40000,$Y2916)&amp;"")</f>
        <v/>
      </c>
      <c r="AA2916" s="59">
        <f>IF($Y2916="","",IF(INDEX($D$6:$D$40000,$Y2916)="","",INDEX($D$6:$D$40000,$Y2916)))</f>
        <v/>
      </c>
      <c r="AB2916">
        <f>IF($Y2916="","",INDEX($L$6:$L$40000,$Y2916)&amp;"")</f>
        <v/>
      </c>
    </row>
    <row r="2917">
      <c r="Y2917" s="47">
        <f>IFERROR(MATCH(Library!M2917,$M$6:$M$40000,0),"")</f>
        <v/>
      </c>
      <c r="Z2917">
        <f>IF($Y2917="","",INDEX($C$6:$C$40000,$Y2917)&amp;"")</f>
        <v/>
      </c>
      <c r="AA2917" s="59">
        <f>IF($Y2917="","",IF(INDEX($D$6:$D$40000,$Y2917)="","",INDEX($D$6:$D$40000,$Y2917)))</f>
        <v/>
      </c>
      <c r="AB2917">
        <f>IF($Y2917="","",INDEX($L$6:$L$40000,$Y2917)&amp;"")</f>
        <v/>
      </c>
    </row>
    <row r="2918">
      <c r="Y2918" s="47">
        <f>IFERROR(MATCH(Library!M2918,$M$6:$M$40000,0),"")</f>
        <v/>
      </c>
      <c r="Z2918">
        <f>IF($Y2918="","",INDEX($C$6:$C$40000,$Y2918)&amp;"")</f>
        <v/>
      </c>
      <c r="AA2918" s="59">
        <f>IF($Y2918="","",IF(INDEX($D$6:$D$40000,$Y2918)="","",INDEX($D$6:$D$40000,$Y2918)))</f>
        <v/>
      </c>
      <c r="AB2918">
        <f>IF($Y2918="","",INDEX($L$6:$L$40000,$Y2918)&amp;"")</f>
        <v/>
      </c>
    </row>
    <row r="2919">
      <c r="Y2919" s="47">
        <f>IFERROR(MATCH(Library!M2919,$M$6:$M$40000,0),"")</f>
        <v/>
      </c>
      <c r="Z2919">
        <f>IF($Y2919="","",INDEX($C$6:$C$40000,$Y2919)&amp;"")</f>
        <v/>
      </c>
      <c r="AA2919" s="59">
        <f>IF($Y2919="","",IF(INDEX($D$6:$D$40000,$Y2919)="","",INDEX($D$6:$D$40000,$Y2919)))</f>
        <v/>
      </c>
      <c r="AB2919">
        <f>IF($Y2919="","",INDEX($L$6:$L$40000,$Y2919)&amp;"")</f>
        <v/>
      </c>
    </row>
    <row r="2920">
      <c r="Y2920" s="47">
        <f>IFERROR(MATCH(Library!M2920,$M$6:$M$40000,0),"")</f>
        <v/>
      </c>
      <c r="Z2920">
        <f>IF($Y2920="","",INDEX($C$6:$C$40000,$Y2920)&amp;"")</f>
        <v/>
      </c>
      <c r="AA2920" s="59">
        <f>IF($Y2920="","",IF(INDEX($D$6:$D$40000,$Y2920)="","",INDEX($D$6:$D$40000,$Y2920)))</f>
        <v/>
      </c>
      <c r="AB2920">
        <f>IF($Y2920="","",INDEX($L$6:$L$40000,$Y2920)&amp;"")</f>
        <v/>
      </c>
    </row>
    <row r="2921">
      <c r="Y2921" s="47">
        <f>IFERROR(MATCH(Library!M2921,$M$6:$M$40000,0),"")</f>
        <v/>
      </c>
      <c r="Z2921">
        <f>IF($Y2921="","",INDEX($C$6:$C$40000,$Y2921)&amp;"")</f>
        <v/>
      </c>
      <c r="AA2921" s="59">
        <f>IF($Y2921="","",IF(INDEX($D$6:$D$40000,$Y2921)="","",INDEX($D$6:$D$40000,$Y2921)))</f>
        <v/>
      </c>
      <c r="AB2921">
        <f>IF($Y2921="","",INDEX($L$6:$L$40000,$Y2921)&amp;"")</f>
        <v/>
      </c>
    </row>
    <row r="2922">
      <c r="Y2922" s="47">
        <f>IFERROR(MATCH(Library!M2922,$M$6:$M$40000,0),"")</f>
        <v/>
      </c>
      <c r="Z2922">
        <f>IF($Y2922="","",INDEX($C$6:$C$40000,$Y2922)&amp;"")</f>
        <v/>
      </c>
      <c r="AA2922" s="59">
        <f>IF($Y2922="","",IF(INDEX($D$6:$D$40000,$Y2922)="","",INDEX($D$6:$D$40000,$Y2922)))</f>
        <v/>
      </c>
      <c r="AB2922">
        <f>IF($Y2922="","",INDEX($L$6:$L$40000,$Y2922)&amp;"")</f>
        <v/>
      </c>
    </row>
    <row r="2923">
      <c r="Y2923" s="47">
        <f>IFERROR(MATCH(Library!M2923,$M$6:$M$40000,0),"")</f>
        <v/>
      </c>
      <c r="Z2923">
        <f>IF($Y2923="","",INDEX($C$6:$C$40000,$Y2923)&amp;"")</f>
        <v/>
      </c>
      <c r="AA2923" s="59">
        <f>IF($Y2923="","",IF(INDEX($D$6:$D$40000,$Y2923)="","",INDEX($D$6:$D$40000,$Y2923)))</f>
        <v/>
      </c>
      <c r="AB2923">
        <f>IF($Y2923="","",INDEX($L$6:$L$40000,$Y2923)&amp;"")</f>
        <v/>
      </c>
    </row>
    <row r="2924">
      <c r="Y2924" s="47">
        <f>IFERROR(MATCH(Library!M2924,$M$6:$M$40000,0),"")</f>
        <v/>
      </c>
      <c r="Z2924">
        <f>IF($Y2924="","",INDEX($C$6:$C$40000,$Y2924)&amp;"")</f>
        <v/>
      </c>
      <c r="AA2924" s="59">
        <f>IF($Y2924="","",IF(INDEX($D$6:$D$40000,$Y2924)="","",INDEX($D$6:$D$40000,$Y2924)))</f>
        <v/>
      </c>
      <c r="AB2924">
        <f>IF($Y2924="","",INDEX($L$6:$L$40000,$Y2924)&amp;"")</f>
        <v/>
      </c>
    </row>
    <row r="2925">
      <c r="Y2925" s="47">
        <f>IFERROR(MATCH(Library!M2925,$M$6:$M$40000,0),"")</f>
        <v/>
      </c>
      <c r="Z2925">
        <f>IF($Y2925="","",INDEX($C$6:$C$40000,$Y2925)&amp;"")</f>
        <v/>
      </c>
      <c r="AA2925" s="59">
        <f>IF($Y2925="","",IF(INDEX($D$6:$D$40000,$Y2925)="","",INDEX($D$6:$D$40000,$Y2925)))</f>
        <v/>
      </c>
      <c r="AB2925">
        <f>IF($Y2925="","",INDEX($L$6:$L$40000,$Y2925)&amp;"")</f>
        <v/>
      </c>
    </row>
    <row r="2926">
      <c r="Y2926" s="47">
        <f>IFERROR(MATCH(Library!M2926,$M$6:$M$40000,0),"")</f>
        <v/>
      </c>
      <c r="Z2926">
        <f>IF($Y2926="","",INDEX($C$6:$C$40000,$Y2926)&amp;"")</f>
        <v/>
      </c>
      <c r="AA2926" s="59">
        <f>IF($Y2926="","",IF(INDEX($D$6:$D$40000,$Y2926)="","",INDEX($D$6:$D$40000,$Y2926)))</f>
        <v/>
      </c>
      <c r="AB2926">
        <f>IF($Y2926="","",INDEX($L$6:$L$40000,$Y2926)&amp;"")</f>
        <v/>
      </c>
    </row>
    <row r="2927">
      <c r="Y2927" s="47">
        <f>IFERROR(MATCH(Library!M2927,$M$6:$M$40000,0),"")</f>
        <v/>
      </c>
      <c r="Z2927">
        <f>IF($Y2927="","",INDEX($C$6:$C$40000,$Y2927)&amp;"")</f>
        <v/>
      </c>
      <c r="AA2927" s="59">
        <f>IF($Y2927="","",IF(INDEX($D$6:$D$40000,$Y2927)="","",INDEX($D$6:$D$40000,$Y2927)))</f>
        <v/>
      </c>
      <c r="AB2927">
        <f>IF($Y2927="","",INDEX($L$6:$L$40000,$Y2927)&amp;"")</f>
        <v/>
      </c>
    </row>
    <row r="2928">
      <c r="Y2928" s="47">
        <f>IFERROR(MATCH(Library!M2928,$M$6:$M$40000,0),"")</f>
        <v/>
      </c>
      <c r="Z2928">
        <f>IF($Y2928="","",INDEX($C$6:$C$40000,$Y2928)&amp;"")</f>
        <v/>
      </c>
      <c r="AA2928" s="59">
        <f>IF($Y2928="","",IF(INDEX($D$6:$D$40000,$Y2928)="","",INDEX($D$6:$D$40000,$Y2928)))</f>
        <v/>
      </c>
      <c r="AB2928">
        <f>IF($Y2928="","",INDEX($L$6:$L$40000,$Y2928)&amp;"")</f>
        <v/>
      </c>
    </row>
    <row r="2929">
      <c r="Y2929" s="47">
        <f>IFERROR(MATCH(Library!M2929,$M$6:$M$40000,0),"")</f>
        <v/>
      </c>
      <c r="Z2929">
        <f>IF($Y2929="","",INDEX($C$6:$C$40000,$Y2929)&amp;"")</f>
        <v/>
      </c>
      <c r="AA2929" s="59">
        <f>IF($Y2929="","",IF(INDEX($D$6:$D$40000,$Y2929)="","",INDEX($D$6:$D$40000,$Y2929)))</f>
        <v/>
      </c>
      <c r="AB2929">
        <f>IF($Y2929="","",INDEX($L$6:$L$40000,$Y2929)&amp;"")</f>
        <v/>
      </c>
    </row>
    <row r="2930">
      <c r="Y2930" s="47">
        <f>IFERROR(MATCH(Library!M2930,$M$6:$M$40000,0),"")</f>
        <v/>
      </c>
      <c r="Z2930">
        <f>IF($Y2930="","",INDEX($C$6:$C$40000,$Y2930)&amp;"")</f>
        <v/>
      </c>
      <c r="AA2930" s="59">
        <f>IF($Y2930="","",IF(INDEX($D$6:$D$40000,$Y2930)="","",INDEX($D$6:$D$40000,$Y2930)))</f>
        <v/>
      </c>
      <c r="AB2930">
        <f>IF($Y2930="","",INDEX($L$6:$L$40000,$Y2930)&amp;"")</f>
        <v/>
      </c>
    </row>
    <row r="2931">
      <c r="Y2931" s="47">
        <f>IFERROR(MATCH(Library!M2931,$M$6:$M$40000,0),"")</f>
        <v/>
      </c>
      <c r="Z2931">
        <f>IF($Y2931="","",INDEX($C$6:$C$40000,$Y2931)&amp;"")</f>
        <v/>
      </c>
      <c r="AA2931" s="59">
        <f>IF($Y2931="","",IF(INDEX($D$6:$D$40000,$Y2931)="","",INDEX($D$6:$D$40000,$Y2931)))</f>
        <v/>
      </c>
      <c r="AB2931">
        <f>IF($Y2931="","",INDEX($L$6:$L$40000,$Y2931)&amp;"")</f>
        <v/>
      </c>
    </row>
    <row r="2932">
      <c r="Y2932" s="47">
        <f>IFERROR(MATCH(Library!M2932,$M$6:$M$40000,0),"")</f>
        <v/>
      </c>
      <c r="Z2932">
        <f>IF($Y2932="","",INDEX($C$6:$C$40000,$Y2932)&amp;"")</f>
        <v/>
      </c>
      <c r="AA2932" s="59">
        <f>IF($Y2932="","",IF(INDEX($D$6:$D$40000,$Y2932)="","",INDEX($D$6:$D$40000,$Y2932)))</f>
        <v/>
      </c>
      <c r="AB2932">
        <f>IF($Y2932="","",INDEX($L$6:$L$40000,$Y2932)&amp;"")</f>
        <v/>
      </c>
    </row>
    <row r="2933">
      <c r="Y2933" s="47">
        <f>IFERROR(MATCH(Library!M2933,$M$6:$M$40000,0),"")</f>
        <v/>
      </c>
      <c r="Z2933">
        <f>IF($Y2933="","",INDEX($C$6:$C$40000,$Y2933)&amp;"")</f>
        <v/>
      </c>
      <c r="AA2933" s="59">
        <f>IF($Y2933="","",IF(INDEX($D$6:$D$40000,$Y2933)="","",INDEX($D$6:$D$40000,$Y2933)))</f>
        <v/>
      </c>
      <c r="AB2933">
        <f>IF($Y2933="","",INDEX($L$6:$L$40000,$Y2933)&amp;"")</f>
        <v/>
      </c>
    </row>
    <row r="2934">
      <c r="Y2934" s="47">
        <f>IFERROR(MATCH(Library!M2934,$M$6:$M$40000,0),"")</f>
        <v/>
      </c>
      <c r="Z2934">
        <f>IF($Y2934="","",INDEX($C$6:$C$40000,$Y2934)&amp;"")</f>
        <v/>
      </c>
      <c r="AA2934" s="59">
        <f>IF($Y2934="","",IF(INDEX($D$6:$D$40000,$Y2934)="","",INDEX($D$6:$D$40000,$Y2934)))</f>
        <v/>
      </c>
      <c r="AB2934">
        <f>IF($Y2934="","",INDEX($L$6:$L$40000,$Y2934)&amp;"")</f>
        <v/>
      </c>
    </row>
    <row r="2935">
      <c r="Y2935" s="47">
        <f>IFERROR(MATCH(Library!M2935,$M$6:$M$40000,0),"")</f>
        <v/>
      </c>
      <c r="Z2935">
        <f>IF($Y2935="","",INDEX($C$6:$C$40000,$Y2935)&amp;"")</f>
        <v/>
      </c>
      <c r="AA2935" s="59">
        <f>IF($Y2935="","",IF(INDEX($D$6:$D$40000,$Y2935)="","",INDEX($D$6:$D$40000,$Y2935)))</f>
        <v/>
      </c>
      <c r="AB2935">
        <f>IF($Y2935="","",INDEX($L$6:$L$40000,$Y2935)&amp;"")</f>
        <v/>
      </c>
    </row>
    <row r="2936">
      <c r="Y2936" s="47">
        <f>IFERROR(MATCH(Library!M2936,$M$6:$M$40000,0),"")</f>
        <v/>
      </c>
      <c r="Z2936">
        <f>IF($Y2936="","",INDEX($C$6:$C$40000,$Y2936)&amp;"")</f>
        <v/>
      </c>
      <c r="AA2936" s="59">
        <f>IF($Y2936="","",IF(INDEX($D$6:$D$40000,$Y2936)="","",INDEX($D$6:$D$40000,$Y2936)))</f>
        <v/>
      </c>
      <c r="AB2936">
        <f>IF($Y2936="","",INDEX($L$6:$L$40000,$Y2936)&amp;"")</f>
        <v/>
      </c>
    </row>
    <row r="2937">
      <c r="Y2937" s="47">
        <f>IFERROR(MATCH(Library!M2937,$M$6:$M$40000,0),"")</f>
        <v/>
      </c>
      <c r="Z2937">
        <f>IF($Y2937="","",INDEX($C$6:$C$40000,$Y2937)&amp;"")</f>
        <v/>
      </c>
      <c r="AA2937" s="59">
        <f>IF($Y2937="","",IF(INDEX($D$6:$D$40000,$Y2937)="","",INDEX($D$6:$D$40000,$Y2937)))</f>
        <v/>
      </c>
      <c r="AB2937">
        <f>IF($Y2937="","",INDEX($L$6:$L$40000,$Y2937)&amp;"")</f>
        <v/>
      </c>
    </row>
    <row r="2938">
      <c r="Y2938" s="47">
        <f>IFERROR(MATCH(Library!M2938,$M$6:$M$40000,0),"")</f>
        <v/>
      </c>
      <c r="Z2938">
        <f>IF($Y2938="","",INDEX($C$6:$C$40000,$Y2938)&amp;"")</f>
        <v/>
      </c>
      <c r="AA2938" s="59">
        <f>IF($Y2938="","",IF(INDEX($D$6:$D$40000,$Y2938)="","",INDEX($D$6:$D$40000,$Y2938)))</f>
        <v/>
      </c>
      <c r="AB2938">
        <f>IF($Y2938="","",INDEX($L$6:$L$40000,$Y2938)&amp;"")</f>
        <v/>
      </c>
    </row>
    <row r="2939">
      <c r="Y2939" s="47">
        <f>IFERROR(MATCH(Library!M2939,$M$6:$M$40000,0),"")</f>
        <v/>
      </c>
      <c r="Z2939">
        <f>IF($Y2939="","",INDEX($C$6:$C$40000,$Y2939)&amp;"")</f>
        <v/>
      </c>
      <c r="AA2939" s="59">
        <f>IF($Y2939="","",IF(INDEX($D$6:$D$40000,$Y2939)="","",INDEX($D$6:$D$40000,$Y2939)))</f>
        <v/>
      </c>
      <c r="AB2939">
        <f>IF($Y2939="","",INDEX($L$6:$L$40000,$Y2939)&amp;"")</f>
        <v/>
      </c>
    </row>
    <row r="2940">
      <c r="Y2940" s="47">
        <f>IFERROR(MATCH(Library!M2940,$M$6:$M$40000,0),"")</f>
        <v/>
      </c>
      <c r="Z2940">
        <f>IF($Y2940="","",INDEX($C$6:$C$40000,$Y2940)&amp;"")</f>
        <v/>
      </c>
      <c r="AA2940" s="59">
        <f>IF($Y2940="","",IF(INDEX($D$6:$D$40000,$Y2940)="","",INDEX($D$6:$D$40000,$Y2940)))</f>
        <v/>
      </c>
      <c r="AB2940">
        <f>IF($Y2940="","",INDEX($L$6:$L$40000,$Y2940)&amp;"")</f>
        <v/>
      </c>
    </row>
    <row r="2941">
      <c r="Y2941" s="47">
        <f>IFERROR(MATCH(Library!M2941,$M$6:$M$40000,0),"")</f>
        <v/>
      </c>
      <c r="Z2941">
        <f>IF($Y2941="","",INDEX($C$6:$C$40000,$Y2941)&amp;"")</f>
        <v/>
      </c>
      <c r="AA2941" s="59">
        <f>IF($Y2941="","",IF(INDEX($D$6:$D$40000,$Y2941)="","",INDEX($D$6:$D$40000,$Y2941)))</f>
        <v/>
      </c>
      <c r="AB2941">
        <f>IF($Y2941="","",INDEX($L$6:$L$40000,$Y2941)&amp;"")</f>
        <v/>
      </c>
    </row>
    <row r="2942">
      <c r="Y2942" s="47">
        <f>IFERROR(MATCH(Library!M2942,$M$6:$M$40000,0),"")</f>
        <v/>
      </c>
      <c r="Z2942">
        <f>IF($Y2942="","",INDEX($C$6:$C$40000,$Y2942)&amp;"")</f>
        <v/>
      </c>
      <c r="AA2942" s="59">
        <f>IF($Y2942="","",IF(INDEX($D$6:$D$40000,$Y2942)="","",INDEX($D$6:$D$40000,$Y2942)))</f>
        <v/>
      </c>
      <c r="AB2942">
        <f>IF($Y2942="","",INDEX($L$6:$L$40000,$Y2942)&amp;"")</f>
        <v/>
      </c>
    </row>
    <row r="2943">
      <c r="Y2943" s="47">
        <f>IFERROR(MATCH(Library!M2943,$M$6:$M$40000,0),"")</f>
        <v/>
      </c>
      <c r="Z2943">
        <f>IF($Y2943="","",INDEX($C$6:$C$40000,$Y2943)&amp;"")</f>
        <v/>
      </c>
      <c r="AA2943" s="59">
        <f>IF($Y2943="","",IF(INDEX($D$6:$D$40000,$Y2943)="","",INDEX($D$6:$D$40000,$Y2943)))</f>
        <v/>
      </c>
      <c r="AB2943">
        <f>IF($Y2943="","",INDEX($L$6:$L$40000,$Y2943)&amp;"")</f>
        <v/>
      </c>
    </row>
    <row r="2944">
      <c r="Y2944" s="47">
        <f>IFERROR(MATCH(Library!M2944,$M$6:$M$40000,0),"")</f>
        <v/>
      </c>
      <c r="Z2944">
        <f>IF($Y2944="","",INDEX($C$6:$C$40000,$Y2944)&amp;"")</f>
        <v/>
      </c>
      <c r="AA2944" s="59">
        <f>IF($Y2944="","",IF(INDEX($D$6:$D$40000,$Y2944)="","",INDEX($D$6:$D$40000,$Y2944)))</f>
        <v/>
      </c>
      <c r="AB2944">
        <f>IF($Y2944="","",INDEX($L$6:$L$40000,$Y2944)&amp;"")</f>
        <v/>
      </c>
    </row>
    <row r="2945">
      <c r="Y2945" s="47">
        <f>IFERROR(MATCH(Library!M2945,$M$6:$M$40000,0),"")</f>
        <v/>
      </c>
      <c r="Z2945">
        <f>IF($Y2945="","",INDEX($C$6:$C$40000,$Y2945)&amp;"")</f>
        <v/>
      </c>
      <c r="AA2945" s="59">
        <f>IF($Y2945="","",IF(INDEX($D$6:$D$40000,$Y2945)="","",INDEX($D$6:$D$40000,$Y2945)))</f>
        <v/>
      </c>
      <c r="AB2945">
        <f>IF($Y2945="","",INDEX($L$6:$L$40000,$Y2945)&amp;"")</f>
        <v/>
      </c>
    </row>
    <row r="2946">
      <c r="Y2946" s="47">
        <f>IFERROR(MATCH(Library!M2946,$M$6:$M$40000,0),"")</f>
        <v/>
      </c>
      <c r="Z2946">
        <f>IF($Y2946="","",INDEX($C$6:$C$40000,$Y2946)&amp;"")</f>
        <v/>
      </c>
      <c r="AA2946" s="59">
        <f>IF($Y2946="","",IF(INDEX($D$6:$D$40000,$Y2946)="","",INDEX($D$6:$D$40000,$Y2946)))</f>
        <v/>
      </c>
      <c r="AB2946">
        <f>IF($Y2946="","",INDEX($L$6:$L$40000,$Y2946)&amp;"")</f>
        <v/>
      </c>
    </row>
    <row r="2947">
      <c r="Y2947" s="47">
        <f>IFERROR(MATCH(Library!M2947,$M$6:$M$40000,0),"")</f>
        <v/>
      </c>
      <c r="Z2947">
        <f>IF($Y2947="","",INDEX($C$6:$C$40000,$Y2947)&amp;"")</f>
        <v/>
      </c>
      <c r="AA2947" s="59">
        <f>IF($Y2947="","",IF(INDEX($D$6:$D$40000,$Y2947)="","",INDEX($D$6:$D$40000,$Y2947)))</f>
        <v/>
      </c>
      <c r="AB2947">
        <f>IF($Y2947="","",INDEX($L$6:$L$40000,$Y2947)&amp;"")</f>
        <v/>
      </c>
    </row>
    <row r="2948">
      <c r="Y2948" s="47">
        <f>IFERROR(MATCH(Library!M2948,$M$6:$M$40000,0),"")</f>
        <v/>
      </c>
      <c r="Z2948">
        <f>IF($Y2948="","",INDEX($C$6:$C$40000,$Y2948)&amp;"")</f>
        <v/>
      </c>
      <c r="AA2948" s="59">
        <f>IF($Y2948="","",IF(INDEX($D$6:$D$40000,$Y2948)="","",INDEX($D$6:$D$40000,$Y2948)))</f>
        <v/>
      </c>
      <c r="AB2948">
        <f>IF($Y2948="","",INDEX($L$6:$L$40000,$Y2948)&amp;"")</f>
        <v/>
      </c>
    </row>
    <row r="2949">
      <c r="Y2949" s="47">
        <f>IFERROR(MATCH(Library!M2949,$M$6:$M$40000,0),"")</f>
        <v/>
      </c>
      <c r="Z2949">
        <f>IF($Y2949="","",INDEX($C$6:$C$40000,$Y2949)&amp;"")</f>
        <v/>
      </c>
      <c r="AA2949" s="59">
        <f>IF($Y2949="","",IF(INDEX($D$6:$D$40000,$Y2949)="","",INDEX($D$6:$D$40000,$Y2949)))</f>
        <v/>
      </c>
      <c r="AB2949">
        <f>IF($Y2949="","",INDEX($L$6:$L$40000,$Y2949)&amp;"")</f>
        <v/>
      </c>
    </row>
    <row r="2950">
      <c r="Y2950" s="47">
        <f>IFERROR(MATCH(Library!M2950,$M$6:$M$40000,0),"")</f>
        <v/>
      </c>
      <c r="Z2950">
        <f>IF($Y2950="","",INDEX($C$6:$C$40000,$Y2950)&amp;"")</f>
        <v/>
      </c>
      <c r="AA2950" s="59">
        <f>IF($Y2950="","",IF(INDEX($D$6:$D$40000,$Y2950)="","",INDEX($D$6:$D$40000,$Y2950)))</f>
        <v/>
      </c>
      <c r="AB2950">
        <f>IF($Y2950="","",INDEX($L$6:$L$40000,$Y2950)&amp;"")</f>
        <v/>
      </c>
    </row>
    <row r="2951">
      <c r="Y2951" s="47">
        <f>IFERROR(MATCH(Library!M2951,$M$6:$M$40000,0),"")</f>
        <v/>
      </c>
      <c r="Z2951">
        <f>IF($Y2951="","",INDEX($C$6:$C$40000,$Y2951)&amp;"")</f>
        <v/>
      </c>
      <c r="AA2951" s="59">
        <f>IF($Y2951="","",IF(INDEX($D$6:$D$40000,$Y2951)="","",INDEX($D$6:$D$40000,$Y2951)))</f>
        <v/>
      </c>
      <c r="AB2951">
        <f>IF($Y2951="","",INDEX($L$6:$L$40000,$Y2951)&amp;"")</f>
        <v/>
      </c>
    </row>
    <row r="2952">
      <c r="Y2952" s="47">
        <f>IFERROR(MATCH(Library!M2952,$M$6:$M$40000,0),"")</f>
        <v/>
      </c>
      <c r="Z2952">
        <f>IF($Y2952="","",INDEX($C$6:$C$40000,$Y2952)&amp;"")</f>
        <v/>
      </c>
      <c r="AA2952" s="59">
        <f>IF($Y2952="","",IF(INDEX($D$6:$D$40000,$Y2952)="","",INDEX($D$6:$D$40000,$Y2952)))</f>
        <v/>
      </c>
      <c r="AB2952">
        <f>IF($Y2952="","",INDEX($L$6:$L$40000,$Y2952)&amp;"")</f>
        <v/>
      </c>
    </row>
    <row r="2953">
      <c r="Y2953" s="47">
        <f>IFERROR(MATCH(Library!M2953,$M$6:$M$40000,0),"")</f>
        <v/>
      </c>
      <c r="Z2953">
        <f>IF($Y2953="","",INDEX($C$6:$C$40000,$Y2953)&amp;"")</f>
        <v/>
      </c>
      <c r="AA2953" s="59">
        <f>IF($Y2953="","",IF(INDEX($D$6:$D$40000,$Y2953)="","",INDEX($D$6:$D$40000,$Y2953)))</f>
        <v/>
      </c>
      <c r="AB2953">
        <f>IF($Y2953="","",INDEX($L$6:$L$40000,$Y2953)&amp;"")</f>
        <v/>
      </c>
    </row>
    <row r="2954">
      <c r="Y2954" s="47">
        <f>IFERROR(MATCH(Library!M2954,$M$6:$M$40000,0),"")</f>
        <v/>
      </c>
      <c r="Z2954">
        <f>IF($Y2954="","",INDEX($C$6:$C$40000,$Y2954)&amp;"")</f>
        <v/>
      </c>
      <c r="AA2954" s="59">
        <f>IF($Y2954="","",IF(INDEX($D$6:$D$40000,$Y2954)="","",INDEX($D$6:$D$40000,$Y2954)))</f>
        <v/>
      </c>
      <c r="AB2954">
        <f>IF($Y2954="","",INDEX($L$6:$L$40000,$Y2954)&amp;"")</f>
        <v/>
      </c>
    </row>
    <row r="2955">
      <c r="Y2955" s="47">
        <f>IFERROR(MATCH(Library!M2955,$M$6:$M$40000,0),"")</f>
        <v/>
      </c>
      <c r="Z2955">
        <f>IF($Y2955="","",INDEX($C$6:$C$40000,$Y2955)&amp;"")</f>
        <v/>
      </c>
      <c r="AA2955" s="59">
        <f>IF($Y2955="","",IF(INDEX($D$6:$D$40000,$Y2955)="","",INDEX($D$6:$D$40000,$Y2955)))</f>
        <v/>
      </c>
      <c r="AB2955">
        <f>IF($Y2955="","",INDEX($L$6:$L$40000,$Y2955)&amp;"")</f>
        <v/>
      </c>
    </row>
    <row r="2956">
      <c r="Y2956" s="47">
        <f>IFERROR(MATCH(Library!M2956,$M$6:$M$40000,0),"")</f>
        <v/>
      </c>
      <c r="Z2956">
        <f>IF($Y2956="","",INDEX($C$6:$C$40000,$Y2956)&amp;"")</f>
        <v/>
      </c>
      <c r="AA2956" s="59">
        <f>IF($Y2956="","",IF(INDEX($D$6:$D$40000,$Y2956)="","",INDEX($D$6:$D$40000,$Y2956)))</f>
        <v/>
      </c>
      <c r="AB2956">
        <f>IF($Y2956="","",INDEX($L$6:$L$40000,$Y2956)&amp;"")</f>
        <v/>
      </c>
    </row>
    <row r="2957">
      <c r="Y2957" s="47">
        <f>IFERROR(MATCH(Library!M2957,$M$6:$M$40000,0),"")</f>
        <v/>
      </c>
      <c r="Z2957">
        <f>IF($Y2957="","",INDEX($C$6:$C$40000,$Y2957)&amp;"")</f>
        <v/>
      </c>
      <c r="AA2957" s="59">
        <f>IF($Y2957="","",IF(INDEX($D$6:$D$40000,$Y2957)="","",INDEX($D$6:$D$40000,$Y2957)))</f>
        <v/>
      </c>
      <c r="AB2957">
        <f>IF($Y2957="","",INDEX($L$6:$L$40000,$Y2957)&amp;"")</f>
        <v/>
      </c>
    </row>
    <row r="2958">
      <c r="Y2958" s="47">
        <f>IFERROR(MATCH(Library!M2958,$M$6:$M$40000,0),"")</f>
        <v/>
      </c>
      <c r="Z2958">
        <f>IF($Y2958="","",INDEX($C$6:$C$40000,$Y2958)&amp;"")</f>
        <v/>
      </c>
      <c r="AA2958" s="59">
        <f>IF($Y2958="","",IF(INDEX($D$6:$D$40000,$Y2958)="","",INDEX($D$6:$D$40000,$Y2958)))</f>
        <v/>
      </c>
      <c r="AB2958">
        <f>IF($Y2958="","",INDEX($L$6:$L$40000,$Y2958)&amp;"")</f>
        <v/>
      </c>
    </row>
    <row r="2959">
      <c r="Y2959" s="47">
        <f>IFERROR(MATCH(Library!M2959,$M$6:$M$40000,0),"")</f>
        <v/>
      </c>
      <c r="Z2959">
        <f>IF($Y2959="","",INDEX($C$6:$C$40000,$Y2959)&amp;"")</f>
        <v/>
      </c>
      <c r="AA2959" s="59">
        <f>IF($Y2959="","",IF(INDEX($D$6:$D$40000,$Y2959)="","",INDEX($D$6:$D$40000,$Y2959)))</f>
        <v/>
      </c>
      <c r="AB2959">
        <f>IF($Y2959="","",INDEX($L$6:$L$40000,$Y2959)&amp;"")</f>
        <v/>
      </c>
    </row>
    <row r="2960">
      <c r="Y2960" s="47">
        <f>IFERROR(MATCH(Library!M2960,$M$6:$M$40000,0),"")</f>
        <v/>
      </c>
      <c r="Z2960">
        <f>IF($Y2960="","",INDEX($C$6:$C$40000,$Y2960)&amp;"")</f>
        <v/>
      </c>
      <c r="AA2960" s="59">
        <f>IF($Y2960="","",IF(INDEX($D$6:$D$40000,$Y2960)="","",INDEX($D$6:$D$40000,$Y2960)))</f>
        <v/>
      </c>
      <c r="AB2960">
        <f>IF($Y2960="","",INDEX($L$6:$L$40000,$Y2960)&amp;"")</f>
        <v/>
      </c>
    </row>
    <row r="2961">
      <c r="Y2961" s="47">
        <f>IFERROR(MATCH(Library!M2961,$M$6:$M$40000,0),"")</f>
        <v/>
      </c>
      <c r="Z2961">
        <f>IF($Y2961="","",INDEX($C$6:$C$40000,$Y2961)&amp;"")</f>
        <v/>
      </c>
      <c r="AA2961" s="59">
        <f>IF($Y2961="","",IF(INDEX($D$6:$D$40000,$Y2961)="","",INDEX($D$6:$D$40000,$Y2961)))</f>
        <v/>
      </c>
      <c r="AB2961">
        <f>IF($Y2961="","",INDEX($L$6:$L$40000,$Y2961)&amp;"")</f>
        <v/>
      </c>
    </row>
    <row r="2962">
      <c r="Y2962" s="47">
        <f>IFERROR(MATCH(Library!M2962,$M$6:$M$40000,0),"")</f>
        <v/>
      </c>
      <c r="Z2962">
        <f>IF($Y2962="","",INDEX($C$6:$C$40000,$Y2962)&amp;"")</f>
        <v/>
      </c>
      <c r="AA2962" s="59">
        <f>IF($Y2962="","",IF(INDEX($D$6:$D$40000,$Y2962)="","",INDEX($D$6:$D$40000,$Y2962)))</f>
        <v/>
      </c>
      <c r="AB2962">
        <f>IF($Y2962="","",INDEX($L$6:$L$40000,$Y2962)&amp;"")</f>
        <v/>
      </c>
    </row>
    <row r="2963">
      <c r="Y2963" s="47">
        <f>IFERROR(MATCH(Library!M2963,$M$6:$M$40000,0),"")</f>
        <v/>
      </c>
      <c r="Z2963">
        <f>IF($Y2963="","",INDEX($C$6:$C$40000,$Y2963)&amp;"")</f>
        <v/>
      </c>
      <c r="AA2963" s="59">
        <f>IF($Y2963="","",IF(INDEX($D$6:$D$40000,$Y2963)="","",INDEX($D$6:$D$40000,$Y2963)))</f>
        <v/>
      </c>
      <c r="AB2963">
        <f>IF($Y2963="","",INDEX($L$6:$L$40000,$Y2963)&amp;"")</f>
        <v/>
      </c>
    </row>
    <row r="2964">
      <c r="Y2964" s="47">
        <f>IFERROR(MATCH(Library!M2964,$M$6:$M$40000,0),"")</f>
        <v/>
      </c>
      <c r="Z2964">
        <f>IF($Y2964="","",INDEX($C$6:$C$40000,$Y2964)&amp;"")</f>
        <v/>
      </c>
      <c r="AA2964" s="59">
        <f>IF($Y2964="","",IF(INDEX($D$6:$D$40000,$Y2964)="","",INDEX($D$6:$D$40000,$Y2964)))</f>
        <v/>
      </c>
      <c r="AB2964">
        <f>IF($Y2964="","",INDEX($L$6:$L$40000,$Y2964)&amp;"")</f>
        <v/>
      </c>
    </row>
    <row r="2965">
      <c r="Y2965" s="47">
        <f>IFERROR(MATCH(Library!M2965,$M$6:$M$40000,0),"")</f>
        <v/>
      </c>
      <c r="Z2965">
        <f>IF($Y2965="","",INDEX($C$6:$C$40000,$Y2965)&amp;"")</f>
        <v/>
      </c>
      <c r="AA2965" s="59">
        <f>IF($Y2965="","",IF(INDEX($D$6:$D$40000,$Y2965)="","",INDEX($D$6:$D$40000,$Y2965)))</f>
        <v/>
      </c>
      <c r="AB2965">
        <f>IF($Y2965="","",INDEX($L$6:$L$40000,$Y2965)&amp;"")</f>
        <v/>
      </c>
    </row>
    <row r="2966">
      <c r="Y2966" s="47">
        <f>IFERROR(MATCH(Library!M2966,$M$6:$M$40000,0),"")</f>
        <v/>
      </c>
      <c r="Z2966">
        <f>IF($Y2966="","",INDEX($C$6:$C$40000,$Y2966)&amp;"")</f>
        <v/>
      </c>
      <c r="AA2966" s="59">
        <f>IF($Y2966="","",IF(INDEX($D$6:$D$40000,$Y2966)="","",INDEX($D$6:$D$40000,$Y2966)))</f>
        <v/>
      </c>
      <c r="AB2966">
        <f>IF($Y2966="","",INDEX($L$6:$L$40000,$Y2966)&amp;"")</f>
        <v/>
      </c>
    </row>
    <row r="2967">
      <c r="Y2967" s="47">
        <f>IFERROR(MATCH(Library!M2967,$M$6:$M$40000,0),"")</f>
        <v/>
      </c>
      <c r="Z2967">
        <f>IF($Y2967="","",INDEX($C$6:$C$40000,$Y2967)&amp;"")</f>
        <v/>
      </c>
      <c r="AA2967" s="59">
        <f>IF($Y2967="","",IF(INDEX($D$6:$D$40000,$Y2967)="","",INDEX($D$6:$D$40000,$Y2967)))</f>
        <v/>
      </c>
      <c r="AB2967">
        <f>IF($Y2967="","",INDEX($L$6:$L$40000,$Y2967)&amp;"")</f>
        <v/>
      </c>
    </row>
    <row r="2968">
      <c r="Y2968" s="47">
        <f>IFERROR(MATCH(Library!M2968,$M$6:$M$40000,0),"")</f>
        <v/>
      </c>
      <c r="Z2968">
        <f>IF($Y2968="","",INDEX($C$6:$C$40000,$Y2968)&amp;"")</f>
        <v/>
      </c>
      <c r="AA2968" s="59">
        <f>IF($Y2968="","",IF(INDEX($D$6:$D$40000,$Y2968)="","",INDEX($D$6:$D$40000,$Y2968)))</f>
        <v/>
      </c>
      <c r="AB2968">
        <f>IF($Y2968="","",INDEX($L$6:$L$40000,$Y2968)&amp;"")</f>
        <v/>
      </c>
    </row>
    <row r="2969">
      <c r="Y2969" s="47">
        <f>IFERROR(MATCH(Library!M2969,$M$6:$M$40000,0),"")</f>
        <v/>
      </c>
      <c r="Z2969">
        <f>IF($Y2969="","",INDEX($C$6:$C$40000,$Y2969)&amp;"")</f>
        <v/>
      </c>
      <c r="AA2969" s="59">
        <f>IF($Y2969="","",IF(INDEX($D$6:$D$40000,$Y2969)="","",INDEX($D$6:$D$40000,$Y2969)))</f>
        <v/>
      </c>
      <c r="AB2969">
        <f>IF($Y2969="","",INDEX($L$6:$L$40000,$Y2969)&amp;"")</f>
        <v/>
      </c>
    </row>
    <row r="2970">
      <c r="Y2970" s="47">
        <f>IFERROR(MATCH(Library!M2970,$M$6:$M$40000,0),"")</f>
        <v/>
      </c>
      <c r="Z2970">
        <f>IF($Y2970="","",INDEX($C$6:$C$40000,$Y2970)&amp;"")</f>
        <v/>
      </c>
      <c r="AA2970" s="59">
        <f>IF($Y2970="","",IF(INDEX($D$6:$D$40000,$Y2970)="","",INDEX($D$6:$D$40000,$Y2970)))</f>
        <v/>
      </c>
      <c r="AB2970">
        <f>IF($Y2970="","",INDEX($L$6:$L$40000,$Y2970)&amp;"")</f>
        <v/>
      </c>
    </row>
    <row r="2971">
      <c r="Y2971" s="47">
        <f>IFERROR(MATCH(Library!M2971,$M$6:$M$40000,0),"")</f>
        <v/>
      </c>
      <c r="Z2971">
        <f>IF($Y2971="","",INDEX($C$6:$C$40000,$Y2971)&amp;"")</f>
        <v/>
      </c>
      <c r="AA2971" s="59">
        <f>IF($Y2971="","",IF(INDEX($D$6:$D$40000,$Y2971)="","",INDEX($D$6:$D$40000,$Y2971)))</f>
        <v/>
      </c>
      <c r="AB2971">
        <f>IF($Y2971="","",INDEX($L$6:$L$40000,$Y2971)&amp;"")</f>
        <v/>
      </c>
    </row>
    <row r="2972">
      <c r="Y2972" s="47">
        <f>IFERROR(MATCH(Library!M2972,$M$6:$M$40000,0),"")</f>
        <v/>
      </c>
      <c r="Z2972">
        <f>IF($Y2972="","",INDEX($C$6:$C$40000,$Y2972)&amp;"")</f>
        <v/>
      </c>
      <c r="AA2972" s="59">
        <f>IF($Y2972="","",IF(INDEX($D$6:$D$40000,$Y2972)="","",INDEX($D$6:$D$40000,$Y2972)))</f>
        <v/>
      </c>
      <c r="AB2972">
        <f>IF($Y2972="","",INDEX($L$6:$L$40000,$Y2972)&amp;"")</f>
        <v/>
      </c>
    </row>
    <row r="2973">
      <c r="Y2973" s="47">
        <f>IFERROR(MATCH(Library!M2973,$M$6:$M$40000,0),"")</f>
        <v/>
      </c>
      <c r="Z2973">
        <f>IF($Y2973="","",INDEX($C$6:$C$40000,$Y2973)&amp;"")</f>
        <v/>
      </c>
      <c r="AA2973" s="59">
        <f>IF($Y2973="","",IF(INDEX($D$6:$D$40000,$Y2973)="","",INDEX($D$6:$D$40000,$Y2973)))</f>
        <v/>
      </c>
      <c r="AB2973">
        <f>IF($Y2973="","",INDEX($L$6:$L$40000,$Y2973)&amp;"")</f>
        <v/>
      </c>
    </row>
    <row r="2974">
      <c r="Y2974" s="47">
        <f>IFERROR(MATCH(Library!M2974,$M$6:$M$40000,0),"")</f>
        <v/>
      </c>
      <c r="Z2974">
        <f>IF($Y2974="","",INDEX($C$6:$C$40000,$Y2974)&amp;"")</f>
        <v/>
      </c>
      <c r="AA2974" s="59">
        <f>IF($Y2974="","",IF(INDEX($D$6:$D$40000,$Y2974)="","",INDEX($D$6:$D$40000,$Y2974)))</f>
        <v/>
      </c>
      <c r="AB2974">
        <f>IF($Y2974="","",INDEX($L$6:$L$40000,$Y2974)&amp;"")</f>
        <v/>
      </c>
    </row>
    <row r="2975">
      <c r="Y2975" s="47">
        <f>IFERROR(MATCH(Library!M2975,$M$6:$M$40000,0),"")</f>
        <v/>
      </c>
      <c r="Z2975">
        <f>IF($Y2975="","",INDEX($C$6:$C$40000,$Y2975)&amp;"")</f>
        <v/>
      </c>
      <c r="AA2975" s="59">
        <f>IF($Y2975="","",IF(INDEX($D$6:$D$40000,$Y2975)="","",INDEX($D$6:$D$40000,$Y2975)))</f>
        <v/>
      </c>
      <c r="AB2975">
        <f>IF($Y2975="","",INDEX($L$6:$L$40000,$Y2975)&amp;"")</f>
        <v/>
      </c>
    </row>
    <row r="2976">
      <c r="Y2976" s="47">
        <f>IFERROR(MATCH(Library!M2976,$M$6:$M$40000,0),"")</f>
        <v/>
      </c>
      <c r="Z2976">
        <f>IF($Y2976="","",INDEX($C$6:$C$40000,$Y2976)&amp;"")</f>
        <v/>
      </c>
      <c r="AA2976" s="59">
        <f>IF($Y2976="","",IF(INDEX($D$6:$D$40000,$Y2976)="","",INDEX($D$6:$D$40000,$Y2976)))</f>
        <v/>
      </c>
      <c r="AB2976">
        <f>IF($Y2976="","",INDEX($L$6:$L$40000,$Y2976)&amp;"")</f>
        <v/>
      </c>
    </row>
    <row r="2977">
      <c r="Y2977" s="47">
        <f>IFERROR(MATCH(Library!M2977,$M$6:$M$40000,0),"")</f>
        <v/>
      </c>
      <c r="Z2977">
        <f>IF($Y2977="","",INDEX($C$6:$C$40000,$Y2977)&amp;"")</f>
        <v/>
      </c>
      <c r="AA2977" s="59">
        <f>IF($Y2977="","",IF(INDEX($D$6:$D$40000,$Y2977)="","",INDEX($D$6:$D$40000,$Y2977)))</f>
        <v/>
      </c>
      <c r="AB2977">
        <f>IF($Y2977="","",INDEX($L$6:$L$40000,$Y2977)&amp;"")</f>
        <v/>
      </c>
    </row>
    <row r="2978">
      <c r="Y2978" s="47">
        <f>IFERROR(MATCH(Library!M2978,$M$6:$M$40000,0),"")</f>
        <v/>
      </c>
      <c r="Z2978">
        <f>IF($Y2978="","",INDEX($C$6:$C$40000,$Y2978)&amp;"")</f>
        <v/>
      </c>
      <c r="AA2978" s="59">
        <f>IF($Y2978="","",IF(INDEX($D$6:$D$40000,$Y2978)="","",INDEX($D$6:$D$40000,$Y2978)))</f>
        <v/>
      </c>
      <c r="AB2978">
        <f>IF($Y2978="","",INDEX($L$6:$L$40000,$Y2978)&amp;"")</f>
        <v/>
      </c>
    </row>
    <row r="2979">
      <c r="Y2979" s="47">
        <f>IFERROR(MATCH(Library!M2979,$M$6:$M$40000,0),"")</f>
        <v/>
      </c>
      <c r="Z2979">
        <f>IF($Y2979="","",INDEX($C$6:$C$40000,$Y2979)&amp;"")</f>
        <v/>
      </c>
      <c r="AA2979" s="59">
        <f>IF($Y2979="","",IF(INDEX($D$6:$D$40000,$Y2979)="","",INDEX($D$6:$D$40000,$Y2979)))</f>
        <v/>
      </c>
      <c r="AB2979">
        <f>IF($Y2979="","",INDEX($L$6:$L$40000,$Y2979)&amp;"")</f>
        <v/>
      </c>
    </row>
    <row r="2980">
      <c r="Y2980" s="47">
        <f>IFERROR(MATCH(Library!M2980,$M$6:$M$40000,0),"")</f>
        <v/>
      </c>
      <c r="Z2980">
        <f>IF($Y2980="","",INDEX($C$6:$C$40000,$Y2980)&amp;"")</f>
        <v/>
      </c>
      <c r="AA2980" s="59">
        <f>IF($Y2980="","",IF(INDEX($D$6:$D$40000,$Y2980)="","",INDEX($D$6:$D$40000,$Y2980)))</f>
        <v/>
      </c>
      <c r="AB2980">
        <f>IF($Y2980="","",INDEX($L$6:$L$40000,$Y2980)&amp;"")</f>
        <v/>
      </c>
    </row>
    <row r="2981">
      <c r="Y2981" s="47">
        <f>IFERROR(MATCH(Library!M2981,$M$6:$M$40000,0),"")</f>
        <v/>
      </c>
      <c r="Z2981">
        <f>IF($Y2981="","",INDEX($C$6:$C$40000,$Y2981)&amp;"")</f>
        <v/>
      </c>
      <c r="AA2981" s="59">
        <f>IF($Y2981="","",IF(INDEX($D$6:$D$40000,$Y2981)="","",INDEX($D$6:$D$40000,$Y2981)))</f>
        <v/>
      </c>
      <c r="AB2981">
        <f>IF($Y2981="","",INDEX($L$6:$L$40000,$Y2981)&amp;"")</f>
        <v/>
      </c>
    </row>
    <row r="2982">
      <c r="Y2982" s="47">
        <f>IFERROR(MATCH(Library!M2982,$M$6:$M$40000,0),"")</f>
        <v/>
      </c>
      <c r="Z2982">
        <f>IF($Y2982="","",INDEX($C$6:$C$40000,$Y2982)&amp;"")</f>
        <v/>
      </c>
      <c r="AA2982" s="59">
        <f>IF($Y2982="","",IF(INDEX($D$6:$D$40000,$Y2982)="","",INDEX($D$6:$D$40000,$Y2982)))</f>
        <v/>
      </c>
      <c r="AB2982">
        <f>IF($Y2982="","",INDEX($L$6:$L$40000,$Y2982)&amp;"")</f>
        <v/>
      </c>
    </row>
    <row r="2983">
      <c r="Y2983" s="47">
        <f>IFERROR(MATCH(Library!M2983,$M$6:$M$40000,0),"")</f>
        <v/>
      </c>
      <c r="Z2983">
        <f>IF($Y2983="","",INDEX($C$6:$C$40000,$Y2983)&amp;"")</f>
        <v/>
      </c>
      <c r="AA2983" s="59">
        <f>IF($Y2983="","",IF(INDEX($D$6:$D$40000,$Y2983)="","",INDEX($D$6:$D$40000,$Y2983)))</f>
        <v/>
      </c>
      <c r="AB2983">
        <f>IF($Y2983="","",INDEX($L$6:$L$40000,$Y2983)&amp;"")</f>
        <v/>
      </c>
    </row>
    <row r="2984">
      <c r="Y2984" s="47">
        <f>IFERROR(MATCH(Library!M2984,$M$6:$M$40000,0),"")</f>
        <v/>
      </c>
      <c r="Z2984">
        <f>IF($Y2984="","",INDEX($C$6:$C$40000,$Y2984)&amp;"")</f>
        <v/>
      </c>
      <c r="AA2984" s="59">
        <f>IF($Y2984="","",IF(INDEX($D$6:$D$40000,$Y2984)="","",INDEX($D$6:$D$40000,$Y2984)))</f>
        <v/>
      </c>
      <c r="AB2984">
        <f>IF($Y2984="","",INDEX($L$6:$L$40000,$Y2984)&amp;"")</f>
        <v/>
      </c>
    </row>
    <row r="2985">
      <c r="Y2985" s="47">
        <f>IFERROR(MATCH(Library!M2985,$M$6:$M$40000,0),"")</f>
        <v/>
      </c>
      <c r="Z2985">
        <f>IF($Y2985="","",INDEX($C$6:$C$40000,$Y2985)&amp;"")</f>
        <v/>
      </c>
      <c r="AA2985" s="59">
        <f>IF($Y2985="","",IF(INDEX($D$6:$D$40000,$Y2985)="","",INDEX($D$6:$D$40000,$Y2985)))</f>
        <v/>
      </c>
      <c r="AB2985">
        <f>IF($Y2985="","",INDEX($L$6:$L$40000,$Y2985)&amp;"")</f>
        <v/>
      </c>
    </row>
    <row r="2986">
      <c r="Y2986" s="47">
        <f>IFERROR(MATCH(Library!M2986,$M$6:$M$40000,0),"")</f>
        <v/>
      </c>
      <c r="Z2986">
        <f>IF($Y2986="","",INDEX($C$6:$C$40000,$Y2986)&amp;"")</f>
        <v/>
      </c>
      <c r="AA2986" s="59">
        <f>IF($Y2986="","",IF(INDEX($D$6:$D$40000,$Y2986)="","",INDEX($D$6:$D$40000,$Y2986)))</f>
        <v/>
      </c>
      <c r="AB2986">
        <f>IF($Y2986="","",INDEX($L$6:$L$40000,$Y2986)&amp;"")</f>
        <v/>
      </c>
    </row>
    <row r="2987">
      <c r="Y2987" s="47">
        <f>IFERROR(MATCH(Library!M2987,$M$6:$M$40000,0),"")</f>
        <v/>
      </c>
      <c r="Z2987">
        <f>IF($Y2987="","",INDEX($C$6:$C$40000,$Y2987)&amp;"")</f>
        <v/>
      </c>
      <c r="AA2987" s="59">
        <f>IF($Y2987="","",IF(INDEX($D$6:$D$40000,$Y2987)="","",INDEX($D$6:$D$40000,$Y2987)))</f>
        <v/>
      </c>
      <c r="AB2987">
        <f>IF($Y2987="","",INDEX($L$6:$L$40000,$Y2987)&amp;"")</f>
        <v/>
      </c>
    </row>
    <row r="2988">
      <c r="Y2988" s="47">
        <f>IFERROR(MATCH(Library!M2988,$M$6:$M$40000,0),"")</f>
        <v/>
      </c>
      <c r="Z2988">
        <f>IF($Y2988="","",INDEX($C$6:$C$40000,$Y2988)&amp;"")</f>
        <v/>
      </c>
      <c r="AA2988" s="59">
        <f>IF($Y2988="","",IF(INDEX($D$6:$D$40000,$Y2988)="","",INDEX($D$6:$D$40000,$Y2988)))</f>
        <v/>
      </c>
      <c r="AB2988">
        <f>IF($Y2988="","",INDEX($L$6:$L$40000,$Y2988)&amp;"")</f>
        <v/>
      </c>
    </row>
    <row r="2989">
      <c r="Y2989" s="47">
        <f>IFERROR(MATCH(Library!M2989,$M$6:$M$40000,0),"")</f>
        <v/>
      </c>
      <c r="Z2989">
        <f>IF($Y2989="","",INDEX($C$6:$C$40000,$Y2989)&amp;"")</f>
        <v/>
      </c>
      <c r="AA2989" s="59">
        <f>IF($Y2989="","",IF(INDEX($D$6:$D$40000,$Y2989)="","",INDEX($D$6:$D$40000,$Y2989)))</f>
        <v/>
      </c>
      <c r="AB2989">
        <f>IF($Y2989="","",INDEX($L$6:$L$40000,$Y2989)&amp;"")</f>
        <v/>
      </c>
    </row>
    <row r="2990">
      <c r="Y2990" s="47">
        <f>IFERROR(MATCH(Library!M2990,$M$6:$M$40000,0),"")</f>
        <v/>
      </c>
      <c r="Z2990">
        <f>IF($Y2990="","",INDEX($C$6:$C$40000,$Y2990)&amp;"")</f>
        <v/>
      </c>
      <c r="AA2990" s="59">
        <f>IF($Y2990="","",IF(INDEX($D$6:$D$40000,$Y2990)="","",INDEX($D$6:$D$40000,$Y2990)))</f>
        <v/>
      </c>
      <c r="AB2990">
        <f>IF($Y2990="","",INDEX($L$6:$L$40000,$Y2990)&amp;"")</f>
        <v/>
      </c>
    </row>
    <row r="2991">
      <c r="Y2991" s="47">
        <f>IFERROR(MATCH(Library!M2991,$M$6:$M$40000,0),"")</f>
        <v/>
      </c>
      <c r="Z2991">
        <f>IF($Y2991="","",INDEX($C$6:$C$40000,$Y2991)&amp;"")</f>
        <v/>
      </c>
      <c r="AA2991" s="59">
        <f>IF($Y2991="","",IF(INDEX($D$6:$D$40000,$Y2991)="","",INDEX($D$6:$D$40000,$Y2991)))</f>
        <v/>
      </c>
      <c r="AB2991">
        <f>IF($Y2991="","",INDEX($L$6:$L$40000,$Y2991)&amp;"")</f>
        <v/>
      </c>
    </row>
    <row r="2992">
      <c r="Y2992" s="47">
        <f>IFERROR(MATCH(Library!M2992,$M$6:$M$40000,0),"")</f>
        <v/>
      </c>
      <c r="Z2992">
        <f>IF($Y2992="","",INDEX($C$6:$C$40000,$Y2992)&amp;"")</f>
        <v/>
      </c>
      <c r="AA2992" s="59">
        <f>IF($Y2992="","",IF(INDEX($D$6:$D$40000,$Y2992)="","",INDEX($D$6:$D$40000,$Y2992)))</f>
        <v/>
      </c>
      <c r="AB2992">
        <f>IF($Y2992="","",INDEX($L$6:$L$40000,$Y2992)&amp;"")</f>
        <v/>
      </c>
    </row>
    <row r="2993">
      <c r="Y2993" s="47">
        <f>IFERROR(MATCH(Library!M2993,$M$6:$M$40000,0),"")</f>
        <v/>
      </c>
      <c r="Z2993">
        <f>IF($Y2993="","",INDEX($C$6:$C$40000,$Y2993)&amp;"")</f>
        <v/>
      </c>
      <c r="AA2993" s="59">
        <f>IF($Y2993="","",IF(INDEX($D$6:$D$40000,$Y2993)="","",INDEX($D$6:$D$40000,$Y2993)))</f>
        <v/>
      </c>
      <c r="AB2993">
        <f>IF($Y2993="","",INDEX($L$6:$L$40000,$Y2993)&amp;"")</f>
        <v/>
      </c>
    </row>
    <row r="2994">
      <c r="Y2994" s="47">
        <f>IFERROR(MATCH(Library!M2994,$M$6:$M$40000,0),"")</f>
        <v/>
      </c>
      <c r="Z2994">
        <f>IF($Y2994="","",INDEX($C$6:$C$40000,$Y2994)&amp;"")</f>
        <v/>
      </c>
      <c r="AA2994" s="59">
        <f>IF($Y2994="","",IF(INDEX($D$6:$D$40000,$Y2994)="","",INDEX($D$6:$D$40000,$Y2994)))</f>
        <v/>
      </c>
      <c r="AB2994">
        <f>IF($Y2994="","",INDEX($L$6:$L$40000,$Y2994)&amp;"")</f>
        <v/>
      </c>
    </row>
    <row r="2995">
      <c r="Y2995" s="47">
        <f>IFERROR(MATCH(Library!M2995,$M$6:$M$40000,0),"")</f>
        <v/>
      </c>
      <c r="Z2995">
        <f>IF($Y2995="","",INDEX($C$6:$C$40000,$Y2995)&amp;"")</f>
        <v/>
      </c>
      <c r="AA2995" s="59">
        <f>IF($Y2995="","",IF(INDEX($D$6:$D$40000,$Y2995)="","",INDEX($D$6:$D$40000,$Y2995)))</f>
        <v/>
      </c>
      <c r="AB2995">
        <f>IF($Y2995="","",INDEX($L$6:$L$40000,$Y2995)&amp;"")</f>
        <v/>
      </c>
    </row>
    <row r="2996">
      <c r="Y2996" s="47">
        <f>IFERROR(MATCH(Library!M2996,$M$6:$M$40000,0),"")</f>
        <v/>
      </c>
      <c r="Z2996">
        <f>IF($Y2996="","",INDEX($C$6:$C$40000,$Y2996)&amp;"")</f>
        <v/>
      </c>
      <c r="AA2996" s="59">
        <f>IF($Y2996="","",IF(INDEX($D$6:$D$40000,$Y2996)="","",INDEX($D$6:$D$40000,$Y2996)))</f>
        <v/>
      </c>
      <c r="AB2996">
        <f>IF($Y2996="","",INDEX($L$6:$L$40000,$Y2996)&amp;"")</f>
        <v/>
      </c>
    </row>
    <row r="2997">
      <c r="Y2997" s="47">
        <f>IFERROR(MATCH(Library!M2997,$M$6:$M$40000,0),"")</f>
        <v/>
      </c>
      <c r="Z2997">
        <f>IF($Y2997="","",INDEX($C$6:$C$40000,$Y2997)&amp;"")</f>
        <v/>
      </c>
      <c r="AA2997" s="59">
        <f>IF($Y2997="","",IF(INDEX($D$6:$D$40000,$Y2997)="","",INDEX($D$6:$D$40000,$Y2997)))</f>
        <v/>
      </c>
      <c r="AB2997">
        <f>IF($Y2997="","",INDEX($L$6:$L$40000,$Y2997)&amp;"")</f>
        <v/>
      </c>
    </row>
    <row r="2998">
      <c r="Y2998" s="47">
        <f>IFERROR(MATCH(Library!M2998,$M$6:$M$40000,0),"")</f>
        <v/>
      </c>
      <c r="Z2998">
        <f>IF($Y2998="","",INDEX($C$6:$C$40000,$Y2998)&amp;"")</f>
        <v/>
      </c>
      <c r="AA2998" s="59">
        <f>IF($Y2998="","",IF(INDEX($D$6:$D$40000,$Y2998)="","",INDEX($D$6:$D$40000,$Y2998)))</f>
        <v/>
      </c>
      <c r="AB2998">
        <f>IF($Y2998="","",INDEX($L$6:$L$40000,$Y2998)&amp;"")</f>
        <v/>
      </c>
    </row>
    <row r="2999">
      <c r="Y2999" s="47">
        <f>IFERROR(MATCH(Library!M2999,$M$6:$M$40000,0),"")</f>
        <v/>
      </c>
      <c r="Z2999">
        <f>IF($Y2999="","",INDEX($C$6:$C$40000,$Y2999)&amp;"")</f>
        <v/>
      </c>
      <c r="AA2999" s="59">
        <f>IF($Y2999="","",IF(INDEX($D$6:$D$40000,$Y2999)="","",INDEX($D$6:$D$40000,$Y2999)))</f>
        <v/>
      </c>
      <c r="AB2999">
        <f>IF($Y2999="","",INDEX($L$6:$L$40000,$Y2999)&amp;"")</f>
        <v/>
      </c>
    </row>
    <row r="3000">
      <c r="Y3000" s="47">
        <f>IFERROR(MATCH(Library!M3000,$M$6:$M$40000,0),"")</f>
        <v/>
      </c>
      <c r="Z3000">
        <f>IF($Y3000="","",INDEX($C$6:$C$40000,$Y3000)&amp;"")</f>
        <v/>
      </c>
      <c r="AA3000" s="59">
        <f>IF($Y3000="","",IF(INDEX($D$6:$D$40000,$Y3000)="","",INDEX($D$6:$D$40000,$Y3000)))</f>
        <v/>
      </c>
      <c r="AB3000">
        <f>IF($Y3000="","",INDEX($L$6:$L$40000,$Y3000)&amp;"")</f>
        <v/>
      </c>
    </row>
    <row r="3001">
      <c r="Y3001" s="47">
        <f>IFERROR(MATCH(Library!M3001,$M$6:$M$40000,0),"")</f>
        <v/>
      </c>
      <c r="Z3001">
        <f>IF($Y3001="","",INDEX($C$6:$C$40000,$Y3001)&amp;"")</f>
        <v/>
      </c>
      <c r="AA3001" s="59">
        <f>IF($Y3001="","",IF(INDEX($D$6:$D$40000,$Y3001)="","",INDEX($D$6:$D$40000,$Y3001)))</f>
        <v/>
      </c>
      <c r="AB3001">
        <f>IF($Y3001="","",INDEX($L$6:$L$40000,$Y3001)&amp;"")</f>
        <v/>
      </c>
    </row>
    <row r="3002">
      <c r="Y3002" s="47">
        <f>IFERROR(MATCH(Library!M3002,$M$6:$M$40000,0),"")</f>
        <v/>
      </c>
      <c r="Z3002">
        <f>IF($Y3002="","",INDEX($C$6:$C$40000,$Y3002)&amp;"")</f>
        <v/>
      </c>
      <c r="AA3002" s="59">
        <f>IF($Y3002="","",IF(INDEX($D$6:$D$40000,$Y3002)="","",INDEX($D$6:$D$40000,$Y3002)))</f>
        <v/>
      </c>
      <c r="AB3002">
        <f>IF($Y3002="","",INDEX($L$6:$L$40000,$Y3002)&amp;"")</f>
        <v/>
      </c>
    </row>
    <row r="3003">
      <c r="Y3003" s="47">
        <f>IFERROR(MATCH(Library!M3003,$M$6:$M$40000,0),"")</f>
        <v/>
      </c>
      <c r="Z3003">
        <f>IF($Y3003="","",INDEX($C$6:$C$40000,$Y3003)&amp;"")</f>
        <v/>
      </c>
      <c r="AA3003" s="59">
        <f>IF($Y3003="","",IF(INDEX($D$6:$D$40000,$Y3003)="","",INDEX($D$6:$D$40000,$Y3003)))</f>
        <v/>
      </c>
      <c r="AB3003">
        <f>IF($Y3003="","",INDEX($L$6:$L$40000,$Y3003)&amp;"")</f>
        <v/>
      </c>
    </row>
    <row r="3004">
      <c r="Y3004" s="47">
        <f>IFERROR(MATCH(Library!M3004,$M$6:$M$40000,0),"")</f>
        <v/>
      </c>
      <c r="Z3004">
        <f>IF($Y3004="","",INDEX($C$6:$C$40000,$Y3004)&amp;"")</f>
        <v/>
      </c>
      <c r="AA3004" s="59">
        <f>IF($Y3004="","",IF(INDEX($D$6:$D$40000,$Y3004)="","",INDEX($D$6:$D$40000,$Y3004)))</f>
        <v/>
      </c>
      <c r="AB3004">
        <f>IF($Y3004="","",INDEX($L$6:$L$40000,$Y3004)&amp;"")</f>
        <v/>
      </c>
    </row>
    <row r="3005">
      <c r="Y3005" s="47">
        <f>IFERROR(MATCH(Library!M3005,$M$6:$M$40000,0),"")</f>
        <v/>
      </c>
      <c r="Z3005">
        <f>IF($Y3005="","",INDEX($C$6:$C$40000,$Y3005)&amp;"")</f>
        <v/>
      </c>
      <c r="AA3005" s="59">
        <f>IF($Y3005="","",IF(INDEX($D$6:$D$40000,$Y3005)="","",INDEX($D$6:$D$40000,$Y3005)))</f>
        <v/>
      </c>
      <c r="AB3005">
        <f>IF($Y3005="","",INDEX($L$6:$L$40000,$Y3005)&amp;"")</f>
        <v/>
      </c>
    </row>
    <row r="3006">
      <c r="Y3006" s="47">
        <f>IFERROR(MATCH(Library!M3006,$M$6:$M$40000,0),"")</f>
        <v/>
      </c>
      <c r="Z3006">
        <f>IF($Y3006="","",INDEX($C$6:$C$40000,$Y3006)&amp;"")</f>
        <v/>
      </c>
      <c r="AA3006" s="59">
        <f>IF($Y3006="","",IF(INDEX($D$6:$D$40000,$Y3006)="","",INDEX($D$6:$D$40000,$Y3006)))</f>
        <v/>
      </c>
      <c r="AB3006">
        <f>IF($Y3006="","",INDEX($L$6:$L$40000,$Y3006)&amp;"")</f>
        <v/>
      </c>
    </row>
    <row r="3007">
      <c r="Y3007" s="47">
        <f>IFERROR(MATCH(Library!M3007,$M$6:$M$40000,0),"")</f>
        <v/>
      </c>
      <c r="Z3007">
        <f>IF($Y3007="","",INDEX($C$6:$C$40000,$Y3007)&amp;"")</f>
        <v/>
      </c>
      <c r="AA3007" s="59">
        <f>IF($Y3007="","",IF(INDEX($D$6:$D$40000,$Y3007)="","",INDEX($D$6:$D$40000,$Y3007)))</f>
        <v/>
      </c>
      <c r="AB3007">
        <f>IF($Y3007="","",INDEX($L$6:$L$40000,$Y3007)&amp;"")</f>
        <v/>
      </c>
    </row>
    <row r="3008">
      <c r="Y3008" s="47">
        <f>IFERROR(MATCH(Library!M3008,$M$6:$M$40000,0),"")</f>
        <v/>
      </c>
      <c r="Z3008">
        <f>IF($Y3008="","",INDEX($C$6:$C$40000,$Y3008)&amp;"")</f>
        <v/>
      </c>
      <c r="AA3008" s="59">
        <f>IF($Y3008="","",IF(INDEX($D$6:$D$40000,$Y3008)="","",INDEX($D$6:$D$40000,$Y3008)))</f>
        <v/>
      </c>
      <c r="AB3008">
        <f>IF($Y3008="","",INDEX($L$6:$L$40000,$Y3008)&amp;"")</f>
        <v/>
      </c>
    </row>
    <row r="3009">
      <c r="Y3009" s="47">
        <f>IFERROR(MATCH(Library!M3009,$M$6:$M$40000,0),"")</f>
        <v/>
      </c>
      <c r="Z3009">
        <f>IF($Y3009="","",INDEX($C$6:$C$40000,$Y3009)&amp;"")</f>
        <v/>
      </c>
      <c r="AA3009" s="59">
        <f>IF($Y3009="","",IF(INDEX($D$6:$D$40000,$Y3009)="","",INDEX($D$6:$D$40000,$Y3009)))</f>
        <v/>
      </c>
      <c r="AB3009">
        <f>IF($Y3009="","",INDEX($L$6:$L$40000,$Y3009)&amp;"")</f>
        <v/>
      </c>
    </row>
    <row r="3010">
      <c r="Y3010" s="47">
        <f>IFERROR(MATCH(Library!M3010,$M$6:$M$40000,0),"")</f>
        <v/>
      </c>
      <c r="Z3010">
        <f>IF($Y3010="","",INDEX($C$6:$C$40000,$Y3010)&amp;"")</f>
        <v/>
      </c>
      <c r="AA3010" s="59">
        <f>IF($Y3010="","",IF(INDEX($D$6:$D$40000,$Y3010)="","",INDEX($D$6:$D$40000,$Y3010)))</f>
        <v/>
      </c>
      <c r="AB3010">
        <f>IF($Y3010="","",INDEX($L$6:$L$40000,$Y3010)&amp;"")</f>
        <v/>
      </c>
    </row>
    <row r="3011">
      <c r="Y3011" s="47">
        <f>IFERROR(MATCH(Library!M3011,$M$6:$M$40000,0),"")</f>
        <v/>
      </c>
      <c r="Z3011">
        <f>IF($Y3011="","",INDEX($C$6:$C$40000,$Y3011)&amp;"")</f>
        <v/>
      </c>
      <c r="AA3011" s="59">
        <f>IF($Y3011="","",IF(INDEX($D$6:$D$40000,$Y3011)="","",INDEX($D$6:$D$40000,$Y3011)))</f>
        <v/>
      </c>
      <c r="AB3011">
        <f>IF($Y3011="","",INDEX($L$6:$L$40000,$Y3011)&amp;"")</f>
        <v/>
      </c>
    </row>
    <row r="3012">
      <c r="Y3012" s="47">
        <f>IFERROR(MATCH(Library!M3012,$M$6:$M$40000,0),"")</f>
        <v/>
      </c>
      <c r="Z3012">
        <f>IF($Y3012="","",INDEX($C$6:$C$40000,$Y3012)&amp;"")</f>
        <v/>
      </c>
      <c r="AA3012" s="59">
        <f>IF($Y3012="","",IF(INDEX($D$6:$D$40000,$Y3012)="","",INDEX($D$6:$D$40000,$Y3012)))</f>
        <v/>
      </c>
      <c r="AB3012">
        <f>IF($Y3012="","",INDEX($L$6:$L$40000,$Y3012)&amp;"")</f>
        <v/>
      </c>
    </row>
    <row r="3013">
      <c r="Y3013" s="47">
        <f>IFERROR(MATCH(Library!M3013,$M$6:$M$40000,0),"")</f>
        <v/>
      </c>
      <c r="Z3013">
        <f>IF($Y3013="","",INDEX($C$6:$C$40000,$Y3013)&amp;"")</f>
        <v/>
      </c>
      <c r="AA3013" s="59">
        <f>IF($Y3013="","",IF(INDEX($D$6:$D$40000,$Y3013)="","",INDEX($D$6:$D$40000,$Y3013)))</f>
        <v/>
      </c>
      <c r="AB3013">
        <f>IF($Y3013="","",INDEX($L$6:$L$40000,$Y3013)&amp;"")</f>
        <v/>
      </c>
    </row>
    <row r="3014">
      <c r="Y3014" s="47">
        <f>IFERROR(MATCH(Library!M3014,$M$6:$M$40000,0),"")</f>
        <v/>
      </c>
      <c r="Z3014">
        <f>IF($Y3014="","",INDEX($C$6:$C$40000,$Y3014)&amp;"")</f>
        <v/>
      </c>
      <c r="AA3014" s="59">
        <f>IF($Y3014="","",IF(INDEX($D$6:$D$40000,$Y3014)="","",INDEX($D$6:$D$40000,$Y3014)))</f>
        <v/>
      </c>
      <c r="AB3014">
        <f>IF($Y3014="","",INDEX($L$6:$L$40000,$Y3014)&amp;"")</f>
        <v/>
      </c>
    </row>
    <row r="3015">
      <c r="Y3015" s="47">
        <f>IFERROR(MATCH(Library!M3015,$M$6:$M$40000,0),"")</f>
        <v/>
      </c>
      <c r="Z3015">
        <f>IF($Y3015="","",INDEX($C$6:$C$40000,$Y3015)&amp;"")</f>
        <v/>
      </c>
      <c r="AA3015" s="59">
        <f>IF($Y3015="","",IF(INDEX($D$6:$D$40000,$Y3015)="","",INDEX($D$6:$D$40000,$Y3015)))</f>
        <v/>
      </c>
      <c r="AB3015">
        <f>IF($Y3015="","",INDEX($L$6:$L$40000,$Y3015)&amp;"")</f>
        <v/>
      </c>
    </row>
    <row r="3016">
      <c r="Y3016" s="47">
        <f>IFERROR(MATCH(Library!M3016,$M$6:$M$40000,0),"")</f>
        <v/>
      </c>
      <c r="Z3016">
        <f>IF($Y3016="","",INDEX($C$6:$C$40000,$Y3016)&amp;"")</f>
        <v/>
      </c>
      <c r="AA3016" s="59">
        <f>IF($Y3016="","",IF(INDEX($D$6:$D$40000,$Y3016)="","",INDEX($D$6:$D$40000,$Y3016)))</f>
        <v/>
      </c>
      <c r="AB3016">
        <f>IF($Y3016="","",INDEX($L$6:$L$40000,$Y3016)&amp;"")</f>
        <v/>
      </c>
    </row>
    <row r="3017">
      <c r="Y3017" s="47">
        <f>IFERROR(MATCH(Library!M3017,$M$6:$M$40000,0),"")</f>
        <v/>
      </c>
      <c r="Z3017">
        <f>IF($Y3017="","",INDEX($C$6:$C$40000,$Y3017)&amp;"")</f>
        <v/>
      </c>
      <c r="AA3017" s="59">
        <f>IF($Y3017="","",IF(INDEX($D$6:$D$40000,$Y3017)="","",INDEX($D$6:$D$40000,$Y3017)))</f>
        <v/>
      </c>
      <c r="AB3017">
        <f>IF($Y3017="","",INDEX($L$6:$L$40000,$Y3017)&amp;"")</f>
        <v/>
      </c>
    </row>
    <row r="3018">
      <c r="Y3018" s="47">
        <f>IFERROR(MATCH(Library!M3018,$M$6:$M$40000,0),"")</f>
        <v/>
      </c>
      <c r="Z3018">
        <f>IF($Y3018="","",INDEX($C$6:$C$40000,$Y3018)&amp;"")</f>
        <v/>
      </c>
      <c r="AA3018" s="59">
        <f>IF($Y3018="","",IF(INDEX($D$6:$D$40000,$Y3018)="","",INDEX($D$6:$D$40000,$Y3018)))</f>
        <v/>
      </c>
      <c r="AB3018">
        <f>IF($Y3018="","",INDEX($L$6:$L$40000,$Y3018)&amp;"")</f>
        <v/>
      </c>
    </row>
    <row r="3019">
      <c r="Y3019" s="47">
        <f>IFERROR(MATCH(Library!M3019,$M$6:$M$40000,0),"")</f>
        <v/>
      </c>
      <c r="Z3019">
        <f>IF($Y3019="","",INDEX($C$6:$C$40000,$Y3019)&amp;"")</f>
        <v/>
      </c>
      <c r="AA3019" s="59">
        <f>IF($Y3019="","",IF(INDEX($D$6:$D$40000,$Y3019)="","",INDEX($D$6:$D$40000,$Y3019)))</f>
        <v/>
      </c>
      <c r="AB3019">
        <f>IF($Y3019="","",INDEX($L$6:$L$40000,$Y3019)&amp;"")</f>
        <v/>
      </c>
    </row>
    <row r="3020">
      <c r="Y3020" s="47">
        <f>IFERROR(MATCH(Library!M3020,$M$6:$M$40000,0),"")</f>
        <v/>
      </c>
      <c r="Z3020">
        <f>IF($Y3020="","",INDEX($C$6:$C$40000,$Y3020)&amp;"")</f>
        <v/>
      </c>
      <c r="AA3020" s="59">
        <f>IF($Y3020="","",IF(INDEX($D$6:$D$40000,$Y3020)="","",INDEX($D$6:$D$40000,$Y3020)))</f>
        <v/>
      </c>
      <c r="AB3020">
        <f>IF($Y3020="","",INDEX($L$6:$L$40000,$Y3020)&amp;"")</f>
        <v/>
      </c>
    </row>
    <row r="3021">
      <c r="Y3021" s="47">
        <f>IFERROR(MATCH(Library!M3021,$M$6:$M$40000,0),"")</f>
        <v/>
      </c>
      <c r="Z3021">
        <f>IF($Y3021="","",INDEX($C$6:$C$40000,$Y3021)&amp;"")</f>
        <v/>
      </c>
      <c r="AA3021" s="59">
        <f>IF($Y3021="","",IF(INDEX($D$6:$D$40000,$Y3021)="","",INDEX($D$6:$D$40000,$Y3021)))</f>
        <v/>
      </c>
      <c r="AB3021">
        <f>IF($Y3021="","",INDEX($L$6:$L$40000,$Y3021)&amp;"")</f>
        <v/>
      </c>
    </row>
    <row r="3022">
      <c r="Y3022" s="47">
        <f>IFERROR(MATCH(Library!M3022,$M$6:$M$40000,0),"")</f>
        <v/>
      </c>
      <c r="Z3022">
        <f>IF($Y3022="","",INDEX($C$6:$C$40000,$Y3022)&amp;"")</f>
        <v/>
      </c>
      <c r="AA3022" s="59">
        <f>IF($Y3022="","",IF(INDEX($D$6:$D$40000,$Y3022)="","",INDEX($D$6:$D$40000,$Y3022)))</f>
        <v/>
      </c>
      <c r="AB3022">
        <f>IF($Y3022="","",INDEX($L$6:$L$40000,$Y3022)&amp;"")</f>
        <v/>
      </c>
    </row>
    <row r="3023">
      <c r="Y3023" s="47">
        <f>IFERROR(MATCH(Library!M3023,$M$6:$M$40000,0),"")</f>
        <v/>
      </c>
      <c r="Z3023">
        <f>IF($Y3023="","",INDEX($C$6:$C$40000,$Y3023)&amp;"")</f>
        <v/>
      </c>
      <c r="AA3023" s="59">
        <f>IF($Y3023="","",IF(INDEX($D$6:$D$40000,$Y3023)="","",INDEX($D$6:$D$40000,$Y3023)))</f>
        <v/>
      </c>
      <c r="AB3023">
        <f>IF($Y3023="","",INDEX($L$6:$L$40000,$Y3023)&amp;"")</f>
        <v/>
      </c>
    </row>
    <row r="3024">
      <c r="Y3024" s="47">
        <f>IFERROR(MATCH(Library!M3024,$M$6:$M$40000,0),"")</f>
        <v/>
      </c>
      <c r="Z3024">
        <f>IF($Y3024="","",INDEX($C$6:$C$40000,$Y3024)&amp;"")</f>
        <v/>
      </c>
      <c r="AA3024" s="59">
        <f>IF($Y3024="","",IF(INDEX($D$6:$D$40000,$Y3024)="","",INDEX($D$6:$D$40000,$Y3024)))</f>
        <v/>
      </c>
      <c r="AB3024">
        <f>IF($Y3024="","",INDEX($L$6:$L$40000,$Y3024)&amp;"")</f>
        <v/>
      </c>
    </row>
    <row r="3025">
      <c r="Y3025" s="47">
        <f>IFERROR(MATCH(Library!M3025,$M$6:$M$40000,0),"")</f>
        <v/>
      </c>
      <c r="Z3025">
        <f>IF($Y3025="","",INDEX($C$6:$C$40000,$Y3025)&amp;"")</f>
        <v/>
      </c>
      <c r="AA3025" s="59">
        <f>IF($Y3025="","",IF(INDEX($D$6:$D$40000,$Y3025)="","",INDEX($D$6:$D$40000,$Y3025)))</f>
        <v/>
      </c>
      <c r="AB3025">
        <f>IF($Y3025="","",INDEX($L$6:$L$40000,$Y3025)&amp;"")</f>
        <v/>
      </c>
    </row>
    <row r="3026">
      <c r="Y3026" s="47">
        <f>IFERROR(MATCH(Library!M3026,$M$6:$M$40000,0),"")</f>
        <v/>
      </c>
      <c r="Z3026">
        <f>IF($Y3026="","",INDEX($C$6:$C$40000,$Y3026)&amp;"")</f>
        <v/>
      </c>
      <c r="AA3026" s="59">
        <f>IF($Y3026="","",IF(INDEX($D$6:$D$40000,$Y3026)="","",INDEX($D$6:$D$40000,$Y3026)))</f>
        <v/>
      </c>
      <c r="AB3026">
        <f>IF($Y3026="","",INDEX($L$6:$L$40000,$Y3026)&amp;"")</f>
        <v/>
      </c>
    </row>
    <row r="3027">
      <c r="Y3027" s="47">
        <f>IFERROR(MATCH(Library!M3027,$M$6:$M$40000,0),"")</f>
        <v/>
      </c>
      <c r="Z3027">
        <f>IF($Y3027="","",INDEX($C$6:$C$40000,$Y3027)&amp;"")</f>
        <v/>
      </c>
      <c r="AA3027" s="59">
        <f>IF($Y3027="","",IF(INDEX($D$6:$D$40000,$Y3027)="","",INDEX($D$6:$D$40000,$Y3027)))</f>
        <v/>
      </c>
      <c r="AB3027">
        <f>IF($Y3027="","",INDEX($L$6:$L$40000,$Y3027)&amp;"")</f>
        <v/>
      </c>
    </row>
    <row r="3028">
      <c r="Y3028" s="47">
        <f>IFERROR(MATCH(Library!M3028,$M$6:$M$40000,0),"")</f>
        <v/>
      </c>
      <c r="Z3028">
        <f>IF($Y3028="","",INDEX($C$6:$C$40000,$Y3028)&amp;"")</f>
        <v/>
      </c>
      <c r="AA3028" s="59">
        <f>IF($Y3028="","",IF(INDEX($D$6:$D$40000,$Y3028)="","",INDEX($D$6:$D$40000,$Y3028)))</f>
        <v/>
      </c>
      <c r="AB3028">
        <f>IF($Y3028="","",INDEX($L$6:$L$40000,$Y3028)&amp;"")</f>
        <v/>
      </c>
    </row>
    <row r="3029">
      <c r="Y3029" s="47">
        <f>IFERROR(MATCH(Library!M3029,$M$6:$M$40000,0),"")</f>
        <v/>
      </c>
      <c r="Z3029">
        <f>IF($Y3029="","",INDEX($C$6:$C$40000,$Y3029)&amp;"")</f>
        <v/>
      </c>
      <c r="AA3029" s="59">
        <f>IF($Y3029="","",IF(INDEX($D$6:$D$40000,$Y3029)="","",INDEX($D$6:$D$40000,$Y3029)))</f>
        <v/>
      </c>
      <c r="AB3029">
        <f>IF($Y3029="","",INDEX($L$6:$L$40000,$Y3029)&amp;"")</f>
        <v/>
      </c>
    </row>
    <row r="3030">
      <c r="Y3030" s="47">
        <f>IFERROR(MATCH(Library!M3030,$M$6:$M$40000,0),"")</f>
        <v/>
      </c>
      <c r="Z3030">
        <f>IF($Y3030="","",INDEX($C$6:$C$40000,$Y3030)&amp;"")</f>
        <v/>
      </c>
      <c r="AA3030" s="59">
        <f>IF($Y3030="","",IF(INDEX($D$6:$D$40000,$Y3030)="","",INDEX($D$6:$D$40000,$Y3030)))</f>
        <v/>
      </c>
      <c r="AB3030">
        <f>IF($Y3030="","",INDEX($L$6:$L$40000,$Y3030)&amp;"")</f>
        <v/>
      </c>
    </row>
    <row r="3031">
      <c r="Y3031" s="47">
        <f>IFERROR(MATCH(Library!M3031,$M$6:$M$40000,0),"")</f>
        <v/>
      </c>
      <c r="Z3031">
        <f>IF($Y3031="","",INDEX($C$6:$C$40000,$Y3031)&amp;"")</f>
        <v/>
      </c>
      <c r="AA3031" s="59">
        <f>IF($Y3031="","",IF(INDEX($D$6:$D$40000,$Y3031)="","",INDEX($D$6:$D$40000,$Y3031)))</f>
        <v/>
      </c>
      <c r="AB3031">
        <f>IF($Y3031="","",INDEX($L$6:$L$40000,$Y3031)&amp;"")</f>
        <v/>
      </c>
    </row>
    <row r="3032">
      <c r="Y3032" s="47">
        <f>IFERROR(MATCH(Library!M3032,$M$6:$M$40000,0),"")</f>
        <v/>
      </c>
      <c r="Z3032">
        <f>IF($Y3032="","",INDEX($C$6:$C$40000,$Y3032)&amp;"")</f>
        <v/>
      </c>
      <c r="AA3032" s="59">
        <f>IF($Y3032="","",IF(INDEX($D$6:$D$40000,$Y3032)="","",INDEX($D$6:$D$40000,$Y3032)))</f>
        <v/>
      </c>
      <c r="AB3032">
        <f>IF($Y3032="","",INDEX($L$6:$L$40000,$Y3032)&amp;"")</f>
        <v/>
      </c>
    </row>
    <row r="3033">
      <c r="Y3033" s="47">
        <f>IFERROR(MATCH(Library!M3033,$M$6:$M$40000,0),"")</f>
        <v/>
      </c>
      <c r="Z3033">
        <f>IF($Y3033="","",INDEX($C$6:$C$40000,$Y3033)&amp;"")</f>
        <v/>
      </c>
      <c r="AA3033" s="59">
        <f>IF($Y3033="","",IF(INDEX($D$6:$D$40000,$Y3033)="","",INDEX($D$6:$D$40000,$Y3033)))</f>
        <v/>
      </c>
      <c r="AB3033">
        <f>IF($Y3033="","",INDEX($L$6:$L$40000,$Y3033)&amp;"")</f>
        <v/>
      </c>
    </row>
    <row r="3034">
      <c r="Y3034" s="47">
        <f>IFERROR(MATCH(Library!M3034,$M$6:$M$40000,0),"")</f>
        <v/>
      </c>
      <c r="Z3034">
        <f>IF($Y3034="","",INDEX($C$6:$C$40000,$Y3034)&amp;"")</f>
        <v/>
      </c>
      <c r="AA3034" s="59">
        <f>IF($Y3034="","",IF(INDEX($D$6:$D$40000,$Y3034)="","",INDEX($D$6:$D$40000,$Y3034)))</f>
        <v/>
      </c>
      <c r="AB3034">
        <f>IF($Y3034="","",INDEX($L$6:$L$40000,$Y3034)&amp;"")</f>
        <v/>
      </c>
    </row>
    <row r="3035">
      <c r="Y3035" s="47">
        <f>IFERROR(MATCH(Library!M3035,$M$6:$M$40000,0),"")</f>
        <v/>
      </c>
      <c r="Z3035">
        <f>IF($Y3035="","",INDEX($C$6:$C$40000,$Y3035)&amp;"")</f>
        <v/>
      </c>
      <c r="AA3035" s="59">
        <f>IF($Y3035="","",IF(INDEX($D$6:$D$40000,$Y3035)="","",INDEX($D$6:$D$40000,$Y3035)))</f>
        <v/>
      </c>
      <c r="AB3035">
        <f>IF($Y3035="","",INDEX($L$6:$L$40000,$Y3035)&amp;"")</f>
        <v/>
      </c>
    </row>
    <row r="3036">
      <c r="Y3036" s="47">
        <f>IFERROR(MATCH(Library!M3036,$M$6:$M$40000,0),"")</f>
        <v/>
      </c>
      <c r="Z3036">
        <f>IF($Y3036="","",INDEX($C$6:$C$40000,$Y3036)&amp;"")</f>
        <v/>
      </c>
      <c r="AA3036" s="59">
        <f>IF($Y3036="","",IF(INDEX($D$6:$D$40000,$Y3036)="","",INDEX($D$6:$D$40000,$Y3036)))</f>
        <v/>
      </c>
      <c r="AB3036">
        <f>IF($Y3036="","",INDEX($L$6:$L$40000,$Y3036)&amp;"")</f>
        <v/>
      </c>
    </row>
    <row r="3037">
      <c r="Y3037" s="47">
        <f>IFERROR(MATCH(Library!M3037,$M$6:$M$40000,0),"")</f>
        <v/>
      </c>
      <c r="Z3037">
        <f>IF($Y3037="","",INDEX($C$6:$C$40000,$Y3037)&amp;"")</f>
        <v/>
      </c>
      <c r="AA3037" s="59">
        <f>IF($Y3037="","",IF(INDEX($D$6:$D$40000,$Y3037)="","",INDEX($D$6:$D$40000,$Y3037)))</f>
        <v/>
      </c>
      <c r="AB3037">
        <f>IF($Y3037="","",INDEX($L$6:$L$40000,$Y3037)&amp;"")</f>
        <v/>
      </c>
    </row>
    <row r="3038">
      <c r="Y3038" s="47">
        <f>IFERROR(MATCH(Library!M3038,$M$6:$M$40000,0),"")</f>
        <v/>
      </c>
      <c r="Z3038">
        <f>IF($Y3038="","",INDEX($C$6:$C$40000,$Y3038)&amp;"")</f>
        <v/>
      </c>
      <c r="AA3038" s="59">
        <f>IF($Y3038="","",IF(INDEX($D$6:$D$40000,$Y3038)="","",INDEX($D$6:$D$40000,$Y3038)))</f>
        <v/>
      </c>
      <c r="AB3038">
        <f>IF($Y3038="","",INDEX($L$6:$L$40000,$Y3038)&amp;"")</f>
        <v/>
      </c>
    </row>
    <row r="3039">
      <c r="Y3039" s="47">
        <f>IFERROR(MATCH(Library!M3039,$M$6:$M$40000,0),"")</f>
        <v/>
      </c>
      <c r="Z3039">
        <f>IF($Y3039="","",INDEX($C$6:$C$40000,$Y3039)&amp;"")</f>
        <v/>
      </c>
      <c r="AA3039" s="59">
        <f>IF($Y3039="","",IF(INDEX($D$6:$D$40000,$Y3039)="","",INDEX($D$6:$D$40000,$Y3039)))</f>
        <v/>
      </c>
      <c r="AB3039">
        <f>IF($Y3039="","",INDEX($L$6:$L$40000,$Y3039)&amp;"")</f>
        <v/>
      </c>
    </row>
    <row r="3040">
      <c r="Y3040" s="47">
        <f>IFERROR(MATCH(Library!M3040,$M$6:$M$40000,0),"")</f>
        <v/>
      </c>
      <c r="Z3040">
        <f>IF($Y3040="","",INDEX($C$6:$C$40000,$Y3040)&amp;"")</f>
        <v/>
      </c>
      <c r="AA3040" s="59">
        <f>IF($Y3040="","",IF(INDEX($D$6:$D$40000,$Y3040)="","",INDEX($D$6:$D$40000,$Y3040)))</f>
        <v/>
      </c>
      <c r="AB3040">
        <f>IF($Y3040="","",INDEX($L$6:$L$40000,$Y3040)&amp;"")</f>
        <v/>
      </c>
    </row>
    <row r="3041">
      <c r="Y3041" s="47">
        <f>IFERROR(MATCH(Library!M3041,$M$6:$M$40000,0),"")</f>
        <v/>
      </c>
      <c r="Z3041">
        <f>IF($Y3041="","",INDEX($C$6:$C$40000,$Y3041)&amp;"")</f>
        <v/>
      </c>
      <c r="AA3041" s="59">
        <f>IF($Y3041="","",IF(INDEX($D$6:$D$40000,$Y3041)="","",INDEX($D$6:$D$40000,$Y3041)))</f>
        <v/>
      </c>
      <c r="AB3041">
        <f>IF($Y3041="","",INDEX($L$6:$L$40000,$Y3041)&amp;"")</f>
        <v/>
      </c>
    </row>
    <row r="3042">
      <c r="Y3042" s="47">
        <f>IFERROR(MATCH(Library!M3042,$M$6:$M$40000,0),"")</f>
        <v/>
      </c>
      <c r="Z3042">
        <f>IF($Y3042="","",INDEX($C$6:$C$40000,$Y3042)&amp;"")</f>
        <v/>
      </c>
      <c r="AA3042" s="59">
        <f>IF($Y3042="","",IF(INDEX($D$6:$D$40000,$Y3042)="","",INDEX($D$6:$D$40000,$Y3042)))</f>
        <v/>
      </c>
      <c r="AB3042">
        <f>IF($Y3042="","",INDEX($L$6:$L$40000,$Y3042)&amp;"")</f>
        <v/>
      </c>
    </row>
    <row r="3043">
      <c r="Y3043" s="47">
        <f>IFERROR(MATCH(Library!M3043,$M$6:$M$40000,0),"")</f>
        <v/>
      </c>
      <c r="Z3043">
        <f>IF($Y3043="","",INDEX($C$6:$C$40000,$Y3043)&amp;"")</f>
        <v/>
      </c>
      <c r="AA3043" s="59">
        <f>IF($Y3043="","",IF(INDEX($D$6:$D$40000,$Y3043)="","",INDEX($D$6:$D$40000,$Y3043)))</f>
        <v/>
      </c>
      <c r="AB3043">
        <f>IF($Y3043="","",INDEX($L$6:$L$40000,$Y3043)&amp;"")</f>
        <v/>
      </c>
    </row>
    <row r="3044">
      <c r="Y3044" s="47">
        <f>IFERROR(MATCH(Library!M3044,$M$6:$M$40000,0),"")</f>
        <v/>
      </c>
      <c r="Z3044">
        <f>IF($Y3044="","",INDEX($C$6:$C$40000,$Y3044)&amp;"")</f>
        <v/>
      </c>
      <c r="AA3044" s="59">
        <f>IF($Y3044="","",IF(INDEX($D$6:$D$40000,$Y3044)="","",INDEX($D$6:$D$40000,$Y3044)))</f>
        <v/>
      </c>
      <c r="AB3044">
        <f>IF($Y3044="","",INDEX($L$6:$L$40000,$Y3044)&amp;"")</f>
        <v/>
      </c>
    </row>
    <row r="3045">
      <c r="Y3045" s="47">
        <f>IFERROR(MATCH(Library!M3045,$M$6:$M$40000,0),"")</f>
        <v/>
      </c>
      <c r="Z3045">
        <f>IF($Y3045="","",INDEX($C$6:$C$40000,$Y3045)&amp;"")</f>
        <v/>
      </c>
      <c r="AA3045" s="59">
        <f>IF($Y3045="","",IF(INDEX($D$6:$D$40000,$Y3045)="","",INDEX($D$6:$D$40000,$Y3045)))</f>
        <v/>
      </c>
      <c r="AB3045">
        <f>IF($Y3045="","",INDEX($L$6:$L$40000,$Y3045)&amp;"")</f>
        <v/>
      </c>
    </row>
    <row r="3046">
      <c r="Y3046" s="47">
        <f>IFERROR(MATCH(Library!M3046,$M$6:$M$40000,0),"")</f>
        <v/>
      </c>
      <c r="Z3046">
        <f>IF($Y3046="","",INDEX($C$6:$C$40000,$Y3046)&amp;"")</f>
        <v/>
      </c>
      <c r="AA3046" s="59">
        <f>IF($Y3046="","",IF(INDEX($D$6:$D$40000,$Y3046)="","",INDEX($D$6:$D$40000,$Y3046)))</f>
        <v/>
      </c>
      <c r="AB3046">
        <f>IF($Y3046="","",INDEX($L$6:$L$40000,$Y3046)&amp;"")</f>
        <v/>
      </c>
    </row>
    <row r="3047">
      <c r="Y3047" s="47">
        <f>IFERROR(MATCH(Library!M3047,$M$6:$M$40000,0),"")</f>
        <v/>
      </c>
      <c r="Z3047">
        <f>IF($Y3047="","",INDEX($C$6:$C$40000,$Y3047)&amp;"")</f>
        <v/>
      </c>
      <c r="AA3047" s="59">
        <f>IF($Y3047="","",IF(INDEX($D$6:$D$40000,$Y3047)="","",INDEX($D$6:$D$40000,$Y3047)))</f>
        <v/>
      </c>
      <c r="AB3047">
        <f>IF($Y3047="","",INDEX($L$6:$L$40000,$Y3047)&amp;"")</f>
        <v/>
      </c>
    </row>
    <row r="3048">
      <c r="Y3048" s="47">
        <f>IFERROR(MATCH(Library!M3048,$M$6:$M$40000,0),"")</f>
        <v/>
      </c>
      <c r="Z3048">
        <f>IF($Y3048="","",INDEX($C$6:$C$40000,$Y3048)&amp;"")</f>
        <v/>
      </c>
      <c r="AA3048" s="59">
        <f>IF($Y3048="","",IF(INDEX($D$6:$D$40000,$Y3048)="","",INDEX($D$6:$D$40000,$Y3048)))</f>
        <v/>
      </c>
      <c r="AB3048">
        <f>IF($Y3048="","",INDEX($L$6:$L$40000,$Y3048)&amp;"")</f>
        <v/>
      </c>
    </row>
    <row r="3049">
      <c r="Y3049" s="47">
        <f>IFERROR(MATCH(Library!M3049,$M$6:$M$40000,0),"")</f>
        <v/>
      </c>
      <c r="Z3049">
        <f>IF($Y3049="","",INDEX($C$6:$C$40000,$Y3049)&amp;"")</f>
        <v/>
      </c>
      <c r="AA3049" s="59">
        <f>IF($Y3049="","",IF(INDEX($D$6:$D$40000,$Y3049)="","",INDEX($D$6:$D$40000,$Y3049)))</f>
        <v/>
      </c>
      <c r="AB3049">
        <f>IF($Y3049="","",INDEX($L$6:$L$40000,$Y3049)&amp;"")</f>
        <v/>
      </c>
    </row>
    <row r="3050">
      <c r="Y3050" s="47">
        <f>IFERROR(MATCH(Library!M3050,$M$6:$M$40000,0),"")</f>
        <v/>
      </c>
      <c r="Z3050">
        <f>IF($Y3050="","",INDEX($C$6:$C$40000,$Y3050)&amp;"")</f>
        <v/>
      </c>
      <c r="AA3050" s="59">
        <f>IF($Y3050="","",IF(INDEX($D$6:$D$40000,$Y3050)="","",INDEX($D$6:$D$40000,$Y3050)))</f>
        <v/>
      </c>
      <c r="AB3050">
        <f>IF($Y3050="","",INDEX($L$6:$L$40000,$Y3050)&amp;"")</f>
        <v/>
      </c>
    </row>
    <row r="3051">
      <c r="Y3051" s="47">
        <f>IFERROR(MATCH(Library!M3051,$M$6:$M$40000,0),"")</f>
        <v/>
      </c>
      <c r="Z3051">
        <f>IF($Y3051="","",INDEX($C$6:$C$40000,$Y3051)&amp;"")</f>
        <v/>
      </c>
      <c r="AA3051" s="59">
        <f>IF($Y3051="","",IF(INDEX($D$6:$D$40000,$Y3051)="","",INDEX($D$6:$D$40000,$Y3051)))</f>
        <v/>
      </c>
      <c r="AB3051">
        <f>IF($Y3051="","",INDEX($L$6:$L$40000,$Y3051)&amp;"")</f>
        <v/>
      </c>
    </row>
    <row r="3052">
      <c r="Y3052" s="47">
        <f>IFERROR(MATCH(Library!M3052,$M$6:$M$40000,0),"")</f>
        <v/>
      </c>
      <c r="Z3052">
        <f>IF($Y3052="","",INDEX($C$6:$C$40000,$Y3052)&amp;"")</f>
        <v/>
      </c>
      <c r="AA3052" s="59">
        <f>IF($Y3052="","",IF(INDEX($D$6:$D$40000,$Y3052)="","",INDEX($D$6:$D$40000,$Y3052)))</f>
        <v/>
      </c>
      <c r="AB3052">
        <f>IF($Y3052="","",INDEX($L$6:$L$40000,$Y3052)&amp;"")</f>
        <v/>
      </c>
    </row>
    <row r="3053">
      <c r="Y3053" s="47">
        <f>IFERROR(MATCH(Library!M3053,$M$6:$M$40000,0),"")</f>
        <v/>
      </c>
      <c r="Z3053">
        <f>IF($Y3053="","",INDEX($C$6:$C$40000,$Y3053)&amp;"")</f>
        <v/>
      </c>
      <c r="AA3053" s="59">
        <f>IF($Y3053="","",IF(INDEX($D$6:$D$40000,$Y3053)="","",INDEX($D$6:$D$40000,$Y3053)))</f>
        <v/>
      </c>
      <c r="AB3053">
        <f>IF($Y3053="","",INDEX($L$6:$L$40000,$Y3053)&amp;"")</f>
        <v/>
      </c>
    </row>
    <row r="3054">
      <c r="Y3054" s="47">
        <f>IFERROR(MATCH(Library!M3054,$M$6:$M$40000,0),"")</f>
        <v/>
      </c>
      <c r="Z3054">
        <f>IF($Y3054="","",INDEX($C$6:$C$40000,$Y3054)&amp;"")</f>
        <v/>
      </c>
      <c r="AA3054" s="59">
        <f>IF($Y3054="","",IF(INDEX($D$6:$D$40000,$Y3054)="","",INDEX($D$6:$D$40000,$Y3054)))</f>
        <v/>
      </c>
      <c r="AB3054">
        <f>IF($Y3054="","",INDEX($L$6:$L$40000,$Y3054)&amp;"")</f>
        <v/>
      </c>
    </row>
    <row r="3055">
      <c r="Y3055" s="47">
        <f>IFERROR(MATCH(Library!M3055,$M$6:$M$40000,0),"")</f>
        <v/>
      </c>
      <c r="Z3055">
        <f>IF($Y3055="","",INDEX($C$6:$C$40000,$Y3055)&amp;"")</f>
        <v/>
      </c>
      <c r="AA3055" s="59">
        <f>IF($Y3055="","",IF(INDEX($D$6:$D$40000,$Y3055)="","",INDEX($D$6:$D$40000,$Y3055)))</f>
        <v/>
      </c>
      <c r="AB3055">
        <f>IF($Y3055="","",INDEX($L$6:$L$40000,$Y3055)&amp;"")</f>
        <v/>
      </c>
    </row>
    <row r="3056">
      <c r="Y3056" s="47">
        <f>IFERROR(MATCH(Library!M3056,$M$6:$M$40000,0),"")</f>
        <v/>
      </c>
      <c r="Z3056">
        <f>IF($Y3056="","",INDEX($C$6:$C$40000,$Y3056)&amp;"")</f>
        <v/>
      </c>
      <c r="AA3056" s="59">
        <f>IF($Y3056="","",IF(INDEX($D$6:$D$40000,$Y3056)="","",INDEX($D$6:$D$40000,$Y3056)))</f>
        <v/>
      </c>
      <c r="AB3056">
        <f>IF($Y3056="","",INDEX($L$6:$L$40000,$Y3056)&amp;"")</f>
        <v/>
      </c>
    </row>
    <row r="3057">
      <c r="Y3057" s="47">
        <f>IFERROR(MATCH(Library!M3057,$M$6:$M$40000,0),"")</f>
        <v/>
      </c>
      <c r="Z3057">
        <f>IF($Y3057="","",INDEX($C$6:$C$40000,$Y3057)&amp;"")</f>
        <v/>
      </c>
      <c r="AA3057" s="59">
        <f>IF($Y3057="","",IF(INDEX($D$6:$D$40000,$Y3057)="","",INDEX($D$6:$D$40000,$Y3057)))</f>
        <v/>
      </c>
      <c r="AB3057">
        <f>IF($Y3057="","",INDEX($L$6:$L$40000,$Y3057)&amp;"")</f>
        <v/>
      </c>
    </row>
    <row r="3058">
      <c r="Y3058" s="47">
        <f>IFERROR(MATCH(Library!M3058,$M$6:$M$40000,0),"")</f>
        <v/>
      </c>
      <c r="Z3058">
        <f>IF($Y3058="","",INDEX($C$6:$C$40000,$Y3058)&amp;"")</f>
        <v/>
      </c>
      <c r="AA3058" s="59">
        <f>IF($Y3058="","",IF(INDEX($D$6:$D$40000,$Y3058)="","",INDEX($D$6:$D$40000,$Y3058)))</f>
        <v/>
      </c>
      <c r="AB3058">
        <f>IF($Y3058="","",INDEX($L$6:$L$40000,$Y3058)&amp;"")</f>
        <v/>
      </c>
    </row>
    <row r="3059">
      <c r="Y3059" s="47">
        <f>IFERROR(MATCH(Library!M3059,$M$6:$M$40000,0),"")</f>
        <v/>
      </c>
      <c r="Z3059">
        <f>IF($Y3059="","",INDEX($C$6:$C$40000,$Y3059)&amp;"")</f>
        <v/>
      </c>
      <c r="AA3059" s="59">
        <f>IF($Y3059="","",IF(INDEX($D$6:$D$40000,$Y3059)="","",INDEX($D$6:$D$40000,$Y3059)))</f>
        <v/>
      </c>
      <c r="AB3059">
        <f>IF($Y3059="","",INDEX($L$6:$L$40000,$Y3059)&amp;"")</f>
        <v/>
      </c>
    </row>
    <row r="3060">
      <c r="Y3060" s="47">
        <f>IFERROR(MATCH(Library!M3060,$M$6:$M$40000,0),"")</f>
        <v/>
      </c>
      <c r="Z3060">
        <f>IF($Y3060="","",INDEX($C$6:$C$40000,$Y3060)&amp;"")</f>
        <v/>
      </c>
      <c r="AA3060" s="59">
        <f>IF($Y3060="","",IF(INDEX($D$6:$D$40000,$Y3060)="","",INDEX($D$6:$D$40000,$Y3060)))</f>
        <v/>
      </c>
      <c r="AB3060">
        <f>IF($Y3060="","",INDEX($L$6:$L$40000,$Y3060)&amp;"")</f>
        <v/>
      </c>
    </row>
    <row r="3061">
      <c r="Y3061" s="47">
        <f>IFERROR(MATCH(Library!M3061,$M$6:$M$40000,0),"")</f>
        <v/>
      </c>
      <c r="Z3061">
        <f>IF($Y3061="","",INDEX($C$6:$C$40000,$Y3061)&amp;"")</f>
        <v/>
      </c>
      <c r="AA3061" s="59">
        <f>IF($Y3061="","",IF(INDEX($D$6:$D$40000,$Y3061)="","",INDEX($D$6:$D$40000,$Y3061)))</f>
        <v/>
      </c>
      <c r="AB3061">
        <f>IF($Y3061="","",INDEX($L$6:$L$40000,$Y3061)&amp;"")</f>
        <v/>
      </c>
    </row>
    <row r="3062">
      <c r="Y3062" s="47">
        <f>IFERROR(MATCH(Library!M3062,$M$6:$M$40000,0),"")</f>
        <v/>
      </c>
      <c r="Z3062">
        <f>IF($Y3062="","",INDEX($C$6:$C$40000,$Y3062)&amp;"")</f>
        <v/>
      </c>
      <c r="AA3062" s="59">
        <f>IF($Y3062="","",IF(INDEX($D$6:$D$40000,$Y3062)="","",INDEX($D$6:$D$40000,$Y3062)))</f>
        <v/>
      </c>
      <c r="AB3062">
        <f>IF($Y3062="","",INDEX($L$6:$L$40000,$Y3062)&amp;"")</f>
        <v/>
      </c>
    </row>
    <row r="3063">
      <c r="Y3063" s="47">
        <f>IFERROR(MATCH(Library!M3063,$M$6:$M$40000,0),"")</f>
        <v/>
      </c>
      <c r="Z3063">
        <f>IF($Y3063="","",INDEX($C$6:$C$40000,$Y3063)&amp;"")</f>
        <v/>
      </c>
      <c r="AA3063" s="59">
        <f>IF($Y3063="","",IF(INDEX($D$6:$D$40000,$Y3063)="","",INDEX($D$6:$D$40000,$Y3063)))</f>
        <v/>
      </c>
      <c r="AB3063">
        <f>IF($Y3063="","",INDEX($L$6:$L$40000,$Y3063)&amp;"")</f>
        <v/>
      </c>
    </row>
    <row r="3064">
      <c r="Y3064" s="47">
        <f>IFERROR(MATCH(Library!M3064,$M$6:$M$40000,0),"")</f>
        <v/>
      </c>
      <c r="Z3064">
        <f>IF($Y3064="","",INDEX($C$6:$C$40000,$Y3064)&amp;"")</f>
        <v/>
      </c>
      <c r="AA3064" s="59">
        <f>IF($Y3064="","",IF(INDEX($D$6:$D$40000,$Y3064)="","",INDEX($D$6:$D$40000,$Y3064)))</f>
        <v/>
      </c>
      <c r="AB3064">
        <f>IF($Y3064="","",INDEX($L$6:$L$40000,$Y3064)&amp;"")</f>
        <v/>
      </c>
    </row>
    <row r="3065">
      <c r="Y3065" s="47">
        <f>IFERROR(MATCH(Library!M3065,$M$6:$M$40000,0),"")</f>
        <v/>
      </c>
      <c r="Z3065">
        <f>IF($Y3065="","",INDEX($C$6:$C$40000,$Y3065)&amp;"")</f>
        <v/>
      </c>
      <c r="AA3065" s="59">
        <f>IF($Y3065="","",IF(INDEX($D$6:$D$40000,$Y3065)="","",INDEX($D$6:$D$40000,$Y3065)))</f>
        <v/>
      </c>
      <c r="AB3065">
        <f>IF($Y3065="","",INDEX($L$6:$L$40000,$Y3065)&amp;"")</f>
        <v/>
      </c>
    </row>
    <row r="3066">
      <c r="Y3066" s="47">
        <f>IFERROR(MATCH(Library!M3066,$M$6:$M$40000,0),"")</f>
        <v/>
      </c>
      <c r="Z3066">
        <f>IF($Y3066="","",INDEX($C$6:$C$40000,$Y3066)&amp;"")</f>
        <v/>
      </c>
      <c r="AA3066" s="59">
        <f>IF($Y3066="","",IF(INDEX($D$6:$D$40000,$Y3066)="","",INDEX($D$6:$D$40000,$Y3066)))</f>
        <v/>
      </c>
      <c r="AB3066">
        <f>IF($Y3066="","",INDEX($L$6:$L$40000,$Y3066)&amp;"")</f>
        <v/>
      </c>
    </row>
    <row r="3067">
      <c r="Y3067" s="47">
        <f>IFERROR(MATCH(Library!M3067,$M$6:$M$40000,0),"")</f>
        <v/>
      </c>
      <c r="Z3067">
        <f>IF($Y3067="","",INDEX($C$6:$C$40000,$Y3067)&amp;"")</f>
        <v/>
      </c>
      <c r="AA3067" s="59">
        <f>IF($Y3067="","",IF(INDEX($D$6:$D$40000,$Y3067)="","",INDEX($D$6:$D$40000,$Y3067)))</f>
        <v/>
      </c>
      <c r="AB3067">
        <f>IF($Y3067="","",INDEX($L$6:$L$40000,$Y3067)&amp;"")</f>
        <v/>
      </c>
    </row>
    <row r="3068">
      <c r="Y3068" s="47">
        <f>IFERROR(MATCH(Library!M3068,$M$6:$M$40000,0),"")</f>
        <v/>
      </c>
      <c r="Z3068">
        <f>IF($Y3068="","",INDEX($C$6:$C$40000,$Y3068)&amp;"")</f>
        <v/>
      </c>
      <c r="AA3068" s="59">
        <f>IF($Y3068="","",IF(INDEX($D$6:$D$40000,$Y3068)="","",INDEX($D$6:$D$40000,$Y3068)))</f>
        <v/>
      </c>
      <c r="AB3068">
        <f>IF($Y3068="","",INDEX($L$6:$L$40000,$Y3068)&amp;"")</f>
        <v/>
      </c>
    </row>
    <row r="3069">
      <c r="Y3069" s="47">
        <f>IFERROR(MATCH(Library!M3069,$M$6:$M$40000,0),"")</f>
        <v/>
      </c>
      <c r="Z3069">
        <f>IF($Y3069="","",INDEX($C$6:$C$40000,$Y3069)&amp;"")</f>
        <v/>
      </c>
      <c r="AA3069" s="59">
        <f>IF($Y3069="","",IF(INDEX($D$6:$D$40000,$Y3069)="","",INDEX($D$6:$D$40000,$Y3069)))</f>
        <v/>
      </c>
      <c r="AB3069">
        <f>IF($Y3069="","",INDEX($L$6:$L$40000,$Y3069)&amp;"")</f>
        <v/>
      </c>
    </row>
    <row r="3070">
      <c r="Y3070" s="47">
        <f>IFERROR(MATCH(Library!M3070,$M$6:$M$40000,0),"")</f>
        <v/>
      </c>
      <c r="Z3070">
        <f>IF($Y3070="","",INDEX($C$6:$C$40000,$Y3070)&amp;"")</f>
        <v/>
      </c>
      <c r="AA3070" s="59">
        <f>IF($Y3070="","",IF(INDEX($D$6:$D$40000,$Y3070)="","",INDEX($D$6:$D$40000,$Y3070)))</f>
        <v/>
      </c>
      <c r="AB3070">
        <f>IF($Y3070="","",INDEX($L$6:$L$40000,$Y3070)&amp;"")</f>
        <v/>
      </c>
    </row>
    <row r="3071">
      <c r="Y3071" s="47">
        <f>IFERROR(MATCH(Library!M3071,$M$6:$M$40000,0),"")</f>
        <v/>
      </c>
      <c r="Z3071">
        <f>IF($Y3071="","",INDEX($C$6:$C$40000,$Y3071)&amp;"")</f>
        <v/>
      </c>
      <c r="AA3071" s="59">
        <f>IF($Y3071="","",IF(INDEX($D$6:$D$40000,$Y3071)="","",INDEX($D$6:$D$40000,$Y3071)))</f>
        <v/>
      </c>
      <c r="AB3071">
        <f>IF($Y3071="","",INDEX($L$6:$L$40000,$Y3071)&amp;"")</f>
        <v/>
      </c>
    </row>
    <row r="3072">
      <c r="Y3072" s="47">
        <f>IFERROR(MATCH(Library!M3072,$M$6:$M$40000,0),"")</f>
        <v/>
      </c>
      <c r="Z3072">
        <f>IF($Y3072="","",INDEX($C$6:$C$40000,$Y3072)&amp;"")</f>
        <v/>
      </c>
      <c r="AA3072" s="59">
        <f>IF($Y3072="","",IF(INDEX($D$6:$D$40000,$Y3072)="","",INDEX($D$6:$D$40000,$Y3072)))</f>
        <v/>
      </c>
      <c r="AB3072">
        <f>IF($Y3072="","",INDEX($L$6:$L$40000,$Y3072)&amp;"")</f>
        <v/>
      </c>
    </row>
    <row r="3073">
      <c r="Y3073" s="47">
        <f>IFERROR(MATCH(Library!M3073,$M$6:$M$40000,0),"")</f>
        <v/>
      </c>
      <c r="Z3073">
        <f>IF($Y3073="","",INDEX($C$6:$C$40000,$Y3073)&amp;"")</f>
        <v/>
      </c>
      <c r="AA3073" s="59">
        <f>IF($Y3073="","",IF(INDEX($D$6:$D$40000,$Y3073)="","",INDEX($D$6:$D$40000,$Y3073)))</f>
        <v/>
      </c>
      <c r="AB3073">
        <f>IF($Y3073="","",INDEX($L$6:$L$40000,$Y3073)&amp;"")</f>
        <v/>
      </c>
    </row>
    <row r="3074">
      <c r="Y3074" s="47">
        <f>IFERROR(MATCH(Library!M3074,$M$6:$M$40000,0),"")</f>
        <v/>
      </c>
      <c r="Z3074">
        <f>IF($Y3074="","",INDEX($C$6:$C$40000,$Y3074)&amp;"")</f>
        <v/>
      </c>
      <c r="AA3074" s="59">
        <f>IF($Y3074="","",IF(INDEX($D$6:$D$40000,$Y3074)="","",INDEX($D$6:$D$40000,$Y3074)))</f>
        <v/>
      </c>
      <c r="AB3074">
        <f>IF($Y3074="","",INDEX($L$6:$L$40000,$Y3074)&amp;"")</f>
        <v/>
      </c>
    </row>
    <row r="3075">
      <c r="Y3075" s="47">
        <f>IFERROR(MATCH(Library!M3075,$M$6:$M$40000,0),"")</f>
        <v/>
      </c>
      <c r="Z3075">
        <f>IF($Y3075="","",INDEX($C$6:$C$40000,$Y3075)&amp;"")</f>
        <v/>
      </c>
      <c r="AA3075" s="59">
        <f>IF($Y3075="","",IF(INDEX($D$6:$D$40000,$Y3075)="","",INDEX($D$6:$D$40000,$Y3075)))</f>
        <v/>
      </c>
      <c r="AB3075">
        <f>IF($Y3075="","",INDEX($L$6:$L$40000,$Y3075)&amp;"")</f>
        <v/>
      </c>
    </row>
    <row r="3076">
      <c r="Y3076" s="47">
        <f>IFERROR(MATCH(Library!M3076,$M$6:$M$40000,0),"")</f>
        <v/>
      </c>
      <c r="Z3076">
        <f>IF($Y3076="","",INDEX($C$6:$C$40000,$Y3076)&amp;"")</f>
        <v/>
      </c>
      <c r="AA3076" s="59">
        <f>IF($Y3076="","",IF(INDEX($D$6:$D$40000,$Y3076)="","",INDEX($D$6:$D$40000,$Y3076)))</f>
        <v/>
      </c>
      <c r="AB3076">
        <f>IF($Y3076="","",INDEX($L$6:$L$40000,$Y3076)&amp;"")</f>
        <v/>
      </c>
    </row>
    <row r="3077">
      <c r="Y3077" s="47">
        <f>IFERROR(MATCH(Library!M3077,$M$6:$M$40000,0),"")</f>
        <v/>
      </c>
      <c r="Z3077">
        <f>IF($Y3077="","",INDEX($C$6:$C$40000,$Y3077)&amp;"")</f>
        <v/>
      </c>
      <c r="AA3077" s="59">
        <f>IF($Y3077="","",IF(INDEX($D$6:$D$40000,$Y3077)="","",INDEX($D$6:$D$40000,$Y3077)))</f>
        <v/>
      </c>
      <c r="AB3077">
        <f>IF($Y3077="","",INDEX($L$6:$L$40000,$Y3077)&amp;"")</f>
        <v/>
      </c>
    </row>
    <row r="3078">
      <c r="Y3078" s="47">
        <f>IFERROR(MATCH(Library!M3078,$M$6:$M$40000,0),"")</f>
        <v/>
      </c>
      <c r="Z3078">
        <f>IF($Y3078="","",INDEX($C$6:$C$40000,$Y3078)&amp;"")</f>
        <v/>
      </c>
      <c r="AA3078" s="59">
        <f>IF($Y3078="","",IF(INDEX($D$6:$D$40000,$Y3078)="","",INDEX($D$6:$D$40000,$Y3078)))</f>
        <v/>
      </c>
      <c r="AB3078">
        <f>IF($Y3078="","",INDEX($L$6:$L$40000,$Y3078)&amp;"")</f>
        <v/>
      </c>
    </row>
    <row r="3079">
      <c r="Y3079" s="47">
        <f>IFERROR(MATCH(Library!M3079,$M$6:$M$40000,0),"")</f>
        <v/>
      </c>
      <c r="Z3079">
        <f>IF($Y3079="","",INDEX($C$6:$C$40000,$Y3079)&amp;"")</f>
        <v/>
      </c>
      <c r="AA3079" s="59">
        <f>IF($Y3079="","",IF(INDEX($D$6:$D$40000,$Y3079)="","",INDEX($D$6:$D$40000,$Y3079)))</f>
        <v/>
      </c>
      <c r="AB3079">
        <f>IF($Y3079="","",INDEX($L$6:$L$40000,$Y3079)&amp;"")</f>
        <v/>
      </c>
    </row>
    <row r="3080">
      <c r="Y3080" s="47">
        <f>IFERROR(MATCH(Library!M3080,$M$6:$M$40000,0),"")</f>
        <v/>
      </c>
      <c r="Z3080">
        <f>IF($Y3080="","",INDEX($C$6:$C$40000,$Y3080)&amp;"")</f>
        <v/>
      </c>
      <c r="AA3080" s="59">
        <f>IF($Y3080="","",IF(INDEX($D$6:$D$40000,$Y3080)="","",INDEX($D$6:$D$40000,$Y3080)))</f>
        <v/>
      </c>
      <c r="AB3080">
        <f>IF($Y3080="","",INDEX($L$6:$L$40000,$Y3080)&amp;"")</f>
        <v/>
      </c>
    </row>
    <row r="3081">
      <c r="Y3081" s="47">
        <f>IFERROR(MATCH(Library!M3081,$M$6:$M$40000,0),"")</f>
        <v/>
      </c>
      <c r="Z3081">
        <f>IF($Y3081="","",INDEX($C$6:$C$40000,$Y3081)&amp;"")</f>
        <v/>
      </c>
      <c r="AA3081" s="59">
        <f>IF($Y3081="","",IF(INDEX($D$6:$D$40000,$Y3081)="","",INDEX($D$6:$D$40000,$Y3081)))</f>
        <v/>
      </c>
      <c r="AB3081">
        <f>IF($Y3081="","",INDEX($L$6:$L$40000,$Y3081)&amp;"")</f>
        <v/>
      </c>
    </row>
    <row r="3082">
      <c r="Y3082" s="47">
        <f>IFERROR(MATCH(Library!M3082,$M$6:$M$40000,0),"")</f>
        <v/>
      </c>
      <c r="Z3082">
        <f>IF($Y3082="","",INDEX($C$6:$C$40000,$Y3082)&amp;"")</f>
        <v/>
      </c>
      <c r="AA3082" s="59">
        <f>IF($Y3082="","",IF(INDEX($D$6:$D$40000,$Y3082)="","",INDEX($D$6:$D$40000,$Y3082)))</f>
        <v/>
      </c>
      <c r="AB3082">
        <f>IF($Y3082="","",INDEX($L$6:$L$40000,$Y3082)&amp;"")</f>
        <v/>
      </c>
    </row>
    <row r="3083">
      <c r="Y3083" s="47">
        <f>IFERROR(MATCH(Library!M3083,$M$6:$M$40000,0),"")</f>
        <v/>
      </c>
      <c r="Z3083">
        <f>IF($Y3083="","",INDEX($C$6:$C$40000,$Y3083)&amp;"")</f>
        <v/>
      </c>
      <c r="AA3083" s="59">
        <f>IF($Y3083="","",IF(INDEX($D$6:$D$40000,$Y3083)="","",INDEX($D$6:$D$40000,$Y3083)))</f>
        <v/>
      </c>
      <c r="AB3083">
        <f>IF($Y3083="","",INDEX($L$6:$L$40000,$Y3083)&amp;"")</f>
        <v/>
      </c>
    </row>
    <row r="3084">
      <c r="Y3084" s="47">
        <f>IFERROR(MATCH(Library!M3084,$M$6:$M$40000,0),"")</f>
        <v/>
      </c>
      <c r="Z3084">
        <f>IF($Y3084="","",INDEX($C$6:$C$40000,$Y3084)&amp;"")</f>
        <v/>
      </c>
      <c r="AA3084" s="59">
        <f>IF($Y3084="","",IF(INDEX($D$6:$D$40000,$Y3084)="","",INDEX($D$6:$D$40000,$Y3084)))</f>
        <v/>
      </c>
      <c r="AB3084">
        <f>IF($Y3084="","",INDEX($L$6:$L$40000,$Y3084)&amp;"")</f>
        <v/>
      </c>
    </row>
    <row r="3085">
      <c r="Y3085" s="47">
        <f>IFERROR(MATCH(Library!M3085,$M$6:$M$40000,0),"")</f>
        <v/>
      </c>
      <c r="Z3085">
        <f>IF($Y3085="","",INDEX($C$6:$C$40000,$Y3085)&amp;"")</f>
        <v/>
      </c>
      <c r="AA3085" s="59">
        <f>IF($Y3085="","",IF(INDEX($D$6:$D$40000,$Y3085)="","",INDEX($D$6:$D$40000,$Y3085)))</f>
        <v/>
      </c>
      <c r="AB3085">
        <f>IF($Y3085="","",INDEX($L$6:$L$40000,$Y3085)&amp;"")</f>
        <v/>
      </c>
    </row>
    <row r="3086">
      <c r="Y3086" s="47">
        <f>IFERROR(MATCH(Library!M3086,$M$6:$M$40000,0),"")</f>
        <v/>
      </c>
      <c r="Z3086">
        <f>IF($Y3086="","",INDEX($C$6:$C$40000,$Y3086)&amp;"")</f>
        <v/>
      </c>
      <c r="AA3086" s="59">
        <f>IF($Y3086="","",IF(INDEX($D$6:$D$40000,$Y3086)="","",INDEX($D$6:$D$40000,$Y3086)))</f>
        <v/>
      </c>
      <c r="AB3086">
        <f>IF($Y3086="","",INDEX($L$6:$L$40000,$Y3086)&amp;"")</f>
        <v/>
      </c>
    </row>
    <row r="3087">
      <c r="Y3087" s="47">
        <f>IFERROR(MATCH(Library!M3087,$M$6:$M$40000,0),"")</f>
        <v/>
      </c>
      <c r="Z3087">
        <f>IF($Y3087="","",INDEX($C$6:$C$40000,$Y3087)&amp;"")</f>
        <v/>
      </c>
      <c r="AA3087" s="59">
        <f>IF($Y3087="","",IF(INDEX($D$6:$D$40000,$Y3087)="","",INDEX($D$6:$D$40000,$Y3087)))</f>
        <v/>
      </c>
      <c r="AB3087">
        <f>IF($Y3087="","",INDEX($L$6:$L$40000,$Y3087)&amp;"")</f>
        <v/>
      </c>
    </row>
    <row r="3088">
      <c r="Y3088" s="47">
        <f>IFERROR(MATCH(Library!M3088,$M$6:$M$40000,0),"")</f>
        <v/>
      </c>
      <c r="Z3088">
        <f>IF($Y3088="","",INDEX($C$6:$C$40000,$Y3088)&amp;"")</f>
        <v/>
      </c>
      <c r="AA3088" s="59">
        <f>IF($Y3088="","",IF(INDEX($D$6:$D$40000,$Y3088)="","",INDEX($D$6:$D$40000,$Y3088)))</f>
        <v/>
      </c>
      <c r="AB3088">
        <f>IF($Y3088="","",INDEX($L$6:$L$40000,$Y3088)&amp;"")</f>
        <v/>
      </c>
    </row>
    <row r="3089">
      <c r="Y3089" s="47">
        <f>IFERROR(MATCH(Library!M3089,$M$6:$M$40000,0),"")</f>
        <v/>
      </c>
      <c r="Z3089">
        <f>IF($Y3089="","",INDEX($C$6:$C$40000,$Y3089)&amp;"")</f>
        <v/>
      </c>
      <c r="AA3089" s="59">
        <f>IF($Y3089="","",IF(INDEX($D$6:$D$40000,$Y3089)="","",INDEX($D$6:$D$40000,$Y3089)))</f>
        <v/>
      </c>
      <c r="AB3089">
        <f>IF($Y3089="","",INDEX($L$6:$L$40000,$Y3089)&amp;"")</f>
        <v/>
      </c>
    </row>
    <row r="3090">
      <c r="Y3090" s="47">
        <f>IFERROR(MATCH(Library!M3090,$M$6:$M$40000,0),"")</f>
        <v/>
      </c>
      <c r="Z3090">
        <f>IF($Y3090="","",INDEX($C$6:$C$40000,$Y3090)&amp;"")</f>
        <v/>
      </c>
      <c r="AA3090" s="59">
        <f>IF($Y3090="","",IF(INDEX($D$6:$D$40000,$Y3090)="","",INDEX($D$6:$D$40000,$Y3090)))</f>
        <v/>
      </c>
      <c r="AB3090">
        <f>IF($Y3090="","",INDEX($L$6:$L$40000,$Y3090)&amp;"")</f>
        <v/>
      </c>
    </row>
    <row r="3091">
      <c r="Y3091" s="47">
        <f>IFERROR(MATCH(Library!M3091,$M$6:$M$40000,0),"")</f>
        <v/>
      </c>
      <c r="Z3091">
        <f>IF($Y3091="","",INDEX($C$6:$C$40000,$Y3091)&amp;"")</f>
        <v/>
      </c>
      <c r="AA3091" s="59">
        <f>IF($Y3091="","",IF(INDEX($D$6:$D$40000,$Y3091)="","",INDEX($D$6:$D$40000,$Y3091)))</f>
        <v/>
      </c>
      <c r="AB3091">
        <f>IF($Y3091="","",INDEX($L$6:$L$40000,$Y3091)&amp;"")</f>
        <v/>
      </c>
    </row>
    <row r="3092">
      <c r="Y3092" s="47">
        <f>IFERROR(MATCH(Library!M3092,$M$6:$M$40000,0),"")</f>
        <v/>
      </c>
      <c r="Z3092">
        <f>IF($Y3092="","",INDEX($C$6:$C$40000,$Y3092)&amp;"")</f>
        <v/>
      </c>
      <c r="AA3092" s="59">
        <f>IF($Y3092="","",IF(INDEX($D$6:$D$40000,$Y3092)="","",INDEX($D$6:$D$40000,$Y3092)))</f>
        <v/>
      </c>
      <c r="AB3092">
        <f>IF($Y3092="","",INDEX($L$6:$L$40000,$Y3092)&amp;"")</f>
        <v/>
      </c>
    </row>
    <row r="3093">
      <c r="Y3093" s="47">
        <f>IFERROR(MATCH(Library!M3093,$M$6:$M$40000,0),"")</f>
        <v/>
      </c>
      <c r="Z3093">
        <f>IF($Y3093="","",INDEX($C$6:$C$40000,$Y3093)&amp;"")</f>
        <v/>
      </c>
      <c r="AA3093" s="59">
        <f>IF($Y3093="","",IF(INDEX($D$6:$D$40000,$Y3093)="","",INDEX($D$6:$D$40000,$Y3093)))</f>
        <v/>
      </c>
      <c r="AB3093">
        <f>IF($Y3093="","",INDEX($L$6:$L$40000,$Y3093)&amp;"")</f>
        <v/>
      </c>
    </row>
    <row r="3094">
      <c r="Y3094" s="47">
        <f>IFERROR(MATCH(Library!M3094,$M$6:$M$40000,0),"")</f>
        <v/>
      </c>
      <c r="Z3094">
        <f>IF($Y3094="","",INDEX($C$6:$C$40000,$Y3094)&amp;"")</f>
        <v/>
      </c>
      <c r="AA3094" s="59">
        <f>IF($Y3094="","",IF(INDEX($D$6:$D$40000,$Y3094)="","",INDEX($D$6:$D$40000,$Y3094)))</f>
        <v/>
      </c>
      <c r="AB3094">
        <f>IF($Y3094="","",INDEX($L$6:$L$40000,$Y3094)&amp;"")</f>
        <v/>
      </c>
    </row>
    <row r="3095">
      <c r="Y3095" s="47">
        <f>IFERROR(MATCH(Library!M3095,$M$6:$M$40000,0),"")</f>
        <v/>
      </c>
      <c r="Z3095">
        <f>IF($Y3095="","",INDEX($C$6:$C$40000,$Y3095)&amp;"")</f>
        <v/>
      </c>
      <c r="AA3095" s="59">
        <f>IF($Y3095="","",IF(INDEX($D$6:$D$40000,$Y3095)="","",INDEX($D$6:$D$40000,$Y3095)))</f>
        <v/>
      </c>
      <c r="AB3095">
        <f>IF($Y3095="","",INDEX($L$6:$L$40000,$Y3095)&amp;"")</f>
        <v/>
      </c>
    </row>
    <row r="3096">
      <c r="Y3096" s="47">
        <f>IFERROR(MATCH(Library!M3096,$M$6:$M$40000,0),"")</f>
        <v/>
      </c>
      <c r="Z3096">
        <f>IF($Y3096="","",INDEX($C$6:$C$40000,$Y3096)&amp;"")</f>
        <v/>
      </c>
      <c r="AA3096" s="59">
        <f>IF($Y3096="","",IF(INDEX($D$6:$D$40000,$Y3096)="","",INDEX($D$6:$D$40000,$Y3096)))</f>
        <v/>
      </c>
      <c r="AB3096">
        <f>IF($Y3096="","",INDEX($L$6:$L$40000,$Y3096)&amp;"")</f>
        <v/>
      </c>
    </row>
    <row r="3097">
      <c r="Y3097" s="47">
        <f>IFERROR(MATCH(Library!M3097,$M$6:$M$40000,0),"")</f>
        <v/>
      </c>
      <c r="Z3097">
        <f>IF($Y3097="","",INDEX($C$6:$C$40000,$Y3097)&amp;"")</f>
        <v/>
      </c>
      <c r="AA3097" s="59">
        <f>IF($Y3097="","",IF(INDEX($D$6:$D$40000,$Y3097)="","",INDEX($D$6:$D$40000,$Y3097)))</f>
        <v/>
      </c>
      <c r="AB3097">
        <f>IF($Y3097="","",INDEX($L$6:$L$40000,$Y3097)&amp;"")</f>
        <v/>
      </c>
    </row>
    <row r="3098">
      <c r="Y3098" s="47">
        <f>IFERROR(MATCH(Library!M3098,$M$6:$M$40000,0),"")</f>
        <v/>
      </c>
      <c r="Z3098">
        <f>IF($Y3098="","",INDEX($C$6:$C$40000,$Y3098)&amp;"")</f>
        <v/>
      </c>
      <c r="AA3098" s="59">
        <f>IF($Y3098="","",IF(INDEX($D$6:$D$40000,$Y3098)="","",INDEX($D$6:$D$40000,$Y3098)))</f>
        <v/>
      </c>
      <c r="AB3098">
        <f>IF($Y3098="","",INDEX($L$6:$L$40000,$Y3098)&amp;"")</f>
        <v/>
      </c>
    </row>
    <row r="3099">
      <c r="Y3099" s="47">
        <f>IFERROR(MATCH(Library!M3099,$M$6:$M$40000,0),"")</f>
        <v/>
      </c>
      <c r="Z3099">
        <f>IF($Y3099="","",INDEX($C$6:$C$40000,$Y3099)&amp;"")</f>
        <v/>
      </c>
      <c r="AA3099" s="59">
        <f>IF($Y3099="","",IF(INDEX($D$6:$D$40000,$Y3099)="","",INDEX($D$6:$D$40000,$Y3099)))</f>
        <v/>
      </c>
      <c r="AB3099">
        <f>IF($Y3099="","",INDEX($L$6:$L$40000,$Y3099)&amp;"")</f>
        <v/>
      </c>
    </row>
    <row r="3100">
      <c r="Y3100" s="47">
        <f>IFERROR(MATCH(Library!M3100,$M$6:$M$40000,0),"")</f>
        <v/>
      </c>
      <c r="Z3100">
        <f>IF($Y3100="","",INDEX($C$6:$C$40000,$Y3100)&amp;"")</f>
        <v/>
      </c>
      <c r="AA3100" s="59">
        <f>IF($Y3100="","",IF(INDEX($D$6:$D$40000,$Y3100)="","",INDEX($D$6:$D$40000,$Y3100)))</f>
        <v/>
      </c>
      <c r="AB3100">
        <f>IF($Y3100="","",INDEX($L$6:$L$40000,$Y3100)&amp;"")</f>
        <v/>
      </c>
    </row>
    <row r="3101">
      <c r="Y3101" s="47">
        <f>IFERROR(MATCH(Library!M3101,$M$6:$M$40000,0),"")</f>
        <v/>
      </c>
      <c r="Z3101">
        <f>IF($Y3101="","",INDEX($C$6:$C$40000,$Y3101)&amp;"")</f>
        <v/>
      </c>
      <c r="AA3101" s="59">
        <f>IF($Y3101="","",IF(INDEX($D$6:$D$40000,$Y3101)="","",INDEX($D$6:$D$40000,$Y3101)))</f>
        <v/>
      </c>
      <c r="AB3101">
        <f>IF($Y3101="","",INDEX($L$6:$L$40000,$Y3101)&amp;"")</f>
        <v/>
      </c>
    </row>
    <row r="3102">
      <c r="Y3102" s="47">
        <f>IFERROR(MATCH(Library!M3102,$M$6:$M$40000,0),"")</f>
        <v/>
      </c>
      <c r="Z3102">
        <f>IF($Y3102="","",INDEX($C$6:$C$40000,$Y3102)&amp;"")</f>
        <v/>
      </c>
      <c r="AA3102" s="59">
        <f>IF($Y3102="","",IF(INDEX($D$6:$D$40000,$Y3102)="","",INDEX($D$6:$D$40000,$Y3102)))</f>
        <v/>
      </c>
      <c r="AB3102">
        <f>IF($Y3102="","",INDEX($L$6:$L$40000,$Y3102)&amp;"")</f>
        <v/>
      </c>
    </row>
    <row r="3103">
      <c r="Y3103" s="47">
        <f>IFERROR(MATCH(Library!M3103,$M$6:$M$40000,0),"")</f>
        <v/>
      </c>
      <c r="Z3103">
        <f>IF($Y3103="","",INDEX($C$6:$C$40000,$Y3103)&amp;"")</f>
        <v/>
      </c>
      <c r="AA3103" s="59">
        <f>IF($Y3103="","",IF(INDEX($D$6:$D$40000,$Y3103)="","",INDEX($D$6:$D$40000,$Y3103)))</f>
        <v/>
      </c>
      <c r="AB3103">
        <f>IF($Y3103="","",INDEX($L$6:$L$40000,$Y3103)&amp;"")</f>
        <v/>
      </c>
    </row>
    <row r="3104">
      <c r="Y3104" s="47">
        <f>IFERROR(MATCH(Library!M3104,$M$6:$M$40000,0),"")</f>
        <v/>
      </c>
      <c r="Z3104">
        <f>IF($Y3104="","",INDEX($C$6:$C$40000,$Y3104)&amp;"")</f>
        <v/>
      </c>
      <c r="AA3104" s="59">
        <f>IF($Y3104="","",IF(INDEX($D$6:$D$40000,$Y3104)="","",INDEX($D$6:$D$40000,$Y3104)))</f>
        <v/>
      </c>
      <c r="AB3104">
        <f>IF($Y3104="","",INDEX($L$6:$L$40000,$Y3104)&amp;"")</f>
        <v/>
      </c>
    </row>
    <row r="3105">
      <c r="Y3105" s="47">
        <f>IFERROR(MATCH(Library!M3105,$M$6:$M$40000,0),"")</f>
        <v/>
      </c>
      <c r="Z3105">
        <f>IF($Y3105="","",INDEX($C$6:$C$40000,$Y3105)&amp;"")</f>
        <v/>
      </c>
      <c r="AA3105" s="59">
        <f>IF($Y3105="","",IF(INDEX($D$6:$D$40000,$Y3105)="","",INDEX($D$6:$D$40000,$Y3105)))</f>
        <v/>
      </c>
      <c r="AB3105">
        <f>IF($Y3105="","",INDEX($L$6:$L$40000,$Y3105)&amp;"")</f>
        <v/>
      </c>
    </row>
    <row r="3106">
      <c r="Y3106" s="47">
        <f>IFERROR(MATCH(Library!M3106,$M$6:$M$40000,0),"")</f>
        <v/>
      </c>
      <c r="Z3106">
        <f>IF($Y3106="","",INDEX($C$6:$C$40000,$Y3106)&amp;"")</f>
        <v/>
      </c>
      <c r="AA3106" s="59">
        <f>IF($Y3106="","",IF(INDEX($D$6:$D$40000,$Y3106)="","",INDEX($D$6:$D$40000,$Y3106)))</f>
        <v/>
      </c>
      <c r="AB3106">
        <f>IF($Y3106="","",INDEX($L$6:$L$40000,$Y3106)&amp;"")</f>
        <v/>
      </c>
    </row>
    <row r="3107">
      <c r="Y3107" s="47">
        <f>IFERROR(MATCH(Library!M3107,$M$6:$M$40000,0),"")</f>
        <v/>
      </c>
      <c r="Z3107">
        <f>IF($Y3107="","",INDEX($C$6:$C$40000,$Y3107)&amp;"")</f>
        <v/>
      </c>
      <c r="AA3107" s="59">
        <f>IF($Y3107="","",IF(INDEX($D$6:$D$40000,$Y3107)="","",INDEX($D$6:$D$40000,$Y3107)))</f>
        <v/>
      </c>
      <c r="AB3107">
        <f>IF($Y3107="","",INDEX($L$6:$L$40000,$Y3107)&amp;"")</f>
        <v/>
      </c>
    </row>
    <row r="3108">
      <c r="Y3108" s="47">
        <f>IFERROR(MATCH(Library!M3108,$M$6:$M$40000,0),"")</f>
        <v/>
      </c>
      <c r="Z3108">
        <f>IF($Y3108="","",INDEX($C$6:$C$40000,$Y3108)&amp;"")</f>
        <v/>
      </c>
      <c r="AA3108" s="59">
        <f>IF($Y3108="","",IF(INDEX($D$6:$D$40000,$Y3108)="","",INDEX($D$6:$D$40000,$Y3108)))</f>
        <v/>
      </c>
      <c r="AB3108">
        <f>IF($Y3108="","",INDEX($L$6:$L$40000,$Y3108)&amp;"")</f>
        <v/>
      </c>
    </row>
    <row r="3109">
      <c r="Y3109" s="47">
        <f>IFERROR(MATCH(Library!M3109,$M$6:$M$40000,0),"")</f>
        <v/>
      </c>
      <c r="Z3109">
        <f>IF($Y3109="","",INDEX($C$6:$C$40000,$Y3109)&amp;"")</f>
        <v/>
      </c>
      <c r="AA3109" s="59">
        <f>IF($Y3109="","",IF(INDEX($D$6:$D$40000,$Y3109)="","",INDEX($D$6:$D$40000,$Y3109)))</f>
        <v/>
      </c>
      <c r="AB3109">
        <f>IF($Y3109="","",INDEX($L$6:$L$40000,$Y3109)&amp;"")</f>
        <v/>
      </c>
    </row>
    <row r="3110">
      <c r="Y3110" s="47">
        <f>IFERROR(MATCH(Library!M3110,$M$6:$M$40000,0),"")</f>
        <v/>
      </c>
      <c r="Z3110">
        <f>IF($Y3110="","",INDEX($C$6:$C$40000,$Y3110)&amp;"")</f>
        <v/>
      </c>
      <c r="AA3110" s="59">
        <f>IF($Y3110="","",IF(INDEX($D$6:$D$40000,$Y3110)="","",INDEX($D$6:$D$40000,$Y3110)))</f>
        <v/>
      </c>
      <c r="AB3110">
        <f>IF($Y3110="","",INDEX($L$6:$L$40000,$Y3110)&amp;"")</f>
        <v/>
      </c>
    </row>
    <row r="3111">
      <c r="Y3111" s="47">
        <f>IFERROR(MATCH(Library!M3111,$M$6:$M$40000,0),"")</f>
        <v/>
      </c>
      <c r="Z3111">
        <f>IF($Y3111="","",INDEX($C$6:$C$40000,$Y3111)&amp;"")</f>
        <v/>
      </c>
      <c r="AA3111" s="59">
        <f>IF($Y3111="","",IF(INDEX($D$6:$D$40000,$Y3111)="","",INDEX($D$6:$D$40000,$Y3111)))</f>
        <v/>
      </c>
      <c r="AB3111">
        <f>IF($Y3111="","",INDEX($L$6:$L$40000,$Y3111)&amp;"")</f>
        <v/>
      </c>
    </row>
    <row r="3112">
      <c r="Y3112" s="47">
        <f>IFERROR(MATCH(Library!M3112,$M$6:$M$40000,0),"")</f>
        <v/>
      </c>
      <c r="Z3112">
        <f>IF($Y3112="","",INDEX($C$6:$C$40000,$Y3112)&amp;"")</f>
        <v/>
      </c>
      <c r="AA3112" s="59">
        <f>IF($Y3112="","",IF(INDEX($D$6:$D$40000,$Y3112)="","",INDEX($D$6:$D$40000,$Y3112)))</f>
        <v/>
      </c>
      <c r="AB3112">
        <f>IF($Y3112="","",INDEX($L$6:$L$40000,$Y3112)&amp;"")</f>
        <v/>
      </c>
    </row>
    <row r="3113">
      <c r="Y3113" s="47">
        <f>IFERROR(MATCH(Library!M3113,$M$6:$M$40000,0),"")</f>
        <v/>
      </c>
      <c r="Z3113">
        <f>IF($Y3113="","",INDEX($C$6:$C$40000,$Y3113)&amp;"")</f>
        <v/>
      </c>
      <c r="AA3113" s="59">
        <f>IF($Y3113="","",IF(INDEX($D$6:$D$40000,$Y3113)="","",INDEX($D$6:$D$40000,$Y3113)))</f>
        <v/>
      </c>
      <c r="AB3113">
        <f>IF($Y3113="","",INDEX($L$6:$L$40000,$Y3113)&amp;"")</f>
        <v/>
      </c>
    </row>
    <row r="3114">
      <c r="Y3114" s="47">
        <f>IFERROR(MATCH(Library!M3114,$M$6:$M$40000,0),"")</f>
        <v/>
      </c>
      <c r="Z3114">
        <f>IF($Y3114="","",INDEX($C$6:$C$40000,$Y3114)&amp;"")</f>
        <v/>
      </c>
      <c r="AA3114" s="59">
        <f>IF($Y3114="","",IF(INDEX($D$6:$D$40000,$Y3114)="","",INDEX($D$6:$D$40000,$Y3114)))</f>
        <v/>
      </c>
      <c r="AB3114">
        <f>IF($Y3114="","",INDEX($L$6:$L$40000,$Y3114)&amp;"")</f>
        <v/>
      </c>
    </row>
    <row r="3115">
      <c r="Y3115" s="47">
        <f>IFERROR(MATCH(Library!M3115,$M$6:$M$40000,0),"")</f>
        <v/>
      </c>
      <c r="Z3115">
        <f>IF($Y3115="","",INDEX($C$6:$C$40000,$Y3115)&amp;"")</f>
        <v/>
      </c>
      <c r="AA3115" s="59">
        <f>IF($Y3115="","",IF(INDEX($D$6:$D$40000,$Y3115)="","",INDEX($D$6:$D$40000,$Y3115)))</f>
        <v/>
      </c>
      <c r="AB3115">
        <f>IF($Y3115="","",INDEX($L$6:$L$40000,$Y3115)&amp;"")</f>
        <v/>
      </c>
    </row>
    <row r="3116">
      <c r="Y3116" s="47">
        <f>IFERROR(MATCH(Library!M3116,$M$6:$M$40000,0),"")</f>
        <v/>
      </c>
      <c r="Z3116">
        <f>IF($Y3116="","",INDEX($C$6:$C$40000,$Y3116)&amp;"")</f>
        <v/>
      </c>
      <c r="AA3116" s="59">
        <f>IF($Y3116="","",IF(INDEX($D$6:$D$40000,$Y3116)="","",INDEX($D$6:$D$40000,$Y3116)))</f>
        <v/>
      </c>
      <c r="AB3116">
        <f>IF($Y3116="","",INDEX($L$6:$L$40000,$Y3116)&amp;"")</f>
        <v/>
      </c>
    </row>
    <row r="3117">
      <c r="Y3117" s="47">
        <f>IFERROR(MATCH(Library!M3117,$M$6:$M$40000,0),"")</f>
        <v/>
      </c>
      <c r="Z3117">
        <f>IF($Y3117="","",INDEX($C$6:$C$40000,$Y3117)&amp;"")</f>
        <v/>
      </c>
      <c r="AA3117" s="59">
        <f>IF($Y3117="","",IF(INDEX($D$6:$D$40000,$Y3117)="","",INDEX($D$6:$D$40000,$Y3117)))</f>
        <v/>
      </c>
      <c r="AB3117">
        <f>IF($Y3117="","",INDEX($L$6:$L$40000,$Y3117)&amp;"")</f>
        <v/>
      </c>
    </row>
    <row r="3118">
      <c r="Y3118" s="47">
        <f>IFERROR(MATCH(Library!M3118,$M$6:$M$40000,0),"")</f>
        <v/>
      </c>
      <c r="Z3118">
        <f>IF($Y3118="","",INDEX($C$6:$C$40000,$Y3118)&amp;"")</f>
        <v/>
      </c>
      <c r="AA3118" s="59">
        <f>IF($Y3118="","",IF(INDEX($D$6:$D$40000,$Y3118)="","",INDEX($D$6:$D$40000,$Y3118)))</f>
        <v/>
      </c>
      <c r="AB3118">
        <f>IF($Y3118="","",INDEX($L$6:$L$40000,$Y3118)&amp;"")</f>
        <v/>
      </c>
    </row>
    <row r="3119">
      <c r="Y3119" s="47">
        <f>IFERROR(MATCH(Library!M3119,$M$6:$M$40000,0),"")</f>
        <v/>
      </c>
      <c r="Z3119">
        <f>IF($Y3119="","",INDEX($C$6:$C$40000,$Y3119)&amp;"")</f>
        <v/>
      </c>
      <c r="AA3119" s="59">
        <f>IF($Y3119="","",IF(INDEX($D$6:$D$40000,$Y3119)="","",INDEX($D$6:$D$40000,$Y3119)))</f>
        <v/>
      </c>
      <c r="AB3119">
        <f>IF($Y3119="","",INDEX($L$6:$L$40000,$Y3119)&amp;"")</f>
        <v/>
      </c>
    </row>
    <row r="3120">
      <c r="Y3120" s="47">
        <f>IFERROR(MATCH(Library!M3120,$M$6:$M$40000,0),"")</f>
        <v/>
      </c>
      <c r="Z3120">
        <f>IF($Y3120="","",INDEX($C$6:$C$40000,$Y3120)&amp;"")</f>
        <v/>
      </c>
      <c r="AA3120" s="59">
        <f>IF($Y3120="","",IF(INDEX($D$6:$D$40000,$Y3120)="","",INDEX($D$6:$D$40000,$Y3120)))</f>
        <v/>
      </c>
      <c r="AB3120">
        <f>IF($Y3120="","",INDEX($L$6:$L$40000,$Y3120)&amp;"")</f>
        <v/>
      </c>
    </row>
    <row r="3121">
      <c r="Y3121" s="47">
        <f>IFERROR(MATCH(Library!M3121,$M$6:$M$40000,0),"")</f>
        <v/>
      </c>
      <c r="Z3121">
        <f>IF($Y3121="","",INDEX($C$6:$C$40000,$Y3121)&amp;"")</f>
        <v/>
      </c>
      <c r="AA3121" s="59">
        <f>IF($Y3121="","",IF(INDEX($D$6:$D$40000,$Y3121)="","",INDEX($D$6:$D$40000,$Y3121)))</f>
        <v/>
      </c>
      <c r="AB3121">
        <f>IF($Y3121="","",INDEX($L$6:$L$40000,$Y3121)&amp;"")</f>
        <v/>
      </c>
    </row>
    <row r="3122">
      <c r="Y3122" s="47">
        <f>IFERROR(MATCH(Library!M3122,$M$6:$M$40000,0),"")</f>
        <v/>
      </c>
      <c r="Z3122">
        <f>IF($Y3122="","",INDEX($C$6:$C$40000,$Y3122)&amp;"")</f>
        <v/>
      </c>
      <c r="AA3122" s="59">
        <f>IF($Y3122="","",IF(INDEX($D$6:$D$40000,$Y3122)="","",INDEX($D$6:$D$40000,$Y3122)))</f>
        <v/>
      </c>
      <c r="AB3122">
        <f>IF($Y3122="","",INDEX($L$6:$L$40000,$Y3122)&amp;"")</f>
        <v/>
      </c>
    </row>
    <row r="3123">
      <c r="Y3123" s="47">
        <f>IFERROR(MATCH(Library!M3123,$M$6:$M$40000,0),"")</f>
        <v/>
      </c>
      <c r="Z3123">
        <f>IF($Y3123="","",INDEX($C$6:$C$40000,$Y3123)&amp;"")</f>
        <v/>
      </c>
      <c r="AA3123" s="59">
        <f>IF($Y3123="","",IF(INDEX($D$6:$D$40000,$Y3123)="","",INDEX($D$6:$D$40000,$Y3123)))</f>
        <v/>
      </c>
      <c r="AB3123">
        <f>IF($Y3123="","",INDEX($L$6:$L$40000,$Y3123)&amp;"")</f>
        <v/>
      </c>
    </row>
    <row r="3124">
      <c r="Y3124" s="47">
        <f>IFERROR(MATCH(Library!M3124,$M$6:$M$40000,0),"")</f>
        <v/>
      </c>
      <c r="Z3124">
        <f>IF($Y3124="","",INDEX($C$6:$C$40000,$Y3124)&amp;"")</f>
        <v/>
      </c>
      <c r="AA3124" s="59">
        <f>IF($Y3124="","",IF(INDEX($D$6:$D$40000,$Y3124)="","",INDEX($D$6:$D$40000,$Y3124)))</f>
        <v/>
      </c>
      <c r="AB3124">
        <f>IF($Y3124="","",INDEX($L$6:$L$40000,$Y3124)&amp;"")</f>
        <v/>
      </c>
    </row>
    <row r="3125">
      <c r="Y3125" s="47">
        <f>IFERROR(MATCH(Library!M3125,$M$6:$M$40000,0),"")</f>
        <v/>
      </c>
      <c r="Z3125">
        <f>IF($Y3125="","",INDEX($C$6:$C$40000,$Y3125)&amp;"")</f>
        <v/>
      </c>
      <c r="AA3125" s="59">
        <f>IF($Y3125="","",IF(INDEX($D$6:$D$40000,$Y3125)="","",INDEX($D$6:$D$40000,$Y3125)))</f>
        <v/>
      </c>
      <c r="AB3125">
        <f>IF($Y3125="","",INDEX($L$6:$L$40000,$Y3125)&amp;"")</f>
        <v/>
      </c>
    </row>
    <row r="3126">
      <c r="Y3126" s="47">
        <f>IFERROR(MATCH(Library!M3126,$M$6:$M$40000,0),"")</f>
        <v/>
      </c>
      <c r="Z3126">
        <f>IF($Y3126="","",INDEX($C$6:$C$40000,$Y3126)&amp;"")</f>
        <v/>
      </c>
      <c r="AA3126" s="59">
        <f>IF($Y3126="","",IF(INDEX($D$6:$D$40000,$Y3126)="","",INDEX($D$6:$D$40000,$Y3126)))</f>
        <v/>
      </c>
      <c r="AB3126">
        <f>IF($Y3126="","",INDEX($L$6:$L$40000,$Y3126)&amp;"")</f>
        <v/>
      </c>
    </row>
    <row r="3127">
      <c r="Y3127" s="47">
        <f>IFERROR(MATCH(Library!M3127,$M$6:$M$40000,0),"")</f>
        <v/>
      </c>
      <c r="Z3127">
        <f>IF($Y3127="","",INDEX($C$6:$C$40000,$Y3127)&amp;"")</f>
        <v/>
      </c>
      <c r="AA3127" s="59">
        <f>IF($Y3127="","",IF(INDEX($D$6:$D$40000,$Y3127)="","",INDEX($D$6:$D$40000,$Y3127)))</f>
        <v/>
      </c>
      <c r="AB3127">
        <f>IF($Y3127="","",INDEX($L$6:$L$40000,$Y3127)&amp;"")</f>
        <v/>
      </c>
    </row>
    <row r="3128">
      <c r="Y3128" s="47">
        <f>IFERROR(MATCH(Library!M3128,$M$6:$M$40000,0),"")</f>
        <v/>
      </c>
      <c r="Z3128">
        <f>IF($Y3128="","",INDEX($C$6:$C$40000,$Y3128)&amp;"")</f>
        <v/>
      </c>
      <c r="AA3128" s="59">
        <f>IF($Y3128="","",IF(INDEX($D$6:$D$40000,$Y3128)="","",INDEX($D$6:$D$40000,$Y3128)))</f>
        <v/>
      </c>
      <c r="AB3128">
        <f>IF($Y3128="","",INDEX($L$6:$L$40000,$Y3128)&amp;"")</f>
        <v/>
      </c>
    </row>
    <row r="3129">
      <c r="Y3129" s="47">
        <f>IFERROR(MATCH(Library!M3129,$M$6:$M$40000,0),"")</f>
        <v/>
      </c>
      <c r="Z3129">
        <f>IF($Y3129="","",INDEX($C$6:$C$40000,$Y3129)&amp;"")</f>
        <v/>
      </c>
      <c r="AA3129" s="59">
        <f>IF($Y3129="","",IF(INDEX($D$6:$D$40000,$Y3129)="","",INDEX($D$6:$D$40000,$Y3129)))</f>
        <v/>
      </c>
      <c r="AB3129">
        <f>IF($Y3129="","",INDEX($L$6:$L$40000,$Y3129)&amp;"")</f>
        <v/>
      </c>
    </row>
    <row r="3130">
      <c r="Y3130" s="47">
        <f>IFERROR(MATCH(Library!M3130,$M$6:$M$40000,0),"")</f>
        <v/>
      </c>
      <c r="Z3130">
        <f>IF($Y3130="","",INDEX($C$6:$C$40000,$Y3130)&amp;"")</f>
        <v/>
      </c>
      <c r="AA3130" s="59">
        <f>IF($Y3130="","",IF(INDEX($D$6:$D$40000,$Y3130)="","",INDEX($D$6:$D$40000,$Y3130)))</f>
        <v/>
      </c>
      <c r="AB3130">
        <f>IF($Y3130="","",INDEX($L$6:$L$40000,$Y3130)&amp;"")</f>
        <v/>
      </c>
    </row>
    <row r="3131">
      <c r="Y3131" s="47">
        <f>IFERROR(MATCH(Library!M3131,$M$6:$M$40000,0),"")</f>
        <v/>
      </c>
      <c r="Z3131">
        <f>IF($Y3131="","",INDEX($C$6:$C$40000,$Y3131)&amp;"")</f>
        <v/>
      </c>
      <c r="AA3131" s="59">
        <f>IF($Y3131="","",IF(INDEX($D$6:$D$40000,$Y3131)="","",INDEX($D$6:$D$40000,$Y3131)))</f>
        <v/>
      </c>
      <c r="AB3131">
        <f>IF($Y3131="","",INDEX($L$6:$L$40000,$Y3131)&amp;"")</f>
        <v/>
      </c>
    </row>
    <row r="3132">
      <c r="Y3132" s="47">
        <f>IFERROR(MATCH(Library!M3132,$M$6:$M$40000,0),"")</f>
        <v/>
      </c>
      <c r="Z3132">
        <f>IF($Y3132="","",INDEX($C$6:$C$40000,$Y3132)&amp;"")</f>
        <v/>
      </c>
      <c r="AA3132" s="59">
        <f>IF($Y3132="","",IF(INDEX($D$6:$D$40000,$Y3132)="","",INDEX($D$6:$D$40000,$Y3132)))</f>
        <v/>
      </c>
      <c r="AB3132">
        <f>IF($Y3132="","",INDEX($L$6:$L$40000,$Y3132)&amp;"")</f>
        <v/>
      </c>
    </row>
    <row r="3133">
      <c r="Y3133" s="47">
        <f>IFERROR(MATCH(Library!M3133,$M$6:$M$40000,0),"")</f>
        <v/>
      </c>
      <c r="Z3133">
        <f>IF($Y3133="","",INDEX($C$6:$C$40000,$Y3133)&amp;"")</f>
        <v/>
      </c>
      <c r="AA3133" s="59">
        <f>IF($Y3133="","",IF(INDEX($D$6:$D$40000,$Y3133)="","",INDEX($D$6:$D$40000,$Y3133)))</f>
        <v/>
      </c>
      <c r="AB3133">
        <f>IF($Y3133="","",INDEX($L$6:$L$40000,$Y3133)&amp;"")</f>
        <v/>
      </c>
    </row>
    <row r="3134">
      <c r="Y3134" s="47">
        <f>IFERROR(MATCH(Library!M3134,$M$6:$M$40000,0),"")</f>
        <v/>
      </c>
      <c r="Z3134">
        <f>IF($Y3134="","",INDEX($C$6:$C$40000,$Y3134)&amp;"")</f>
        <v/>
      </c>
      <c r="AA3134" s="59">
        <f>IF($Y3134="","",IF(INDEX($D$6:$D$40000,$Y3134)="","",INDEX($D$6:$D$40000,$Y3134)))</f>
        <v/>
      </c>
      <c r="AB3134">
        <f>IF($Y3134="","",INDEX($L$6:$L$40000,$Y3134)&amp;"")</f>
        <v/>
      </c>
    </row>
    <row r="3135">
      <c r="Y3135" s="47">
        <f>IFERROR(MATCH(Library!M3135,$M$6:$M$40000,0),"")</f>
        <v/>
      </c>
      <c r="Z3135">
        <f>IF($Y3135="","",INDEX($C$6:$C$40000,$Y3135)&amp;"")</f>
        <v/>
      </c>
      <c r="AA3135" s="59">
        <f>IF($Y3135="","",IF(INDEX($D$6:$D$40000,$Y3135)="","",INDEX($D$6:$D$40000,$Y3135)))</f>
        <v/>
      </c>
      <c r="AB3135">
        <f>IF($Y3135="","",INDEX($L$6:$L$40000,$Y3135)&amp;"")</f>
        <v/>
      </c>
    </row>
    <row r="3136">
      <c r="Y3136" s="47">
        <f>IFERROR(MATCH(Library!M3136,$M$6:$M$40000,0),"")</f>
        <v/>
      </c>
      <c r="Z3136">
        <f>IF($Y3136="","",INDEX($C$6:$C$40000,$Y3136)&amp;"")</f>
        <v/>
      </c>
      <c r="AA3136" s="59">
        <f>IF($Y3136="","",IF(INDEX($D$6:$D$40000,$Y3136)="","",INDEX($D$6:$D$40000,$Y3136)))</f>
        <v/>
      </c>
      <c r="AB3136">
        <f>IF($Y3136="","",INDEX($L$6:$L$40000,$Y3136)&amp;"")</f>
        <v/>
      </c>
    </row>
    <row r="3137">
      <c r="Y3137" s="47">
        <f>IFERROR(MATCH(Library!M3137,$M$6:$M$40000,0),"")</f>
        <v/>
      </c>
      <c r="Z3137">
        <f>IF($Y3137="","",INDEX($C$6:$C$40000,$Y3137)&amp;"")</f>
        <v/>
      </c>
      <c r="AA3137" s="59">
        <f>IF($Y3137="","",IF(INDEX($D$6:$D$40000,$Y3137)="","",INDEX($D$6:$D$40000,$Y3137)))</f>
        <v/>
      </c>
      <c r="AB3137">
        <f>IF($Y3137="","",INDEX($L$6:$L$40000,$Y3137)&amp;"")</f>
        <v/>
      </c>
    </row>
    <row r="3138">
      <c r="Y3138" s="47">
        <f>IFERROR(MATCH(Library!M3138,$M$6:$M$40000,0),"")</f>
        <v/>
      </c>
      <c r="Z3138">
        <f>IF($Y3138="","",INDEX($C$6:$C$40000,$Y3138)&amp;"")</f>
        <v/>
      </c>
      <c r="AA3138" s="59">
        <f>IF($Y3138="","",IF(INDEX($D$6:$D$40000,$Y3138)="","",INDEX($D$6:$D$40000,$Y3138)))</f>
        <v/>
      </c>
      <c r="AB3138">
        <f>IF($Y3138="","",INDEX($L$6:$L$40000,$Y3138)&amp;"")</f>
        <v/>
      </c>
    </row>
    <row r="3139">
      <c r="Y3139" s="47">
        <f>IFERROR(MATCH(Library!M3139,$M$6:$M$40000,0),"")</f>
        <v/>
      </c>
      <c r="Z3139">
        <f>IF($Y3139="","",INDEX($C$6:$C$40000,$Y3139)&amp;"")</f>
        <v/>
      </c>
      <c r="AA3139" s="59">
        <f>IF($Y3139="","",IF(INDEX($D$6:$D$40000,$Y3139)="","",INDEX($D$6:$D$40000,$Y3139)))</f>
        <v/>
      </c>
      <c r="AB3139">
        <f>IF($Y3139="","",INDEX($L$6:$L$40000,$Y3139)&amp;"")</f>
        <v/>
      </c>
    </row>
    <row r="3140">
      <c r="Y3140" s="47">
        <f>IFERROR(MATCH(Library!M3140,$M$6:$M$40000,0),"")</f>
        <v/>
      </c>
      <c r="Z3140">
        <f>IF($Y3140="","",INDEX($C$6:$C$40000,$Y3140)&amp;"")</f>
        <v/>
      </c>
      <c r="AA3140" s="59">
        <f>IF($Y3140="","",IF(INDEX($D$6:$D$40000,$Y3140)="","",INDEX($D$6:$D$40000,$Y3140)))</f>
        <v/>
      </c>
      <c r="AB3140">
        <f>IF($Y3140="","",INDEX($L$6:$L$40000,$Y3140)&amp;"")</f>
        <v/>
      </c>
    </row>
    <row r="3141">
      <c r="Y3141" s="47">
        <f>IFERROR(MATCH(Library!M3141,$M$6:$M$40000,0),"")</f>
        <v/>
      </c>
      <c r="Z3141">
        <f>IF($Y3141="","",INDEX($C$6:$C$40000,$Y3141)&amp;"")</f>
        <v/>
      </c>
      <c r="AA3141" s="59">
        <f>IF($Y3141="","",IF(INDEX($D$6:$D$40000,$Y3141)="","",INDEX($D$6:$D$40000,$Y3141)))</f>
        <v/>
      </c>
      <c r="AB3141">
        <f>IF($Y3141="","",INDEX($L$6:$L$40000,$Y3141)&amp;"")</f>
        <v/>
      </c>
    </row>
    <row r="3142">
      <c r="Y3142" s="47">
        <f>IFERROR(MATCH(Library!M3142,$M$6:$M$40000,0),"")</f>
        <v/>
      </c>
      <c r="Z3142">
        <f>IF($Y3142="","",INDEX($C$6:$C$40000,$Y3142)&amp;"")</f>
        <v/>
      </c>
      <c r="AA3142" s="59">
        <f>IF($Y3142="","",IF(INDEX($D$6:$D$40000,$Y3142)="","",INDEX($D$6:$D$40000,$Y3142)))</f>
        <v/>
      </c>
      <c r="AB3142">
        <f>IF($Y3142="","",INDEX($L$6:$L$40000,$Y3142)&amp;"")</f>
        <v/>
      </c>
    </row>
    <row r="3143">
      <c r="Y3143" s="47">
        <f>IFERROR(MATCH(Library!M3143,$M$6:$M$40000,0),"")</f>
        <v/>
      </c>
      <c r="Z3143">
        <f>IF($Y3143="","",INDEX($C$6:$C$40000,$Y3143)&amp;"")</f>
        <v/>
      </c>
      <c r="AA3143" s="59">
        <f>IF($Y3143="","",IF(INDEX($D$6:$D$40000,$Y3143)="","",INDEX($D$6:$D$40000,$Y3143)))</f>
        <v/>
      </c>
      <c r="AB3143">
        <f>IF($Y3143="","",INDEX($L$6:$L$40000,$Y3143)&amp;"")</f>
        <v/>
      </c>
    </row>
    <row r="3144">
      <c r="Y3144" s="47">
        <f>IFERROR(MATCH(Library!M3144,$M$6:$M$40000,0),"")</f>
        <v/>
      </c>
      <c r="Z3144">
        <f>IF($Y3144="","",INDEX($C$6:$C$40000,$Y3144)&amp;"")</f>
        <v/>
      </c>
      <c r="AA3144" s="59">
        <f>IF($Y3144="","",IF(INDEX($D$6:$D$40000,$Y3144)="","",INDEX($D$6:$D$40000,$Y3144)))</f>
        <v/>
      </c>
      <c r="AB3144">
        <f>IF($Y3144="","",INDEX($L$6:$L$40000,$Y3144)&amp;"")</f>
        <v/>
      </c>
    </row>
    <row r="3145">
      <c r="Y3145" s="47">
        <f>IFERROR(MATCH(Library!M3145,$M$6:$M$40000,0),"")</f>
        <v/>
      </c>
      <c r="Z3145">
        <f>IF($Y3145="","",INDEX($C$6:$C$40000,$Y3145)&amp;"")</f>
        <v/>
      </c>
      <c r="AA3145" s="59">
        <f>IF($Y3145="","",IF(INDEX($D$6:$D$40000,$Y3145)="","",INDEX($D$6:$D$40000,$Y3145)))</f>
        <v/>
      </c>
      <c r="AB3145">
        <f>IF($Y3145="","",INDEX($L$6:$L$40000,$Y3145)&amp;"")</f>
        <v/>
      </c>
    </row>
    <row r="3146">
      <c r="Y3146" s="47">
        <f>IFERROR(MATCH(Library!M3146,$M$6:$M$40000,0),"")</f>
        <v/>
      </c>
      <c r="Z3146">
        <f>IF($Y3146="","",INDEX($C$6:$C$40000,$Y3146)&amp;"")</f>
        <v/>
      </c>
      <c r="AA3146" s="59">
        <f>IF($Y3146="","",IF(INDEX($D$6:$D$40000,$Y3146)="","",INDEX($D$6:$D$40000,$Y3146)))</f>
        <v/>
      </c>
      <c r="AB3146">
        <f>IF($Y3146="","",INDEX($L$6:$L$40000,$Y3146)&amp;"")</f>
        <v/>
      </c>
    </row>
    <row r="3147">
      <c r="Y3147" s="47">
        <f>IFERROR(MATCH(Library!M3147,$M$6:$M$40000,0),"")</f>
        <v/>
      </c>
      <c r="Z3147">
        <f>IF($Y3147="","",INDEX($C$6:$C$40000,$Y3147)&amp;"")</f>
        <v/>
      </c>
      <c r="AA3147" s="59">
        <f>IF($Y3147="","",IF(INDEX($D$6:$D$40000,$Y3147)="","",INDEX($D$6:$D$40000,$Y3147)))</f>
        <v/>
      </c>
      <c r="AB3147">
        <f>IF($Y3147="","",INDEX($L$6:$L$40000,$Y3147)&amp;"")</f>
        <v/>
      </c>
    </row>
    <row r="3148">
      <c r="Y3148" s="47">
        <f>IFERROR(MATCH(Library!M3148,$M$6:$M$40000,0),"")</f>
        <v/>
      </c>
      <c r="Z3148">
        <f>IF($Y3148="","",INDEX($C$6:$C$40000,$Y3148)&amp;"")</f>
        <v/>
      </c>
      <c r="AA3148" s="59">
        <f>IF($Y3148="","",IF(INDEX($D$6:$D$40000,$Y3148)="","",INDEX($D$6:$D$40000,$Y3148)))</f>
        <v/>
      </c>
      <c r="AB3148">
        <f>IF($Y3148="","",INDEX($L$6:$L$40000,$Y3148)&amp;"")</f>
        <v/>
      </c>
    </row>
    <row r="3149">
      <c r="Y3149" s="47">
        <f>IFERROR(MATCH(Library!M3149,$M$6:$M$40000,0),"")</f>
        <v/>
      </c>
      <c r="Z3149">
        <f>IF($Y3149="","",INDEX($C$6:$C$40000,$Y3149)&amp;"")</f>
        <v/>
      </c>
      <c r="AA3149" s="59">
        <f>IF($Y3149="","",IF(INDEX($D$6:$D$40000,$Y3149)="","",INDEX($D$6:$D$40000,$Y3149)))</f>
        <v/>
      </c>
      <c r="AB3149">
        <f>IF($Y3149="","",INDEX($L$6:$L$40000,$Y3149)&amp;"")</f>
        <v/>
      </c>
    </row>
    <row r="3150">
      <c r="Y3150" s="47">
        <f>IFERROR(MATCH(Library!M3150,$M$6:$M$40000,0),"")</f>
        <v/>
      </c>
      <c r="Z3150">
        <f>IF($Y3150="","",INDEX($C$6:$C$40000,$Y3150)&amp;"")</f>
        <v/>
      </c>
      <c r="AA3150" s="59">
        <f>IF($Y3150="","",IF(INDEX($D$6:$D$40000,$Y3150)="","",INDEX($D$6:$D$40000,$Y3150)))</f>
        <v/>
      </c>
      <c r="AB3150">
        <f>IF($Y3150="","",INDEX($L$6:$L$40000,$Y3150)&amp;"")</f>
        <v/>
      </c>
    </row>
    <row r="3151">
      <c r="Y3151" s="47">
        <f>IFERROR(MATCH(Library!M3151,$M$6:$M$40000,0),"")</f>
        <v/>
      </c>
      <c r="Z3151">
        <f>IF($Y3151="","",INDEX($C$6:$C$40000,$Y3151)&amp;"")</f>
        <v/>
      </c>
      <c r="AA3151" s="59">
        <f>IF($Y3151="","",IF(INDEX($D$6:$D$40000,$Y3151)="","",INDEX($D$6:$D$40000,$Y3151)))</f>
        <v/>
      </c>
      <c r="AB3151">
        <f>IF($Y3151="","",INDEX($L$6:$L$40000,$Y3151)&amp;"")</f>
        <v/>
      </c>
    </row>
    <row r="3152">
      <c r="Y3152" s="47">
        <f>IFERROR(MATCH(Library!M3152,$M$6:$M$40000,0),"")</f>
        <v/>
      </c>
      <c r="Z3152">
        <f>IF($Y3152="","",INDEX($C$6:$C$40000,$Y3152)&amp;"")</f>
        <v/>
      </c>
      <c r="AA3152" s="59">
        <f>IF($Y3152="","",IF(INDEX($D$6:$D$40000,$Y3152)="","",INDEX($D$6:$D$40000,$Y3152)))</f>
        <v/>
      </c>
      <c r="AB3152">
        <f>IF($Y3152="","",INDEX($L$6:$L$40000,$Y3152)&amp;"")</f>
        <v/>
      </c>
    </row>
    <row r="3153">
      <c r="Y3153" s="47">
        <f>IFERROR(MATCH(Library!M3153,$M$6:$M$40000,0),"")</f>
        <v/>
      </c>
      <c r="Z3153">
        <f>IF($Y3153="","",INDEX($C$6:$C$40000,$Y3153)&amp;"")</f>
        <v/>
      </c>
      <c r="AA3153" s="59">
        <f>IF($Y3153="","",IF(INDEX($D$6:$D$40000,$Y3153)="","",INDEX($D$6:$D$40000,$Y3153)))</f>
        <v/>
      </c>
      <c r="AB3153">
        <f>IF($Y3153="","",INDEX($L$6:$L$40000,$Y3153)&amp;"")</f>
        <v/>
      </c>
    </row>
    <row r="3154">
      <c r="Y3154" s="47">
        <f>IFERROR(MATCH(Library!M3154,$M$6:$M$40000,0),"")</f>
        <v/>
      </c>
      <c r="Z3154">
        <f>IF($Y3154="","",INDEX($C$6:$C$40000,$Y3154)&amp;"")</f>
        <v/>
      </c>
      <c r="AA3154" s="59">
        <f>IF($Y3154="","",IF(INDEX($D$6:$D$40000,$Y3154)="","",INDEX($D$6:$D$40000,$Y3154)))</f>
        <v/>
      </c>
      <c r="AB3154">
        <f>IF($Y3154="","",INDEX($L$6:$L$40000,$Y3154)&amp;"")</f>
        <v/>
      </c>
    </row>
    <row r="3155">
      <c r="Y3155" s="47">
        <f>IFERROR(MATCH(Library!M3155,$M$6:$M$40000,0),"")</f>
        <v/>
      </c>
      <c r="Z3155">
        <f>IF($Y3155="","",INDEX($C$6:$C$40000,$Y3155)&amp;"")</f>
        <v/>
      </c>
      <c r="AA3155" s="59">
        <f>IF($Y3155="","",IF(INDEX($D$6:$D$40000,$Y3155)="","",INDEX($D$6:$D$40000,$Y3155)))</f>
        <v/>
      </c>
      <c r="AB3155">
        <f>IF($Y3155="","",INDEX($L$6:$L$40000,$Y3155)&amp;"")</f>
        <v/>
      </c>
    </row>
    <row r="3156">
      <c r="Y3156" s="47">
        <f>IFERROR(MATCH(Library!M3156,$M$6:$M$40000,0),"")</f>
        <v/>
      </c>
      <c r="Z3156">
        <f>IF($Y3156="","",INDEX($C$6:$C$40000,$Y3156)&amp;"")</f>
        <v/>
      </c>
      <c r="AA3156" s="59">
        <f>IF($Y3156="","",IF(INDEX($D$6:$D$40000,$Y3156)="","",INDEX($D$6:$D$40000,$Y3156)))</f>
        <v/>
      </c>
      <c r="AB3156">
        <f>IF($Y3156="","",INDEX($L$6:$L$40000,$Y3156)&amp;"")</f>
        <v/>
      </c>
    </row>
    <row r="3157">
      <c r="Y3157" s="47">
        <f>IFERROR(MATCH(Library!M3157,$M$6:$M$40000,0),"")</f>
        <v/>
      </c>
      <c r="Z3157">
        <f>IF($Y3157="","",INDEX($C$6:$C$40000,$Y3157)&amp;"")</f>
        <v/>
      </c>
      <c r="AA3157" s="59">
        <f>IF($Y3157="","",IF(INDEX($D$6:$D$40000,$Y3157)="","",INDEX($D$6:$D$40000,$Y3157)))</f>
        <v/>
      </c>
      <c r="AB3157">
        <f>IF($Y3157="","",INDEX($L$6:$L$40000,$Y3157)&amp;"")</f>
        <v/>
      </c>
    </row>
    <row r="3158">
      <c r="Y3158" s="47">
        <f>IFERROR(MATCH(Library!M3158,$M$6:$M$40000,0),"")</f>
        <v/>
      </c>
      <c r="Z3158">
        <f>IF($Y3158="","",INDEX($C$6:$C$40000,$Y3158)&amp;"")</f>
        <v/>
      </c>
      <c r="AA3158" s="59">
        <f>IF($Y3158="","",IF(INDEX($D$6:$D$40000,$Y3158)="","",INDEX($D$6:$D$40000,$Y3158)))</f>
        <v/>
      </c>
      <c r="AB3158">
        <f>IF($Y3158="","",INDEX($L$6:$L$40000,$Y3158)&amp;"")</f>
        <v/>
      </c>
    </row>
    <row r="3159">
      <c r="Y3159" s="47">
        <f>IFERROR(MATCH(Library!M3159,$M$6:$M$40000,0),"")</f>
        <v/>
      </c>
      <c r="Z3159">
        <f>IF($Y3159="","",INDEX($C$6:$C$40000,$Y3159)&amp;"")</f>
        <v/>
      </c>
      <c r="AA3159" s="59">
        <f>IF($Y3159="","",IF(INDEX($D$6:$D$40000,$Y3159)="","",INDEX($D$6:$D$40000,$Y3159)))</f>
        <v/>
      </c>
      <c r="AB3159">
        <f>IF($Y3159="","",INDEX($L$6:$L$40000,$Y3159)&amp;"")</f>
        <v/>
      </c>
    </row>
    <row r="3160">
      <c r="Y3160" s="47">
        <f>IFERROR(MATCH(Library!M3160,$M$6:$M$40000,0),"")</f>
        <v/>
      </c>
      <c r="Z3160">
        <f>IF($Y3160="","",INDEX($C$6:$C$40000,$Y3160)&amp;"")</f>
        <v/>
      </c>
      <c r="AA3160" s="59">
        <f>IF($Y3160="","",IF(INDEX($D$6:$D$40000,$Y3160)="","",INDEX($D$6:$D$40000,$Y3160)))</f>
        <v/>
      </c>
      <c r="AB3160">
        <f>IF($Y3160="","",INDEX($L$6:$L$40000,$Y3160)&amp;"")</f>
        <v/>
      </c>
    </row>
    <row r="3161">
      <c r="Y3161" s="47">
        <f>IFERROR(MATCH(Library!M3161,$M$6:$M$40000,0),"")</f>
        <v/>
      </c>
      <c r="Z3161">
        <f>IF($Y3161="","",INDEX($C$6:$C$40000,$Y3161)&amp;"")</f>
        <v/>
      </c>
      <c r="AA3161" s="59">
        <f>IF($Y3161="","",IF(INDEX($D$6:$D$40000,$Y3161)="","",INDEX($D$6:$D$40000,$Y3161)))</f>
        <v/>
      </c>
      <c r="AB3161">
        <f>IF($Y3161="","",INDEX($L$6:$L$40000,$Y3161)&amp;"")</f>
        <v/>
      </c>
    </row>
    <row r="3162">
      <c r="Y3162" s="47">
        <f>IFERROR(MATCH(Library!M3162,$M$6:$M$40000,0),"")</f>
        <v/>
      </c>
      <c r="Z3162">
        <f>IF($Y3162="","",INDEX($C$6:$C$40000,$Y3162)&amp;"")</f>
        <v/>
      </c>
      <c r="AA3162" s="59">
        <f>IF($Y3162="","",IF(INDEX($D$6:$D$40000,$Y3162)="","",INDEX($D$6:$D$40000,$Y3162)))</f>
        <v/>
      </c>
      <c r="AB3162">
        <f>IF($Y3162="","",INDEX($L$6:$L$40000,$Y3162)&amp;"")</f>
        <v/>
      </c>
    </row>
    <row r="3163">
      <c r="Y3163" s="47">
        <f>IFERROR(MATCH(Library!M3163,$M$6:$M$40000,0),"")</f>
        <v/>
      </c>
      <c r="Z3163">
        <f>IF($Y3163="","",INDEX($C$6:$C$40000,$Y3163)&amp;"")</f>
        <v/>
      </c>
      <c r="AA3163" s="59">
        <f>IF($Y3163="","",IF(INDEX($D$6:$D$40000,$Y3163)="","",INDEX($D$6:$D$40000,$Y3163)))</f>
        <v/>
      </c>
      <c r="AB3163">
        <f>IF($Y3163="","",INDEX($L$6:$L$40000,$Y3163)&amp;"")</f>
        <v/>
      </c>
    </row>
    <row r="3164">
      <c r="Y3164" s="47">
        <f>IFERROR(MATCH(Library!M3164,$M$6:$M$40000,0),"")</f>
        <v/>
      </c>
      <c r="Z3164">
        <f>IF($Y3164="","",INDEX($C$6:$C$40000,$Y3164)&amp;"")</f>
        <v/>
      </c>
      <c r="AA3164" s="59">
        <f>IF($Y3164="","",IF(INDEX($D$6:$D$40000,$Y3164)="","",INDEX($D$6:$D$40000,$Y3164)))</f>
        <v/>
      </c>
      <c r="AB3164">
        <f>IF($Y3164="","",INDEX($L$6:$L$40000,$Y3164)&amp;"")</f>
        <v/>
      </c>
    </row>
    <row r="3165">
      <c r="Y3165" s="47">
        <f>IFERROR(MATCH(Library!M3165,$M$6:$M$40000,0),"")</f>
        <v/>
      </c>
      <c r="Z3165">
        <f>IF($Y3165="","",INDEX($C$6:$C$40000,$Y3165)&amp;"")</f>
        <v/>
      </c>
      <c r="AA3165" s="59">
        <f>IF($Y3165="","",IF(INDEX($D$6:$D$40000,$Y3165)="","",INDEX($D$6:$D$40000,$Y3165)))</f>
        <v/>
      </c>
      <c r="AB3165">
        <f>IF($Y3165="","",INDEX($L$6:$L$40000,$Y3165)&amp;"")</f>
        <v/>
      </c>
    </row>
    <row r="3166">
      <c r="Y3166" s="47">
        <f>IFERROR(MATCH(Library!M3166,$M$6:$M$40000,0),"")</f>
        <v/>
      </c>
      <c r="Z3166">
        <f>IF($Y3166="","",INDEX($C$6:$C$40000,$Y3166)&amp;"")</f>
        <v/>
      </c>
      <c r="AA3166" s="59">
        <f>IF($Y3166="","",IF(INDEX($D$6:$D$40000,$Y3166)="","",INDEX($D$6:$D$40000,$Y3166)))</f>
        <v/>
      </c>
      <c r="AB3166">
        <f>IF($Y3166="","",INDEX($L$6:$L$40000,$Y3166)&amp;"")</f>
        <v/>
      </c>
    </row>
    <row r="3167">
      <c r="Y3167" s="47">
        <f>IFERROR(MATCH(Library!M3167,$M$6:$M$40000,0),"")</f>
        <v/>
      </c>
      <c r="Z3167">
        <f>IF($Y3167="","",INDEX($C$6:$C$40000,$Y3167)&amp;"")</f>
        <v/>
      </c>
      <c r="AA3167" s="59">
        <f>IF($Y3167="","",IF(INDEX($D$6:$D$40000,$Y3167)="","",INDEX($D$6:$D$40000,$Y3167)))</f>
        <v/>
      </c>
      <c r="AB3167">
        <f>IF($Y3167="","",INDEX($L$6:$L$40000,$Y3167)&amp;"")</f>
        <v/>
      </c>
    </row>
    <row r="3168">
      <c r="Y3168" s="47">
        <f>IFERROR(MATCH(Library!M3168,$M$6:$M$40000,0),"")</f>
        <v/>
      </c>
      <c r="Z3168">
        <f>IF($Y3168="","",INDEX($C$6:$C$40000,$Y3168)&amp;"")</f>
        <v/>
      </c>
      <c r="AA3168" s="59">
        <f>IF($Y3168="","",IF(INDEX($D$6:$D$40000,$Y3168)="","",INDEX($D$6:$D$40000,$Y3168)))</f>
        <v/>
      </c>
      <c r="AB3168">
        <f>IF($Y3168="","",INDEX($L$6:$L$40000,$Y3168)&amp;"")</f>
        <v/>
      </c>
    </row>
    <row r="3169">
      <c r="Y3169" s="47">
        <f>IFERROR(MATCH(Library!M3169,$M$6:$M$40000,0),"")</f>
        <v/>
      </c>
      <c r="Z3169">
        <f>IF($Y3169="","",INDEX($C$6:$C$40000,$Y3169)&amp;"")</f>
        <v/>
      </c>
      <c r="AA3169" s="59">
        <f>IF($Y3169="","",IF(INDEX($D$6:$D$40000,$Y3169)="","",INDEX($D$6:$D$40000,$Y3169)))</f>
        <v/>
      </c>
      <c r="AB3169">
        <f>IF($Y3169="","",INDEX($L$6:$L$40000,$Y3169)&amp;"")</f>
        <v/>
      </c>
    </row>
    <row r="3170">
      <c r="Y3170" s="47">
        <f>IFERROR(MATCH(Library!M3170,$M$6:$M$40000,0),"")</f>
        <v/>
      </c>
      <c r="Z3170">
        <f>IF($Y3170="","",INDEX($C$6:$C$40000,$Y3170)&amp;"")</f>
        <v/>
      </c>
      <c r="AA3170" s="59">
        <f>IF($Y3170="","",IF(INDEX($D$6:$D$40000,$Y3170)="","",INDEX($D$6:$D$40000,$Y3170)))</f>
        <v/>
      </c>
      <c r="AB3170">
        <f>IF($Y3170="","",INDEX($L$6:$L$40000,$Y3170)&amp;"")</f>
        <v/>
      </c>
    </row>
    <row r="3171">
      <c r="Y3171" s="47">
        <f>IFERROR(MATCH(Library!M3171,$M$6:$M$40000,0),"")</f>
        <v/>
      </c>
      <c r="Z3171">
        <f>IF($Y3171="","",INDEX($C$6:$C$40000,$Y3171)&amp;"")</f>
        <v/>
      </c>
      <c r="AA3171" s="59">
        <f>IF($Y3171="","",IF(INDEX($D$6:$D$40000,$Y3171)="","",INDEX($D$6:$D$40000,$Y3171)))</f>
        <v/>
      </c>
      <c r="AB3171">
        <f>IF($Y3171="","",INDEX($L$6:$L$40000,$Y3171)&amp;"")</f>
        <v/>
      </c>
    </row>
    <row r="3172">
      <c r="Y3172" s="47">
        <f>IFERROR(MATCH(Library!M3172,$M$6:$M$40000,0),"")</f>
        <v/>
      </c>
      <c r="Z3172">
        <f>IF($Y3172="","",INDEX($C$6:$C$40000,$Y3172)&amp;"")</f>
        <v/>
      </c>
      <c r="AA3172" s="59">
        <f>IF($Y3172="","",IF(INDEX($D$6:$D$40000,$Y3172)="","",INDEX($D$6:$D$40000,$Y3172)))</f>
        <v/>
      </c>
      <c r="AB3172">
        <f>IF($Y3172="","",INDEX($L$6:$L$40000,$Y3172)&amp;"")</f>
        <v/>
      </c>
    </row>
    <row r="3173">
      <c r="Y3173" s="47">
        <f>IFERROR(MATCH(Library!M3173,$M$6:$M$40000,0),"")</f>
        <v/>
      </c>
      <c r="Z3173">
        <f>IF($Y3173="","",INDEX($C$6:$C$40000,$Y3173)&amp;"")</f>
        <v/>
      </c>
      <c r="AA3173" s="59">
        <f>IF($Y3173="","",IF(INDEX($D$6:$D$40000,$Y3173)="","",INDEX($D$6:$D$40000,$Y3173)))</f>
        <v/>
      </c>
      <c r="AB3173">
        <f>IF($Y3173="","",INDEX($L$6:$L$40000,$Y3173)&amp;"")</f>
        <v/>
      </c>
    </row>
    <row r="3174">
      <c r="Y3174" s="47">
        <f>IFERROR(MATCH(Library!M3174,$M$6:$M$40000,0),"")</f>
        <v/>
      </c>
      <c r="Z3174">
        <f>IF($Y3174="","",INDEX($C$6:$C$40000,$Y3174)&amp;"")</f>
        <v/>
      </c>
      <c r="AA3174" s="59">
        <f>IF($Y3174="","",IF(INDEX($D$6:$D$40000,$Y3174)="","",INDEX($D$6:$D$40000,$Y3174)))</f>
        <v/>
      </c>
      <c r="AB3174">
        <f>IF($Y3174="","",INDEX($L$6:$L$40000,$Y3174)&amp;"")</f>
        <v/>
      </c>
    </row>
    <row r="3175">
      <c r="Y3175" s="47">
        <f>IFERROR(MATCH(Library!M3175,$M$6:$M$40000,0),"")</f>
        <v/>
      </c>
      <c r="Z3175">
        <f>IF($Y3175="","",INDEX($C$6:$C$40000,$Y3175)&amp;"")</f>
        <v/>
      </c>
      <c r="AA3175" s="59">
        <f>IF($Y3175="","",IF(INDEX($D$6:$D$40000,$Y3175)="","",INDEX($D$6:$D$40000,$Y3175)))</f>
        <v/>
      </c>
      <c r="AB3175">
        <f>IF($Y3175="","",INDEX($L$6:$L$40000,$Y3175)&amp;"")</f>
        <v/>
      </c>
    </row>
    <row r="3176">
      <c r="Y3176" s="47">
        <f>IFERROR(MATCH(Library!M3176,$M$6:$M$40000,0),"")</f>
        <v/>
      </c>
      <c r="Z3176">
        <f>IF($Y3176="","",INDEX($C$6:$C$40000,$Y3176)&amp;"")</f>
        <v/>
      </c>
      <c r="AA3176" s="59">
        <f>IF($Y3176="","",IF(INDEX($D$6:$D$40000,$Y3176)="","",INDEX($D$6:$D$40000,$Y3176)))</f>
        <v/>
      </c>
      <c r="AB3176">
        <f>IF($Y3176="","",INDEX($L$6:$L$40000,$Y3176)&amp;"")</f>
        <v/>
      </c>
    </row>
    <row r="3177">
      <c r="Y3177" s="47">
        <f>IFERROR(MATCH(Library!M3177,$M$6:$M$40000,0),"")</f>
        <v/>
      </c>
      <c r="Z3177">
        <f>IF($Y3177="","",INDEX($C$6:$C$40000,$Y3177)&amp;"")</f>
        <v/>
      </c>
      <c r="AA3177" s="59">
        <f>IF($Y3177="","",IF(INDEX($D$6:$D$40000,$Y3177)="","",INDEX($D$6:$D$40000,$Y3177)))</f>
        <v/>
      </c>
      <c r="AB3177">
        <f>IF($Y3177="","",INDEX($L$6:$L$40000,$Y3177)&amp;"")</f>
        <v/>
      </c>
    </row>
    <row r="3178">
      <c r="Y3178" s="47">
        <f>IFERROR(MATCH(Library!M3178,$M$6:$M$40000,0),"")</f>
        <v/>
      </c>
      <c r="Z3178">
        <f>IF($Y3178="","",INDEX($C$6:$C$40000,$Y3178)&amp;"")</f>
        <v/>
      </c>
      <c r="AA3178" s="59">
        <f>IF($Y3178="","",IF(INDEX($D$6:$D$40000,$Y3178)="","",INDEX($D$6:$D$40000,$Y3178)))</f>
        <v/>
      </c>
      <c r="AB3178">
        <f>IF($Y3178="","",INDEX($L$6:$L$40000,$Y3178)&amp;"")</f>
        <v/>
      </c>
    </row>
    <row r="3179">
      <c r="Y3179" s="47">
        <f>IFERROR(MATCH(Library!M3179,$M$6:$M$40000,0),"")</f>
        <v/>
      </c>
      <c r="Z3179">
        <f>IF($Y3179="","",INDEX($C$6:$C$40000,$Y3179)&amp;"")</f>
        <v/>
      </c>
      <c r="AA3179" s="59">
        <f>IF($Y3179="","",IF(INDEX($D$6:$D$40000,$Y3179)="","",INDEX($D$6:$D$40000,$Y3179)))</f>
        <v/>
      </c>
      <c r="AB3179">
        <f>IF($Y3179="","",INDEX($L$6:$L$40000,$Y3179)&amp;"")</f>
        <v/>
      </c>
    </row>
    <row r="3180">
      <c r="Y3180" s="47">
        <f>IFERROR(MATCH(Library!M3180,$M$6:$M$40000,0),"")</f>
        <v/>
      </c>
      <c r="Z3180">
        <f>IF($Y3180="","",INDEX($C$6:$C$40000,$Y3180)&amp;"")</f>
        <v/>
      </c>
      <c r="AA3180" s="59">
        <f>IF($Y3180="","",IF(INDEX($D$6:$D$40000,$Y3180)="","",INDEX($D$6:$D$40000,$Y3180)))</f>
        <v/>
      </c>
      <c r="AB3180">
        <f>IF($Y3180="","",INDEX($L$6:$L$40000,$Y3180)&amp;"")</f>
        <v/>
      </c>
    </row>
    <row r="3181">
      <c r="Y3181" s="47">
        <f>IFERROR(MATCH(Library!M3181,$M$6:$M$40000,0),"")</f>
        <v/>
      </c>
      <c r="Z3181">
        <f>IF($Y3181="","",INDEX($C$6:$C$40000,$Y3181)&amp;"")</f>
        <v/>
      </c>
      <c r="AA3181" s="59">
        <f>IF($Y3181="","",IF(INDEX($D$6:$D$40000,$Y3181)="","",INDEX($D$6:$D$40000,$Y3181)))</f>
        <v/>
      </c>
      <c r="AB3181">
        <f>IF($Y3181="","",INDEX($L$6:$L$40000,$Y3181)&amp;"")</f>
        <v/>
      </c>
    </row>
    <row r="3182">
      <c r="Y3182" s="47">
        <f>IFERROR(MATCH(Library!M3182,$M$6:$M$40000,0),"")</f>
        <v/>
      </c>
      <c r="Z3182">
        <f>IF($Y3182="","",INDEX($C$6:$C$40000,$Y3182)&amp;"")</f>
        <v/>
      </c>
      <c r="AA3182" s="59">
        <f>IF($Y3182="","",IF(INDEX($D$6:$D$40000,$Y3182)="","",INDEX($D$6:$D$40000,$Y3182)))</f>
        <v/>
      </c>
      <c r="AB3182">
        <f>IF($Y3182="","",INDEX($L$6:$L$40000,$Y3182)&amp;"")</f>
        <v/>
      </c>
    </row>
    <row r="3183">
      <c r="Y3183" s="47">
        <f>IFERROR(MATCH(Library!M3183,$M$6:$M$40000,0),"")</f>
        <v/>
      </c>
      <c r="Z3183">
        <f>IF($Y3183="","",INDEX($C$6:$C$40000,$Y3183)&amp;"")</f>
        <v/>
      </c>
      <c r="AA3183" s="59">
        <f>IF($Y3183="","",IF(INDEX($D$6:$D$40000,$Y3183)="","",INDEX($D$6:$D$40000,$Y3183)))</f>
        <v/>
      </c>
      <c r="AB3183">
        <f>IF($Y3183="","",INDEX($L$6:$L$40000,$Y3183)&amp;"")</f>
        <v/>
      </c>
    </row>
    <row r="3184">
      <c r="Y3184" s="47">
        <f>IFERROR(MATCH(Library!M3184,$M$6:$M$40000,0),"")</f>
        <v/>
      </c>
      <c r="Z3184">
        <f>IF($Y3184="","",INDEX($C$6:$C$40000,$Y3184)&amp;"")</f>
        <v/>
      </c>
      <c r="AA3184" s="59">
        <f>IF($Y3184="","",IF(INDEX($D$6:$D$40000,$Y3184)="","",INDEX($D$6:$D$40000,$Y3184)))</f>
        <v/>
      </c>
      <c r="AB3184">
        <f>IF($Y3184="","",INDEX($L$6:$L$40000,$Y3184)&amp;"")</f>
        <v/>
      </c>
    </row>
    <row r="3185">
      <c r="Y3185" s="47">
        <f>IFERROR(MATCH(Library!M3185,$M$6:$M$40000,0),"")</f>
        <v/>
      </c>
      <c r="Z3185">
        <f>IF($Y3185="","",INDEX($C$6:$C$40000,$Y3185)&amp;"")</f>
        <v/>
      </c>
      <c r="AA3185" s="59">
        <f>IF($Y3185="","",IF(INDEX($D$6:$D$40000,$Y3185)="","",INDEX($D$6:$D$40000,$Y3185)))</f>
        <v/>
      </c>
      <c r="AB3185">
        <f>IF($Y3185="","",INDEX($L$6:$L$40000,$Y3185)&amp;"")</f>
        <v/>
      </c>
    </row>
    <row r="3186">
      <c r="Y3186" s="47">
        <f>IFERROR(MATCH(Library!M3186,$M$6:$M$40000,0),"")</f>
        <v/>
      </c>
      <c r="Z3186">
        <f>IF($Y3186="","",INDEX($C$6:$C$40000,$Y3186)&amp;"")</f>
        <v/>
      </c>
      <c r="AA3186" s="59">
        <f>IF($Y3186="","",IF(INDEX($D$6:$D$40000,$Y3186)="","",INDEX($D$6:$D$40000,$Y3186)))</f>
        <v/>
      </c>
      <c r="AB3186">
        <f>IF($Y3186="","",INDEX($L$6:$L$40000,$Y3186)&amp;"")</f>
        <v/>
      </c>
    </row>
    <row r="3187">
      <c r="Y3187" s="47">
        <f>IFERROR(MATCH(Library!M3187,$M$6:$M$40000,0),"")</f>
        <v/>
      </c>
      <c r="Z3187">
        <f>IF($Y3187="","",INDEX($C$6:$C$40000,$Y3187)&amp;"")</f>
        <v/>
      </c>
      <c r="AA3187" s="59">
        <f>IF($Y3187="","",IF(INDEX($D$6:$D$40000,$Y3187)="","",INDEX($D$6:$D$40000,$Y3187)))</f>
        <v/>
      </c>
      <c r="AB3187">
        <f>IF($Y3187="","",INDEX($L$6:$L$40000,$Y3187)&amp;"")</f>
        <v/>
      </c>
    </row>
    <row r="3188">
      <c r="Y3188" s="47">
        <f>IFERROR(MATCH(Library!M3188,$M$6:$M$40000,0),"")</f>
        <v/>
      </c>
      <c r="Z3188">
        <f>IF($Y3188="","",INDEX($C$6:$C$40000,$Y3188)&amp;"")</f>
        <v/>
      </c>
      <c r="AA3188" s="59">
        <f>IF($Y3188="","",IF(INDEX($D$6:$D$40000,$Y3188)="","",INDEX($D$6:$D$40000,$Y3188)))</f>
        <v/>
      </c>
      <c r="AB3188">
        <f>IF($Y3188="","",INDEX($L$6:$L$40000,$Y3188)&amp;"")</f>
        <v/>
      </c>
    </row>
    <row r="3189">
      <c r="Y3189" s="47">
        <f>IFERROR(MATCH(Library!M3189,$M$6:$M$40000,0),"")</f>
        <v/>
      </c>
      <c r="Z3189">
        <f>IF($Y3189="","",INDEX($C$6:$C$40000,$Y3189)&amp;"")</f>
        <v/>
      </c>
      <c r="AA3189" s="59">
        <f>IF($Y3189="","",IF(INDEX($D$6:$D$40000,$Y3189)="","",INDEX($D$6:$D$40000,$Y3189)))</f>
        <v/>
      </c>
      <c r="AB3189">
        <f>IF($Y3189="","",INDEX($L$6:$L$40000,$Y3189)&amp;"")</f>
        <v/>
      </c>
    </row>
    <row r="3190">
      <c r="Y3190" s="47">
        <f>IFERROR(MATCH(Library!M3190,$M$6:$M$40000,0),"")</f>
        <v/>
      </c>
      <c r="Z3190">
        <f>IF($Y3190="","",INDEX($C$6:$C$40000,$Y3190)&amp;"")</f>
        <v/>
      </c>
      <c r="AA3190" s="59">
        <f>IF($Y3190="","",IF(INDEX($D$6:$D$40000,$Y3190)="","",INDEX($D$6:$D$40000,$Y3190)))</f>
        <v/>
      </c>
      <c r="AB3190">
        <f>IF($Y3190="","",INDEX($L$6:$L$40000,$Y3190)&amp;"")</f>
        <v/>
      </c>
    </row>
    <row r="3191">
      <c r="Y3191" s="47">
        <f>IFERROR(MATCH(Library!M3191,$M$6:$M$40000,0),"")</f>
        <v/>
      </c>
      <c r="Z3191">
        <f>IF($Y3191="","",INDEX($C$6:$C$40000,$Y3191)&amp;"")</f>
        <v/>
      </c>
      <c r="AA3191" s="59">
        <f>IF($Y3191="","",IF(INDEX($D$6:$D$40000,$Y3191)="","",INDEX($D$6:$D$40000,$Y3191)))</f>
        <v/>
      </c>
      <c r="AB3191">
        <f>IF($Y3191="","",INDEX($L$6:$L$40000,$Y3191)&amp;"")</f>
        <v/>
      </c>
    </row>
    <row r="3192">
      <c r="Y3192" s="47">
        <f>IFERROR(MATCH(Library!M3192,$M$6:$M$40000,0),"")</f>
        <v/>
      </c>
      <c r="Z3192">
        <f>IF($Y3192="","",INDEX($C$6:$C$40000,$Y3192)&amp;"")</f>
        <v/>
      </c>
      <c r="AA3192" s="59">
        <f>IF($Y3192="","",IF(INDEX($D$6:$D$40000,$Y3192)="","",INDEX($D$6:$D$40000,$Y3192)))</f>
        <v/>
      </c>
      <c r="AB3192">
        <f>IF($Y3192="","",INDEX($L$6:$L$40000,$Y3192)&amp;"")</f>
        <v/>
      </c>
    </row>
    <row r="3193">
      <c r="Y3193" s="47">
        <f>IFERROR(MATCH(Library!M3193,$M$6:$M$40000,0),"")</f>
        <v/>
      </c>
      <c r="Z3193">
        <f>IF($Y3193="","",INDEX($C$6:$C$40000,$Y3193)&amp;"")</f>
        <v/>
      </c>
      <c r="AA3193" s="59">
        <f>IF($Y3193="","",IF(INDEX($D$6:$D$40000,$Y3193)="","",INDEX($D$6:$D$40000,$Y3193)))</f>
        <v/>
      </c>
      <c r="AB3193">
        <f>IF($Y3193="","",INDEX($L$6:$L$40000,$Y3193)&amp;"")</f>
        <v/>
      </c>
    </row>
    <row r="3194">
      <c r="Y3194" s="47">
        <f>IFERROR(MATCH(Library!M3194,$M$6:$M$40000,0),"")</f>
        <v/>
      </c>
      <c r="Z3194">
        <f>IF($Y3194="","",INDEX($C$6:$C$40000,$Y3194)&amp;"")</f>
        <v/>
      </c>
      <c r="AA3194" s="59">
        <f>IF($Y3194="","",IF(INDEX($D$6:$D$40000,$Y3194)="","",INDEX($D$6:$D$40000,$Y3194)))</f>
        <v/>
      </c>
      <c r="AB3194">
        <f>IF($Y3194="","",INDEX($L$6:$L$40000,$Y3194)&amp;"")</f>
        <v/>
      </c>
    </row>
    <row r="3195">
      <c r="Y3195" s="47">
        <f>IFERROR(MATCH(Library!M3195,$M$6:$M$40000,0),"")</f>
        <v/>
      </c>
      <c r="Z3195">
        <f>IF($Y3195="","",INDEX($C$6:$C$40000,$Y3195)&amp;"")</f>
        <v/>
      </c>
      <c r="AA3195" s="59">
        <f>IF($Y3195="","",IF(INDEX($D$6:$D$40000,$Y3195)="","",INDEX($D$6:$D$40000,$Y3195)))</f>
        <v/>
      </c>
      <c r="AB3195">
        <f>IF($Y3195="","",INDEX($L$6:$L$40000,$Y3195)&amp;"")</f>
        <v/>
      </c>
    </row>
    <row r="3196">
      <c r="Y3196" s="47">
        <f>IFERROR(MATCH(Library!M3196,$M$6:$M$40000,0),"")</f>
        <v/>
      </c>
      <c r="Z3196">
        <f>IF($Y3196="","",INDEX($C$6:$C$40000,$Y3196)&amp;"")</f>
        <v/>
      </c>
      <c r="AA3196" s="59">
        <f>IF($Y3196="","",IF(INDEX($D$6:$D$40000,$Y3196)="","",INDEX($D$6:$D$40000,$Y3196)))</f>
        <v/>
      </c>
      <c r="AB3196">
        <f>IF($Y3196="","",INDEX($L$6:$L$40000,$Y3196)&amp;"")</f>
        <v/>
      </c>
    </row>
    <row r="3197">
      <c r="Y3197" s="47">
        <f>IFERROR(MATCH(Library!M3197,$M$6:$M$40000,0),"")</f>
        <v/>
      </c>
      <c r="Z3197">
        <f>IF($Y3197="","",INDEX($C$6:$C$40000,$Y3197)&amp;"")</f>
        <v/>
      </c>
      <c r="AA3197" s="59">
        <f>IF($Y3197="","",IF(INDEX($D$6:$D$40000,$Y3197)="","",INDEX($D$6:$D$40000,$Y3197)))</f>
        <v/>
      </c>
      <c r="AB3197">
        <f>IF($Y3197="","",INDEX($L$6:$L$40000,$Y3197)&amp;"")</f>
        <v/>
      </c>
    </row>
    <row r="3198">
      <c r="Y3198" s="47">
        <f>IFERROR(MATCH(Library!M3198,$M$6:$M$40000,0),"")</f>
        <v/>
      </c>
      <c r="Z3198">
        <f>IF($Y3198="","",INDEX($C$6:$C$40000,$Y3198)&amp;"")</f>
        <v/>
      </c>
      <c r="AA3198" s="59">
        <f>IF($Y3198="","",IF(INDEX($D$6:$D$40000,$Y3198)="","",INDEX($D$6:$D$40000,$Y3198)))</f>
        <v/>
      </c>
      <c r="AB3198">
        <f>IF($Y3198="","",INDEX($L$6:$L$40000,$Y3198)&amp;"")</f>
        <v/>
      </c>
    </row>
    <row r="3199">
      <c r="Y3199" s="47">
        <f>IFERROR(MATCH(Library!M3199,$M$6:$M$40000,0),"")</f>
        <v/>
      </c>
      <c r="Z3199">
        <f>IF($Y3199="","",INDEX($C$6:$C$40000,$Y3199)&amp;"")</f>
        <v/>
      </c>
      <c r="AA3199" s="59">
        <f>IF($Y3199="","",IF(INDEX($D$6:$D$40000,$Y3199)="","",INDEX($D$6:$D$40000,$Y3199)))</f>
        <v/>
      </c>
      <c r="AB3199">
        <f>IF($Y3199="","",INDEX($L$6:$L$40000,$Y3199)&amp;"")</f>
        <v/>
      </c>
    </row>
    <row r="3200">
      <c r="Y3200" s="47">
        <f>IFERROR(MATCH(Library!M3200,$M$6:$M$40000,0),"")</f>
        <v/>
      </c>
      <c r="Z3200">
        <f>IF($Y3200="","",INDEX($C$6:$C$40000,$Y3200)&amp;"")</f>
        <v/>
      </c>
      <c r="AA3200" s="59">
        <f>IF($Y3200="","",IF(INDEX($D$6:$D$40000,$Y3200)="","",INDEX($D$6:$D$40000,$Y3200)))</f>
        <v/>
      </c>
      <c r="AB3200">
        <f>IF($Y3200="","",INDEX($L$6:$L$40000,$Y3200)&amp;"")</f>
        <v/>
      </c>
    </row>
    <row r="3201">
      <c r="Y3201" s="47">
        <f>IFERROR(MATCH(Library!M3201,$M$6:$M$40000,0),"")</f>
        <v/>
      </c>
      <c r="Z3201">
        <f>IF($Y3201="","",INDEX($C$6:$C$40000,$Y3201)&amp;"")</f>
        <v/>
      </c>
      <c r="AA3201" s="59">
        <f>IF($Y3201="","",IF(INDEX($D$6:$D$40000,$Y3201)="","",INDEX($D$6:$D$40000,$Y3201)))</f>
        <v/>
      </c>
      <c r="AB3201">
        <f>IF($Y3201="","",INDEX($L$6:$L$40000,$Y3201)&amp;"")</f>
        <v/>
      </c>
    </row>
    <row r="3202">
      <c r="Y3202" s="47">
        <f>IFERROR(MATCH(Library!M3202,$M$6:$M$40000,0),"")</f>
        <v/>
      </c>
      <c r="Z3202">
        <f>IF($Y3202="","",INDEX($C$6:$C$40000,$Y3202)&amp;"")</f>
        <v/>
      </c>
      <c r="AA3202" s="59">
        <f>IF($Y3202="","",IF(INDEX($D$6:$D$40000,$Y3202)="","",INDEX($D$6:$D$40000,$Y3202)))</f>
        <v/>
      </c>
      <c r="AB3202">
        <f>IF($Y3202="","",INDEX($L$6:$L$40000,$Y3202)&amp;"")</f>
        <v/>
      </c>
    </row>
    <row r="3203">
      <c r="Y3203" s="47">
        <f>IFERROR(MATCH(Library!M3203,$M$6:$M$40000,0),"")</f>
        <v/>
      </c>
      <c r="Z3203">
        <f>IF($Y3203="","",INDEX($C$6:$C$40000,$Y3203)&amp;"")</f>
        <v/>
      </c>
      <c r="AA3203" s="59">
        <f>IF($Y3203="","",IF(INDEX($D$6:$D$40000,$Y3203)="","",INDEX($D$6:$D$40000,$Y3203)))</f>
        <v/>
      </c>
      <c r="AB3203">
        <f>IF($Y3203="","",INDEX($L$6:$L$40000,$Y3203)&amp;"")</f>
        <v/>
      </c>
    </row>
    <row r="3204">
      <c r="Y3204" s="47">
        <f>IFERROR(MATCH(Library!M3204,$M$6:$M$40000,0),"")</f>
        <v/>
      </c>
      <c r="Z3204">
        <f>IF($Y3204="","",INDEX($C$6:$C$40000,$Y3204)&amp;"")</f>
        <v/>
      </c>
      <c r="AA3204" s="59">
        <f>IF($Y3204="","",IF(INDEX($D$6:$D$40000,$Y3204)="","",INDEX($D$6:$D$40000,$Y3204)))</f>
        <v/>
      </c>
      <c r="AB3204">
        <f>IF($Y3204="","",INDEX($L$6:$L$40000,$Y3204)&amp;"")</f>
        <v/>
      </c>
    </row>
    <row r="3205">
      <c r="Y3205" s="47">
        <f>IFERROR(MATCH(Library!M3205,$M$6:$M$40000,0),"")</f>
        <v/>
      </c>
      <c r="Z3205">
        <f>IF($Y3205="","",INDEX($C$6:$C$40000,$Y3205)&amp;"")</f>
        <v/>
      </c>
      <c r="AA3205" s="59">
        <f>IF($Y3205="","",IF(INDEX($D$6:$D$40000,$Y3205)="","",INDEX($D$6:$D$40000,$Y3205)))</f>
        <v/>
      </c>
      <c r="AB3205">
        <f>IF($Y3205="","",INDEX($L$6:$L$40000,$Y3205)&amp;"")</f>
        <v/>
      </c>
    </row>
    <row r="3206">
      <c r="Y3206" s="47">
        <f>IFERROR(MATCH(Library!M3206,$M$6:$M$40000,0),"")</f>
        <v/>
      </c>
      <c r="Z3206">
        <f>IF($Y3206="","",INDEX($C$6:$C$40000,$Y3206)&amp;"")</f>
        <v/>
      </c>
      <c r="AA3206" s="59">
        <f>IF($Y3206="","",IF(INDEX($D$6:$D$40000,$Y3206)="","",INDEX($D$6:$D$40000,$Y3206)))</f>
        <v/>
      </c>
      <c r="AB3206">
        <f>IF($Y3206="","",INDEX($L$6:$L$40000,$Y3206)&amp;"")</f>
        <v/>
      </c>
    </row>
    <row r="3207">
      <c r="Y3207" s="47">
        <f>IFERROR(MATCH(Library!M3207,$M$6:$M$40000,0),"")</f>
        <v/>
      </c>
      <c r="Z3207">
        <f>IF($Y3207="","",INDEX($C$6:$C$40000,$Y3207)&amp;"")</f>
        <v/>
      </c>
      <c r="AA3207" s="59">
        <f>IF($Y3207="","",IF(INDEX($D$6:$D$40000,$Y3207)="","",INDEX($D$6:$D$40000,$Y3207)))</f>
        <v/>
      </c>
      <c r="AB3207">
        <f>IF($Y3207="","",INDEX($L$6:$L$40000,$Y3207)&amp;"")</f>
        <v/>
      </c>
    </row>
    <row r="3208">
      <c r="Y3208" s="47">
        <f>IFERROR(MATCH(Library!M3208,$M$6:$M$40000,0),"")</f>
        <v/>
      </c>
      <c r="Z3208">
        <f>IF($Y3208="","",INDEX($C$6:$C$40000,$Y3208)&amp;"")</f>
        <v/>
      </c>
      <c r="AA3208" s="59">
        <f>IF($Y3208="","",IF(INDEX($D$6:$D$40000,$Y3208)="","",INDEX($D$6:$D$40000,$Y3208)))</f>
        <v/>
      </c>
      <c r="AB3208">
        <f>IF($Y3208="","",INDEX($L$6:$L$40000,$Y3208)&amp;"")</f>
        <v/>
      </c>
    </row>
    <row r="3209">
      <c r="Y3209" s="47">
        <f>IFERROR(MATCH(Library!M3209,$M$6:$M$40000,0),"")</f>
        <v/>
      </c>
      <c r="Z3209">
        <f>IF($Y3209="","",INDEX($C$6:$C$40000,$Y3209)&amp;"")</f>
        <v/>
      </c>
      <c r="AA3209" s="59">
        <f>IF($Y3209="","",IF(INDEX($D$6:$D$40000,$Y3209)="","",INDEX($D$6:$D$40000,$Y3209)))</f>
        <v/>
      </c>
      <c r="AB3209">
        <f>IF($Y3209="","",INDEX($L$6:$L$40000,$Y3209)&amp;"")</f>
        <v/>
      </c>
    </row>
    <row r="3210">
      <c r="Y3210" s="47">
        <f>IFERROR(MATCH(Library!M3210,$M$6:$M$40000,0),"")</f>
        <v/>
      </c>
      <c r="Z3210">
        <f>IF($Y3210="","",INDEX($C$6:$C$40000,$Y3210)&amp;"")</f>
        <v/>
      </c>
      <c r="AA3210" s="59">
        <f>IF($Y3210="","",IF(INDEX($D$6:$D$40000,$Y3210)="","",INDEX($D$6:$D$40000,$Y3210)))</f>
        <v/>
      </c>
      <c r="AB3210">
        <f>IF($Y3210="","",INDEX($L$6:$L$40000,$Y3210)&amp;"")</f>
        <v/>
      </c>
    </row>
    <row r="3211">
      <c r="Y3211" s="47">
        <f>IFERROR(MATCH(Library!M3211,$M$6:$M$40000,0),"")</f>
        <v/>
      </c>
      <c r="Z3211">
        <f>IF($Y3211="","",INDEX($C$6:$C$40000,$Y3211)&amp;"")</f>
        <v/>
      </c>
      <c r="AA3211" s="59">
        <f>IF($Y3211="","",IF(INDEX($D$6:$D$40000,$Y3211)="","",INDEX($D$6:$D$40000,$Y3211)))</f>
        <v/>
      </c>
      <c r="AB3211">
        <f>IF($Y3211="","",INDEX($L$6:$L$40000,$Y3211)&amp;"")</f>
        <v/>
      </c>
    </row>
    <row r="3212">
      <c r="Y3212" s="47">
        <f>IFERROR(MATCH(Library!M3212,$M$6:$M$40000,0),"")</f>
        <v/>
      </c>
      <c r="Z3212">
        <f>IF($Y3212="","",INDEX($C$6:$C$40000,$Y3212)&amp;"")</f>
        <v/>
      </c>
      <c r="AA3212" s="59">
        <f>IF($Y3212="","",IF(INDEX($D$6:$D$40000,$Y3212)="","",INDEX($D$6:$D$40000,$Y3212)))</f>
        <v/>
      </c>
      <c r="AB3212">
        <f>IF($Y3212="","",INDEX($L$6:$L$40000,$Y3212)&amp;"")</f>
        <v/>
      </c>
    </row>
    <row r="3213">
      <c r="Y3213" s="47">
        <f>IFERROR(MATCH(Library!M3213,$M$6:$M$40000,0),"")</f>
        <v/>
      </c>
      <c r="Z3213">
        <f>IF($Y3213="","",INDEX($C$6:$C$40000,$Y3213)&amp;"")</f>
        <v/>
      </c>
      <c r="AA3213" s="59">
        <f>IF($Y3213="","",IF(INDEX($D$6:$D$40000,$Y3213)="","",INDEX($D$6:$D$40000,$Y3213)))</f>
        <v/>
      </c>
      <c r="AB3213">
        <f>IF($Y3213="","",INDEX($L$6:$L$40000,$Y3213)&amp;"")</f>
        <v/>
      </c>
    </row>
    <row r="3214">
      <c r="Y3214" s="47">
        <f>IFERROR(MATCH(Library!M3214,$M$6:$M$40000,0),"")</f>
        <v/>
      </c>
      <c r="Z3214">
        <f>IF($Y3214="","",INDEX($C$6:$C$40000,$Y3214)&amp;"")</f>
        <v/>
      </c>
      <c r="AA3214" s="59">
        <f>IF($Y3214="","",IF(INDEX($D$6:$D$40000,$Y3214)="","",INDEX($D$6:$D$40000,$Y3214)))</f>
        <v/>
      </c>
      <c r="AB3214">
        <f>IF($Y3214="","",INDEX($L$6:$L$40000,$Y3214)&amp;"")</f>
        <v/>
      </c>
    </row>
    <row r="3215">
      <c r="Y3215" s="47">
        <f>IFERROR(MATCH(Library!M3215,$M$6:$M$40000,0),"")</f>
        <v/>
      </c>
      <c r="Z3215">
        <f>IF($Y3215="","",INDEX($C$6:$C$40000,$Y3215)&amp;"")</f>
        <v/>
      </c>
      <c r="AA3215" s="59">
        <f>IF($Y3215="","",IF(INDEX($D$6:$D$40000,$Y3215)="","",INDEX($D$6:$D$40000,$Y3215)))</f>
        <v/>
      </c>
      <c r="AB3215">
        <f>IF($Y3215="","",INDEX($L$6:$L$40000,$Y3215)&amp;"")</f>
        <v/>
      </c>
    </row>
    <row r="3216">
      <c r="Y3216" s="47">
        <f>IFERROR(MATCH(Library!M3216,$M$6:$M$40000,0),"")</f>
        <v/>
      </c>
      <c r="Z3216">
        <f>IF($Y3216="","",INDEX($C$6:$C$40000,$Y3216)&amp;"")</f>
        <v/>
      </c>
      <c r="AA3216" s="59">
        <f>IF($Y3216="","",IF(INDEX($D$6:$D$40000,$Y3216)="","",INDEX($D$6:$D$40000,$Y3216)))</f>
        <v/>
      </c>
      <c r="AB3216">
        <f>IF($Y3216="","",INDEX($L$6:$L$40000,$Y3216)&amp;"")</f>
        <v/>
      </c>
    </row>
    <row r="3217">
      <c r="Y3217" s="47">
        <f>IFERROR(MATCH(Library!M3217,$M$6:$M$40000,0),"")</f>
        <v/>
      </c>
      <c r="Z3217">
        <f>IF($Y3217="","",INDEX($C$6:$C$40000,$Y3217)&amp;"")</f>
        <v/>
      </c>
      <c r="AA3217" s="59">
        <f>IF($Y3217="","",IF(INDEX($D$6:$D$40000,$Y3217)="","",INDEX($D$6:$D$40000,$Y3217)))</f>
        <v/>
      </c>
      <c r="AB3217">
        <f>IF($Y3217="","",INDEX($L$6:$L$40000,$Y3217)&amp;"")</f>
        <v/>
      </c>
    </row>
    <row r="3218">
      <c r="Y3218" s="47">
        <f>IFERROR(MATCH(Library!M3218,$M$6:$M$40000,0),"")</f>
        <v/>
      </c>
      <c r="Z3218">
        <f>IF($Y3218="","",INDEX($C$6:$C$40000,$Y3218)&amp;"")</f>
        <v/>
      </c>
      <c r="AA3218" s="59">
        <f>IF($Y3218="","",IF(INDEX($D$6:$D$40000,$Y3218)="","",INDEX($D$6:$D$40000,$Y3218)))</f>
        <v/>
      </c>
      <c r="AB3218">
        <f>IF($Y3218="","",INDEX($L$6:$L$40000,$Y3218)&amp;"")</f>
        <v/>
      </c>
    </row>
    <row r="3219">
      <c r="Y3219" s="47">
        <f>IFERROR(MATCH(Library!M3219,$M$6:$M$40000,0),"")</f>
        <v/>
      </c>
      <c r="Z3219">
        <f>IF($Y3219="","",INDEX($C$6:$C$40000,$Y3219)&amp;"")</f>
        <v/>
      </c>
      <c r="AA3219" s="59">
        <f>IF($Y3219="","",IF(INDEX($D$6:$D$40000,$Y3219)="","",INDEX($D$6:$D$40000,$Y3219)))</f>
        <v/>
      </c>
      <c r="AB3219">
        <f>IF($Y3219="","",INDEX($L$6:$L$40000,$Y3219)&amp;"")</f>
        <v/>
      </c>
    </row>
    <row r="3220">
      <c r="Y3220" s="47">
        <f>IFERROR(MATCH(Library!M3220,$M$6:$M$40000,0),"")</f>
        <v/>
      </c>
      <c r="Z3220">
        <f>IF($Y3220="","",INDEX($C$6:$C$40000,$Y3220)&amp;"")</f>
        <v/>
      </c>
      <c r="AA3220" s="59">
        <f>IF($Y3220="","",IF(INDEX($D$6:$D$40000,$Y3220)="","",INDEX($D$6:$D$40000,$Y3220)))</f>
        <v/>
      </c>
      <c r="AB3220">
        <f>IF($Y3220="","",INDEX($L$6:$L$40000,$Y3220)&amp;"")</f>
        <v/>
      </c>
    </row>
    <row r="3221">
      <c r="Y3221" s="47">
        <f>IFERROR(MATCH(Library!M3221,$M$6:$M$40000,0),"")</f>
        <v/>
      </c>
      <c r="Z3221">
        <f>IF($Y3221="","",INDEX($C$6:$C$40000,$Y3221)&amp;"")</f>
        <v/>
      </c>
      <c r="AA3221" s="59">
        <f>IF($Y3221="","",IF(INDEX($D$6:$D$40000,$Y3221)="","",INDEX($D$6:$D$40000,$Y3221)))</f>
        <v/>
      </c>
      <c r="AB3221">
        <f>IF($Y3221="","",INDEX($L$6:$L$40000,$Y3221)&amp;"")</f>
        <v/>
      </c>
    </row>
    <row r="3222">
      <c r="Y3222" s="47">
        <f>IFERROR(MATCH(Library!M3222,$M$6:$M$40000,0),"")</f>
        <v/>
      </c>
      <c r="Z3222">
        <f>IF($Y3222="","",INDEX($C$6:$C$40000,$Y3222)&amp;"")</f>
        <v/>
      </c>
      <c r="AA3222" s="59">
        <f>IF($Y3222="","",IF(INDEX($D$6:$D$40000,$Y3222)="","",INDEX($D$6:$D$40000,$Y3222)))</f>
        <v/>
      </c>
      <c r="AB3222">
        <f>IF($Y3222="","",INDEX($L$6:$L$40000,$Y3222)&amp;"")</f>
        <v/>
      </c>
    </row>
    <row r="3223">
      <c r="Y3223" s="47">
        <f>IFERROR(MATCH(Library!M3223,$M$6:$M$40000,0),"")</f>
        <v/>
      </c>
      <c r="Z3223">
        <f>IF($Y3223="","",INDEX($C$6:$C$40000,$Y3223)&amp;"")</f>
        <v/>
      </c>
      <c r="AA3223" s="59">
        <f>IF($Y3223="","",IF(INDEX($D$6:$D$40000,$Y3223)="","",INDEX($D$6:$D$40000,$Y3223)))</f>
        <v/>
      </c>
      <c r="AB3223">
        <f>IF($Y3223="","",INDEX($L$6:$L$40000,$Y3223)&amp;"")</f>
        <v/>
      </c>
    </row>
    <row r="3224">
      <c r="Y3224" s="47">
        <f>IFERROR(MATCH(Library!M3224,$M$6:$M$40000,0),"")</f>
        <v/>
      </c>
      <c r="Z3224">
        <f>IF($Y3224="","",INDEX($C$6:$C$40000,$Y3224)&amp;"")</f>
        <v/>
      </c>
      <c r="AA3224" s="59">
        <f>IF($Y3224="","",IF(INDEX($D$6:$D$40000,$Y3224)="","",INDEX($D$6:$D$40000,$Y3224)))</f>
        <v/>
      </c>
      <c r="AB3224">
        <f>IF($Y3224="","",INDEX($L$6:$L$40000,$Y3224)&amp;"")</f>
        <v/>
      </c>
    </row>
    <row r="3225">
      <c r="Y3225" s="47">
        <f>IFERROR(MATCH(Library!M3225,$M$6:$M$40000,0),"")</f>
        <v/>
      </c>
      <c r="Z3225">
        <f>IF($Y3225="","",INDEX($C$6:$C$40000,$Y3225)&amp;"")</f>
        <v/>
      </c>
      <c r="AA3225" s="59">
        <f>IF($Y3225="","",IF(INDEX($D$6:$D$40000,$Y3225)="","",INDEX($D$6:$D$40000,$Y3225)))</f>
        <v/>
      </c>
      <c r="AB3225">
        <f>IF($Y3225="","",INDEX($L$6:$L$40000,$Y3225)&amp;"")</f>
        <v/>
      </c>
    </row>
    <row r="3226">
      <c r="Y3226" s="47">
        <f>IFERROR(MATCH(Library!M3226,$M$6:$M$40000,0),"")</f>
        <v/>
      </c>
      <c r="Z3226">
        <f>IF($Y3226="","",INDEX($C$6:$C$40000,$Y3226)&amp;"")</f>
        <v/>
      </c>
      <c r="AA3226" s="59">
        <f>IF($Y3226="","",IF(INDEX($D$6:$D$40000,$Y3226)="","",INDEX($D$6:$D$40000,$Y3226)))</f>
        <v/>
      </c>
      <c r="AB3226">
        <f>IF($Y3226="","",INDEX($L$6:$L$40000,$Y3226)&amp;"")</f>
        <v/>
      </c>
    </row>
    <row r="3227">
      <c r="Y3227" s="47">
        <f>IFERROR(MATCH(Library!M3227,$M$6:$M$40000,0),"")</f>
        <v/>
      </c>
      <c r="Z3227">
        <f>IF($Y3227="","",INDEX($C$6:$C$40000,$Y3227)&amp;"")</f>
        <v/>
      </c>
      <c r="AA3227" s="59">
        <f>IF($Y3227="","",IF(INDEX($D$6:$D$40000,$Y3227)="","",INDEX($D$6:$D$40000,$Y3227)))</f>
        <v/>
      </c>
      <c r="AB3227">
        <f>IF($Y3227="","",INDEX($L$6:$L$40000,$Y3227)&amp;"")</f>
        <v/>
      </c>
    </row>
    <row r="3228">
      <c r="Y3228" s="47">
        <f>IFERROR(MATCH(Library!M3228,$M$6:$M$40000,0),"")</f>
        <v/>
      </c>
      <c r="Z3228">
        <f>IF($Y3228="","",INDEX($C$6:$C$40000,$Y3228)&amp;"")</f>
        <v/>
      </c>
      <c r="AA3228" s="59">
        <f>IF($Y3228="","",IF(INDEX($D$6:$D$40000,$Y3228)="","",INDEX($D$6:$D$40000,$Y3228)))</f>
        <v/>
      </c>
      <c r="AB3228">
        <f>IF($Y3228="","",INDEX($L$6:$L$40000,$Y3228)&amp;"")</f>
        <v/>
      </c>
    </row>
    <row r="3229">
      <c r="Y3229" s="47">
        <f>IFERROR(MATCH(Library!M3229,$M$6:$M$40000,0),"")</f>
        <v/>
      </c>
      <c r="Z3229">
        <f>IF($Y3229="","",INDEX($C$6:$C$40000,$Y3229)&amp;"")</f>
        <v/>
      </c>
      <c r="AA3229" s="59">
        <f>IF($Y3229="","",IF(INDEX($D$6:$D$40000,$Y3229)="","",INDEX($D$6:$D$40000,$Y3229)))</f>
        <v/>
      </c>
      <c r="AB3229">
        <f>IF($Y3229="","",INDEX($L$6:$L$40000,$Y3229)&amp;"")</f>
        <v/>
      </c>
    </row>
    <row r="3230">
      <c r="Y3230" s="47">
        <f>IFERROR(MATCH(Library!M3230,$M$6:$M$40000,0),"")</f>
        <v/>
      </c>
      <c r="Z3230">
        <f>IF($Y3230="","",INDEX($C$6:$C$40000,$Y3230)&amp;"")</f>
        <v/>
      </c>
      <c r="AA3230" s="59">
        <f>IF($Y3230="","",IF(INDEX($D$6:$D$40000,$Y3230)="","",INDEX($D$6:$D$40000,$Y3230)))</f>
        <v/>
      </c>
      <c r="AB3230">
        <f>IF($Y3230="","",INDEX($L$6:$L$40000,$Y3230)&amp;"")</f>
        <v/>
      </c>
    </row>
    <row r="3231">
      <c r="Y3231" s="47">
        <f>IFERROR(MATCH(Library!M3231,$M$6:$M$40000,0),"")</f>
        <v/>
      </c>
      <c r="Z3231">
        <f>IF($Y3231="","",INDEX($C$6:$C$40000,$Y3231)&amp;"")</f>
        <v/>
      </c>
      <c r="AA3231" s="59">
        <f>IF($Y3231="","",IF(INDEX($D$6:$D$40000,$Y3231)="","",INDEX($D$6:$D$40000,$Y3231)))</f>
        <v/>
      </c>
      <c r="AB3231">
        <f>IF($Y3231="","",INDEX($L$6:$L$40000,$Y3231)&amp;"")</f>
        <v/>
      </c>
    </row>
    <row r="3232">
      <c r="Y3232" s="47">
        <f>IFERROR(MATCH(Library!M3232,$M$6:$M$40000,0),"")</f>
        <v/>
      </c>
      <c r="Z3232">
        <f>IF($Y3232="","",INDEX($C$6:$C$40000,$Y3232)&amp;"")</f>
        <v/>
      </c>
      <c r="AA3232" s="59">
        <f>IF($Y3232="","",IF(INDEX($D$6:$D$40000,$Y3232)="","",INDEX($D$6:$D$40000,$Y3232)))</f>
        <v/>
      </c>
      <c r="AB3232">
        <f>IF($Y3232="","",INDEX($L$6:$L$40000,$Y3232)&amp;"")</f>
        <v/>
      </c>
    </row>
    <row r="3233">
      <c r="Y3233" s="47">
        <f>IFERROR(MATCH(Library!M3233,$M$6:$M$40000,0),"")</f>
        <v/>
      </c>
      <c r="Z3233">
        <f>IF($Y3233="","",INDEX($C$6:$C$40000,$Y3233)&amp;"")</f>
        <v/>
      </c>
      <c r="AA3233" s="59">
        <f>IF($Y3233="","",IF(INDEX($D$6:$D$40000,$Y3233)="","",INDEX($D$6:$D$40000,$Y3233)))</f>
        <v/>
      </c>
      <c r="AB3233">
        <f>IF($Y3233="","",INDEX($L$6:$L$40000,$Y3233)&amp;"")</f>
        <v/>
      </c>
    </row>
    <row r="3234">
      <c r="Y3234" s="47">
        <f>IFERROR(MATCH(Library!M3234,$M$6:$M$40000,0),"")</f>
        <v/>
      </c>
      <c r="Z3234">
        <f>IF($Y3234="","",INDEX($C$6:$C$40000,$Y3234)&amp;"")</f>
        <v/>
      </c>
      <c r="AA3234" s="59">
        <f>IF($Y3234="","",IF(INDEX($D$6:$D$40000,$Y3234)="","",INDEX($D$6:$D$40000,$Y3234)))</f>
        <v/>
      </c>
      <c r="AB3234">
        <f>IF($Y3234="","",INDEX($L$6:$L$40000,$Y3234)&amp;"")</f>
        <v/>
      </c>
    </row>
    <row r="3235">
      <c r="Y3235" s="47">
        <f>IFERROR(MATCH(Library!M3235,$M$6:$M$40000,0),"")</f>
        <v/>
      </c>
      <c r="Z3235">
        <f>IF($Y3235="","",INDEX($C$6:$C$40000,$Y3235)&amp;"")</f>
        <v/>
      </c>
      <c r="AA3235" s="59">
        <f>IF($Y3235="","",IF(INDEX($D$6:$D$40000,$Y3235)="","",INDEX($D$6:$D$40000,$Y3235)))</f>
        <v/>
      </c>
      <c r="AB3235">
        <f>IF($Y3235="","",INDEX($L$6:$L$40000,$Y3235)&amp;"")</f>
        <v/>
      </c>
    </row>
    <row r="3236">
      <c r="Y3236" s="47">
        <f>IFERROR(MATCH(Library!M3236,$M$6:$M$40000,0),"")</f>
        <v/>
      </c>
      <c r="Z3236">
        <f>IF($Y3236="","",INDEX($C$6:$C$40000,$Y3236)&amp;"")</f>
        <v/>
      </c>
      <c r="AA3236" s="59">
        <f>IF($Y3236="","",IF(INDEX($D$6:$D$40000,$Y3236)="","",INDEX($D$6:$D$40000,$Y3236)))</f>
        <v/>
      </c>
      <c r="AB3236">
        <f>IF($Y3236="","",INDEX($L$6:$L$40000,$Y3236)&amp;"")</f>
        <v/>
      </c>
    </row>
    <row r="3237">
      <c r="Y3237" s="47">
        <f>IFERROR(MATCH(Library!M3237,$M$6:$M$40000,0),"")</f>
        <v/>
      </c>
      <c r="Z3237">
        <f>IF($Y3237="","",INDEX($C$6:$C$40000,$Y3237)&amp;"")</f>
        <v/>
      </c>
      <c r="AA3237" s="59">
        <f>IF($Y3237="","",IF(INDEX($D$6:$D$40000,$Y3237)="","",INDEX($D$6:$D$40000,$Y3237)))</f>
        <v/>
      </c>
      <c r="AB3237">
        <f>IF($Y3237="","",INDEX($L$6:$L$40000,$Y3237)&amp;"")</f>
        <v/>
      </c>
    </row>
    <row r="3238">
      <c r="Y3238" s="47">
        <f>IFERROR(MATCH(Library!M3238,$M$6:$M$40000,0),"")</f>
        <v/>
      </c>
      <c r="Z3238">
        <f>IF($Y3238="","",INDEX($C$6:$C$40000,$Y3238)&amp;"")</f>
        <v/>
      </c>
      <c r="AA3238" s="59">
        <f>IF($Y3238="","",IF(INDEX($D$6:$D$40000,$Y3238)="","",INDEX($D$6:$D$40000,$Y3238)))</f>
        <v/>
      </c>
      <c r="AB3238">
        <f>IF($Y3238="","",INDEX($L$6:$L$40000,$Y3238)&amp;"")</f>
        <v/>
      </c>
    </row>
    <row r="3239">
      <c r="Y3239" s="47">
        <f>IFERROR(MATCH(Library!M3239,$M$6:$M$40000,0),"")</f>
        <v/>
      </c>
      <c r="Z3239">
        <f>IF($Y3239="","",INDEX($C$6:$C$40000,$Y3239)&amp;"")</f>
        <v/>
      </c>
      <c r="AA3239" s="59">
        <f>IF($Y3239="","",IF(INDEX($D$6:$D$40000,$Y3239)="","",INDEX($D$6:$D$40000,$Y3239)))</f>
        <v/>
      </c>
      <c r="AB3239">
        <f>IF($Y3239="","",INDEX($L$6:$L$40000,$Y3239)&amp;"")</f>
        <v/>
      </c>
    </row>
    <row r="3240">
      <c r="Y3240" s="47">
        <f>IFERROR(MATCH(Library!M3240,$M$6:$M$40000,0),"")</f>
        <v/>
      </c>
      <c r="Z3240">
        <f>IF($Y3240="","",INDEX($C$6:$C$40000,$Y3240)&amp;"")</f>
        <v/>
      </c>
      <c r="AA3240" s="59">
        <f>IF($Y3240="","",IF(INDEX($D$6:$D$40000,$Y3240)="","",INDEX($D$6:$D$40000,$Y3240)))</f>
        <v/>
      </c>
      <c r="AB3240">
        <f>IF($Y3240="","",INDEX($L$6:$L$40000,$Y3240)&amp;"")</f>
        <v/>
      </c>
    </row>
    <row r="3241">
      <c r="Y3241" s="47">
        <f>IFERROR(MATCH(Library!M3241,$M$6:$M$40000,0),"")</f>
        <v/>
      </c>
      <c r="Z3241">
        <f>IF($Y3241="","",INDEX($C$6:$C$40000,$Y3241)&amp;"")</f>
        <v/>
      </c>
      <c r="AA3241" s="59">
        <f>IF($Y3241="","",IF(INDEX($D$6:$D$40000,$Y3241)="","",INDEX($D$6:$D$40000,$Y3241)))</f>
        <v/>
      </c>
      <c r="AB3241">
        <f>IF($Y3241="","",INDEX($L$6:$L$40000,$Y3241)&amp;"")</f>
        <v/>
      </c>
    </row>
    <row r="3242">
      <c r="Y3242" s="47">
        <f>IFERROR(MATCH(Library!M3242,$M$6:$M$40000,0),"")</f>
        <v/>
      </c>
      <c r="Z3242">
        <f>IF($Y3242="","",INDEX($C$6:$C$40000,$Y3242)&amp;"")</f>
        <v/>
      </c>
      <c r="AA3242" s="59">
        <f>IF($Y3242="","",IF(INDEX($D$6:$D$40000,$Y3242)="","",INDEX($D$6:$D$40000,$Y3242)))</f>
        <v/>
      </c>
      <c r="AB3242">
        <f>IF($Y3242="","",INDEX($L$6:$L$40000,$Y3242)&amp;"")</f>
        <v/>
      </c>
    </row>
    <row r="3243">
      <c r="Y3243" s="47">
        <f>IFERROR(MATCH(Library!M3243,$M$6:$M$40000,0),"")</f>
        <v/>
      </c>
      <c r="Z3243">
        <f>IF($Y3243="","",INDEX($C$6:$C$40000,$Y3243)&amp;"")</f>
        <v/>
      </c>
      <c r="AA3243" s="59">
        <f>IF($Y3243="","",IF(INDEX($D$6:$D$40000,$Y3243)="","",INDEX($D$6:$D$40000,$Y3243)))</f>
        <v/>
      </c>
      <c r="AB3243">
        <f>IF($Y3243="","",INDEX($L$6:$L$40000,$Y3243)&amp;"")</f>
        <v/>
      </c>
    </row>
    <row r="3244">
      <c r="Y3244" s="47">
        <f>IFERROR(MATCH(Library!M3244,$M$6:$M$40000,0),"")</f>
        <v/>
      </c>
      <c r="Z3244">
        <f>IF($Y3244="","",INDEX($C$6:$C$40000,$Y3244)&amp;"")</f>
        <v/>
      </c>
      <c r="AA3244" s="59">
        <f>IF($Y3244="","",IF(INDEX($D$6:$D$40000,$Y3244)="","",INDEX($D$6:$D$40000,$Y3244)))</f>
        <v/>
      </c>
      <c r="AB3244">
        <f>IF($Y3244="","",INDEX($L$6:$L$40000,$Y3244)&amp;"")</f>
        <v/>
      </c>
    </row>
    <row r="3245">
      <c r="Y3245" s="47">
        <f>IFERROR(MATCH(Library!M3245,$M$6:$M$40000,0),"")</f>
        <v/>
      </c>
      <c r="Z3245">
        <f>IF($Y3245="","",INDEX($C$6:$C$40000,$Y3245)&amp;"")</f>
        <v/>
      </c>
      <c r="AA3245" s="59">
        <f>IF($Y3245="","",IF(INDEX($D$6:$D$40000,$Y3245)="","",INDEX($D$6:$D$40000,$Y3245)))</f>
        <v/>
      </c>
      <c r="AB3245">
        <f>IF($Y3245="","",INDEX($L$6:$L$40000,$Y3245)&amp;"")</f>
        <v/>
      </c>
    </row>
    <row r="3246">
      <c r="Y3246" s="47">
        <f>IFERROR(MATCH(Library!M3246,$M$6:$M$40000,0),"")</f>
        <v/>
      </c>
      <c r="Z3246">
        <f>IF($Y3246="","",INDEX($C$6:$C$40000,$Y3246)&amp;"")</f>
        <v/>
      </c>
      <c r="AA3246" s="59">
        <f>IF($Y3246="","",IF(INDEX($D$6:$D$40000,$Y3246)="","",INDEX($D$6:$D$40000,$Y3246)))</f>
        <v/>
      </c>
      <c r="AB3246">
        <f>IF($Y3246="","",INDEX($L$6:$L$40000,$Y3246)&amp;"")</f>
        <v/>
      </c>
    </row>
    <row r="3247">
      <c r="Y3247" s="47">
        <f>IFERROR(MATCH(Library!M3247,$M$6:$M$40000,0),"")</f>
        <v/>
      </c>
      <c r="Z3247">
        <f>IF($Y3247="","",INDEX($C$6:$C$40000,$Y3247)&amp;"")</f>
        <v/>
      </c>
      <c r="AA3247" s="59">
        <f>IF($Y3247="","",IF(INDEX($D$6:$D$40000,$Y3247)="","",INDEX($D$6:$D$40000,$Y3247)))</f>
        <v/>
      </c>
      <c r="AB3247">
        <f>IF($Y3247="","",INDEX($L$6:$L$40000,$Y3247)&amp;"")</f>
        <v/>
      </c>
    </row>
    <row r="3248">
      <c r="Y3248" s="47">
        <f>IFERROR(MATCH(Library!M3248,$M$6:$M$40000,0),"")</f>
        <v/>
      </c>
      <c r="Z3248">
        <f>IF($Y3248="","",INDEX($C$6:$C$40000,$Y3248)&amp;"")</f>
        <v/>
      </c>
      <c r="AA3248" s="59">
        <f>IF($Y3248="","",IF(INDEX($D$6:$D$40000,$Y3248)="","",INDEX($D$6:$D$40000,$Y3248)))</f>
        <v/>
      </c>
      <c r="AB3248">
        <f>IF($Y3248="","",INDEX($L$6:$L$40000,$Y3248)&amp;"")</f>
        <v/>
      </c>
    </row>
    <row r="3249">
      <c r="Y3249" s="47">
        <f>IFERROR(MATCH(Library!M3249,$M$6:$M$40000,0),"")</f>
        <v/>
      </c>
      <c r="Z3249">
        <f>IF($Y3249="","",INDEX($C$6:$C$40000,$Y3249)&amp;"")</f>
        <v/>
      </c>
      <c r="AA3249" s="59">
        <f>IF($Y3249="","",IF(INDEX($D$6:$D$40000,$Y3249)="","",INDEX($D$6:$D$40000,$Y3249)))</f>
        <v/>
      </c>
      <c r="AB3249">
        <f>IF($Y3249="","",INDEX($L$6:$L$40000,$Y3249)&amp;"")</f>
        <v/>
      </c>
    </row>
    <row r="3250">
      <c r="Y3250" s="47">
        <f>IFERROR(MATCH(Library!M3250,$M$6:$M$40000,0),"")</f>
        <v/>
      </c>
      <c r="Z3250">
        <f>IF($Y3250="","",INDEX($C$6:$C$40000,$Y3250)&amp;"")</f>
        <v/>
      </c>
      <c r="AA3250" s="59">
        <f>IF($Y3250="","",IF(INDEX($D$6:$D$40000,$Y3250)="","",INDEX($D$6:$D$40000,$Y3250)))</f>
        <v/>
      </c>
      <c r="AB3250">
        <f>IF($Y3250="","",INDEX($L$6:$L$40000,$Y3250)&amp;"")</f>
        <v/>
      </c>
    </row>
    <row r="3251">
      <c r="Y3251" s="47">
        <f>IFERROR(MATCH(Library!M3251,$M$6:$M$40000,0),"")</f>
        <v/>
      </c>
      <c r="Z3251">
        <f>IF($Y3251="","",INDEX($C$6:$C$40000,$Y3251)&amp;"")</f>
        <v/>
      </c>
      <c r="AA3251" s="59">
        <f>IF($Y3251="","",IF(INDEX($D$6:$D$40000,$Y3251)="","",INDEX($D$6:$D$40000,$Y3251)))</f>
        <v/>
      </c>
      <c r="AB3251">
        <f>IF($Y3251="","",INDEX($L$6:$L$40000,$Y3251)&amp;"")</f>
        <v/>
      </c>
    </row>
    <row r="3252">
      <c r="Y3252" s="47">
        <f>IFERROR(MATCH(Library!M3252,$M$6:$M$40000,0),"")</f>
        <v/>
      </c>
      <c r="Z3252">
        <f>IF($Y3252="","",INDEX($C$6:$C$40000,$Y3252)&amp;"")</f>
        <v/>
      </c>
      <c r="AA3252" s="59">
        <f>IF($Y3252="","",IF(INDEX($D$6:$D$40000,$Y3252)="","",INDEX($D$6:$D$40000,$Y3252)))</f>
        <v/>
      </c>
      <c r="AB3252">
        <f>IF($Y3252="","",INDEX($L$6:$L$40000,$Y3252)&amp;"")</f>
        <v/>
      </c>
    </row>
    <row r="3253">
      <c r="Y3253" s="47">
        <f>IFERROR(MATCH(Library!M3253,$M$6:$M$40000,0),"")</f>
        <v/>
      </c>
      <c r="Z3253">
        <f>IF($Y3253="","",INDEX($C$6:$C$40000,$Y3253)&amp;"")</f>
        <v/>
      </c>
      <c r="AA3253" s="59">
        <f>IF($Y3253="","",IF(INDEX($D$6:$D$40000,$Y3253)="","",INDEX($D$6:$D$40000,$Y3253)))</f>
        <v/>
      </c>
      <c r="AB3253">
        <f>IF($Y3253="","",INDEX($L$6:$L$40000,$Y3253)&amp;"")</f>
        <v/>
      </c>
    </row>
    <row r="3254">
      <c r="Y3254" s="47">
        <f>IFERROR(MATCH(Library!M3254,$M$6:$M$40000,0),"")</f>
        <v/>
      </c>
      <c r="Z3254">
        <f>IF($Y3254="","",INDEX($C$6:$C$40000,$Y3254)&amp;"")</f>
        <v/>
      </c>
      <c r="AA3254" s="59">
        <f>IF($Y3254="","",IF(INDEX($D$6:$D$40000,$Y3254)="","",INDEX($D$6:$D$40000,$Y3254)))</f>
        <v/>
      </c>
      <c r="AB3254">
        <f>IF($Y3254="","",INDEX($L$6:$L$40000,$Y3254)&amp;"")</f>
        <v/>
      </c>
    </row>
    <row r="3255">
      <c r="Y3255" s="47">
        <f>IFERROR(MATCH(Library!M3255,$M$6:$M$40000,0),"")</f>
        <v/>
      </c>
      <c r="Z3255">
        <f>IF($Y3255="","",INDEX($C$6:$C$40000,$Y3255)&amp;"")</f>
        <v/>
      </c>
      <c r="AA3255" s="59">
        <f>IF($Y3255="","",IF(INDEX($D$6:$D$40000,$Y3255)="","",INDEX($D$6:$D$40000,$Y3255)))</f>
        <v/>
      </c>
      <c r="AB3255">
        <f>IF($Y3255="","",INDEX($L$6:$L$40000,$Y3255)&amp;"")</f>
        <v/>
      </c>
    </row>
    <row r="3256">
      <c r="Y3256" s="47">
        <f>IFERROR(MATCH(Library!M3256,$M$6:$M$40000,0),"")</f>
        <v/>
      </c>
      <c r="Z3256">
        <f>IF($Y3256="","",INDEX($C$6:$C$40000,$Y3256)&amp;"")</f>
        <v/>
      </c>
      <c r="AA3256" s="59">
        <f>IF($Y3256="","",IF(INDEX($D$6:$D$40000,$Y3256)="","",INDEX($D$6:$D$40000,$Y3256)))</f>
        <v/>
      </c>
      <c r="AB3256">
        <f>IF($Y3256="","",INDEX($L$6:$L$40000,$Y3256)&amp;"")</f>
        <v/>
      </c>
    </row>
    <row r="3257">
      <c r="Y3257" s="47">
        <f>IFERROR(MATCH(Library!M3257,$M$6:$M$40000,0),"")</f>
        <v/>
      </c>
      <c r="Z3257">
        <f>IF($Y3257="","",INDEX($C$6:$C$40000,$Y3257)&amp;"")</f>
        <v/>
      </c>
      <c r="AA3257" s="59">
        <f>IF($Y3257="","",IF(INDEX($D$6:$D$40000,$Y3257)="","",INDEX($D$6:$D$40000,$Y3257)))</f>
        <v/>
      </c>
      <c r="AB3257">
        <f>IF($Y3257="","",INDEX($L$6:$L$40000,$Y3257)&amp;"")</f>
        <v/>
      </c>
    </row>
    <row r="3258">
      <c r="Y3258" s="47">
        <f>IFERROR(MATCH(Library!M3258,$M$6:$M$40000,0),"")</f>
        <v/>
      </c>
      <c r="Z3258">
        <f>IF($Y3258="","",INDEX($C$6:$C$40000,$Y3258)&amp;"")</f>
        <v/>
      </c>
      <c r="AA3258" s="59">
        <f>IF($Y3258="","",IF(INDEX($D$6:$D$40000,$Y3258)="","",INDEX($D$6:$D$40000,$Y3258)))</f>
        <v/>
      </c>
      <c r="AB3258">
        <f>IF($Y3258="","",INDEX($L$6:$L$40000,$Y3258)&amp;"")</f>
        <v/>
      </c>
    </row>
    <row r="3259">
      <c r="Y3259" s="47">
        <f>IFERROR(MATCH(Library!M3259,$M$6:$M$40000,0),"")</f>
        <v/>
      </c>
      <c r="Z3259">
        <f>IF($Y3259="","",INDEX($C$6:$C$40000,$Y3259)&amp;"")</f>
        <v/>
      </c>
      <c r="AA3259" s="59">
        <f>IF($Y3259="","",IF(INDEX($D$6:$D$40000,$Y3259)="","",INDEX($D$6:$D$40000,$Y3259)))</f>
        <v/>
      </c>
      <c r="AB3259">
        <f>IF($Y3259="","",INDEX($L$6:$L$40000,$Y3259)&amp;"")</f>
        <v/>
      </c>
    </row>
    <row r="3260">
      <c r="Y3260" s="47">
        <f>IFERROR(MATCH(Library!M3260,$M$6:$M$40000,0),"")</f>
        <v/>
      </c>
      <c r="Z3260">
        <f>IF($Y3260="","",INDEX($C$6:$C$40000,$Y3260)&amp;"")</f>
        <v/>
      </c>
      <c r="AA3260" s="59">
        <f>IF($Y3260="","",IF(INDEX($D$6:$D$40000,$Y3260)="","",INDEX($D$6:$D$40000,$Y3260)))</f>
        <v/>
      </c>
      <c r="AB3260">
        <f>IF($Y3260="","",INDEX($L$6:$L$40000,$Y3260)&amp;"")</f>
        <v/>
      </c>
    </row>
    <row r="3261">
      <c r="Y3261" s="47">
        <f>IFERROR(MATCH(Library!M3261,$M$6:$M$40000,0),"")</f>
        <v/>
      </c>
      <c r="Z3261">
        <f>IF($Y3261="","",INDEX($C$6:$C$40000,$Y3261)&amp;"")</f>
        <v/>
      </c>
      <c r="AA3261" s="59">
        <f>IF($Y3261="","",IF(INDEX($D$6:$D$40000,$Y3261)="","",INDEX($D$6:$D$40000,$Y3261)))</f>
        <v/>
      </c>
      <c r="AB3261">
        <f>IF($Y3261="","",INDEX($L$6:$L$40000,$Y3261)&amp;"")</f>
        <v/>
      </c>
    </row>
    <row r="3262">
      <c r="Y3262" s="47">
        <f>IFERROR(MATCH(Library!M3262,$M$6:$M$40000,0),"")</f>
        <v/>
      </c>
      <c r="Z3262">
        <f>IF($Y3262="","",INDEX($C$6:$C$40000,$Y3262)&amp;"")</f>
        <v/>
      </c>
      <c r="AA3262" s="59">
        <f>IF($Y3262="","",IF(INDEX($D$6:$D$40000,$Y3262)="","",INDEX($D$6:$D$40000,$Y3262)))</f>
        <v/>
      </c>
      <c r="AB3262">
        <f>IF($Y3262="","",INDEX($L$6:$L$40000,$Y3262)&amp;"")</f>
        <v/>
      </c>
    </row>
    <row r="3263">
      <c r="Y3263" s="47">
        <f>IFERROR(MATCH(Library!M3263,$M$6:$M$40000,0),"")</f>
        <v/>
      </c>
      <c r="Z3263">
        <f>IF($Y3263="","",INDEX($C$6:$C$40000,$Y3263)&amp;"")</f>
        <v/>
      </c>
      <c r="AA3263" s="59">
        <f>IF($Y3263="","",IF(INDEX($D$6:$D$40000,$Y3263)="","",INDEX($D$6:$D$40000,$Y3263)))</f>
        <v/>
      </c>
      <c r="AB3263">
        <f>IF($Y3263="","",INDEX($L$6:$L$40000,$Y3263)&amp;"")</f>
        <v/>
      </c>
    </row>
    <row r="3264">
      <c r="Y3264" s="47">
        <f>IFERROR(MATCH(Library!M3264,$M$6:$M$40000,0),"")</f>
        <v/>
      </c>
      <c r="Z3264">
        <f>IF($Y3264="","",INDEX($C$6:$C$40000,$Y3264)&amp;"")</f>
        <v/>
      </c>
      <c r="AA3264" s="59">
        <f>IF($Y3264="","",IF(INDEX($D$6:$D$40000,$Y3264)="","",INDEX($D$6:$D$40000,$Y3264)))</f>
        <v/>
      </c>
      <c r="AB3264">
        <f>IF($Y3264="","",INDEX($L$6:$L$40000,$Y3264)&amp;"")</f>
        <v/>
      </c>
    </row>
    <row r="3265">
      <c r="Y3265" s="47">
        <f>IFERROR(MATCH(Library!M3265,$M$6:$M$40000,0),"")</f>
        <v/>
      </c>
      <c r="Z3265">
        <f>IF($Y3265="","",INDEX($C$6:$C$40000,$Y3265)&amp;"")</f>
        <v/>
      </c>
      <c r="AA3265" s="59">
        <f>IF($Y3265="","",IF(INDEX($D$6:$D$40000,$Y3265)="","",INDEX($D$6:$D$40000,$Y3265)))</f>
        <v/>
      </c>
      <c r="AB3265">
        <f>IF($Y3265="","",INDEX($L$6:$L$40000,$Y3265)&amp;"")</f>
        <v/>
      </c>
    </row>
    <row r="3266">
      <c r="Y3266" s="47">
        <f>IFERROR(MATCH(Library!M3266,$M$6:$M$40000,0),"")</f>
        <v/>
      </c>
      <c r="Z3266">
        <f>IF($Y3266="","",INDEX($C$6:$C$40000,$Y3266)&amp;"")</f>
        <v/>
      </c>
      <c r="AA3266" s="59">
        <f>IF($Y3266="","",IF(INDEX($D$6:$D$40000,$Y3266)="","",INDEX($D$6:$D$40000,$Y3266)))</f>
        <v/>
      </c>
      <c r="AB3266">
        <f>IF($Y3266="","",INDEX($L$6:$L$40000,$Y3266)&amp;"")</f>
        <v/>
      </c>
    </row>
    <row r="3267">
      <c r="Y3267" s="47">
        <f>IFERROR(MATCH(Library!M3267,$M$6:$M$40000,0),"")</f>
        <v/>
      </c>
      <c r="Z3267">
        <f>IF($Y3267="","",INDEX($C$6:$C$40000,$Y3267)&amp;"")</f>
        <v/>
      </c>
      <c r="AA3267" s="59">
        <f>IF($Y3267="","",IF(INDEX($D$6:$D$40000,$Y3267)="","",INDEX($D$6:$D$40000,$Y3267)))</f>
        <v/>
      </c>
      <c r="AB3267">
        <f>IF($Y3267="","",INDEX($L$6:$L$40000,$Y3267)&amp;"")</f>
        <v/>
      </c>
    </row>
  </sheetData>
  <pageMargins left="0.75" right="0.75" top="1" bottom="1" header="0.5" footer="0.5"/>
</worksheet>
</file>

<file path=xl/worksheets/sheet9.xml><?xml version="1.0" encoding="utf-8"?>
<worksheet xmlns="http://schemas.openxmlformats.org/spreadsheetml/2006/main">
  <sheetPr>
    <tabColor rgb="00B7791F"/>
    <outlinePr summaryBelow="1" summaryRight="1"/>
    <pageSetUpPr fitToPage="1"/>
  </sheetPr>
  <dimension ref="B2:D29"/>
  <sheetViews>
    <sheetView showGridLines="0" workbookViewId="0">
      <selection activeCell="A1" sqref="A1"/>
    </sheetView>
  </sheetViews>
  <sheetFormatPr baseColWidth="8" defaultRowHeight="15"/>
  <cols>
    <col width="3" customWidth="1" min="1" max="1"/>
    <col width="34" customWidth="1" min="2" max="2"/>
    <col width="26" customWidth="1" min="3" max="3"/>
    <col width="90" customWidth="1" min="4" max="4"/>
  </cols>
  <sheetData>
    <row r="2" ht="30" customHeight="1">
      <c r="B2" s="55" t="inlineStr">
        <is>
          <t>Settings &amp; Guide</t>
        </is>
      </c>
    </row>
    <row r="3">
      <c r="B3" s="35">
        <f>HYPERLINK("#Dashboard!A1","◄ Dashboard")</f>
        <v/>
      </c>
    </row>
    <row r="4">
      <c r="B4" s="114" t="inlineStr">
        <is>
          <t>Time zone (IANA name)</t>
        </is>
      </c>
      <c r="C4" s="115" t="inlineStr">
        <is>
          <t>America/New_York</t>
        </is>
      </c>
      <c r="D4" s="2" t="inlineStr">
        <is>
          <t>Used to decide which calendar day a video belongs to. Changing it takes effect at the next update.</t>
        </is>
      </c>
    </row>
    <row r="5">
      <c r="B5" s="114" t="inlineStr">
        <is>
          <t>Last updated</t>
        </is>
      </c>
      <c r="C5" s="116" t="n">
        <v>46300.8322800926</v>
      </c>
    </row>
    <row r="6">
      <c r="B6" s="114" t="inlineStr">
        <is>
          <t>Videos in library</t>
        </is>
      </c>
      <c r="C6" s="117">
        <f>COUNTA(tblVideos[Seq])</f>
        <v/>
      </c>
    </row>
    <row r="7">
      <c r="B7" s="114" t="inlineStr">
        <is>
          <t>Workbook version</t>
        </is>
      </c>
      <c r="C7" s="118" t="inlineStr">
        <is>
          <t>1.0</t>
        </is>
      </c>
    </row>
    <row r="10">
      <c r="B10" s="111" t="inlineStr">
        <is>
          <t>Using the workbook</t>
        </is>
      </c>
    </row>
    <row r="11">
      <c r="B11" s="119" t="inlineStr">
        <is>
          <t>Dashboard - the home page: progress, per-channel breakdown, up-next list and newest uploads.</t>
        </is>
      </c>
    </row>
    <row r="12">
      <c r="B12" s="119" t="inlineStr">
        <is>
          <t>Library - every video. Filter with the header arrows. Use Mark (dropdown) to set Watched / Watch Later / Skipped, and Watched On for the date (Ctrl+; = today).</t>
        </is>
      </c>
    </row>
    <row r="13">
      <c r="B13" s="119" t="inlineStr">
        <is>
          <t xml:space="preserve">   Marking a lot at once: filter, type the mark in the first visible cell, copy it, and paste over the rest of the visible cells.</t>
        </is>
      </c>
    </row>
    <row r="14">
      <c r="B14" s="119" t="inlineStr">
        <is>
          <t xml:space="preserve">   Catching up on a back catalogue: set 'Watched Through' for a channel on the Channels sheet instead of marking thousands of rows.</t>
        </is>
      </c>
    </row>
    <row r="15">
      <c r="B15" s="119" t="inlineStr">
        <is>
          <t xml:space="preserve">   'Skipped' videos (trailers, clips you'll never watch) are left out of the percentage calculations.</t>
        </is>
      </c>
    </row>
    <row r="16">
      <c r="B16" s="119" t="inlineStr">
        <is>
          <t>Queue - pick a channel / list / order to get the next 30 videos to watch, each with a link.</t>
        </is>
      </c>
    </row>
    <row r="17">
      <c r="B17" s="119" t="inlineStr">
        <is>
          <t>Calendar - pick a year, month and channel to see that month's uploads on a Monday-first calendar. Click a title to open it.</t>
        </is>
      </c>
    </row>
    <row r="18">
      <c r="B18" s="119" t="inlineStr">
        <is>
          <t>History - upload heatmap (year x month), year view, uploads per year and a month-by-month timeline with charts.</t>
        </is>
      </c>
    </row>
    <row r="19">
      <c r="B19" s="119" t="inlineStr">
        <is>
          <t>Stats - progress per channel, upload profile, watching-vs-uploading pace and records.</t>
        </is>
      </c>
    </row>
    <row r="20">
      <c r="B20" s="119" t="inlineStr">
        <is>
          <t>Sheets other than Library / Channels / Settings are protected (no password) so formulas aren't overwritten by accident: Review &gt; Unprotect Sheet.</t>
        </is>
      </c>
    </row>
    <row r="21">
      <c r="B21" s="119" t="inlineStr"/>
    </row>
    <row r="22">
      <c r="B22" s="111" t="inlineStr">
        <is>
          <t>About this copy</t>
        </is>
      </c>
    </row>
    <row r="23">
      <c r="B23" s="119" t="inlineStr">
        <is>
          <t>This is a snapshot taken from the fan website. It does not update itself - download a fresh copy from the site for newer videos (your marks would not carry over).</t>
        </is>
      </c>
    </row>
    <row r="24">
      <c r="B24" s="119" t="inlineStr">
        <is>
          <t>Your marks live in the gold columns of the Library sheet and in 'Watched Through' on the Channels sheet. Keep a backup copy of the file.</t>
        </is>
      </c>
    </row>
    <row r="25">
      <c r="B25" s="119" t="inlineStr">
        <is>
          <t>Got a newer download? Use the 'Carry Over' sheet in the NEW file to bring your marks across from the old one (steps are on that sheet).</t>
        </is>
      </c>
    </row>
    <row r="26">
      <c r="B26" s="119" t="inlineStr"/>
    </row>
    <row r="27">
      <c r="B27" s="111" t="inlineStr">
        <is>
          <t>Statistics caveats</t>
        </is>
      </c>
    </row>
    <row r="28">
      <c r="B28" s="119" t="inlineStr">
        <is>
          <t>• Watch-activity charts only count videos that have a 'Watched On' date. Videos counted as watched via 'Watched Through' or without a date are not in them.</t>
        </is>
      </c>
    </row>
    <row r="29">
      <c r="B29" s="119" t="inlineStr">
        <is>
          <t>• View counts grow with age, so old videos vs new ones isn't a like-for-like comparison.</t>
        </is>
      </c>
    </row>
  </sheetData>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n">
        <v>2012</v>
      </c>
      <c r="C1" t="inlineStr">
        <is>
          <t>January</t>
        </is>
      </c>
      <c r="E1" t="inlineStr">
        <is>
          <t>All channels</t>
        </is>
      </c>
    </row>
    <row r="2">
      <c r="A2" t="n">
        <v>2013</v>
      </c>
      <c r="C2" t="inlineStr">
        <is>
          <t>February</t>
        </is>
      </c>
      <c r="E2">
        <f>IF(Channels!$C$6="","",Channels!$C$6)</f>
        <v/>
      </c>
    </row>
    <row r="3">
      <c r="A3" t="n">
        <v>2014</v>
      </c>
      <c r="C3" t="inlineStr">
        <is>
          <t>March</t>
        </is>
      </c>
      <c r="E3">
        <f>IF(Channels!$C$7="","",Channels!$C$7)</f>
        <v/>
      </c>
    </row>
    <row r="4">
      <c r="A4" t="n">
        <v>2015</v>
      </c>
      <c r="C4" t="inlineStr">
        <is>
          <t>April</t>
        </is>
      </c>
      <c r="E4">
        <f>IF(Channels!$C$8="","",Channels!$C$8)</f>
        <v/>
      </c>
    </row>
    <row r="5">
      <c r="A5" t="n">
        <v>2016</v>
      </c>
      <c r="C5" t="inlineStr">
        <is>
          <t>May</t>
        </is>
      </c>
      <c r="E5">
        <f>IF(Channels!$C$9="","",Channels!$C$9)</f>
        <v/>
      </c>
    </row>
    <row r="6">
      <c r="A6" t="n">
        <v>2017</v>
      </c>
      <c r="C6" t="inlineStr">
        <is>
          <t>June</t>
        </is>
      </c>
      <c r="E6">
        <f>IF(Channels!$C$10="","",Channels!$C$10)</f>
        <v/>
      </c>
    </row>
    <row r="7">
      <c r="A7" t="n">
        <v>2018</v>
      </c>
      <c r="C7" t="inlineStr">
        <is>
          <t>July</t>
        </is>
      </c>
      <c r="E7">
        <f>IF(Channels!$C$11="","",Channels!$C$11)</f>
        <v/>
      </c>
    </row>
    <row r="8">
      <c r="A8" t="n">
        <v>2019</v>
      </c>
      <c r="C8" t="inlineStr">
        <is>
          <t>August</t>
        </is>
      </c>
    </row>
    <row r="9">
      <c r="A9" t="n">
        <v>2020</v>
      </c>
      <c r="C9" t="inlineStr">
        <is>
          <t>September</t>
        </is>
      </c>
    </row>
    <row r="10">
      <c r="A10" t="n">
        <v>2021</v>
      </c>
      <c r="C10" t="inlineStr">
        <is>
          <t>October</t>
        </is>
      </c>
    </row>
    <row r="11">
      <c r="A11" t="n">
        <v>2022</v>
      </c>
      <c r="C11" t="inlineStr">
        <is>
          <t>November</t>
        </is>
      </c>
    </row>
    <row r="12">
      <c r="A12" t="n">
        <v>2023</v>
      </c>
      <c r="C12" t="inlineStr">
        <is>
          <t>December</t>
        </is>
      </c>
    </row>
    <row r="13">
      <c r="A13" t="n">
        <v>2024</v>
      </c>
    </row>
    <row r="14">
      <c r="A14" t="n">
        <v>2025</v>
      </c>
    </row>
    <row r="15">
      <c r="A15" t="n">
        <v>2026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2026-10-05T19:58:30Z</dcterms:created>
  <dcterms:modified xmlns:dcterms="http://purl.org/dc/terms/" xmlns:xsi="http://www.w3.org/2001/XMLSchema-instance" xsi:type="dcterms:W3CDTF">2026-10-05T19:58:34Z</dcterms:modified>
</cp:coreProperties>
</file>